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theme/themeOverride1.xml" ContentType="application/vnd.openxmlformats-officedocument.themeOverride+xml"/>
  <Override PartName="/xl/charts/chart30.xml" ContentType="application/vnd.openxmlformats-officedocument.drawingml.chart+xml"/>
  <Override PartName="/xl/theme/themeOverride2.xml" ContentType="application/vnd.openxmlformats-officedocument.themeOverride+xml"/>
  <Override PartName="/xl/charts/chart31.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95" yWindow="45" windowWidth="15480" windowHeight="11640" tabRatio="690" activeTab="2"/>
  </bookViews>
  <sheets>
    <sheet name="Directory" sheetId="28" r:id="rId1"/>
    <sheet name="General_inputs" sheetId="31" r:id="rId2"/>
    <sheet name="Energy_weights" sheetId="57" r:id="rId3"/>
    <sheet name="Report_Tables" sheetId="53" r:id="rId4"/>
    <sheet name="Total_Transportation " sheetId="30" r:id="rId5"/>
    <sheet name="Passenger_Total" sheetId="32" r:id="rId6"/>
    <sheet name="Passenger-Highway" sheetId="24" r:id="rId7"/>
    <sheet name="Personal_vehicles" sheetId="34" r:id="rId8"/>
    <sheet name="Buses" sheetId="1" r:id="rId9"/>
    <sheet name="Passenger-Air" sheetId="33" r:id="rId10"/>
    <sheet name="Passenger-Rail" sheetId="29" r:id="rId11"/>
    <sheet name="Urban_Rail" sheetId="26" r:id="rId12"/>
    <sheet name="water_freight_regression" sheetId="54" r:id="rId13"/>
    <sheet name="Freight_Total" sheetId="25" r:id="rId14"/>
    <sheet name="Freight-Trucks" sheetId="7" r:id="rId15"/>
    <sheet name="Pipelines" sheetId="10" r:id="rId16"/>
    <sheet name="Table6.5 (AER2008)" sheetId="44" r:id="rId17"/>
    <sheet name="Table6.5 (AER2010)" sheetId="47" r:id="rId18"/>
    <sheet name="AER10_Table2.1e" sheetId="48" r:id="rId19"/>
    <sheet name="AER11_Table2.1e" sheetId="55" r:id="rId20"/>
    <sheet name="Alternative Buses_Not Used" sheetId="60" r:id="rId21"/>
    <sheet name="Passenger_vehicles" sheetId="58" r:id="rId22"/>
    <sheet name="MPG_check" sheetId="59" r:id="rId23"/>
    <sheet name="Compare Aggregates" sheetId="52" r:id="rId24"/>
    <sheet name="Passenger-based Activity" sheetId="13" r:id="rId25"/>
    <sheet name="Passenger-based Energy Use" sheetId="14" r:id="rId26"/>
    <sheet name="Freight-based Activity" sheetId="15" r:id="rId27"/>
    <sheet name="Freight-based Energy Use" sheetId="18" r:id="rId28"/>
    <sheet name="Adjust_Truck_Freight" sheetId="50" r:id="rId29"/>
    <sheet name="FuelConsump" sheetId="19" r:id="rId30"/>
    <sheet name="Fuel Heat Content" sheetId="20" r:id="rId31"/>
    <sheet name="Detailed data_Intercity buses" sheetId="61" r:id="rId32"/>
    <sheet name="Detailed data_School buses" sheetId="62" r:id="rId33"/>
    <sheet name="TEDB_Ed30_Table 9.10" sheetId="45" r:id="rId34"/>
    <sheet name="TEDB_Ed31_Table 9.10" sheetId="49" r:id="rId35"/>
    <sheet name="BTS Tran Indexes (TSI_TO 1) " sheetId="43" r:id="rId36"/>
    <sheet name="CompareTEDB&amp;MER" sheetId="56" r:id="rId37"/>
    <sheet name="Charts (web)" sheetId="36" r:id="rId38"/>
  </sheets>
  <externalReferences>
    <externalReference r:id="rId39"/>
    <externalReference r:id="rId40"/>
  </externalReferences>
  <definedNames>
    <definedName name="Base_row" localSheetId="28">[1]General_inputs!$M$6</definedName>
    <definedName name="Base_row">General_inputs!$M$6</definedName>
    <definedName name="Base_row2" localSheetId="28">[1]General_inputs!$M$7</definedName>
    <definedName name="Base_row2">General_inputs!$M$7</definedName>
    <definedName name="Base_year" localSheetId="28">[1]General_inputs!$F$6</definedName>
    <definedName name="Base_year">General_inputs!$F$6</definedName>
    <definedName name="Base_year2" localSheetId="28">[1]General_inputs!$F$7</definedName>
    <definedName name="Base_year2">General_inputs!$F$7</definedName>
    <definedName name="Begin_year_chart1">General_inputs!$F$20</definedName>
    <definedName name="End_year_chart1">General_inputs!$F$21</definedName>
    <definedName name="Fuel_type">General_inputs!$F$16</definedName>
  </definedNames>
  <calcPr calcId="145621"/>
</workbook>
</file>

<file path=xl/calcChain.xml><?xml version="1.0" encoding="utf-8"?>
<calcChain xmlns="http://schemas.openxmlformats.org/spreadsheetml/2006/main">
  <c r="O11" i="57" l="1"/>
  <c r="O10" i="57"/>
  <c r="J11" i="57"/>
  <c r="J10" i="57"/>
  <c r="H28" i="14" l="1"/>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R54" i="57" l="1"/>
  <c r="R47" i="57"/>
  <c r="F33" i="20" l="1"/>
  <c r="J77" i="1"/>
  <c r="K77" i="1"/>
  <c r="I77" i="1"/>
  <c r="F53" i="13"/>
  <c r="F54" i="13"/>
  <c r="F55" i="13"/>
  <c r="AF8" i="62"/>
  <c r="AF9" i="62"/>
  <c r="AF10" i="62"/>
  <c r="AF11" i="62"/>
  <c r="AF12" i="62"/>
  <c r="AF13" i="62"/>
  <c r="AF14" i="62"/>
  <c r="AF15" i="62"/>
  <c r="AF16" i="62"/>
  <c r="AF17" i="62"/>
  <c r="AF18" i="62"/>
  <c r="AF19" i="62"/>
  <c r="AF20" i="62"/>
  <c r="AF21" i="62"/>
  <c r="AF22" i="62"/>
  <c r="AF23" i="62"/>
  <c r="AF24" i="62"/>
  <c r="AF25" i="62"/>
  <c r="AF26" i="62"/>
  <c r="AF27" i="62"/>
  <c r="AF28" i="62"/>
  <c r="AF29" i="62"/>
  <c r="AF30" i="62"/>
  <c r="AF31" i="62"/>
  <c r="AF32" i="62"/>
  <c r="AF33" i="62"/>
  <c r="AF34" i="62"/>
  <c r="AF7" i="62"/>
  <c r="H30" i="13" l="1"/>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29" i="13"/>
  <c r="P41" i="61" l="1"/>
  <c r="G42" i="61"/>
  <c r="Y48" i="62"/>
  <c r="Y47" i="62"/>
  <c r="Y46" i="62"/>
  <c r="Y45" i="62"/>
  <c r="Y44" i="62"/>
  <c r="Y43" i="62"/>
  <c r="Y42" i="62"/>
  <c r="T41" i="62"/>
  <c r="Y40" i="62"/>
  <c r="T40" i="62"/>
  <c r="T39" i="62"/>
  <c r="Y38" i="62"/>
  <c r="T38" i="62"/>
  <c r="T37" i="62"/>
  <c r="L37" i="62"/>
  <c r="T36" i="62"/>
  <c r="H36" i="62"/>
  <c r="T35" i="62"/>
  <c r="H35" i="62"/>
  <c r="AC34" i="62"/>
  <c r="Y34" i="62"/>
  <c r="T34" i="62"/>
  <c r="N34" i="62"/>
  <c r="M34" i="62"/>
  <c r="J34" i="62"/>
  <c r="H34" i="62"/>
  <c r="K34" i="62" s="1"/>
  <c r="L34" i="62" s="1"/>
  <c r="T33" i="62"/>
  <c r="M33" i="62"/>
  <c r="J33" i="62"/>
  <c r="H33" i="62"/>
  <c r="K33" i="62" s="1"/>
  <c r="L33" i="62" s="1"/>
  <c r="Y32" i="62"/>
  <c r="T32" i="62"/>
  <c r="N32" i="62"/>
  <c r="M32" i="62"/>
  <c r="J32" i="62"/>
  <c r="H32" i="62"/>
  <c r="K32" i="62" s="1"/>
  <c r="L32" i="62" s="1"/>
  <c r="AC31" i="62"/>
  <c r="T31" i="62"/>
  <c r="M31" i="62"/>
  <c r="J31" i="62"/>
  <c r="O31" i="62" s="1"/>
  <c r="Y31" i="62" s="1"/>
  <c r="H31" i="62"/>
  <c r="K31" i="62" s="1"/>
  <c r="L31" i="62" s="1"/>
  <c r="T30" i="62"/>
  <c r="J30" i="62"/>
  <c r="O30" i="62" s="1"/>
  <c r="H30" i="62"/>
  <c r="T29" i="62"/>
  <c r="J29" i="62"/>
  <c r="O29" i="62" s="1"/>
  <c r="H29" i="62"/>
  <c r="T28" i="62"/>
  <c r="M28" i="62"/>
  <c r="H28" i="62"/>
  <c r="AC27" i="62"/>
  <c r="T27" i="62"/>
  <c r="O27" i="62"/>
  <c r="M27" i="62"/>
  <c r="J27" i="62"/>
  <c r="J28" i="62" s="1"/>
  <c r="O28" i="62" s="1"/>
  <c r="H27" i="62"/>
  <c r="K27" i="62" s="1"/>
  <c r="T26" i="62"/>
  <c r="M26" i="62"/>
  <c r="H26" i="62"/>
  <c r="T25" i="62"/>
  <c r="M25" i="62"/>
  <c r="H25" i="62"/>
  <c r="T24" i="62"/>
  <c r="M24" i="62"/>
  <c r="H24" i="62"/>
  <c r="T23" i="62"/>
  <c r="M23" i="62"/>
  <c r="H23" i="62"/>
  <c r="AC22" i="62"/>
  <c r="T22" i="62"/>
  <c r="M22" i="62"/>
  <c r="J22" i="62"/>
  <c r="J25" i="62" s="1"/>
  <c r="O25" i="62" s="1"/>
  <c r="H22" i="62"/>
  <c r="K22" i="62" s="1"/>
  <c r="T21" i="62"/>
  <c r="M21" i="62"/>
  <c r="H21" i="62"/>
  <c r="T20" i="62"/>
  <c r="M20" i="62"/>
  <c r="H20" i="62"/>
  <c r="T19" i="62"/>
  <c r="M19" i="62"/>
  <c r="H19" i="62"/>
  <c r="T18" i="62"/>
  <c r="M18" i="62"/>
  <c r="H18" i="62"/>
  <c r="AC17" i="62"/>
  <c r="T17" i="62"/>
  <c r="M17" i="62"/>
  <c r="J17" i="62"/>
  <c r="J21" i="62" s="1"/>
  <c r="O21" i="62" s="1"/>
  <c r="H17" i="62"/>
  <c r="K17" i="62" s="1"/>
  <c r="F17" i="62"/>
  <c r="T16" i="62"/>
  <c r="M16" i="62"/>
  <c r="H16" i="62"/>
  <c r="F16" i="62"/>
  <c r="T15" i="62"/>
  <c r="M15" i="62"/>
  <c r="H15" i="62"/>
  <c r="F15" i="62"/>
  <c r="T14" i="62"/>
  <c r="M14" i="62"/>
  <c r="H14" i="62"/>
  <c r="F14" i="62"/>
  <c r="T13" i="62"/>
  <c r="M13" i="62"/>
  <c r="H13" i="62"/>
  <c r="F13" i="62"/>
  <c r="AC12" i="62"/>
  <c r="T12" i="62"/>
  <c r="M12" i="62"/>
  <c r="J12" i="62"/>
  <c r="J16" i="62" s="1"/>
  <c r="H12" i="62"/>
  <c r="K12" i="62" s="1"/>
  <c r="F12" i="62"/>
  <c r="T11" i="62"/>
  <c r="M11" i="62"/>
  <c r="H11" i="62"/>
  <c r="F11" i="62"/>
  <c r="J11" i="62" s="1"/>
  <c r="T10" i="62"/>
  <c r="M10" i="62"/>
  <c r="H10" i="62"/>
  <c r="F10" i="62"/>
  <c r="J10" i="62" s="1"/>
  <c r="O10" i="62" s="1"/>
  <c r="T9" i="62"/>
  <c r="M9" i="62"/>
  <c r="H9" i="62"/>
  <c r="F9" i="62"/>
  <c r="J9" i="62" s="1"/>
  <c r="O9" i="62" s="1"/>
  <c r="T8" i="62"/>
  <c r="M8" i="62"/>
  <c r="H8" i="62"/>
  <c r="F8" i="62"/>
  <c r="J8" i="62" s="1"/>
  <c r="O8" i="62" s="1"/>
  <c r="C8" i="62"/>
  <c r="Q8" i="62" s="1"/>
  <c r="AC7" i="62"/>
  <c r="T7" i="62"/>
  <c r="Q7" i="62"/>
  <c r="M7" i="62"/>
  <c r="J7" i="62"/>
  <c r="O7" i="62" s="1"/>
  <c r="H7" i="62"/>
  <c r="K7" i="62" s="1"/>
  <c r="F7" i="62"/>
  <c r="G70" i="14"/>
  <c r="E61" i="13"/>
  <c r="E62" i="13"/>
  <c r="E63" i="13"/>
  <c r="E64" i="13"/>
  <c r="E65" i="13"/>
  <c r="E66" i="13"/>
  <c r="E67" i="13"/>
  <c r="E68" i="13"/>
  <c r="E69" i="13"/>
  <c r="E70" i="13"/>
  <c r="E71"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AC49" i="61"/>
  <c r="L49" i="61" s="1"/>
  <c r="AC48" i="61"/>
  <c r="V48" i="61"/>
  <c r="U48" i="61"/>
  <c r="P48" i="61"/>
  <c r="Q48" i="61" s="1"/>
  <c r="L48" i="61"/>
  <c r="J48" i="61"/>
  <c r="I48" i="61"/>
  <c r="E48" i="61"/>
  <c r="D48" i="61"/>
  <c r="AC47" i="61"/>
  <c r="V47" i="61"/>
  <c r="U47" i="61"/>
  <c r="P47" i="61"/>
  <c r="Q47" i="61" s="1"/>
  <c r="L47" i="61"/>
  <c r="J47" i="61"/>
  <c r="I47" i="61"/>
  <c r="E47" i="61"/>
  <c r="D47" i="61"/>
  <c r="V46" i="61"/>
  <c r="U46" i="61"/>
  <c r="E46" i="61"/>
  <c r="V45" i="61"/>
  <c r="U45" i="61"/>
  <c r="E45" i="61"/>
  <c r="V44" i="61"/>
  <c r="U44" i="61"/>
  <c r="L44" i="61"/>
  <c r="I44" i="61"/>
  <c r="I51" i="61" s="1"/>
  <c r="I35" i="61" s="1"/>
  <c r="D44" i="61"/>
  <c r="J44" i="61" s="1"/>
  <c r="V43" i="61"/>
  <c r="U43" i="61"/>
  <c r="J43" i="61"/>
  <c r="V42" i="61"/>
  <c r="U42" i="61"/>
  <c r="J42" i="61"/>
  <c r="V41" i="61"/>
  <c r="U41" i="61"/>
  <c r="L41" i="61"/>
  <c r="D41" i="61"/>
  <c r="V40" i="61"/>
  <c r="U40" i="61"/>
  <c r="V39" i="61"/>
  <c r="U39" i="61"/>
  <c r="V38" i="61"/>
  <c r="U38" i="61"/>
  <c r="V37" i="61"/>
  <c r="U37" i="61"/>
  <c r="V36" i="61"/>
  <c r="U36" i="61"/>
  <c r="V35" i="61"/>
  <c r="U35" i="61"/>
  <c r="M35" i="61"/>
  <c r="V34" i="61"/>
  <c r="U34" i="61"/>
  <c r="O34" i="61"/>
  <c r="M34" i="61"/>
  <c r="L34" i="61"/>
  <c r="P34" i="61" s="1"/>
  <c r="J34" i="61"/>
  <c r="E34" i="61"/>
  <c r="V33" i="61"/>
  <c r="U33" i="61"/>
  <c r="O33" i="61"/>
  <c r="M33" i="61"/>
  <c r="L33" i="61"/>
  <c r="P33" i="61" s="1"/>
  <c r="J33" i="61"/>
  <c r="E33" i="61"/>
  <c r="V32" i="61"/>
  <c r="U32" i="61"/>
  <c r="O32" i="61"/>
  <c r="M32" i="61"/>
  <c r="L32" i="61"/>
  <c r="P32" i="61" s="1"/>
  <c r="J32" i="61"/>
  <c r="E32" i="61"/>
  <c r="V31" i="61"/>
  <c r="U31" i="61"/>
  <c r="O31" i="61"/>
  <c r="N31" i="61"/>
  <c r="M31" i="61"/>
  <c r="L31" i="61"/>
  <c r="P31" i="61" s="1"/>
  <c r="J31" i="61"/>
  <c r="E31" i="61"/>
  <c r="V30" i="61"/>
  <c r="U30" i="61"/>
  <c r="M30" i="61"/>
  <c r="L30" i="61"/>
  <c r="K30" i="61"/>
  <c r="J30" i="61"/>
  <c r="I30" i="61"/>
  <c r="F30" i="61"/>
  <c r="E30" i="61"/>
  <c r="V29" i="61"/>
  <c r="U29" i="61"/>
  <c r="M29" i="61"/>
  <c r="L29" i="61"/>
  <c r="K29" i="61"/>
  <c r="I29" i="61"/>
  <c r="P29" i="61" s="1"/>
  <c r="F29" i="61"/>
  <c r="E29" i="61"/>
  <c r="V28" i="61"/>
  <c r="U28" i="61"/>
  <c r="M28" i="61"/>
  <c r="K28" i="61"/>
  <c r="L28" i="61" s="1"/>
  <c r="I28" i="61"/>
  <c r="F28" i="61"/>
  <c r="E28" i="61"/>
  <c r="V27" i="61"/>
  <c r="U27" i="61"/>
  <c r="O27" i="61"/>
  <c r="N27" i="61"/>
  <c r="M27" i="61"/>
  <c r="L27" i="61"/>
  <c r="P27" i="61" s="1"/>
  <c r="J27" i="61"/>
  <c r="E27" i="61"/>
  <c r="V26" i="61"/>
  <c r="U26" i="61"/>
  <c r="M26" i="61"/>
  <c r="L26" i="61"/>
  <c r="K26" i="61"/>
  <c r="J26" i="61"/>
  <c r="I26" i="61"/>
  <c r="F26" i="61"/>
  <c r="E26" i="61"/>
  <c r="V25" i="61"/>
  <c r="U25" i="61"/>
  <c r="M25" i="61"/>
  <c r="K25" i="61"/>
  <c r="L25" i="61" s="1"/>
  <c r="I25" i="61"/>
  <c r="F25" i="61"/>
  <c r="E25" i="61"/>
  <c r="V24" i="61"/>
  <c r="U24" i="61"/>
  <c r="M24" i="61"/>
  <c r="K24" i="61"/>
  <c r="L24" i="61" s="1"/>
  <c r="I24" i="61"/>
  <c r="F24" i="61"/>
  <c r="E24" i="61"/>
  <c r="V23" i="61"/>
  <c r="U23" i="61"/>
  <c r="M23" i="61"/>
  <c r="K23" i="61"/>
  <c r="L23" i="61" s="1"/>
  <c r="I23" i="61"/>
  <c r="F23" i="61"/>
  <c r="E23" i="61"/>
  <c r="V22" i="61"/>
  <c r="U22" i="61"/>
  <c r="O22" i="61"/>
  <c r="M22" i="61"/>
  <c r="N22" i="61" s="1"/>
  <c r="L22" i="61"/>
  <c r="P22" i="61" s="1"/>
  <c r="J22" i="61"/>
  <c r="E22" i="61"/>
  <c r="V21" i="61"/>
  <c r="U21" i="61"/>
  <c r="M21" i="61"/>
  <c r="K21" i="61"/>
  <c r="L21" i="61" s="1"/>
  <c r="I21" i="61"/>
  <c r="G21" i="61"/>
  <c r="F21" i="61"/>
  <c r="E21" i="61"/>
  <c r="V20" i="61"/>
  <c r="U20" i="61"/>
  <c r="O20" i="61"/>
  <c r="M20" i="61"/>
  <c r="K20" i="61"/>
  <c r="L20" i="61" s="1"/>
  <c r="P20" i="61" s="1"/>
  <c r="J20" i="61"/>
  <c r="G20" i="61"/>
  <c r="E20" i="61"/>
  <c r="V19" i="61"/>
  <c r="U19" i="61"/>
  <c r="O19" i="61"/>
  <c r="M19" i="61"/>
  <c r="K19" i="61"/>
  <c r="L19" i="61" s="1"/>
  <c r="P19" i="61" s="1"/>
  <c r="J19" i="61"/>
  <c r="G19" i="61"/>
  <c r="E19" i="61"/>
  <c r="V18" i="61"/>
  <c r="U18" i="61"/>
  <c r="O18" i="61"/>
  <c r="M18" i="61"/>
  <c r="K18" i="61"/>
  <c r="L18" i="61" s="1"/>
  <c r="P18" i="61" s="1"/>
  <c r="J18" i="61"/>
  <c r="G18" i="61"/>
  <c r="E18" i="61"/>
  <c r="V17" i="61"/>
  <c r="U17" i="61"/>
  <c r="O17" i="61"/>
  <c r="M17" i="61"/>
  <c r="N17" i="61" s="1"/>
  <c r="L17" i="61"/>
  <c r="P17" i="61" s="1"/>
  <c r="Q17" i="61" s="1"/>
  <c r="J17" i="61"/>
  <c r="G17" i="61"/>
  <c r="E17" i="61"/>
  <c r="V16" i="61"/>
  <c r="U16" i="61"/>
  <c r="Q16" i="61"/>
  <c r="M16" i="61"/>
  <c r="K16" i="61"/>
  <c r="L16" i="61" s="1"/>
  <c r="I16" i="61"/>
  <c r="G16" i="61"/>
  <c r="E16" i="61"/>
  <c r="V15" i="61"/>
  <c r="U15" i="61"/>
  <c r="Q15" i="61"/>
  <c r="M15" i="61"/>
  <c r="K15" i="61"/>
  <c r="L15" i="61" s="1"/>
  <c r="I15" i="61"/>
  <c r="X15" i="61" s="1"/>
  <c r="Y15" i="61" s="1"/>
  <c r="G15" i="61"/>
  <c r="E15" i="61"/>
  <c r="V14" i="61"/>
  <c r="U14" i="61"/>
  <c r="Q14" i="61"/>
  <c r="X14" i="61" s="1"/>
  <c r="Y14" i="61" s="1"/>
  <c r="O14" i="61"/>
  <c r="M14" i="61"/>
  <c r="K14" i="61"/>
  <c r="L14" i="61" s="1"/>
  <c r="P14" i="61" s="1"/>
  <c r="J14" i="61"/>
  <c r="G14" i="61"/>
  <c r="E14" i="61"/>
  <c r="V13" i="61"/>
  <c r="U13" i="61"/>
  <c r="Q13" i="61"/>
  <c r="X13" i="61" s="1"/>
  <c r="Y13" i="61" s="1"/>
  <c r="O13" i="61"/>
  <c r="M13" i="61"/>
  <c r="K13" i="61"/>
  <c r="L13" i="61" s="1"/>
  <c r="P13" i="61" s="1"/>
  <c r="J13" i="61"/>
  <c r="G13" i="61"/>
  <c r="E13" i="61"/>
  <c r="V12" i="61"/>
  <c r="U12" i="61"/>
  <c r="Q12" i="61"/>
  <c r="X12" i="61" s="1"/>
  <c r="Y12" i="61" s="1"/>
  <c r="O12" i="61"/>
  <c r="M12" i="61"/>
  <c r="N12" i="61" s="1"/>
  <c r="L12" i="61"/>
  <c r="P12" i="61" s="1"/>
  <c r="J12" i="61"/>
  <c r="G12" i="61"/>
  <c r="E12" i="61"/>
  <c r="V11" i="61"/>
  <c r="U11" i="61"/>
  <c r="Q11" i="61"/>
  <c r="X11" i="61" s="1"/>
  <c r="Y11" i="61" s="1"/>
  <c r="O11" i="61"/>
  <c r="M11" i="61"/>
  <c r="L11" i="61"/>
  <c r="P11" i="61" s="1"/>
  <c r="K11" i="61"/>
  <c r="J11" i="61"/>
  <c r="G11" i="61"/>
  <c r="E11" i="61"/>
  <c r="V10" i="61"/>
  <c r="U10" i="61"/>
  <c r="Q10" i="61"/>
  <c r="X10" i="61" s="1"/>
  <c r="Y10" i="61" s="1"/>
  <c r="O10" i="61"/>
  <c r="M10" i="61"/>
  <c r="K10" i="61"/>
  <c r="L10" i="61" s="1"/>
  <c r="P10" i="61" s="1"/>
  <c r="J10" i="61"/>
  <c r="G10" i="61"/>
  <c r="E10" i="61"/>
  <c r="V9" i="61"/>
  <c r="U9" i="61"/>
  <c r="Q9" i="61"/>
  <c r="X9" i="61" s="1"/>
  <c r="Y9" i="61" s="1"/>
  <c r="O9" i="61"/>
  <c r="M9" i="61"/>
  <c r="K9" i="61"/>
  <c r="L9" i="61" s="1"/>
  <c r="P9" i="61" s="1"/>
  <c r="J9" i="61"/>
  <c r="G9" i="61"/>
  <c r="E9" i="61"/>
  <c r="X8" i="61"/>
  <c r="Y8" i="61" s="1"/>
  <c r="V8" i="61"/>
  <c r="U8" i="61"/>
  <c r="O8" i="61"/>
  <c r="M8" i="61"/>
  <c r="K8" i="61"/>
  <c r="L8" i="61" s="1"/>
  <c r="P8" i="61" s="1"/>
  <c r="J8" i="61"/>
  <c r="G8" i="61"/>
  <c r="E8" i="61"/>
  <c r="C8" i="61"/>
  <c r="C9" i="61" s="1"/>
  <c r="Y7" i="61"/>
  <c r="X7" i="61"/>
  <c r="V7" i="61"/>
  <c r="U7" i="61"/>
  <c r="S7" i="61"/>
  <c r="O7" i="61"/>
  <c r="M7" i="61"/>
  <c r="N7" i="61" s="1"/>
  <c r="L7" i="61"/>
  <c r="P7" i="61" s="1"/>
  <c r="J7" i="61"/>
  <c r="G7" i="61"/>
  <c r="E7" i="61"/>
  <c r="Y7" i="62" l="1"/>
  <c r="N7" i="62"/>
  <c r="Y8" i="62"/>
  <c r="N8" i="62"/>
  <c r="Y9" i="62"/>
  <c r="N9" i="62"/>
  <c r="Y10" i="62"/>
  <c r="N10" i="62"/>
  <c r="K11" i="62"/>
  <c r="L11" i="62" s="1"/>
  <c r="K10" i="62"/>
  <c r="L10" i="62" s="1"/>
  <c r="V10" i="62" s="1"/>
  <c r="W10" i="62" s="1"/>
  <c r="K9" i="62"/>
  <c r="L9" i="62" s="1"/>
  <c r="V9" i="62" s="1"/>
  <c r="W9" i="62" s="1"/>
  <c r="K8" i="62"/>
  <c r="L8" i="62" s="1"/>
  <c r="V8" i="62" s="1"/>
  <c r="W8" i="62" s="1"/>
  <c r="L7" i="62"/>
  <c r="V7" i="62" s="1"/>
  <c r="W7" i="62" s="1"/>
  <c r="K16" i="62"/>
  <c r="L16" i="62" s="1"/>
  <c r="K15" i="62"/>
  <c r="L15" i="62" s="1"/>
  <c r="K14" i="62"/>
  <c r="L14" i="62" s="1"/>
  <c r="K13" i="62"/>
  <c r="L13" i="62" s="1"/>
  <c r="L12" i="62"/>
  <c r="C9" i="62"/>
  <c r="O11" i="62"/>
  <c r="O12" i="62"/>
  <c r="J13" i="62"/>
  <c r="O13" i="62" s="1"/>
  <c r="J14" i="62"/>
  <c r="O14" i="62" s="1"/>
  <c r="J15" i="62"/>
  <c r="O15" i="62" s="1"/>
  <c r="O16" i="62"/>
  <c r="Y21" i="62"/>
  <c r="N21" i="62"/>
  <c r="K26" i="62"/>
  <c r="L26" i="62" s="1"/>
  <c r="K24" i="62"/>
  <c r="L24" i="62" s="1"/>
  <c r="K25" i="62"/>
  <c r="L25" i="62" s="1"/>
  <c r="K23" i="62"/>
  <c r="L23" i="62" s="1"/>
  <c r="L22" i="62"/>
  <c r="Y28" i="62"/>
  <c r="N28" i="62"/>
  <c r="Y30" i="62"/>
  <c r="N30" i="62"/>
  <c r="V40" i="62"/>
  <c r="W40" i="62" s="1"/>
  <c r="V38" i="62"/>
  <c r="W38" i="62" s="1"/>
  <c r="V34" i="62"/>
  <c r="W34" i="62" s="1"/>
  <c r="V32" i="62"/>
  <c r="W32" i="62" s="1"/>
  <c r="K20" i="62"/>
  <c r="L20" i="62" s="1"/>
  <c r="K18" i="62"/>
  <c r="L18" i="62" s="1"/>
  <c r="K21" i="62"/>
  <c r="L21" i="62" s="1"/>
  <c r="V21" i="62" s="1"/>
  <c r="W21" i="62" s="1"/>
  <c r="K19" i="62"/>
  <c r="L19" i="62" s="1"/>
  <c r="L17" i="62"/>
  <c r="Y25" i="62"/>
  <c r="V25" i="62"/>
  <c r="W25" i="62" s="1"/>
  <c r="N25" i="62"/>
  <c r="K30" i="62"/>
  <c r="L30" i="62" s="1"/>
  <c r="V30" i="62" s="1"/>
  <c r="W30" i="62" s="1"/>
  <c r="K29" i="62"/>
  <c r="L29" i="62" s="1"/>
  <c r="L27" i="62"/>
  <c r="K28" i="62"/>
  <c r="L28" i="62" s="1"/>
  <c r="V28" i="62" s="1"/>
  <c r="W28" i="62" s="1"/>
  <c r="Y29" i="62"/>
  <c r="V29" i="62"/>
  <c r="W29" i="62" s="1"/>
  <c r="N29" i="62"/>
  <c r="J18" i="62"/>
  <c r="O18" i="62" s="1"/>
  <c r="J20" i="62"/>
  <c r="O20" i="62" s="1"/>
  <c r="J23" i="62"/>
  <c r="O23" i="62" s="1"/>
  <c r="J24" i="62"/>
  <c r="O24" i="62" s="1"/>
  <c r="J26" i="62"/>
  <c r="O26" i="62" s="1"/>
  <c r="Y27" i="62"/>
  <c r="V27" i="62"/>
  <c r="W27" i="62" s="1"/>
  <c r="N27" i="62"/>
  <c r="V31" i="62"/>
  <c r="W31" i="62" s="1"/>
  <c r="Y33" i="62"/>
  <c r="V33" i="62"/>
  <c r="W33" i="62" s="1"/>
  <c r="N33" i="62"/>
  <c r="Y36" i="62"/>
  <c r="V36" i="62"/>
  <c r="W36" i="62" s="1"/>
  <c r="Y39" i="62"/>
  <c r="V39" i="62"/>
  <c r="W39" i="62" s="1"/>
  <c r="O17" i="62"/>
  <c r="J19" i="62"/>
  <c r="O19" i="62" s="1"/>
  <c r="O22" i="62"/>
  <c r="N31" i="62"/>
  <c r="Y35" i="62"/>
  <c r="V35" i="62"/>
  <c r="W35" i="62" s="1"/>
  <c r="Y37" i="62"/>
  <c r="V37" i="62"/>
  <c r="W37" i="62" s="1"/>
  <c r="Y41" i="62"/>
  <c r="V41" i="62"/>
  <c r="W41" i="62" s="1"/>
  <c r="V42" i="62"/>
  <c r="W42" i="62" s="1"/>
  <c r="V43" i="62"/>
  <c r="W43" i="62" s="1"/>
  <c r="V44" i="62"/>
  <c r="W44" i="62" s="1"/>
  <c r="V45" i="62"/>
  <c r="W45" i="62" s="1"/>
  <c r="V46" i="62"/>
  <c r="W46" i="62" s="1"/>
  <c r="V47" i="62"/>
  <c r="W47" i="62" s="1"/>
  <c r="V48" i="62"/>
  <c r="W48" i="62" s="1"/>
  <c r="N16" i="61"/>
  <c r="N14" i="61"/>
  <c r="N13" i="61"/>
  <c r="N15" i="61"/>
  <c r="X17" i="61"/>
  <c r="Y17" i="61" s="1"/>
  <c r="N25" i="61"/>
  <c r="N23" i="61"/>
  <c r="N26" i="61"/>
  <c r="N24" i="61"/>
  <c r="P23" i="61"/>
  <c r="P25" i="61"/>
  <c r="C10" i="61"/>
  <c r="S9" i="61"/>
  <c r="N8" i="61"/>
  <c r="N11" i="61"/>
  <c r="N10" i="61"/>
  <c r="N9" i="61"/>
  <c r="P16" i="61"/>
  <c r="N21" i="61"/>
  <c r="N20" i="61"/>
  <c r="N19" i="61"/>
  <c r="N18" i="61"/>
  <c r="S8" i="61"/>
  <c r="J15" i="61"/>
  <c r="P15" i="61"/>
  <c r="O16" i="61"/>
  <c r="X16" i="61"/>
  <c r="Y16" i="61" s="1"/>
  <c r="J21" i="61"/>
  <c r="P21" i="61"/>
  <c r="O23" i="61"/>
  <c r="J24" i="61"/>
  <c r="P24" i="61"/>
  <c r="O25" i="61"/>
  <c r="P26" i="61"/>
  <c r="N29" i="61"/>
  <c r="N30" i="61"/>
  <c r="N28" i="61"/>
  <c r="X48" i="61"/>
  <c r="Y48" i="61" s="1"/>
  <c r="O15" i="61"/>
  <c r="J16" i="61"/>
  <c r="O21" i="61"/>
  <c r="J23" i="61"/>
  <c r="O24" i="61"/>
  <c r="J25" i="61"/>
  <c r="O26" i="61"/>
  <c r="I36" i="61"/>
  <c r="X47" i="61"/>
  <c r="Y47" i="61" s="1"/>
  <c r="J28" i="61"/>
  <c r="P28" i="61"/>
  <c r="O29" i="61"/>
  <c r="P30" i="61"/>
  <c r="J51" i="61"/>
  <c r="J35" i="61" s="1"/>
  <c r="O28" i="61"/>
  <c r="J29" i="61"/>
  <c r="O30" i="61"/>
  <c r="E44" i="61"/>
  <c r="P44" i="61"/>
  <c r="Q44" i="61" s="1"/>
  <c r="D49" i="61"/>
  <c r="I49" i="61"/>
  <c r="AT69" i="13"/>
  <c r="AR69" i="13"/>
  <c r="AQ69" i="13" s="1"/>
  <c r="AR68" i="13"/>
  <c r="AQ68" i="13" s="1"/>
  <c r="AP68" i="13"/>
  <c r="BG55" i="13"/>
  <c r="BG56" i="13"/>
  <c r="BG59" i="13"/>
  <c r="BG62" i="13"/>
  <c r="BG64" i="13"/>
  <c r="BG66" i="13"/>
  <c r="BG54" i="13"/>
  <c r="Y15" i="62" l="1"/>
  <c r="V15" i="62"/>
  <c r="W15" i="62" s="1"/>
  <c r="N15" i="62"/>
  <c r="Y13" i="62"/>
  <c r="V13" i="62"/>
  <c r="W13" i="62" s="1"/>
  <c r="N13" i="62"/>
  <c r="Y14" i="62"/>
  <c r="V14" i="62"/>
  <c r="W14" i="62" s="1"/>
  <c r="N14" i="62"/>
  <c r="Y22" i="62"/>
  <c r="V22" i="62"/>
  <c r="W22" i="62" s="1"/>
  <c r="N22" i="62"/>
  <c r="Y17" i="62"/>
  <c r="V17" i="62"/>
  <c r="W17" i="62" s="1"/>
  <c r="N17" i="62"/>
  <c r="Y26" i="62"/>
  <c r="N26" i="62"/>
  <c r="V26" i="62"/>
  <c r="W26" i="62" s="1"/>
  <c r="Y23" i="62"/>
  <c r="V23" i="62"/>
  <c r="W23" i="62" s="1"/>
  <c r="N23" i="62"/>
  <c r="Y18" i="62"/>
  <c r="V18" i="62"/>
  <c r="W18" i="62" s="1"/>
  <c r="N18" i="62"/>
  <c r="Y16" i="62"/>
  <c r="V16" i="62"/>
  <c r="W16" i="62" s="1"/>
  <c r="N16" i="62"/>
  <c r="Y12" i="62"/>
  <c r="V12" i="62"/>
  <c r="W12" i="62" s="1"/>
  <c r="N12" i="62"/>
  <c r="Q9" i="62"/>
  <c r="C10" i="62"/>
  <c r="Y19" i="62"/>
  <c r="V19" i="62"/>
  <c r="W19" i="62" s="1"/>
  <c r="N19" i="62"/>
  <c r="Y24" i="62"/>
  <c r="N24" i="62"/>
  <c r="V24" i="62"/>
  <c r="W24" i="62" s="1"/>
  <c r="Y20" i="62"/>
  <c r="V20" i="62"/>
  <c r="W20" i="62" s="1"/>
  <c r="N20" i="62"/>
  <c r="Y11" i="62"/>
  <c r="V11" i="62"/>
  <c r="W11" i="62" s="1"/>
  <c r="N11" i="62"/>
  <c r="AP69" i="13"/>
  <c r="AO69" i="13"/>
  <c r="J36" i="61"/>
  <c r="J37" i="61" s="1"/>
  <c r="J38" i="61" s="1"/>
  <c r="J39" i="61" s="1"/>
  <c r="J40" i="61" s="1"/>
  <c r="E35" i="61"/>
  <c r="X49" i="61"/>
  <c r="Y49" i="61" s="1"/>
  <c r="P49" i="61"/>
  <c r="Q49" i="61" s="1"/>
  <c r="Q51" i="61"/>
  <c r="Q18" i="61" s="1"/>
  <c r="Q46" i="61"/>
  <c r="X46" i="61" s="1"/>
  <c r="Y46" i="61" s="1"/>
  <c r="Q45" i="61"/>
  <c r="X45" i="61" s="1"/>
  <c r="Y45" i="61" s="1"/>
  <c r="X44" i="61"/>
  <c r="Y44" i="61" s="1"/>
  <c r="C11" i="61"/>
  <c r="S10" i="61"/>
  <c r="J49" i="61"/>
  <c r="E49" i="61"/>
  <c r="I37" i="61"/>
  <c r="E36" i="61"/>
  <c r="AO68" i="13"/>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31" i="60"/>
  <c r="J4" i="60"/>
  <c r="AB52" i="60"/>
  <c r="AB53" i="60"/>
  <c r="AB54" i="60"/>
  <c r="AB55" i="60"/>
  <c r="AB56" i="60"/>
  <c r="AB57" i="60"/>
  <c r="AB58" i="60"/>
  <c r="AB59" i="60"/>
  <c r="AB60" i="60"/>
  <c r="AB61" i="60"/>
  <c r="AB62" i="60"/>
  <c r="AB63" i="60"/>
  <c r="AB64" i="60"/>
  <c r="AB65" i="60"/>
  <c r="AB66" i="60"/>
  <c r="AB67" i="60"/>
  <c r="AB68" i="60"/>
  <c r="AB69" i="60"/>
  <c r="AB70" i="60"/>
  <c r="AB71" i="60"/>
  <c r="AB72" i="60"/>
  <c r="AB51" i="60"/>
  <c r="AB46" i="60"/>
  <c r="AA52" i="60"/>
  <c r="AA53" i="60"/>
  <c r="AA54" i="60"/>
  <c r="AA55" i="60"/>
  <c r="AA56" i="60"/>
  <c r="AA57" i="60"/>
  <c r="AA58" i="60"/>
  <c r="AA59" i="60"/>
  <c r="AA60" i="60"/>
  <c r="AA61" i="60"/>
  <c r="AA62" i="60"/>
  <c r="AA63" i="60"/>
  <c r="AA64" i="60"/>
  <c r="AA65" i="60"/>
  <c r="AA66" i="60"/>
  <c r="AA67" i="60"/>
  <c r="AA68" i="60"/>
  <c r="AA69" i="60"/>
  <c r="AA70" i="60"/>
  <c r="AA71" i="60"/>
  <c r="AA72" i="60"/>
  <c r="AA51" i="60"/>
  <c r="AA46" i="60"/>
  <c r="R52" i="60"/>
  <c r="R53" i="60"/>
  <c r="R54" i="60"/>
  <c r="R55" i="60"/>
  <c r="R56" i="60"/>
  <c r="R57" i="60"/>
  <c r="R58" i="60"/>
  <c r="R59" i="60"/>
  <c r="R60" i="60"/>
  <c r="R61" i="60"/>
  <c r="R62" i="60"/>
  <c r="R63" i="60"/>
  <c r="R64" i="60"/>
  <c r="R65" i="60"/>
  <c r="R66" i="60"/>
  <c r="R67" i="60"/>
  <c r="R68" i="60"/>
  <c r="R69" i="60"/>
  <c r="R70" i="60"/>
  <c r="R71" i="60"/>
  <c r="R72" i="60"/>
  <c r="R51" i="60"/>
  <c r="R46" i="60"/>
  <c r="Z51" i="60"/>
  <c r="Z52" i="60"/>
  <c r="Z53" i="60"/>
  <c r="Z54" i="60"/>
  <c r="Z55" i="60"/>
  <c r="Z56" i="60"/>
  <c r="Z57" i="60"/>
  <c r="Z58" i="60"/>
  <c r="Z59" i="60"/>
  <c r="Z60" i="60"/>
  <c r="Z61" i="60"/>
  <c r="Z62" i="60"/>
  <c r="Z63" i="60"/>
  <c r="Z64" i="60"/>
  <c r="Z65" i="60"/>
  <c r="Z66" i="60"/>
  <c r="Z67" i="60"/>
  <c r="Z68" i="60"/>
  <c r="Z69" i="60"/>
  <c r="Z70" i="60"/>
  <c r="Z71" i="60"/>
  <c r="Z72" i="60"/>
  <c r="Z46" i="60"/>
  <c r="B75" i="60"/>
  <c r="B74" i="60"/>
  <c r="BT72" i="60"/>
  <c r="L72" i="60"/>
  <c r="BT71" i="60"/>
  <c r="L71" i="60"/>
  <c r="BT70" i="60"/>
  <c r="L70" i="60"/>
  <c r="BT69" i="60"/>
  <c r="L69" i="60"/>
  <c r="BT68" i="60"/>
  <c r="L68" i="60"/>
  <c r="BT67" i="60"/>
  <c r="L67" i="60"/>
  <c r="BT66" i="60"/>
  <c r="BT65" i="60"/>
  <c r="BT64" i="60"/>
  <c r="L64" i="60"/>
  <c r="BT63" i="60"/>
  <c r="M63" i="60"/>
  <c r="L63" i="60"/>
  <c r="BT62" i="60"/>
  <c r="M62" i="60"/>
  <c r="L62" i="60"/>
  <c r="BT61" i="60"/>
  <c r="M61" i="60"/>
  <c r="L61" i="60"/>
  <c r="E61" i="60"/>
  <c r="BT60" i="60"/>
  <c r="M60" i="60"/>
  <c r="L60" i="60"/>
  <c r="E60" i="60"/>
  <c r="BT59" i="60"/>
  <c r="M59" i="60"/>
  <c r="L59" i="60"/>
  <c r="E59" i="60"/>
  <c r="BT58" i="60"/>
  <c r="M58" i="60"/>
  <c r="L58" i="60"/>
  <c r="E58" i="60"/>
  <c r="BT57" i="60"/>
  <c r="M57" i="60"/>
  <c r="E57" i="60"/>
  <c r="BT56" i="60"/>
  <c r="N56" i="60"/>
  <c r="M56" i="60"/>
  <c r="E56" i="60"/>
  <c r="BT55" i="60"/>
  <c r="N55" i="60"/>
  <c r="M55" i="60"/>
  <c r="E55" i="60"/>
  <c r="BT54" i="60"/>
  <c r="N54" i="60"/>
  <c r="M54" i="60"/>
  <c r="E54" i="60"/>
  <c r="BT53" i="60"/>
  <c r="N53" i="60"/>
  <c r="M53" i="60"/>
  <c r="E53" i="60"/>
  <c r="BT52" i="60"/>
  <c r="N52" i="60"/>
  <c r="T52" i="60" s="1"/>
  <c r="M52" i="60"/>
  <c r="E52" i="60"/>
  <c r="BT51" i="60"/>
  <c r="N51" i="60"/>
  <c r="T51" i="60" s="1"/>
  <c r="M51" i="60"/>
  <c r="E51" i="60"/>
  <c r="BT50" i="60"/>
  <c r="N50" i="60"/>
  <c r="T50" i="60" s="1"/>
  <c r="M50" i="60"/>
  <c r="E50" i="60"/>
  <c r="BT49" i="60"/>
  <c r="N49" i="60"/>
  <c r="T49" i="60" s="1"/>
  <c r="M49" i="60"/>
  <c r="E49" i="60"/>
  <c r="BT48" i="60"/>
  <c r="N48" i="60"/>
  <c r="T48" i="60" s="1"/>
  <c r="M48" i="60"/>
  <c r="E48" i="60"/>
  <c r="BT47" i="60"/>
  <c r="N47" i="60"/>
  <c r="T47" i="60" s="1"/>
  <c r="M47" i="60"/>
  <c r="E47" i="60"/>
  <c r="BT46" i="60"/>
  <c r="N46" i="60"/>
  <c r="T46" i="60" s="1"/>
  <c r="M46" i="60"/>
  <c r="E46" i="60"/>
  <c r="W46" i="60" s="1"/>
  <c r="BT45" i="60"/>
  <c r="N45" i="60"/>
  <c r="T45" i="60" s="1"/>
  <c r="M45" i="60"/>
  <c r="E45" i="60"/>
  <c r="BT44" i="60"/>
  <c r="N44" i="60"/>
  <c r="T44" i="60" s="1"/>
  <c r="M44" i="60"/>
  <c r="E44" i="60"/>
  <c r="W44" i="60" s="1"/>
  <c r="BT43" i="60"/>
  <c r="N43" i="60"/>
  <c r="T43" i="60" s="1"/>
  <c r="M43" i="60"/>
  <c r="E43" i="60"/>
  <c r="BT42" i="60"/>
  <c r="N42" i="60"/>
  <c r="T42" i="60" s="1"/>
  <c r="M42" i="60"/>
  <c r="E42" i="60"/>
  <c r="W42" i="60" s="1"/>
  <c r="BT41" i="60"/>
  <c r="N41" i="60"/>
  <c r="T41" i="60" s="1"/>
  <c r="M41" i="60"/>
  <c r="E41" i="60"/>
  <c r="BT40" i="60"/>
  <c r="M40" i="60"/>
  <c r="E40" i="60"/>
  <c r="BT39" i="60"/>
  <c r="M39" i="60"/>
  <c r="E39" i="60"/>
  <c r="BT38" i="60"/>
  <c r="M38" i="60"/>
  <c r="E38" i="60"/>
  <c r="BT37" i="60"/>
  <c r="M37" i="60"/>
  <c r="L37" i="60"/>
  <c r="E37" i="60"/>
  <c r="BT36" i="60"/>
  <c r="M36" i="60"/>
  <c r="L36" i="60"/>
  <c r="E36" i="60"/>
  <c r="BT35" i="60"/>
  <c r="M35" i="60"/>
  <c r="L35" i="60"/>
  <c r="E35" i="60"/>
  <c r="BT34" i="60"/>
  <c r="M34" i="60"/>
  <c r="L34" i="60"/>
  <c r="E34" i="60"/>
  <c r="BT33" i="60"/>
  <c r="M33" i="60"/>
  <c r="L33" i="60"/>
  <c r="E33" i="60"/>
  <c r="BT32" i="60"/>
  <c r="M32" i="60"/>
  <c r="L32" i="60"/>
  <c r="E32" i="60"/>
  <c r="BT31" i="60"/>
  <c r="M31" i="60"/>
  <c r="L31" i="60"/>
  <c r="E31" i="60"/>
  <c r="BK30" i="60"/>
  <c r="BJ30" i="60"/>
  <c r="BI30" i="60"/>
  <c r="M30" i="60"/>
  <c r="O30" i="60" s="1"/>
  <c r="BK29" i="60"/>
  <c r="BJ29" i="60"/>
  <c r="BI29" i="60"/>
  <c r="M29" i="60"/>
  <c r="O29" i="60" s="1"/>
  <c r="BK28" i="60"/>
  <c r="BJ28" i="60"/>
  <c r="BI28" i="60"/>
  <c r="M28" i="60"/>
  <c r="O28" i="60" s="1"/>
  <c r="BK27" i="60"/>
  <c r="BJ27" i="60"/>
  <c r="BI27" i="60"/>
  <c r="M27" i="60"/>
  <c r="O27" i="60" s="1"/>
  <c r="BK26" i="60"/>
  <c r="BJ26" i="60"/>
  <c r="BI26" i="60"/>
  <c r="M26" i="60"/>
  <c r="O26" i="60" s="1"/>
  <c r="BK25" i="60"/>
  <c r="BJ25" i="60"/>
  <c r="BI25" i="60"/>
  <c r="AW25" i="60"/>
  <c r="AV25" i="60"/>
  <c r="AU25" i="60"/>
  <c r="M25" i="60"/>
  <c r="O25" i="60" s="1"/>
  <c r="BK24" i="60"/>
  <c r="BJ24" i="60"/>
  <c r="BI24" i="60"/>
  <c r="AW24" i="60"/>
  <c r="AV24" i="60"/>
  <c r="AZ25" i="60" s="1"/>
  <c r="AU24" i="60"/>
  <c r="M24" i="60"/>
  <c r="O24" i="60" s="1"/>
  <c r="BK23" i="60"/>
  <c r="BJ23" i="60"/>
  <c r="BI23" i="60"/>
  <c r="AW23" i="60"/>
  <c r="AV23" i="60"/>
  <c r="AZ24" i="60" s="1"/>
  <c r="AU23" i="60"/>
  <c r="M23" i="60"/>
  <c r="O23" i="60" s="1"/>
  <c r="BK22" i="60"/>
  <c r="BJ22" i="60"/>
  <c r="BI22" i="60"/>
  <c r="AW22" i="60"/>
  <c r="AV22" i="60"/>
  <c r="AZ23" i="60" s="1"/>
  <c r="AU22" i="60"/>
  <c r="M22" i="60"/>
  <c r="O22" i="60" s="1"/>
  <c r="BK21" i="60"/>
  <c r="BJ21" i="60"/>
  <c r="BI21" i="60"/>
  <c r="AW21" i="60"/>
  <c r="AV21" i="60"/>
  <c r="AZ22" i="60" s="1"/>
  <c r="AU21" i="60"/>
  <c r="M21" i="60"/>
  <c r="BK20" i="60"/>
  <c r="BJ20" i="60"/>
  <c r="BI20" i="60"/>
  <c r="AW20" i="60"/>
  <c r="AV20" i="60"/>
  <c r="AU20" i="60"/>
  <c r="M20" i="60"/>
  <c r="O20" i="60" s="1"/>
  <c r="BK19" i="60"/>
  <c r="BJ19" i="60"/>
  <c r="BI19" i="60"/>
  <c r="AW19" i="60"/>
  <c r="AV19" i="60"/>
  <c r="AZ20" i="60" s="1"/>
  <c r="AU19" i="60"/>
  <c r="M19" i="60"/>
  <c r="O19" i="60" s="1"/>
  <c r="BK18" i="60"/>
  <c r="BJ18" i="60"/>
  <c r="BI18" i="60"/>
  <c r="AW18" i="60"/>
  <c r="AV18" i="60"/>
  <c r="AZ19" i="60" s="1"/>
  <c r="AU18" i="60"/>
  <c r="M18" i="60"/>
  <c r="O18" i="60" s="1"/>
  <c r="BK17" i="60"/>
  <c r="BJ17" i="60"/>
  <c r="BI17" i="60"/>
  <c r="AW17" i="60"/>
  <c r="AV17" i="60"/>
  <c r="AZ18" i="60" s="1"/>
  <c r="AU17" i="60"/>
  <c r="M17" i="60"/>
  <c r="O17" i="60" s="1"/>
  <c r="BK16" i="60"/>
  <c r="BJ16" i="60"/>
  <c r="BI16" i="60"/>
  <c r="AW16" i="60"/>
  <c r="AV16" i="60"/>
  <c r="AZ17" i="60" s="1"/>
  <c r="AU16" i="60"/>
  <c r="M16" i="60"/>
  <c r="O16" i="60" s="1"/>
  <c r="BK15" i="60"/>
  <c r="BJ15" i="60"/>
  <c r="BI15" i="60"/>
  <c r="AW15" i="60"/>
  <c r="AV15" i="60"/>
  <c r="AZ16" i="60" s="1"/>
  <c r="AU15" i="60"/>
  <c r="M15" i="60"/>
  <c r="O15" i="60" s="1"/>
  <c r="BK14" i="60"/>
  <c r="BJ14" i="60"/>
  <c r="BI14" i="60"/>
  <c r="AW14" i="60"/>
  <c r="AV14" i="60"/>
  <c r="AZ15" i="60" s="1"/>
  <c r="AU14" i="60"/>
  <c r="M14" i="60"/>
  <c r="O14" i="60" s="1"/>
  <c r="BK13" i="60"/>
  <c r="BJ13" i="60"/>
  <c r="BI13" i="60"/>
  <c r="AW13" i="60"/>
  <c r="AV13" i="60"/>
  <c r="AZ14" i="60" s="1"/>
  <c r="AU13" i="60"/>
  <c r="M13" i="60"/>
  <c r="O13" i="60" s="1"/>
  <c r="BK12" i="60"/>
  <c r="BJ12" i="60"/>
  <c r="BI12" i="60"/>
  <c r="AW12" i="60"/>
  <c r="AV12" i="60"/>
  <c r="AZ13" i="60" s="1"/>
  <c r="AU12" i="60"/>
  <c r="M12" i="60"/>
  <c r="O12" i="60" s="1"/>
  <c r="BK11" i="60"/>
  <c r="BJ11" i="60"/>
  <c r="BI11" i="60"/>
  <c r="AW11" i="60"/>
  <c r="BA11" i="60" s="1"/>
  <c r="AV11" i="60"/>
  <c r="AZ12" i="60" s="1"/>
  <c r="AU11" i="60"/>
  <c r="AY11" i="60" s="1"/>
  <c r="M11" i="60"/>
  <c r="O11" i="60" s="1"/>
  <c r="B11" i="60"/>
  <c r="B12" i="60" s="1"/>
  <c r="B13" i="60" s="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M10" i="60"/>
  <c r="BS7" i="60"/>
  <c r="BR7" i="60"/>
  <c r="BQ7" i="60"/>
  <c r="BO7" i="60"/>
  <c r="BN7" i="60"/>
  <c r="BM7" i="60"/>
  <c r="BK7" i="60"/>
  <c r="BJ7" i="60"/>
  <c r="BI7" i="60"/>
  <c r="BF7" i="60"/>
  <c r="BE7" i="60"/>
  <c r="BD7" i="60"/>
  <c r="BB7" i="60"/>
  <c r="BA7" i="60"/>
  <c r="AZ7" i="60"/>
  <c r="AY7" i="60"/>
  <c r="AW7" i="60"/>
  <c r="AV7" i="60"/>
  <c r="AU7" i="60"/>
  <c r="AG7" i="60"/>
  <c r="AF7" i="60"/>
  <c r="AE7" i="60"/>
  <c r="AD7" i="60"/>
  <c r="Y7" i="60"/>
  <c r="X7" i="60"/>
  <c r="W7" i="60"/>
  <c r="V7" i="60"/>
  <c r="N7" i="60"/>
  <c r="M7" i="60"/>
  <c r="L7" i="60"/>
  <c r="BK4" i="60"/>
  <c r="BJ4" i="60"/>
  <c r="BI4" i="60"/>
  <c r="BF4" i="60"/>
  <c r="BE4" i="60"/>
  <c r="BN4" i="60" s="1"/>
  <c r="BD4" i="60"/>
  <c r="BK3" i="60"/>
  <c r="BJ3" i="60"/>
  <c r="BI3" i="60"/>
  <c r="BF3" i="60"/>
  <c r="BE3" i="60"/>
  <c r="BN3" i="60" s="1"/>
  <c r="BD3" i="60"/>
  <c r="BK2" i="60"/>
  <c r="BJ2" i="60"/>
  <c r="BI2" i="60"/>
  <c r="BF2" i="60"/>
  <c r="BE2" i="60"/>
  <c r="BN2" i="60" s="1"/>
  <c r="BD2" i="60"/>
  <c r="Q10" i="62" l="1"/>
  <c r="C11" i="62"/>
  <c r="I38" i="61"/>
  <c r="E37" i="61"/>
  <c r="C12" i="61"/>
  <c r="S11" i="61"/>
  <c r="Q19" i="61"/>
  <c r="X18" i="61"/>
  <c r="Y18" i="61" s="1"/>
  <c r="W32" i="60"/>
  <c r="W34" i="60"/>
  <c r="W36" i="60"/>
  <c r="W38" i="60"/>
  <c r="W40" i="60"/>
  <c r="AY12" i="60"/>
  <c r="BA12" i="60"/>
  <c r="AY14" i="60"/>
  <c r="BA14" i="60"/>
  <c r="AY16" i="60"/>
  <c r="BA16" i="60"/>
  <c r="AY18" i="60"/>
  <c r="BA18" i="60"/>
  <c r="AY20" i="60"/>
  <c r="BA20" i="60"/>
  <c r="AY24" i="60"/>
  <c r="BA24" i="60"/>
  <c r="BM2" i="60"/>
  <c r="BP2" i="60" s="1"/>
  <c r="BQ2" i="60" s="1"/>
  <c r="BO2" i="60"/>
  <c r="BM3" i="60"/>
  <c r="BP3" i="60" s="1"/>
  <c r="BQ3" i="60" s="1"/>
  <c r="BO3" i="60"/>
  <c r="BM4" i="60"/>
  <c r="BP4" i="60" s="1"/>
  <c r="BQ4" i="60" s="1"/>
  <c r="BO4" i="60"/>
  <c r="AZ11" i="60"/>
  <c r="AY13" i="60"/>
  <c r="BA13" i="60"/>
  <c r="AY15" i="60"/>
  <c r="BA15" i="60"/>
  <c r="AY17" i="60"/>
  <c r="BA17" i="60"/>
  <c r="AY19" i="60"/>
  <c r="BA19" i="60"/>
  <c r="AY23" i="60"/>
  <c r="BA23" i="60"/>
  <c r="AY25" i="60"/>
  <c r="BA25" i="60"/>
  <c r="W31" i="60"/>
  <c r="BB11" i="60"/>
  <c r="BD11" i="60" s="1"/>
  <c r="BB12" i="60"/>
  <c r="BD12" i="60" s="1"/>
  <c r="BO13" i="60"/>
  <c r="BM13" i="60"/>
  <c r="BB14" i="60"/>
  <c r="BE14" i="60" s="1"/>
  <c r="BO15" i="60"/>
  <c r="BM15" i="60"/>
  <c r="BB16" i="60"/>
  <c r="BE16" i="60" s="1"/>
  <c r="BO17" i="60"/>
  <c r="BM17" i="60"/>
  <c r="BB18" i="60"/>
  <c r="BE18" i="60" s="1"/>
  <c r="BO19" i="60"/>
  <c r="BM19" i="60"/>
  <c r="BB20" i="60"/>
  <c r="BE20" i="60" s="1"/>
  <c r="BO11" i="60"/>
  <c r="BM11" i="60"/>
  <c r="BE11" i="60"/>
  <c r="BO12" i="60"/>
  <c r="BM12" i="60"/>
  <c r="BB13" i="60"/>
  <c r="BE13" i="60" s="1"/>
  <c r="BO14" i="60"/>
  <c r="BS14" i="60" s="1"/>
  <c r="BM14" i="60"/>
  <c r="BQ14" i="60" s="1"/>
  <c r="BD15" i="60"/>
  <c r="BB15" i="60"/>
  <c r="BE15" i="60" s="1"/>
  <c r="BF15" i="60"/>
  <c r="BO16" i="60"/>
  <c r="BS16" i="60" s="1"/>
  <c r="BM16" i="60"/>
  <c r="BQ16" i="60" s="1"/>
  <c r="BB17" i="60"/>
  <c r="BE17" i="60" s="1"/>
  <c r="BO18" i="60"/>
  <c r="BS18" i="60" s="1"/>
  <c r="BM18" i="60"/>
  <c r="BQ18" i="60" s="1"/>
  <c r="BD19" i="60"/>
  <c r="BB19" i="60"/>
  <c r="BE19" i="60" s="1"/>
  <c r="BF19" i="60"/>
  <c r="BO20" i="60"/>
  <c r="BS20" i="60" s="1"/>
  <c r="BM20" i="60"/>
  <c r="BQ20" i="60" s="1"/>
  <c r="BN11" i="60"/>
  <c r="BN12" i="60"/>
  <c r="BN13" i="60"/>
  <c r="BN14" i="60"/>
  <c r="BN15" i="60"/>
  <c r="BN16" i="60"/>
  <c r="BN17" i="60"/>
  <c r="BN18" i="60"/>
  <c r="BN19" i="60"/>
  <c r="BN20" i="60"/>
  <c r="AY21" i="60"/>
  <c r="BA21" i="60"/>
  <c r="AY22" i="60"/>
  <c r="BA22" i="60"/>
  <c r="BO23" i="60"/>
  <c r="BM23" i="60"/>
  <c r="BB24" i="60"/>
  <c r="BE24" i="60" s="1"/>
  <c r="BO25" i="60"/>
  <c r="BM25" i="60"/>
  <c r="BO26" i="60"/>
  <c r="BS26" i="60" s="1"/>
  <c r="BM26" i="60"/>
  <c r="BQ26" i="60" s="1"/>
  <c r="BO28" i="60"/>
  <c r="BM28" i="60"/>
  <c r="BO30" i="60"/>
  <c r="BM30" i="60"/>
  <c r="O10" i="60"/>
  <c r="O21" i="60"/>
  <c r="AZ21" i="60"/>
  <c r="BO22" i="60"/>
  <c r="BM22" i="60"/>
  <c r="BB23" i="60"/>
  <c r="BE23" i="60" s="1"/>
  <c r="BO24" i="60"/>
  <c r="BS24" i="60" s="1"/>
  <c r="BM24" i="60"/>
  <c r="BB25" i="60"/>
  <c r="BE25" i="60" s="1"/>
  <c r="BO27" i="60"/>
  <c r="BM27" i="60"/>
  <c r="BQ27" i="60" s="1"/>
  <c r="BO29" i="60"/>
  <c r="BM29" i="60"/>
  <c r="BQ29" i="60" s="1"/>
  <c r="BN22" i="60"/>
  <c r="BN23" i="60"/>
  <c r="BN24" i="60"/>
  <c r="BN25" i="60"/>
  <c r="BN26" i="60"/>
  <c r="BR26" i="60" s="1"/>
  <c r="BN27" i="60"/>
  <c r="BR27" i="60" s="1"/>
  <c r="BN28" i="60"/>
  <c r="BR28" i="60" s="1"/>
  <c r="BN29" i="60"/>
  <c r="BR29" i="60" s="1"/>
  <c r="BN30" i="60"/>
  <c r="BR30" i="60" s="1"/>
  <c r="W33" i="60"/>
  <c r="W35" i="60"/>
  <c r="W37" i="60"/>
  <c r="W74" i="60"/>
  <c r="AE31" i="60" s="1"/>
  <c r="BJ31" i="60" s="1"/>
  <c r="W39" i="60"/>
  <c r="W41" i="60"/>
  <c r="W43" i="60"/>
  <c r="W45" i="60"/>
  <c r="W47" i="60"/>
  <c r="W48" i="60"/>
  <c r="W49" i="60"/>
  <c r="W50" i="60"/>
  <c r="W51" i="60"/>
  <c r="W52" i="60"/>
  <c r="W53" i="60"/>
  <c r="W54" i="60"/>
  <c r="W55" i="60"/>
  <c r="W56" i="60"/>
  <c r="W57" i="60"/>
  <c r="W58" i="60"/>
  <c r="W59" i="60"/>
  <c r="W60" i="60"/>
  <c r="W61" i="60"/>
  <c r="BO32" i="24"/>
  <c r="BO33" i="24"/>
  <c r="BO34" i="24"/>
  <c r="BO35" i="24"/>
  <c r="BO36" i="24"/>
  <c r="BO37" i="24"/>
  <c r="BO38" i="24"/>
  <c r="BO39" i="24"/>
  <c r="BO40" i="24"/>
  <c r="BO41" i="24"/>
  <c r="BO42" i="24"/>
  <c r="BO43" i="24"/>
  <c r="BO44" i="24"/>
  <c r="BO45" i="24"/>
  <c r="BO46" i="24"/>
  <c r="BR31" i="24"/>
  <c r="BO31" i="24"/>
  <c r="Q11" i="62" l="1"/>
  <c r="C12" i="62"/>
  <c r="AE54" i="60"/>
  <c r="AE61" i="60"/>
  <c r="AE59" i="60"/>
  <c r="AE55" i="60"/>
  <c r="AE53" i="60"/>
  <c r="BS29" i="60"/>
  <c r="BS27" i="60"/>
  <c r="BQ24" i="60"/>
  <c r="Q20" i="61"/>
  <c r="X19" i="61"/>
  <c r="Y19" i="61" s="1"/>
  <c r="S12" i="61"/>
  <c r="C13" i="61"/>
  <c r="I39" i="61"/>
  <c r="E38" i="61"/>
  <c r="AE60" i="60"/>
  <c r="AE58" i="60"/>
  <c r="AE56" i="60"/>
  <c r="BJ56" i="60" s="1"/>
  <c r="AE51" i="60"/>
  <c r="AE49" i="60"/>
  <c r="AE47" i="60"/>
  <c r="AE43" i="60"/>
  <c r="AE39" i="60"/>
  <c r="BJ60" i="60"/>
  <c r="BS12" i="60"/>
  <c r="BQ12" i="60"/>
  <c r="BF17" i="60"/>
  <c r="BD17" i="60"/>
  <c r="BF13" i="60"/>
  <c r="BD13" i="60"/>
  <c r="BE12" i="60"/>
  <c r="BF11" i="60"/>
  <c r="BR20" i="60"/>
  <c r="BR18" i="60"/>
  <c r="BR16" i="60"/>
  <c r="BR14" i="60"/>
  <c r="BR25" i="60"/>
  <c r="BR23" i="60"/>
  <c r="BR12" i="60"/>
  <c r="BJ54" i="60"/>
  <c r="BU12" i="60"/>
  <c r="BY12" i="60"/>
  <c r="BJ59" i="60"/>
  <c r="W75" i="60"/>
  <c r="AE57" i="60"/>
  <c r="BJ57" i="60" s="1"/>
  <c r="BJ55" i="60"/>
  <c r="AE52" i="60"/>
  <c r="BJ52" i="60" s="1"/>
  <c r="AE50" i="60"/>
  <c r="BJ50" i="60" s="1"/>
  <c r="AE48" i="60"/>
  <c r="BJ48" i="60" s="1"/>
  <c r="AE45" i="60"/>
  <c r="AE41" i="60"/>
  <c r="AE46" i="60"/>
  <c r="BJ46" i="60" s="1"/>
  <c r="AE33" i="60"/>
  <c r="BR24" i="60"/>
  <c r="BF25" i="60"/>
  <c r="BD25" i="60"/>
  <c r="BF23" i="60"/>
  <c r="BD23" i="60"/>
  <c r="BO21" i="60"/>
  <c r="BS21" i="60" s="1"/>
  <c r="BM21" i="60"/>
  <c r="BQ21" i="60" s="1"/>
  <c r="AE38" i="60"/>
  <c r="BJ39" i="60" s="1"/>
  <c r="AE36" i="60"/>
  <c r="AE34" i="60"/>
  <c r="AE32" i="60"/>
  <c r="BJ32" i="60" s="1"/>
  <c r="BQ30" i="60"/>
  <c r="BQ28" i="60"/>
  <c r="BQ25" i="60"/>
  <c r="BF24" i="60"/>
  <c r="BD24" i="60"/>
  <c r="BQ23" i="60"/>
  <c r="BN21" i="60"/>
  <c r="BR21" i="60" s="1"/>
  <c r="BR19" i="60"/>
  <c r="BR17" i="60"/>
  <c r="BR15" i="60"/>
  <c r="BR13" i="60"/>
  <c r="BF20" i="60"/>
  <c r="BD20" i="60"/>
  <c r="BQ19" i="60"/>
  <c r="BF18" i="60"/>
  <c r="BD18" i="60"/>
  <c r="BQ17" i="60"/>
  <c r="BF16" i="60"/>
  <c r="BD16" i="60"/>
  <c r="BQ15" i="60"/>
  <c r="BF14" i="60"/>
  <c r="BD14" i="60"/>
  <c r="BQ13" i="60"/>
  <c r="BF12" i="60"/>
  <c r="BJ58" i="60"/>
  <c r="BJ51" i="60"/>
  <c r="BJ47" i="60"/>
  <c r="AE44" i="60"/>
  <c r="BJ44" i="60" s="1"/>
  <c r="AE42" i="60"/>
  <c r="BJ42" i="60" s="1"/>
  <c r="AE40" i="60"/>
  <c r="BJ40" i="60" s="1"/>
  <c r="AE37" i="60"/>
  <c r="BJ37" i="60" s="1"/>
  <c r="AE35" i="60"/>
  <c r="BO10" i="60"/>
  <c r="BS11" i="60" s="1"/>
  <c r="BM10" i="60"/>
  <c r="BS30" i="60"/>
  <c r="BS28" i="60"/>
  <c r="BS25" i="60"/>
  <c r="BS23" i="60"/>
  <c r="BB22" i="60"/>
  <c r="BE22" i="60" s="1"/>
  <c r="BB21" i="60"/>
  <c r="BD21" i="60" s="1"/>
  <c r="BU19" i="60"/>
  <c r="BY19" i="60"/>
  <c r="BU17" i="60"/>
  <c r="BY17" i="60"/>
  <c r="BU15" i="60"/>
  <c r="BY15" i="60"/>
  <c r="BU13" i="60"/>
  <c r="BY13" i="60"/>
  <c r="BQ11" i="60"/>
  <c r="BN10" i="60"/>
  <c r="BR11" i="60" s="1"/>
  <c r="BS19" i="60"/>
  <c r="BS17" i="60"/>
  <c r="BS15" i="60"/>
  <c r="BS13" i="60"/>
  <c r="BU11" i="60"/>
  <c r="BV11" i="60" s="1"/>
  <c r="BY11" i="60"/>
  <c r="BZ11" i="60" s="1"/>
  <c r="O183" i="36"/>
  <c r="O184" i="36"/>
  <c r="O185" i="36"/>
  <c r="U55" i="36"/>
  <c r="U56" i="36" s="1"/>
  <c r="U57" i="36" s="1"/>
  <c r="U58" i="36" s="1"/>
  <c r="U59" i="36" s="1"/>
  <c r="U60" i="36" s="1"/>
  <c r="U61" i="36" s="1"/>
  <c r="U62" i="36" s="1"/>
  <c r="U63" i="36" s="1"/>
  <c r="U64" i="36" s="1"/>
  <c r="U65" i="36" s="1"/>
  <c r="U66" i="36" s="1"/>
  <c r="U67" i="36" s="1"/>
  <c r="U68" i="36" s="1"/>
  <c r="U69" i="36" s="1"/>
  <c r="U70" i="36" s="1"/>
  <c r="U71" i="36" s="1"/>
  <c r="U72" i="36" s="1"/>
  <c r="U73" i="36" s="1"/>
  <c r="U74" i="36" s="1"/>
  <c r="U75" i="36" s="1"/>
  <c r="U76" i="36" s="1"/>
  <c r="U77" i="36" s="1"/>
  <c r="U78" i="36" s="1"/>
  <c r="U79" i="36" s="1"/>
  <c r="U80" i="36" s="1"/>
  <c r="U81" i="36" s="1"/>
  <c r="U82" i="36" s="1"/>
  <c r="U83" i="36" s="1"/>
  <c r="U84" i="36" s="1"/>
  <c r="U85" i="36" s="1"/>
  <c r="U86" i="36" s="1"/>
  <c r="U87" i="36" s="1"/>
  <c r="U88" i="36" s="1"/>
  <c r="U89" i="36" s="1"/>
  <c r="U90" i="36" s="1"/>
  <c r="U91" i="36" s="1"/>
  <c r="U92" i="36" s="1"/>
  <c r="U93" i="36" s="1"/>
  <c r="U94" i="36" s="1"/>
  <c r="U95" i="36" s="1"/>
  <c r="Y173" i="36"/>
  <c r="X173" i="36"/>
  <c r="W173" i="36"/>
  <c r="V173" i="36"/>
  <c r="Y172" i="36"/>
  <c r="X172" i="36"/>
  <c r="W172" i="36"/>
  <c r="V172" i="36"/>
  <c r="Y171" i="36"/>
  <c r="X171" i="36"/>
  <c r="W171" i="36"/>
  <c r="V171" i="36"/>
  <c r="Y170" i="36"/>
  <c r="X170" i="36"/>
  <c r="W170" i="36"/>
  <c r="V170" i="36"/>
  <c r="Y169" i="36"/>
  <c r="X169" i="36"/>
  <c r="W169" i="36"/>
  <c r="V169" i="36"/>
  <c r="Y168" i="36"/>
  <c r="X168" i="36"/>
  <c r="W168" i="36"/>
  <c r="V168" i="36"/>
  <c r="Y167" i="36"/>
  <c r="X167" i="36"/>
  <c r="W167" i="36"/>
  <c r="V167" i="36"/>
  <c r="Y166" i="36"/>
  <c r="X166" i="36"/>
  <c r="W166" i="36"/>
  <c r="V166" i="36"/>
  <c r="Y165" i="36"/>
  <c r="X165" i="36"/>
  <c r="W165" i="36"/>
  <c r="V165" i="36"/>
  <c r="Y164" i="36"/>
  <c r="X164" i="36"/>
  <c r="W164" i="36"/>
  <c r="V164" i="36"/>
  <c r="Y163" i="36"/>
  <c r="X163" i="36"/>
  <c r="W163" i="36"/>
  <c r="V163" i="36"/>
  <c r="Y162" i="36"/>
  <c r="X162" i="36"/>
  <c r="W162" i="36"/>
  <c r="V162" i="36"/>
  <c r="Y161" i="36"/>
  <c r="X161" i="36"/>
  <c r="W161" i="36"/>
  <c r="V161" i="36"/>
  <c r="Y160" i="36"/>
  <c r="X160" i="36"/>
  <c r="W160" i="36"/>
  <c r="V160" i="36"/>
  <c r="U160" i="36"/>
  <c r="U161" i="36" s="1"/>
  <c r="U162" i="36" s="1"/>
  <c r="U163" i="36" s="1"/>
  <c r="U164" i="36" s="1"/>
  <c r="U165" i="36" s="1"/>
  <c r="U166" i="36" s="1"/>
  <c r="U167" i="36" s="1"/>
  <c r="U168" i="36" s="1"/>
  <c r="U169" i="36" s="1"/>
  <c r="U170" i="36" s="1"/>
  <c r="U171" i="36" s="1"/>
  <c r="U172" i="36" s="1"/>
  <c r="U173" i="36" s="1"/>
  <c r="U174" i="36" s="1"/>
  <c r="U175" i="36" s="1"/>
  <c r="U176" i="36" s="1"/>
  <c r="U177" i="36" s="1"/>
  <c r="U178" i="36" s="1"/>
  <c r="U179" i="36" s="1"/>
  <c r="U180" i="36" s="1"/>
  <c r="U181" i="36" s="1"/>
  <c r="U182" i="36" s="1"/>
  <c r="U183" i="36" s="1"/>
  <c r="U184" i="36" s="1"/>
  <c r="U185" i="36" s="1"/>
  <c r="U186" i="36" s="1"/>
  <c r="U187" i="36" s="1"/>
  <c r="U188" i="36" s="1"/>
  <c r="U189" i="36" s="1"/>
  <c r="U190" i="36" s="1"/>
  <c r="U191" i="36" s="1"/>
  <c r="U192" i="36" s="1"/>
  <c r="U193" i="36" s="1"/>
  <c r="U194" i="36" s="1"/>
  <c r="U195" i="36" s="1"/>
  <c r="U196" i="36" s="1"/>
  <c r="U197" i="36" s="1"/>
  <c r="U198" i="36" s="1"/>
  <c r="U199" i="36" s="1"/>
  <c r="U200" i="36" s="1"/>
  <c r="Y159" i="36"/>
  <c r="X159" i="36"/>
  <c r="W159" i="36"/>
  <c r="V159" i="36"/>
  <c r="C13" i="62" l="1"/>
  <c r="Q12" i="62"/>
  <c r="BJ61" i="60"/>
  <c r="S13" i="61"/>
  <c r="C14" i="61"/>
  <c r="I40" i="61"/>
  <c r="E39" i="61"/>
  <c r="Q21" i="61"/>
  <c r="X20" i="61"/>
  <c r="Y20" i="61" s="1"/>
  <c r="BS22" i="60"/>
  <c r="BJ35" i="60"/>
  <c r="BJ49" i="60"/>
  <c r="BR22" i="60"/>
  <c r="BJ33" i="60"/>
  <c r="BU21" i="60"/>
  <c r="BY21" i="60"/>
  <c r="BU14" i="60"/>
  <c r="BY14" i="60"/>
  <c r="BU18" i="60"/>
  <c r="BY18" i="60"/>
  <c r="BF21" i="60"/>
  <c r="BE21" i="60"/>
  <c r="BU23" i="60"/>
  <c r="BY23" i="60"/>
  <c r="BU25" i="60"/>
  <c r="BY25" i="60"/>
  <c r="BJ41" i="60"/>
  <c r="BV12" i="60"/>
  <c r="BV13" i="60"/>
  <c r="BD22" i="60"/>
  <c r="BJ43" i="60"/>
  <c r="BU16" i="60"/>
  <c r="BY16" i="60"/>
  <c r="BU20" i="60"/>
  <c r="BY20" i="60"/>
  <c r="BF22" i="60"/>
  <c r="BU24" i="60"/>
  <c r="BY24" i="60"/>
  <c r="BJ34" i="60"/>
  <c r="BJ36" i="60"/>
  <c r="BJ38" i="60"/>
  <c r="BQ22" i="60"/>
  <c r="BJ45" i="60"/>
  <c r="BJ1" i="60" s="1"/>
  <c r="BJ53" i="60"/>
  <c r="BZ12" i="60"/>
  <c r="AL76" i="25"/>
  <c r="AK76" i="25"/>
  <c r="C14" i="62" l="1"/>
  <c r="Q13" i="62"/>
  <c r="Q22" i="61"/>
  <c r="X21" i="61"/>
  <c r="Y21" i="61" s="1"/>
  <c r="S14" i="61"/>
  <c r="C15" i="61"/>
  <c r="I41" i="61"/>
  <c r="E40" i="61"/>
  <c r="BV14" i="60"/>
  <c r="BU22" i="60"/>
  <c r="BY22" i="60"/>
  <c r="BZ13" i="60"/>
  <c r="T62" i="58"/>
  <c r="T63" i="58"/>
  <c r="T64" i="58"/>
  <c r="T65" i="58"/>
  <c r="T61" i="58"/>
  <c r="C46" i="52"/>
  <c r="D6" i="52"/>
  <c r="D7" i="52"/>
  <c r="D8" i="52"/>
  <c r="D9" i="52"/>
  <c r="D10" i="52"/>
  <c r="D11" i="52"/>
  <c r="D12" i="52"/>
  <c r="D13" i="52"/>
  <c r="D14" i="52"/>
  <c r="D15" i="52"/>
  <c r="D16" i="52"/>
  <c r="D17" i="52"/>
  <c r="D18" i="52"/>
  <c r="D19" i="52"/>
  <c r="D20" i="52"/>
  <c r="D21" i="52"/>
  <c r="D22" i="52"/>
  <c r="D23" i="52"/>
  <c r="D24" i="52"/>
  <c r="D25" i="52"/>
  <c r="D26" i="52"/>
  <c r="D27" i="52"/>
  <c r="D28" i="52"/>
  <c r="D29" i="52"/>
  <c r="D30" i="52"/>
  <c r="D31" i="52"/>
  <c r="D32" i="52"/>
  <c r="D33" i="52"/>
  <c r="D34" i="52"/>
  <c r="D35" i="52"/>
  <c r="D36" i="52"/>
  <c r="D37" i="52"/>
  <c r="D38" i="52"/>
  <c r="D39" i="52"/>
  <c r="D40" i="52"/>
  <c r="D41" i="52"/>
  <c r="D42" i="52"/>
  <c r="D43" i="52"/>
  <c r="D44" i="52"/>
  <c r="D45" i="52"/>
  <c r="D46" i="52"/>
  <c r="D5" i="52"/>
  <c r="C15" i="62" l="1"/>
  <c r="Q14" i="62"/>
  <c r="X22" i="61"/>
  <c r="Y22" i="61" s="1"/>
  <c r="Q23" i="61"/>
  <c r="I42" i="61"/>
  <c r="E41" i="61"/>
  <c r="C16" i="61"/>
  <c r="S15" i="61"/>
  <c r="BV15" i="60"/>
  <c r="BZ14" i="60"/>
  <c r="I77" i="18"/>
  <c r="L57" i="60"/>
  <c r="L56" i="60"/>
  <c r="L55" i="60"/>
  <c r="F52" i="13"/>
  <c r="L54" i="60" s="1"/>
  <c r="F51" i="13"/>
  <c r="L53" i="60" s="1"/>
  <c r="F50" i="13"/>
  <c r="L52" i="60" s="1"/>
  <c r="F49" i="13"/>
  <c r="L51" i="60" s="1"/>
  <c r="F48" i="13"/>
  <c r="L50" i="60" s="1"/>
  <c r="F47" i="13"/>
  <c r="L49" i="60" s="1"/>
  <c r="F46" i="13"/>
  <c r="L48" i="60" s="1"/>
  <c r="F45" i="13"/>
  <c r="L47" i="60" s="1"/>
  <c r="F44" i="13"/>
  <c r="L46" i="60" s="1"/>
  <c r="F43" i="13"/>
  <c r="L45" i="60" s="1"/>
  <c r="F42" i="13"/>
  <c r="L44" i="60" s="1"/>
  <c r="F41" i="13"/>
  <c r="L43" i="60" s="1"/>
  <c r="F40" i="13"/>
  <c r="L42" i="60" s="1"/>
  <c r="F39" i="13"/>
  <c r="L41" i="60" s="1"/>
  <c r="F38" i="13"/>
  <c r="L40" i="60" s="1"/>
  <c r="F37" i="13"/>
  <c r="L39" i="60" s="1"/>
  <c r="F36" i="13"/>
  <c r="L38" i="60" s="1"/>
  <c r="C16" i="62" l="1"/>
  <c r="Q15" i="62"/>
  <c r="O41" i="60"/>
  <c r="BM41" i="60" s="1"/>
  <c r="O43" i="60"/>
  <c r="BM43" i="60"/>
  <c r="O45" i="60"/>
  <c r="BM45" i="60" s="1"/>
  <c r="O47" i="60"/>
  <c r="BM47" i="60" s="1"/>
  <c r="O49" i="60"/>
  <c r="BM49" i="60" s="1"/>
  <c r="O51" i="60"/>
  <c r="BM51" i="60" s="1"/>
  <c r="O53" i="60"/>
  <c r="BM53" i="60" s="1"/>
  <c r="O55" i="60"/>
  <c r="BM55" i="60" s="1"/>
  <c r="O42" i="60"/>
  <c r="BM42" i="60" s="1"/>
  <c r="O44" i="60"/>
  <c r="BM44" i="60" s="1"/>
  <c r="BQ44" i="60" s="1"/>
  <c r="O46" i="60"/>
  <c r="BM46" i="60" s="1"/>
  <c r="O48" i="60"/>
  <c r="BM48" i="60" s="1"/>
  <c r="O50" i="60"/>
  <c r="O52" i="60"/>
  <c r="BM52" i="60" s="1"/>
  <c r="O54" i="60"/>
  <c r="O56" i="60"/>
  <c r="BM56" i="60" s="1"/>
  <c r="Q24" i="61"/>
  <c r="X23" i="61"/>
  <c r="Y23" i="61" s="1"/>
  <c r="S16" i="61"/>
  <c r="C17" i="61"/>
  <c r="I43" i="61"/>
  <c r="E42" i="61"/>
  <c r="BZ15" i="60"/>
  <c r="BV16" i="60"/>
  <c r="D60" i="13"/>
  <c r="D61" i="13"/>
  <c r="D62" i="13"/>
  <c r="D63" i="13"/>
  <c r="D64" i="13"/>
  <c r="D65" i="13"/>
  <c r="D66" i="13"/>
  <c r="D67" i="13"/>
  <c r="D68" i="13"/>
  <c r="D69" i="13"/>
  <c r="D70" i="13"/>
  <c r="BQ56" i="60" l="1"/>
  <c r="BQ48" i="60"/>
  <c r="BQ52" i="60"/>
  <c r="BQ45" i="60"/>
  <c r="BQ49" i="60"/>
  <c r="C17" i="62"/>
  <c r="Q16" i="62"/>
  <c r="BN56" i="60"/>
  <c r="BO56" i="60"/>
  <c r="BN54" i="60"/>
  <c r="BO54" i="60"/>
  <c r="BN52" i="60"/>
  <c r="BO52" i="60"/>
  <c r="BO50" i="60"/>
  <c r="BN50" i="60"/>
  <c r="BO44" i="60"/>
  <c r="BN44" i="60"/>
  <c r="BQ53" i="60"/>
  <c r="BO53" i="60"/>
  <c r="BS53" i="60" s="1"/>
  <c r="BN53" i="60"/>
  <c r="BR53" i="60" s="1"/>
  <c r="BO51" i="60"/>
  <c r="BS51" i="60" s="1"/>
  <c r="BN51" i="60"/>
  <c r="BR51" i="60" s="1"/>
  <c r="BO47" i="60"/>
  <c r="BN47" i="60"/>
  <c r="BO43" i="60"/>
  <c r="BN43" i="60"/>
  <c r="BM54" i="60"/>
  <c r="BQ54" i="60" s="1"/>
  <c r="BM50" i="60"/>
  <c r="BQ50" i="60" s="1"/>
  <c r="BN48" i="60"/>
  <c r="BR48" i="60" s="1"/>
  <c r="BO48" i="60"/>
  <c r="BS48" i="60" s="1"/>
  <c r="BQ46" i="60"/>
  <c r="O74" i="60"/>
  <c r="AI52" i="60" s="1"/>
  <c r="BO46" i="60"/>
  <c r="BN46" i="60"/>
  <c r="BQ42" i="60"/>
  <c r="BO42" i="60"/>
  <c r="BN42" i="60"/>
  <c r="BQ55" i="60"/>
  <c r="BN55" i="60"/>
  <c r="BR55" i="60" s="1"/>
  <c r="BO55" i="60"/>
  <c r="BS55" i="60" s="1"/>
  <c r="BQ51" i="60"/>
  <c r="BO49" i="60"/>
  <c r="BS49" i="60" s="1"/>
  <c r="BN49" i="60"/>
  <c r="BR49" i="60" s="1"/>
  <c r="BQ47" i="60"/>
  <c r="BN45" i="60"/>
  <c r="BR45" i="60" s="1"/>
  <c r="BO45" i="60"/>
  <c r="BS45" i="60" s="1"/>
  <c r="BQ43" i="60"/>
  <c r="BO41" i="60"/>
  <c r="BN41" i="60"/>
  <c r="C18" i="61"/>
  <c r="S17" i="61"/>
  <c r="E43" i="61"/>
  <c r="Q25" i="61"/>
  <c r="X24" i="61"/>
  <c r="Y24" i="61" s="1"/>
  <c r="BV17" i="60"/>
  <c r="BZ16" i="60"/>
  <c r="W60" i="13"/>
  <c r="C18" i="62" l="1"/>
  <c r="Q17" i="62"/>
  <c r="AI41" i="60"/>
  <c r="AI45" i="60"/>
  <c r="AI49" i="60"/>
  <c r="AI55" i="60"/>
  <c r="AI42" i="60"/>
  <c r="BS42" i="60"/>
  <c r="AI46" i="60"/>
  <c r="BS46" i="60"/>
  <c r="AI48" i="60"/>
  <c r="BR43" i="60"/>
  <c r="AI47" i="60"/>
  <c r="BS47" i="60"/>
  <c r="AI51" i="60"/>
  <c r="AI53" i="60"/>
  <c r="AI44" i="60"/>
  <c r="BS44" i="60"/>
  <c r="BR50" i="60"/>
  <c r="BS52" i="60"/>
  <c r="BR54" i="60"/>
  <c r="AI54" i="60"/>
  <c r="AI56" i="60"/>
  <c r="BR56" i="60"/>
  <c r="BR42" i="60"/>
  <c r="BR46" i="60"/>
  <c r="AI43" i="60"/>
  <c r="BS43" i="60"/>
  <c r="BR47" i="60"/>
  <c r="BR44" i="60"/>
  <c r="BS50" i="60"/>
  <c r="AI50" i="60"/>
  <c r="BR52" i="60"/>
  <c r="BS54" i="60"/>
  <c r="BS56" i="60"/>
  <c r="Q26" i="61"/>
  <c r="X25" i="61"/>
  <c r="Y25" i="61" s="1"/>
  <c r="C19" i="61"/>
  <c r="S18" i="61"/>
  <c r="BZ17" i="60"/>
  <c r="BV18" i="60"/>
  <c r="AJ72" i="19"/>
  <c r="AH72" i="19"/>
  <c r="T7" i="29"/>
  <c r="S7" i="29"/>
  <c r="C19" i="62" l="1"/>
  <c r="Q18" i="62"/>
  <c r="C20" i="61"/>
  <c r="S19" i="61"/>
  <c r="Q27" i="61"/>
  <c r="X26" i="61"/>
  <c r="Y26" i="61" s="1"/>
  <c r="BV19" i="60"/>
  <c r="BZ18" i="60"/>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70" i="13"/>
  <c r="Q19" i="62" l="1"/>
  <c r="C20" i="62"/>
  <c r="Q28" i="61"/>
  <c r="X27" i="61"/>
  <c r="Y27" i="61" s="1"/>
  <c r="C21" i="61"/>
  <c r="S20" i="61"/>
  <c r="BZ19" i="60"/>
  <c r="BV20" i="60"/>
  <c r="G9" i="59"/>
  <c r="G10" i="59"/>
  <c r="G11" i="59"/>
  <c r="G12" i="59"/>
  <c r="G13" i="59"/>
  <c r="G14" i="59"/>
  <c r="G15" i="59"/>
  <c r="G16" i="59"/>
  <c r="G17" i="59"/>
  <c r="G18" i="59"/>
  <c r="G19" i="59"/>
  <c r="G20" i="59"/>
  <c r="G21" i="59"/>
  <c r="G22" i="59"/>
  <c r="G23" i="59"/>
  <c r="G24" i="59"/>
  <c r="G25" i="59"/>
  <c r="G26" i="59"/>
  <c r="G27" i="59"/>
  <c r="G28" i="59"/>
  <c r="G29" i="59"/>
  <c r="G30" i="59"/>
  <c r="G31" i="59"/>
  <c r="G33" i="59"/>
  <c r="G36" i="59"/>
  <c r="G37" i="59"/>
  <c r="G38" i="59"/>
  <c r="G39" i="59"/>
  <c r="G40" i="59"/>
  <c r="G41" i="59"/>
  <c r="G42" i="59"/>
  <c r="G43" i="59"/>
  <c r="G44" i="59"/>
  <c r="G6" i="59"/>
  <c r="G7" i="59"/>
  <c r="G8" i="59"/>
  <c r="D44" i="59"/>
  <c r="C43" i="59"/>
  <c r="C44" i="59" s="1"/>
  <c r="C45" i="59" s="1"/>
  <c r="C46" i="59" s="1"/>
  <c r="C47" i="59" s="1"/>
  <c r="C8" i="59"/>
  <c r="C9" i="59" s="1"/>
  <c r="C10" i="59" s="1"/>
  <c r="C11" i="59" s="1"/>
  <c r="C12" i="59" s="1"/>
  <c r="C13" i="59" s="1"/>
  <c r="C14" i="59" s="1"/>
  <c r="C15" i="59" s="1"/>
  <c r="C16" i="59" s="1"/>
  <c r="C17" i="59" s="1"/>
  <c r="C18" i="59" s="1"/>
  <c r="C19" i="59" s="1"/>
  <c r="C20" i="59" s="1"/>
  <c r="C21" i="59" s="1"/>
  <c r="C22" i="59" s="1"/>
  <c r="C23" i="59" s="1"/>
  <c r="C24" i="59" s="1"/>
  <c r="C25" i="59" s="1"/>
  <c r="C26" i="59" s="1"/>
  <c r="C27" i="59" s="1"/>
  <c r="C28" i="59" s="1"/>
  <c r="C29" i="59" s="1"/>
  <c r="C30" i="59" s="1"/>
  <c r="C31" i="59" s="1"/>
  <c r="C32" i="59" s="1"/>
  <c r="C33" i="59" s="1"/>
  <c r="C34" i="59" s="1"/>
  <c r="C35" i="59" s="1"/>
  <c r="C36" i="59" s="1"/>
  <c r="C37" i="59" s="1"/>
  <c r="C38" i="59" s="1"/>
  <c r="C39" i="59" s="1"/>
  <c r="C40" i="59" s="1"/>
  <c r="C41" i="59" s="1"/>
  <c r="C42" i="59" s="1"/>
  <c r="C7" i="59"/>
  <c r="C6" i="59"/>
  <c r="C21" i="62" l="1"/>
  <c r="Q20" i="62"/>
  <c r="C22" i="61"/>
  <c r="S21" i="61"/>
  <c r="Q29" i="61"/>
  <c r="X28" i="61"/>
  <c r="Y28" i="61" s="1"/>
  <c r="BV21" i="60"/>
  <c r="BZ20" i="60"/>
  <c r="AJ58" i="19"/>
  <c r="Q21" i="62" l="1"/>
  <c r="C22" i="62"/>
  <c r="Q30" i="61"/>
  <c r="X29" i="61"/>
  <c r="Y29" i="61" s="1"/>
  <c r="C23" i="61"/>
  <c r="S22" i="61"/>
  <c r="BZ21" i="60"/>
  <c r="BV22" i="60"/>
  <c r="AC74" i="13"/>
  <c r="AC61" i="13" s="1"/>
  <c r="AC62" i="13" s="1"/>
  <c r="AC63" i="13" s="1"/>
  <c r="AG66" i="13"/>
  <c r="E43" i="59" s="1"/>
  <c r="AG67" i="13"/>
  <c r="E44" i="59" s="1"/>
  <c r="F44" i="59" s="1"/>
  <c r="AB26" i="13"/>
  <c r="AB27" i="13"/>
  <c r="AB28" i="13"/>
  <c r="C28" i="13" s="1"/>
  <c r="AB29" i="13"/>
  <c r="H6" i="59" s="1"/>
  <c r="I6" i="59" s="1"/>
  <c r="AB30" i="13"/>
  <c r="AB31" i="13"/>
  <c r="H8" i="59" s="1"/>
  <c r="I8" i="59" s="1"/>
  <c r="AB32" i="13"/>
  <c r="AB33" i="13"/>
  <c r="H10" i="59" s="1"/>
  <c r="I10" i="59" s="1"/>
  <c r="AB34" i="13"/>
  <c r="AB35" i="13"/>
  <c r="H12" i="59" s="1"/>
  <c r="I12" i="59" s="1"/>
  <c r="AB36" i="13"/>
  <c r="AB37" i="13"/>
  <c r="H14" i="59" s="1"/>
  <c r="I14" i="59" s="1"/>
  <c r="AB38" i="13"/>
  <c r="AB39" i="13"/>
  <c r="H16" i="59" s="1"/>
  <c r="I16" i="59" s="1"/>
  <c r="AB40" i="13"/>
  <c r="AB41" i="13"/>
  <c r="H18" i="59" s="1"/>
  <c r="I18" i="59" s="1"/>
  <c r="AB42" i="13"/>
  <c r="AB43" i="13"/>
  <c r="H20" i="59" s="1"/>
  <c r="I20" i="59" s="1"/>
  <c r="AB44" i="13"/>
  <c r="AB45" i="13"/>
  <c r="H22" i="59" s="1"/>
  <c r="I22" i="59" s="1"/>
  <c r="AB46" i="13"/>
  <c r="AB47" i="13"/>
  <c r="H24" i="59" s="1"/>
  <c r="I24" i="59" s="1"/>
  <c r="AB48" i="13"/>
  <c r="AB49" i="13"/>
  <c r="H26" i="59" s="1"/>
  <c r="I26" i="59" s="1"/>
  <c r="AB50" i="13"/>
  <c r="AB51" i="13"/>
  <c r="H28" i="59" s="1"/>
  <c r="I28" i="59" s="1"/>
  <c r="AB52" i="13"/>
  <c r="AB53" i="13"/>
  <c r="H30" i="59" s="1"/>
  <c r="I30" i="59" s="1"/>
  <c r="AB54" i="13"/>
  <c r="AB55" i="13"/>
  <c r="H32" i="59" s="1"/>
  <c r="AB56" i="13"/>
  <c r="AB57" i="13"/>
  <c r="H34" i="59" s="1"/>
  <c r="AB58" i="13"/>
  <c r="AB59" i="13"/>
  <c r="H36" i="59" s="1"/>
  <c r="I36" i="59" s="1"/>
  <c r="AB60" i="13"/>
  <c r="AB61" i="13"/>
  <c r="H38" i="59" s="1"/>
  <c r="I38" i="59" s="1"/>
  <c r="AB62" i="13"/>
  <c r="AB63" i="13"/>
  <c r="H40" i="59" s="1"/>
  <c r="I40" i="59" s="1"/>
  <c r="AB64" i="13"/>
  <c r="H41" i="59" s="1"/>
  <c r="I41" i="59" s="1"/>
  <c r="AB65" i="13"/>
  <c r="H42" i="59" s="1"/>
  <c r="I42" i="59" s="1"/>
  <c r="AB66" i="13"/>
  <c r="H43" i="59" s="1"/>
  <c r="I43" i="59" s="1"/>
  <c r="AB67" i="13"/>
  <c r="H44" i="59" s="1"/>
  <c r="I44" i="59" s="1"/>
  <c r="AB25" i="13"/>
  <c r="AF61" i="58"/>
  <c r="X62" i="58"/>
  <c r="X61" i="58"/>
  <c r="AH64" i="58"/>
  <c r="AI64" i="58"/>
  <c r="AH65" i="58"/>
  <c r="AI65" i="58"/>
  <c r="AH63" i="58"/>
  <c r="AK63" i="58" s="1"/>
  <c r="AR63" i="58" s="1"/>
  <c r="AU63" i="58" s="1"/>
  <c r="AY63" i="58" s="1"/>
  <c r="AI63" i="58"/>
  <c r="AL63" i="58" s="1"/>
  <c r="AS63" i="58" s="1"/>
  <c r="AH62" i="58"/>
  <c r="AK64" i="58" s="1"/>
  <c r="AR64" i="58" s="1"/>
  <c r="AU64" i="58" s="1"/>
  <c r="AY64" i="58" s="1"/>
  <c r="AI62" i="58"/>
  <c r="AL64" i="58" s="1"/>
  <c r="AS64" i="58" s="1"/>
  <c r="AI61" i="58"/>
  <c r="AH61" i="58"/>
  <c r="L65" i="58"/>
  <c r="L64" i="58"/>
  <c r="L61" i="58"/>
  <c r="L63" i="58"/>
  <c r="L62"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D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AB61" i="58" s="1"/>
  <c r="D62" i="58"/>
  <c r="AB62" i="58" s="1"/>
  <c r="B65" i="58"/>
  <c r="C61" i="58"/>
  <c r="Q61" i="58" s="1"/>
  <c r="C62" i="58"/>
  <c r="B5" i="58"/>
  <c r="B6" i="58" s="1"/>
  <c r="B7" i="58" s="1"/>
  <c r="B8" i="58" s="1"/>
  <c r="B9" i="58" s="1"/>
  <c r="B10" i="58" s="1"/>
  <c r="B11" i="58" s="1"/>
  <c r="B12" i="58" s="1"/>
  <c r="B13" i="58" s="1"/>
  <c r="B14" i="58" s="1"/>
  <c r="B15" i="58" s="1"/>
  <c r="B16" i="58" s="1"/>
  <c r="B17" i="58" s="1"/>
  <c r="B18" i="58" s="1"/>
  <c r="B19" i="58" s="1"/>
  <c r="B20" i="58" s="1"/>
  <c r="B21" i="58" s="1"/>
  <c r="B22" i="58" s="1"/>
  <c r="B23" i="58" s="1"/>
  <c r="B24" i="58" s="1"/>
  <c r="B25" i="58" s="1"/>
  <c r="B26" i="58" s="1"/>
  <c r="B27" i="58" s="1"/>
  <c r="B28" i="58" s="1"/>
  <c r="B29" i="58" s="1"/>
  <c r="B30" i="58" s="1"/>
  <c r="B31" i="58" s="1"/>
  <c r="B32" i="58" s="1"/>
  <c r="B33" i="58" s="1"/>
  <c r="B34" i="58" s="1"/>
  <c r="B35" i="58" s="1"/>
  <c r="B36" i="58" s="1"/>
  <c r="B37" i="58" s="1"/>
  <c r="B38" i="58" s="1"/>
  <c r="B39" i="58" s="1"/>
  <c r="B40" i="58" s="1"/>
  <c r="B41" i="58" s="1"/>
  <c r="B42" i="58" s="1"/>
  <c r="B43" i="58" s="1"/>
  <c r="B44" i="58" s="1"/>
  <c r="B45" i="58" s="1"/>
  <c r="B46" i="58" s="1"/>
  <c r="B47" i="58" s="1"/>
  <c r="B48" i="58" s="1"/>
  <c r="B49" i="58" s="1"/>
  <c r="B50" i="58" s="1"/>
  <c r="B51" i="58" s="1"/>
  <c r="B52" i="58" s="1"/>
  <c r="B53" i="58" s="1"/>
  <c r="B54" i="58" s="1"/>
  <c r="B55" i="58" s="1"/>
  <c r="B56" i="58" s="1"/>
  <c r="B57" i="58" s="1"/>
  <c r="B58" i="58" s="1"/>
  <c r="B59" i="58" s="1"/>
  <c r="B60" i="58" s="1"/>
  <c r="B61" i="58" s="1"/>
  <c r="B62" i="58" s="1"/>
  <c r="B63" i="58" s="1"/>
  <c r="B64" i="58" s="1"/>
  <c r="B4" i="58"/>
  <c r="C23" i="62" l="1"/>
  <c r="Q22" i="62"/>
  <c r="S23" i="61"/>
  <c r="C24" i="61"/>
  <c r="Q31" i="61"/>
  <c r="X30" i="61"/>
  <c r="Y30" i="61" s="1"/>
  <c r="BV23" i="60"/>
  <c r="BZ22" i="60"/>
  <c r="AK65" i="58"/>
  <c r="AR65" i="58" s="1"/>
  <c r="AU65" i="58" s="1"/>
  <c r="AY65" i="58" s="1"/>
  <c r="AL65" i="58"/>
  <c r="AS65" i="58" s="1"/>
  <c r="C62" i="13"/>
  <c r="H39" i="59"/>
  <c r="I39" i="59" s="1"/>
  <c r="C60" i="13"/>
  <c r="H37" i="59"/>
  <c r="I37" i="59" s="1"/>
  <c r="H35" i="59"/>
  <c r="H33" i="59"/>
  <c r="I33" i="59" s="1"/>
  <c r="C54" i="13"/>
  <c r="H31" i="59"/>
  <c r="I31" i="59" s="1"/>
  <c r="H29" i="59"/>
  <c r="I29" i="59" s="1"/>
  <c r="H27" i="59"/>
  <c r="I27" i="59" s="1"/>
  <c r="H25" i="59"/>
  <c r="I25" i="59" s="1"/>
  <c r="H23" i="59"/>
  <c r="I23" i="59" s="1"/>
  <c r="H21" i="59"/>
  <c r="I21" i="59" s="1"/>
  <c r="C42" i="13"/>
  <c r="H19" i="59"/>
  <c r="I19" i="59" s="1"/>
  <c r="H17" i="59"/>
  <c r="I17" i="59" s="1"/>
  <c r="H15" i="59"/>
  <c r="I15" i="59" s="1"/>
  <c r="C36" i="13"/>
  <c r="H13" i="59"/>
  <c r="I13" i="59" s="1"/>
  <c r="H11" i="59"/>
  <c r="I11" i="59" s="1"/>
  <c r="H9" i="59"/>
  <c r="I9" i="59" s="1"/>
  <c r="H7" i="59"/>
  <c r="I7" i="59" s="1"/>
  <c r="C61" i="13"/>
  <c r="C49" i="13"/>
  <c r="B67" i="13"/>
  <c r="AC64" i="13"/>
  <c r="AC65" i="13" s="1"/>
  <c r="C63" i="13"/>
  <c r="AA61" i="58"/>
  <c r="P61" i="58"/>
  <c r="R61" i="58" s="1"/>
  <c r="AA62" i="58"/>
  <c r="Q62" i="58"/>
  <c r="P62" i="58"/>
  <c r="E62" i="58"/>
  <c r="M62" i="58" s="1"/>
  <c r="E61" i="58"/>
  <c r="M61" i="58" s="1"/>
  <c r="I82" i="14"/>
  <c r="AW69" i="19"/>
  <c r="AW71" i="19" s="1"/>
  <c r="I69" i="14"/>
  <c r="Q23" i="62" l="1"/>
  <c r="C24" i="62"/>
  <c r="C25" i="61"/>
  <c r="S24" i="61"/>
  <c r="X31" i="61"/>
  <c r="Y31" i="61" s="1"/>
  <c r="Q32" i="61"/>
  <c r="BZ23" i="60"/>
  <c r="BV24" i="60"/>
  <c r="AC66" i="13"/>
  <c r="C65" i="13"/>
  <c r="C64" i="13"/>
  <c r="N61" i="58"/>
  <c r="C64" i="58" s="1"/>
  <c r="AG69" i="13" s="1"/>
  <c r="H61" i="58"/>
  <c r="R62" i="58"/>
  <c r="H62" i="58"/>
  <c r="C25" i="62" l="1"/>
  <c r="Q24" i="62"/>
  <c r="Q33" i="61"/>
  <c r="X32" i="61"/>
  <c r="Y32" i="61" s="1"/>
  <c r="S25" i="61"/>
  <c r="C26" i="61"/>
  <c r="BV25" i="60"/>
  <c r="BZ24" i="60"/>
  <c r="E46" i="59"/>
  <c r="B69" i="13"/>
  <c r="AC67" i="13"/>
  <c r="C67" i="13" s="1"/>
  <c r="C66" i="13"/>
  <c r="C63" i="58"/>
  <c r="C65" i="58"/>
  <c r="AG70" i="13" s="1"/>
  <c r="P63" i="58"/>
  <c r="Q64" i="58"/>
  <c r="AW64" i="58" s="1"/>
  <c r="BA64" i="58" s="1"/>
  <c r="AB64" i="58" s="1"/>
  <c r="P64" i="58"/>
  <c r="P65" i="58"/>
  <c r="Q25" i="62" l="1"/>
  <c r="C26" i="62"/>
  <c r="C27" i="61"/>
  <c r="S26" i="61"/>
  <c r="X33" i="61"/>
  <c r="Y33" i="61" s="1"/>
  <c r="Q34" i="61"/>
  <c r="BZ25" i="60"/>
  <c r="Q65" i="58"/>
  <c r="AW65" i="58" s="1"/>
  <c r="BA65" i="58" s="1"/>
  <c r="AB65" i="58" s="1"/>
  <c r="E47" i="59"/>
  <c r="B70" i="13"/>
  <c r="Q63" i="58"/>
  <c r="AW63" i="58" s="1"/>
  <c r="BA63" i="58" s="1"/>
  <c r="AB63" i="58" s="1"/>
  <c r="AG68" i="13"/>
  <c r="R65" i="58"/>
  <c r="R64" i="58"/>
  <c r="R63" i="58"/>
  <c r="C27" i="62" l="1"/>
  <c r="Q26" i="62"/>
  <c r="Q35" i="61"/>
  <c r="X34" i="61"/>
  <c r="Y34" i="61" s="1"/>
  <c r="S27" i="61"/>
  <c r="C28" i="61"/>
  <c r="E45" i="59"/>
  <c r="B68" i="13"/>
  <c r="AP64" i="58"/>
  <c r="AV64" i="58"/>
  <c r="AZ64" i="58" s="1"/>
  <c r="AA64" i="58" s="1"/>
  <c r="V64" i="58" s="1"/>
  <c r="B68" i="19" s="1"/>
  <c r="D46" i="59" s="1"/>
  <c r="F46" i="59" s="1"/>
  <c r="AP63" i="58"/>
  <c r="AV63" i="58"/>
  <c r="AZ63" i="58" s="1"/>
  <c r="AA63" i="58" s="1"/>
  <c r="V63" i="58" s="1"/>
  <c r="B67" i="19" s="1"/>
  <c r="D45" i="59" s="1"/>
  <c r="AP65" i="58"/>
  <c r="AV65" i="58"/>
  <c r="AZ65" i="58" s="1"/>
  <c r="AA65" i="58" s="1"/>
  <c r="V65" i="58" s="1"/>
  <c r="B69" i="19" s="1"/>
  <c r="D47" i="59" s="1"/>
  <c r="F47" i="59" s="1"/>
  <c r="C28" i="62" l="1"/>
  <c r="Q27" i="62"/>
  <c r="C29" i="61"/>
  <c r="S28" i="61"/>
  <c r="Q36" i="61"/>
  <c r="X35" i="61"/>
  <c r="Y35" i="61" s="1"/>
  <c r="F45" i="59"/>
  <c r="M134" i="32"/>
  <c r="I71" i="34"/>
  <c r="I72" i="34"/>
  <c r="H44" i="53" s="1"/>
  <c r="Q28" i="62" l="1"/>
  <c r="C29" i="62"/>
  <c r="Q37" i="61"/>
  <c r="X36" i="61"/>
  <c r="Y36" i="61" s="1"/>
  <c r="S29" i="61"/>
  <c r="C30" i="61"/>
  <c r="M71" i="25"/>
  <c r="H19" i="53" s="1"/>
  <c r="Q29" i="62" l="1"/>
  <c r="C30" i="62"/>
  <c r="C31" i="61"/>
  <c r="S30" i="61"/>
  <c r="Q38" i="61"/>
  <c r="X37" i="61"/>
  <c r="Y37" i="61" s="1"/>
  <c r="K69" i="18"/>
  <c r="N69" i="14" s="1"/>
  <c r="D70" i="33" s="1"/>
  <c r="O122" i="30"/>
  <c r="B72" i="30"/>
  <c r="B72" i="32"/>
  <c r="K72" i="24"/>
  <c r="BO72" i="24"/>
  <c r="K72" i="34"/>
  <c r="B72" i="34"/>
  <c r="I72" i="1"/>
  <c r="BI72" i="1"/>
  <c r="H70" i="33"/>
  <c r="B70" i="33"/>
  <c r="AY69" i="19"/>
  <c r="M69" i="14" s="1"/>
  <c r="E72" i="29" s="1"/>
  <c r="I72" i="29"/>
  <c r="BD72" i="29"/>
  <c r="B72" i="29"/>
  <c r="I72" i="26"/>
  <c r="J72" i="26"/>
  <c r="K72" i="26"/>
  <c r="B72" i="26"/>
  <c r="AE46" i="54"/>
  <c r="AC46" i="54"/>
  <c r="F44" i="50"/>
  <c r="F45" i="50"/>
  <c r="F46" i="50"/>
  <c r="F47" i="50"/>
  <c r="F43" i="50"/>
  <c r="W45" i="50"/>
  <c r="W46" i="50"/>
  <c r="W47" i="50"/>
  <c r="AC47" i="50" s="1"/>
  <c r="Q69" i="19" s="1"/>
  <c r="T69" i="19" s="1"/>
  <c r="J47" i="50"/>
  <c r="K47" i="50"/>
  <c r="D47" i="50"/>
  <c r="CJ71" i="25"/>
  <c r="CK71" i="25"/>
  <c r="CL71" i="25"/>
  <c r="CM71" i="25"/>
  <c r="DA71" i="25"/>
  <c r="DB71" i="25"/>
  <c r="DE71" i="25"/>
  <c r="L71" i="25"/>
  <c r="H17" i="53" s="1"/>
  <c r="N71" i="25"/>
  <c r="H18" i="53" s="1"/>
  <c r="B71" i="25"/>
  <c r="H72" i="7"/>
  <c r="B72" i="7"/>
  <c r="H72" i="10"/>
  <c r="D72" i="10" s="1"/>
  <c r="B72" i="10"/>
  <c r="N69" i="18"/>
  <c r="G71" i="25" s="1"/>
  <c r="D69" i="18"/>
  <c r="E71" i="25" s="1"/>
  <c r="I69" i="15"/>
  <c r="DC71" i="25" s="1"/>
  <c r="Q69" i="15"/>
  <c r="K69" i="15" s="1"/>
  <c r="I72" i="10" s="1"/>
  <c r="P69" i="15"/>
  <c r="P68" i="15"/>
  <c r="P67" i="15"/>
  <c r="C69" i="14"/>
  <c r="F72" i="34" s="1"/>
  <c r="E69" i="14"/>
  <c r="D72" i="26"/>
  <c r="J69" i="14"/>
  <c r="E72" i="26" s="1"/>
  <c r="K69" i="14"/>
  <c r="F72" i="26" s="1"/>
  <c r="O69" i="14"/>
  <c r="E70" i="33" s="1"/>
  <c r="P70" i="13"/>
  <c r="Q70" i="13" s="1"/>
  <c r="L70" i="13"/>
  <c r="BG69" i="19"/>
  <c r="I69" i="18" s="1"/>
  <c r="E72" i="10" s="1"/>
  <c r="CT69" i="19"/>
  <c r="AN69" i="19" s="1"/>
  <c r="CV69" i="19"/>
  <c r="CS69" i="19"/>
  <c r="AM69" i="19" s="1"/>
  <c r="CU69" i="19"/>
  <c r="CW69" i="19" s="1"/>
  <c r="Y47" i="50"/>
  <c r="V47" i="50"/>
  <c r="AB47" i="50" s="1"/>
  <c r="AD47" i="50" s="1"/>
  <c r="U47" i="50"/>
  <c r="P69" i="19"/>
  <c r="O69" i="19"/>
  <c r="BJ69" i="19"/>
  <c r="K58" i="19"/>
  <c r="G65" i="19"/>
  <c r="G66" i="19"/>
  <c r="G67" i="19"/>
  <c r="G68" i="19"/>
  <c r="G69" i="19"/>
  <c r="D69" i="19"/>
  <c r="D68" i="19"/>
  <c r="E69" i="19"/>
  <c r="Q30" i="62" l="1"/>
  <c r="C31" i="62"/>
  <c r="D72" i="1"/>
  <c r="N72" i="1" s="1"/>
  <c r="D72" i="60"/>
  <c r="V72" i="60" s="1"/>
  <c r="Q39" i="61"/>
  <c r="X38" i="61"/>
  <c r="Y38" i="61" s="1"/>
  <c r="C32" i="61"/>
  <c r="S31" i="61"/>
  <c r="P72" i="34"/>
  <c r="O72" i="26"/>
  <c r="O79" i="26"/>
  <c r="DJ71" i="25"/>
  <c r="P8" i="53"/>
  <c r="H8" i="53"/>
  <c r="R70" i="13"/>
  <c r="S70" i="13" s="1"/>
  <c r="E69" i="18"/>
  <c r="F71" i="25" s="1"/>
  <c r="H9" i="53" s="1"/>
  <c r="CZ69" i="19"/>
  <c r="DA69" i="19" s="1"/>
  <c r="G69" i="18" s="1"/>
  <c r="P7" i="53"/>
  <c r="H7" i="53"/>
  <c r="P9" i="53"/>
  <c r="C69" i="19"/>
  <c r="B69" i="14" s="1"/>
  <c r="D72" i="34" s="1"/>
  <c r="N72" i="34" s="1"/>
  <c r="F72" i="10"/>
  <c r="H71" i="25" s="1"/>
  <c r="X47" i="50"/>
  <c r="S71" i="25"/>
  <c r="S127" i="25" s="1"/>
  <c r="P72" i="26"/>
  <c r="L72" i="26"/>
  <c r="BB72" i="26" s="1"/>
  <c r="J72" i="10"/>
  <c r="O71" i="25" s="1"/>
  <c r="H20" i="53" s="1"/>
  <c r="U71" i="25"/>
  <c r="U127" i="25" s="1"/>
  <c r="DD71" i="25"/>
  <c r="AT72" i="10"/>
  <c r="L72" i="10"/>
  <c r="F70" i="33"/>
  <c r="AE70" i="33" s="1"/>
  <c r="L70" i="33"/>
  <c r="G72" i="26"/>
  <c r="AJ72" i="26" s="1"/>
  <c r="N72" i="26"/>
  <c r="L69" i="14"/>
  <c r="I73" i="14" s="1"/>
  <c r="M72" i="29"/>
  <c r="AE47" i="50"/>
  <c r="N72" i="10"/>
  <c r="M72" i="10"/>
  <c r="S69" i="19"/>
  <c r="R69" i="19" s="1"/>
  <c r="N69" i="19"/>
  <c r="B69" i="18" s="1"/>
  <c r="D72" i="7" s="1"/>
  <c r="L72" i="7" s="1"/>
  <c r="P34" i="36"/>
  <c r="C32" i="62" l="1"/>
  <c r="Q31" i="62"/>
  <c r="S32" i="61"/>
  <c r="C33" i="61"/>
  <c r="Q40" i="61"/>
  <c r="X39" i="61"/>
  <c r="Y39" i="61" s="1"/>
  <c r="H72" i="29"/>
  <c r="BC72" i="26"/>
  <c r="BD72" i="26"/>
  <c r="AG72" i="10"/>
  <c r="AF72" i="10"/>
  <c r="V71" i="25"/>
  <c r="V127" i="25" s="1"/>
  <c r="P32" i="53"/>
  <c r="H32" i="53"/>
  <c r="P10" i="53"/>
  <c r="H10" i="53"/>
  <c r="AU72" i="10"/>
  <c r="DG71" i="25"/>
  <c r="DF71" i="25"/>
  <c r="F72" i="32"/>
  <c r="AF70" i="33"/>
  <c r="Q72" i="26"/>
  <c r="AL72" i="26"/>
  <c r="D72" i="29"/>
  <c r="AK72" i="26"/>
  <c r="C69" i="18"/>
  <c r="E72" i="7" s="1"/>
  <c r="F72" i="7" s="1"/>
  <c r="AM74" i="25"/>
  <c r="AA17" i="53"/>
  <c r="AB17" i="53"/>
  <c r="AC17" i="53"/>
  <c r="AA18" i="53"/>
  <c r="AB18" i="53"/>
  <c r="AC18" i="53"/>
  <c r="AA19" i="53"/>
  <c r="AB19" i="53"/>
  <c r="AC19" i="53"/>
  <c r="AA20" i="53"/>
  <c r="AB20" i="53"/>
  <c r="AC20" i="53"/>
  <c r="AC16" i="53"/>
  <c r="AB16" i="53"/>
  <c r="AA16" i="53"/>
  <c r="AC7" i="53"/>
  <c r="AB7" i="53"/>
  <c r="AB8" i="53" s="1"/>
  <c r="AB10" i="53" s="1"/>
  <c r="AA7" i="53"/>
  <c r="AC6" i="53"/>
  <c r="AB6" i="53"/>
  <c r="AA6" i="53"/>
  <c r="C33" i="62" l="1"/>
  <c r="Q32" i="62"/>
  <c r="C34" i="61"/>
  <c r="S33" i="61"/>
  <c r="Q41" i="61"/>
  <c r="X40" i="61"/>
  <c r="Y40" i="61" s="1"/>
  <c r="J72" i="29"/>
  <c r="AV72" i="29" s="1"/>
  <c r="P34" i="53"/>
  <c r="H34" i="53"/>
  <c r="L72" i="29"/>
  <c r="F72" i="29"/>
  <c r="E72" i="32" s="1"/>
  <c r="D71" i="25"/>
  <c r="AF72" i="7"/>
  <c r="AG72" i="7"/>
  <c r="AC8" i="53"/>
  <c r="AC10" i="53" s="1"/>
  <c r="AB11" i="53"/>
  <c r="AA8" i="53"/>
  <c r="AA10" i="53" s="1"/>
  <c r="D59" i="15"/>
  <c r="D58" i="15"/>
  <c r="D57" i="15"/>
  <c r="Q33" i="62" l="1"/>
  <c r="C34" i="62"/>
  <c r="Q42" i="61"/>
  <c r="X41" i="61"/>
  <c r="Y41" i="61" s="1"/>
  <c r="S34" i="61"/>
  <c r="C35" i="61"/>
  <c r="J72" i="32"/>
  <c r="H47" i="53" s="1"/>
  <c r="AW72" i="29"/>
  <c r="O72" i="32"/>
  <c r="O134" i="32" s="1"/>
  <c r="P35" i="53"/>
  <c r="H35" i="53"/>
  <c r="P6" i="53"/>
  <c r="H6" i="53"/>
  <c r="AI72" i="29"/>
  <c r="N72" i="29"/>
  <c r="AH72" i="29"/>
  <c r="AC11" i="53"/>
  <c r="AA11" i="53"/>
  <c r="M64" i="60"/>
  <c r="M65" i="60"/>
  <c r="C35" i="62" l="1"/>
  <c r="Q34" i="62"/>
  <c r="C36" i="61"/>
  <c r="S35" i="61"/>
  <c r="Q43" i="61"/>
  <c r="X43" i="61" s="1"/>
  <c r="Y43" i="61" s="1"/>
  <c r="X42" i="61"/>
  <c r="Y42" i="61" s="1"/>
  <c r="AX3" i="1"/>
  <c r="AY3" i="1"/>
  <c r="AZ3" i="1"/>
  <c r="AX4" i="1"/>
  <c r="AY4" i="1"/>
  <c r="AZ4" i="1"/>
  <c r="AS3" i="1"/>
  <c r="BB3" i="1" s="1"/>
  <c r="BE3" i="1" s="1"/>
  <c r="BF3" i="1" s="1"/>
  <c r="AT3" i="1"/>
  <c r="BC3" i="1" s="1"/>
  <c r="AU3" i="1"/>
  <c r="BD3" i="1" s="1"/>
  <c r="AS4" i="1"/>
  <c r="BB4" i="1" s="1"/>
  <c r="BE4" i="1" s="1"/>
  <c r="BF4" i="1" s="1"/>
  <c r="AT4" i="1"/>
  <c r="BC4" i="1" s="1"/>
  <c r="AU4" i="1"/>
  <c r="BD4" i="1" s="1"/>
  <c r="AZ2" i="1"/>
  <c r="AY2" i="1"/>
  <c r="AX2" i="1"/>
  <c r="AS2" i="1"/>
  <c r="BB2" i="1" s="1"/>
  <c r="BE2" i="1" s="1"/>
  <c r="BF2" i="1" s="1"/>
  <c r="AT2" i="1"/>
  <c r="BC2" i="1" s="1"/>
  <c r="AU2" i="1"/>
  <c r="BD2" i="1" s="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AJ11" i="1"/>
  <c r="AK11" i="1"/>
  <c r="AL11" i="1"/>
  <c r="AN11" i="1"/>
  <c r="AO11" i="1"/>
  <c r="AP11" i="1"/>
  <c r="AQ11" i="1" s="1"/>
  <c r="AX11" i="1"/>
  <c r="AY11" i="1"/>
  <c r="AZ11" i="1"/>
  <c r="AJ12" i="1"/>
  <c r="AN12" i="1" s="1"/>
  <c r="AK12" i="1"/>
  <c r="AL12" i="1"/>
  <c r="AP12" i="1" s="1"/>
  <c r="AO12" i="1"/>
  <c r="AX12" i="1"/>
  <c r="AY12" i="1"/>
  <c r="AZ12" i="1"/>
  <c r="AJ13" i="1"/>
  <c r="AK13" i="1"/>
  <c r="AO13" i="1" s="1"/>
  <c r="AL13" i="1"/>
  <c r="AN13" i="1"/>
  <c r="AQ13" i="1" s="1"/>
  <c r="AP13" i="1"/>
  <c r="AX13" i="1"/>
  <c r="AY13" i="1"/>
  <c r="AZ13" i="1"/>
  <c r="AJ14" i="1"/>
  <c r="AN14" i="1" s="1"/>
  <c r="AK14" i="1"/>
  <c r="AL14" i="1"/>
  <c r="AP14" i="1" s="1"/>
  <c r="AO14" i="1"/>
  <c r="AX14" i="1"/>
  <c r="AY14" i="1"/>
  <c r="AZ14" i="1"/>
  <c r="AJ15" i="1"/>
  <c r="AN15" i="1" s="1"/>
  <c r="AK15" i="1"/>
  <c r="AL15" i="1"/>
  <c r="AP15" i="1"/>
  <c r="AX15" i="1"/>
  <c r="AY15" i="1"/>
  <c r="AZ15" i="1"/>
  <c r="AJ16" i="1"/>
  <c r="AN16" i="1" s="1"/>
  <c r="AK16" i="1"/>
  <c r="AL16" i="1"/>
  <c r="AP16" i="1" s="1"/>
  <c r="AO16" i="1"/>
  <c r="AX16" i="1"/>
  <c r="AY16" i="1"/>
  <c r="AZ16" i="1"/>
  <c r="AJ17" i="1"/>
  <c r="AK17" i="1"/>
  <c r="AO17" i="1" s="1"/>
  <c r="AL17" i="1"/>
  <c r="AN17" i="1"/>
  <c r="AX17" i="1"/>
  <c r="AY17" i="1"/>
  <c r="AZ17" i="1"/>
  <c r="AJ18" i="1"/>
  <c r="AN18" i="1" s="1"/>
  <c r="AK18" i="1"/>
  <c r="AL18" i="1"/>
  <c r="AP18" i="1" s="1"/>
  <c r="AO18" i="1"/>
  <c r="AQ18" i="1" s="1"/>
  <c r="AT18" i="1" s="1"/>
  <c r="AX18" i="1"/>
  <c r="AY18" i="1"/>
  <c r="AZ18" i="1"/>
  <c r="AJ19" i="1"/>
  <c r="AK19" i="1"/>
  <c r="AO19" i="1" s="1"/>
  <c r="AL19" i="1"/>
  <c r="AN19" i="1"/>
  <c r="AP19" i="1"/>
  <c r="AX19" i="1"/>
  <c r="AY19" i="1"/>
  <c r="AZ19" i="1"/>
  <c r="AJ20" i="1"/>
  <c r="AN20" i="1" s="1"/>
  <c r="AK20" i="1"/>
  <c r="AL20" i="1"/>
  <c r="AP20" i="1" s="1"/>
  <c r="AO20" i="1"/>
  <c r="AQ20" i="1" s="1"/>
  <c r="AT20" i="1" s="1"/>
  <c r="AX20" i="1"/>
  <c r="AY20" i="1"/>
  <c r="AZ20" i="1"/>
  <c r="AJ21" i="1"/>
  <c r="AN21" i="1" s="1"/>
  <c r="AK21" i="1"/>
  <c r="AO21" i="1" s="1"/>
  <c r="AL21" i="1"/>
  <c r="AX21" i="1"/>
  <c r="AY21" i="1"/>
  <c r="AZ21" i="1"/>
  <c r="AJ22" i="1"/>
  <c r="AN22" i="1" s="1"/>
  <c r="AK22" i="1"/>
  <c r="AL22" i="1"/>
  <c r="AP22" i="1" s="1"/>
  <c r="AX22" i="1"/>
  <c r="AY22" i="1"/>
  <c r="AZ22" i="1"/>
  <c r="AJ23" i="1"/>
  <c r="AN23" i="1" s="1"/>
  <c r="AK23" i="1"/>
  <c r="AL23" i="1"/>
  <c r="AP23" i="1" s="1"/>
  <c r="AO23" i="1"/>
  <c r="AX23" i="1"/>
  <c r="AY23" i="1"/>
  <c r="AZ23" i="1"/>
  <c r="AJ24" i="1"/>
  <c r="AN24" i="1" s="1"/>
  <c r="AQ24" i="1" s="1"/>
  <c r="AK24" i="1"/>
  <c r="AO24" i="1" s="1"/>
  <c r="AL24" i="1"/>
  <c r="AP24" i="1"/>
  <c r="AX24" i="1"/>
  <c r="AY24" i="1"/>
  <c r="AZ24" i="1"/>
  <c r="AP17" i="1" l="1"/>
  <c r="AO15" i="1"/>
  <c r="AQ15" i="1" s="1"/>
  <c r="Q35" i="62"/>
  <c r="C36" i="62"/>
  <c r="C37" i="61"/>
  <c r="C38" i="61" s="1"/>
  <c r="C39" i="61" s="1"/>
  <c r="C40" i="61" s="1"/>
  <c r="C41" i="61" s="1"/>
  <c r="C42" i="61" s="1"/>
  <c r="C43" i="61" s="1"/>
  <c r="C44" i="61" s="1"/>
  <c r="C45" i="61" s="1"/>
  <c r="C46" i="61" s="1"/>
  <c r="C47" i="61" s="1"/>
  <c r="C48" i="61" s="1"/>
  <c r="C49" i="61" s="1"/>
  <c r="S36" i="61"/>
  <c r="S37" i="61" s="1"/>
  <c r="S38" i="61" s="1"/>
  <c r="S39" i="61" s="1"/>
  <c r="S40" i="61" s="1"/>
  <c r="S41" i="61" s="1"/>
  <c r="S42" i="61" s="1"/>
  <c r="S43" i="61" s="1"/>
  <c r="S44" i="61" s="1"/>
  <c r="S45" i="61" s="1"/>
  <c r="S46" i="61" s="1"/>
  <c r="S47" i="61" s="1"/>
  <c r="S48" i="61" s="1"/>
  <c r="AS24" i="1"/>
  <c r="BJ24" i="1" s="1"/>
  <c r="AU24" i="1"/>
  <c r="AT24" i="1"/>
  <c r="AQ23" i="1"/>
  <c r="AT23" i="1" s="1"/>
  <c r="AU20" i="1"/>
  <c r="AS20" i="1"/>
  <c r="BJ20" i="1" s="1"/>
  <c r="AQ19" i="1"/>
  <c r="AT19" i="1" s="1"/>
  <c r="AU18" i="1"/>
  <c r="AS18" i="1"/>
  <c r="BJ18" i="1" s="1"/>
  <c r="AQ17" i="1"/>
  <c r="AT17" i="1"/>
  <c r="AQ16" i="1"/>
  <c r="AT16" i="1" s="1"/>
  <c r="AQ12" i="1"/>
  <c r="AT12" i="1" s="1"/>
  <c r="AT11" i="1"/>
  <c r="AS11" i="1"/>
  <c r="BJ11" i="1" s="1"/>
  <c r="BK11" i="1" s="1"/>
  <c r="AU11" i="1"/>
  <c r="AO22" i="1"/>
  <c r="AP21" i="1"/>
  <c r="AQ14" i="1"/>
  <c r="AT14" i="1" s="1"/>
  <c r="AS13" i="1"/>
  <c r="BJ13" i="1" s="1"/>
  <c r="AU13" i="1"/>
  <c r="AT13" i="1"/>
  <c r="AS15" i="1" l="1"/>
  <c r="BJ15" i="1" s="1"/>
  <c r="AT15" i="1"/>
  <c r="AU15" i="1"/>
  <c r="Q36" i="62"/>
  <c r="Q37" i="62" s="1"/>
  <c r="Q38" i="62" s="1"/>
  <c r="Q39" i="62" s="1"/>
  <c r="Q40" i="62" s="1"/>
  <c r="Q41" i="62" s="1"/>
  <c r="Q42" i="62" s="1"/>
  <c r="Q43" i="62" s="1"/>
  <c r="Q44" i="62" s="1"/>
  <c r="Q45" i="62" s="1"/>
  <c r="Q46" i="62" s="1"/>
  <c r="Q47" i="62" s="1"/>
  <c r="Q48" i="62" s="1"/>
  <c r="C37" i="62"/>
  <c r="C38" i="62" s="1"/>
  <c r="C39" i="62" s="1"/>
  <c r="C40" i="62" s="1"/>
  <c r="C41" i="62" s="1"/>
  <c r="C42" i="62" s="1"/>
  <c r="C43" i="62" s="1"/>
  <c r="C44" i="62" s="1"/>
  <c r="C45" i="62" s="1"/>
  <c r="C46" i="62" s="1"/>
  <c r="C47" i="62" s="1"/>
  <c r="C48" i="62" s="1"/>
  <c r="C49" i="62" s="1"/>
  <c r="AU16" i="1"/>
  <c r="AU23" i="1"/>
  <c r="AU14" i="1"/>
  <c r="AU12" i="1"/>
  <c r="AS16" i="1"/>
  <c r="BJ16" i="1" s="1"/>
  <c r="AU17" i="1"/>
  <c r="AS17" i="1"/>
  <c r="BJ17" i="1" s="1"/>
  <c r="AU19" i="1"/>
  <c r="AS19" i="1"/>
  <c r="BJ19" i="1" s="1"/>
  <c r="AQ21" i="1"/>
  <c r="AS14" i="1"/>
  <c r="BJ14" i="1" s="1"/>
  <c r="BK14" i="1" s="1"/>
  <c r="BK15" i="1" s="1"/>
  <c r="BK16" i="1" s="1"/>
  <c r="AS12" i="1"/>
  <c r="BJ12" i="1" s="1"/>
  <c r="BK12" i="1" s="1"/>
  <c r="BK13" i="1" s="1"/>
  <c r="AQ22" i="1"/>
  <c r="AT22" i="1" s="1"/>
  <c r="AS23" i="1"/>
  <c r="BJ23" i="1" s="1"/>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8" i="15"/>
  <c r="C47" i="15"/>
  <c r="BJ29" i="19"/>
  <c r="BJ30" i="19"/>
  <c r="BJ31" i="19"/>
  <c r="BJ32" i="19"/>
  <c r="BJ33" i="19"/>
  <c r="BJ34" i="19"/>
  <c r="BJ35" i="19"/>
  <c r="BJ36" i="19"/>
  <c r="BJ37" i="19"/>
  <c r="BJ38" i="19"/>
  <c r="BJ39" i="19"/>
  <c r="BJ40" i="19"/>
  <c r="BJ41" i="19"/>
  <c r="BJ42" i="19"/>
  <c r="BJ43" i="19"/>
  <c r="BJ44" i="19"/>
  <c r="BJ45" i="19"/>
  <c r="BJ46" i="19"/>
  <c r="BJ47" i="19"/>
  <c r="BJ48" i="19"/>
  <c r="BJ49" i="19"/>
  <c r="BJ50" i="19"/>
  <c r="BJ51" i="19"/>
  <c r="BJ52" i="19"/>
  <c r="BJ53" i="19"/>
  <c r="BJ54" i="19"/>
  <c r="BJ55" i="19"/>
  <c r="BJ56" i="19"/>
  <c r="BJ57" i="19"/>
  <c r="BJ58" i="19"/>
  <c r="BJ59" i="19"/>
  <c r="BJ60" i="19"/>
  <c r="BJ61" i="19"/>
  <c r="BJ62" i="19"/>
  <c r="BJ63" i="19"/>
  <c r="BJ64" i="19"/>
  <c r="BJ65" i="19"/>
  <c r="BJ66" i="19"/>
  <c r="BJ67" i="19"/>
  <c r="BJ68" i="19"/>
  <c r="BJ28" i="19"/>
  <c r="AS21" i="1" l="1"/>
  <c r="BJ21" i="1" s="1"/>
  <c r="AT21" i="1"/>
  <c r="AS22" i="1"/>
  <c r="BJ22" i="1" s="1"/>
  <c r="AU22" i="1"/>
  <c r="AU21" i="1"/>
  <c r="BK17" i="1"/>
  <c r="L77" i="34"/>
  <c r="I9" i="18"/>
  <c r="I10" i="18"/>
  <c r="I11" i="18"/>
  <c r="I12" i="18"/>
  <c r="I13" i="18"/>
  <c r="I14" i="18"/>
  <c r="I15" i="18"/>
  <c r="I16" i="18"/>
  <c r="I17" i="18"/>
  <c r="I18" i="18"/>
  <c r="I19" i="18"/>
  <c r="I20" i="18"/>
  <c r="I21" i="18"/>
  <c r="I22" i="18"/>
  <c r="I23" i="18"/>
  <c r="I24" i="18"/>
  <c r="I25" i="18"/>
  <c r="I26" i="18"/>
  <c r="I27" i="18"/>
  <c r="I8" i="18"/>
  <c r="P72" i="18"/>
  <c r="BG29" i="19"/>
  <c r="I29" i="18" s="1"/>
  <c r="BG30" i="19"/>
  <c r="I30" i="18" s="1"/>
  <c r="BG31" i="19"/>
  <c r="I31" i="18" s="1"/>
  <c r="BG32" i="19"/>
  <c r="I32" i="18" s="1"/>
  <c r="BG33" i="19"/>
  <c r="I33" i="18" s="1"/>
  <c r="BG34" i="19"/>
  <c r="I34" i="18" s="1"/>
  <c r="BG35" i="19"/>
  <c r="I35" i="18" s="1"/>
  <c r="BG36" i="19"/>
  <c r="I36" i="18" s="1"/>
  <c r="BG37" i="19"/>
  <c r="I37" i="18" s="1"/>
  <c r="BG38" i="19"/>
  <c r="I38" i="18" s="1"/>
  <c r="BG39" i="19"/>
  <c r="I39" i="18" s="1"/>
  <c r="BG40" i="19"/>
  <c r="I40" i="18" s="1"/>
  <c r="BG41" i="19"/>
  <c r="I41" i="18" s="1"/>
  <c r="BG42" i="19"/>
  <c r="I42" i="18" s="1"/>
  <c r="BG43" i="19"/>
  <c r="I43" i="18" s="1"/>
  <c r="BG44" i="19"/>
  <c r="I44" i="18" s="1"/>
  <c r="BG45" i="19"/>
  <c r="I45" i="18" s="1"/>
  <c r="BG46" i="19"/>
  <c r="I46" i="18" s="1"/>
  <c r="BG47" i="19"/>
  <c r="I47" i="18" s="1"/>
  <c r="BG48" i="19"/>
  <c r="I48" i="18" s="1"/>
  <c r="BG49" i="19"/>
  <c r="I49" i="18" s="1"/>
  <c r="BG50" i="19"/>
  <c r="I50" i="18" s="1"/>
  <c r="BG51" i="19"/>
  <c r="I51" i="18" s="1"/>
  <c r="BG52" i="19"/>
  <c r="I52" i="18" s="1"/>
  <c r="BG53" i="19"/>
  <c r="I53" i="18" s="1"/>
  <c r="BG54" i="19"/>
  <c r="I54" i="18" s="1"/>
  <c r="BG55" i="19"/>
  <c r="I55" i="18" s="1"/>
  <c r="BG56" i="19"/>
  <c r="I56" i="18" s="1"/>
  <c r="BG57" i="19"/>
  <c r="I57" i="18" s="1"/>
  <c r="BG58" i="19"/>
  <c r="I58" i="18" s="1"/>
  <c r="BG59" i="19"/>
  <c r="I59" i="18" s="1"/>
  <c r="BG60" i="19"/>
  <c r="I60" i="18" s="1"/>
  <c r="BG61" i="19"/>
  <c r="I61" i="18" s="1"/>
  <c r="BG62" i="19"/>
  <c r="I62" i="18" s="1"/>
  <c r="BG63" i="19"/>
  <c r="I63" i="18" s="1"/>
  <c r="BG64" i="19"/>
  <c r="I64" i="18" s="1"/>
  <c r="BG65" i="19"/>
  <c r="I65" i="18" s="1"/>
  <c r="BG66" i="19"/>
  <c r="I66" i="18" s="1"/>
  <c r="BG67" i="19"/>
  <c r="I67" i="18" s="1"/>
  <c r="BG68" i="19"/>
  <c r="I68" i="18" s="1"/>
  <c r="BG28" i="19"/>
  <c r="I28" i="18" s="1"/>
  <c r="BR19" i="19"/>
  <c r="BQ18" i="19"/>
  <c r="BR18" i="19" s="1"/>
  <c r="BQ17" i="19"/>
  <c r="BP17" i="19"/>
  <c r="N29" i="18"/>
  <c r="G31" i="25" s="1"/>
  <c r="N30" i="18"/>
  <c r="G32" i="25" s="1"/>
  <c r="N31" i="18"/>
  <c r="G33" i="25" s="1"/>
  <c r="N32" i="18"/>
  <c r="G34" i="25" s="1"/>
  <c r="N33" i="18"/>
  <c r="G35" i="25" s="1"/>
  <c r="N34" i="18"/>
  <c r="G36" i="25" s="1"/>
  <c r="N35" i="18"/>
  <c r="G37" i="25" s="1"/>
  <c r="N36" i="18"/>
  <c r="G38" i="25" s="1"/>
  <c r="N37" i="18"/>
  <c r="G39" i="25" s="1"/>
  <c r="N38" i="18"/>
  <c r="G40" i="25" s="1"/>
  <c r="N39" i="18"/>
  <c r="G41" i="25" s="1"/>
  <c r="N40" i="18"/>
  <c r="G42" i="25" s="1"/>
  <c r="N41" i="18"/>
  <c r="G43" i="25" s="1"/>
  <c r="N42" i="18"/>
  <c r="G44" i="25" s="1"/>
  <c r="N43" i="18"/>
  <c r="G45" i="25" s="1"/>
  <c r="N44" i="18"/>
  <c r="G46" i="25" s="1"/>
  <c r="N45" i="18"/>
  <c r="G47" i="25" s="1"/>
  <c r="N46" i="18"/>
  <c r="G48" i="25" s="1"/>
  <c r="N47" i="18"/>
  <c r="G49" i="25" s="1"/>
  <c r="N48" i="18"/>
  <c r="G50" i="25" s="1"/>
  <c r="N49" i="18"/>
  <c r="G51" i="25" s="1"/>
  <c r="N50" i="18"/>
  <c r="G52" i="25" s="1"/>
  <c r="N51" i="18"/>
  <c r="G53" i="25" s="1"/>
  <c r="N52" i="18"/>
  <c r="G54" i="25" s="1"/>
  <c r="N53" i="18"/>
  <c r="G55" i="25" s="1"/>
  <c r="N54" i="18"/>
  <c r="G56" i="25" s="1"/>
  <c r="N55" i="18"/>
  <c r="G57" i="25" s="1"/>
  <c r="N56" i="18"/>
  <c r="G58" i="25" s="1"/>
  <c r="N57" i="18"/>
  <c r="G59" i="25" s="1"/>
  <c r="N58" i="18"/>
  <c r="G60" i="25" s="1"/>
  <c r="N59" i="18"/>
  <c r="G61" i="25" s="1"/>
  <c r="N60" i="18"/>
  <c r="G62" i="25" s="1"/>
  <c r="N61" i="18"/>
  <c r="G63" i="25" s="1"/>
  <c r="N62" i="18"/>
  <c r="G64" i="25" s="1"/>
  <c r="N63" i="18"/>
  <c r="G65" i="25" s="1"/>
  <c r="N64" i="18"/>
  <c r="G66" i="25" s="1"/>
  <c r="N65" i="18"/>
  <c r="G67" i="25" s="1"/>
  <c r="N66" i="18"/>
  <c r="G68" i="25" s="1"/>
  <c r="N67" i="18"/>
  <c r="G69" i="25" s="1"/>
  <c r="N68" i="18"/>
  <c r="G70" i="25" s="1"/>
  <c r="N28" i="18"/>
  <c r="G30" i="25" s="1"/>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22" i="25"/>
  <c r="O20" i="18"/>
  <c r="AC7" i="54"/>
  <c r="AC8" i="54" s="1"/>
  <c r="AC9" i="54" s="1"/>
  <c r="AC10" i="54" s="1"/>
  <c r="AC11" i="54" s="1"/>
  <c r="AC12" i="54" s="1"/>
  <c r="AC13" i="54" s="1"/>
  <c r="AC14" i="54" s="1"/>
  <c r="AC15" i="54" s="1"/>
  <c r="AC16" i="54" s="1"/>
  <c r="AC17" i="54" s="1"/>
  <c r="AC18" i="54" s="1"/>
  <c r="AC19" i="54" s="1"/>
  <c r="AC20" i="54" s="1"/>
  <c r="AC21" i="54" s="1"/>
  <c r="AC22" i="54" s="1"/>
  <c r="AC23" i="54" s="1"/>
  <c r="AC24" i="54" s="1"/>
  <c r="AC25" i="54" s="1"/>
  <c r="AC26" i="54" s="1"/>
  <c r="AC27" i="54" s="1"/>
  <c r="AC28" i="54" s="1"/>
  <c r="AC29" i="54" s="1"/>
  <c r="AC30" i="54" s="1"/>
  <c r="AC31" i="54" s="1"/>
  <c r="AC32" i="54" s="1"/>
  <c r="AC33" i="54" s="1"/>
  <c r="AC34" i="54" s="1"/>
  <c r="AC35" i="54" s="1"/>
  <c r="AC36" i="54" s="1"/>
  <c r="AC37" i="54" s="1"/>
  <c r="AC38" i="54" s="1"/>
  <c r="AC39" i="54" s="1"/>
  <c r="AC40" i="54" s="1"/>
  <c r="AC41" i="54" s="1"/>
  <c r="AC42" i="54" s="1"/>
  <c r="AC43" i="54" s="1"/>
  <c r="AC44" i="54" s="1"/>
  <c r="AC45" i="54" s="1"/>
  <c r="AC6" i="54"/>
  <c r="AC5" i="54"/>
  <c r="AE32" i="54"/>
  <c r="AE33" i="54"/>
  <c r="AE34" i="54"/>
  <c r="AE35" i="54"/>
  <c r="AE36" i="54"/>
  <c r="AE37" i="54"/>
  <c r="AE38" i="54"/>
  <c r="AE39" i="54"/>
  <c r="AE40" i="54"/>
  <c r="AE41" i="54"/>
  <c r="AE42" i="54"/>
  <c r="AE43" i="54"/>
  <c r="AE44" i="54"/>
  <c r="AE45" i="54"/>
  <c r="M54" i="18"/>
  <c r="AD31" i="54" s="1"/>
  <c r="L6" i="54"/>
  <c r="L7" i="54"/>
  <c r="L8" i="54"/>
  <c r="L9" i="54"/>
  <c r="L10" i="54"/>
  <c r="L11" i="54"/>
  <c r="L12" i="54"/>
  <c r="L13" i="54"/>
  <c r="L14" i="54"/>
  <c r="L15" i="54"/>
  <c r="L16" i="54"/>
  <c r="L17" i="54"/>
  <c r="L18" i="54"/>
  <c r="L19" i="54"/>
  <c r="L20" i="54"/>
  <c r="L21" i="54"/>
  <c r="L22" i="54"/>
  <c r="L23" i="54"/>
  <c r="L24" i="54"/>
  <c r="L25" i="54"/>
  <c r="L26" i="54"/>
  <c r="L27" i="54"/>
  <c r="L28" i="54"/>
  <c r="L29" i="54"/>
  <c r="L30" i="54"/>
  <c r="L31" i="54"/>
  <c r="L5" i="54"/>
  <c r="E30" i="54"/>
  <c r="E31" i="54" s="1"/>
  <c r="E7" i="54"/>
  <c r="E8" i="54" s="1"/>
  <c r="E9" i="54" s="1"/>
  <c r="E10" i="54" s="1"/>
  <c r="E11" i="54" s="1"/>
  <c r="E12" i="54" s="1"/>
  <c r="E13" i="54" s="1"/>
  <c r="E14" i="54" s="1"/>
  <c r="E15" i="54" s="1"/>
  <c r="E16" i="54" s="1"/>
  <c r="E17" i="54" s="1"/>
  <c r="E18" i="54" s="1"/>
  <c r="E19" i="54" s="1"/>
  <c r="E20" i="54" s="1"/>
  <c r="E21" i="54" s="1"/>
  <c r="E22" i="54" s="1"/>
  <c r="E23" i="54" s="1"/>
  <c r="E24" i="54" s="1"/>
  <c r="E25" i="54" s="1"/>
  <c r="E26" i="54" s="1"/>
  <c r="E27" i="54" s="1"/>
  <c r="E28" i="54" s="1"/>
  <c r="E29" i="54" s="1"/>
  <c r="E6" i="54"/>
  <c r="E5" i="54"/>
  <c r="P55" i="13"/>
  <c r="Q55" i="13" s="1"/>
  <c r="Y55" i="13"/>
  <c r="AE55" i="13" s="1"/>
  <c r="P56" i="13"/>
  <c r="Q56" i="13" s="1"/>
  <c r="R56" i="13" s="1"/>
  <c r="S56" i="13" s="1"/>
  <c r="Y56" i="13"/>
  <c r="AE56" i="13" s="1"/>
  <c r="P57" i="13"/>
  <c r="Q57" i="13" s="1"/>
  <c r="R57" i="13" s="1"/>
  <c r="S57" i="13" s="1"/>
  <c r="Y57" i="13"/>
  <c r="AE57" i="13" s="1"/>
  <c r="P58" i="13"/>
  <c r="Q58" i="13" s="1"/>
  <c r="R58" i="13" s="1"/>
  <c r="S58" i="13" s="1"/>
  <c r="Y58" i="13"/>
  <c r="AE58" i="13"/>
  <c r="P59" i="13"/>
  <c r="Q59" i="13"/>
  <c r="R59" i="13" s="1"/>
  <c r="S59" i="13" s="1"/>
  <c r="Y59" i="13"/>
  <c r="AE59" i="13" s="1"/>
  <c r="P60" i="13"/>
  <c r="Q60" i="13" s="1"/>
  <c r="R60" i="13" s="1"/>
  <c r="S60" i="13" s="1"/>
  <c r="Y60" i="13"/>
  <c r="AE60" i="13"/>
  <c r="P61" i="13"/>
  <c r="Q61" i="13"/>
  <c r="R61" i="13" s="1"/>
  <c r="S61" i="13" s="1"/>
  <c r="Y61" i="13"/>
  <c r="AE61" i="13" s="1"/>
  <c r="Z61" i="13"/>
  <c r="Z62" i="13" s="1"/>
  <c r="Z63" i="13" s="1"/>
  <c r="Z64" i="13" s="1"/>
  <c r="Z65" i="13" s="1"/>
  <c r="Z66" i="13" s="1"/>
  <c r="B66" i="13" s="1"/>
  <c r="P62" i="13"/>
  <c r="Q62" i="13" s="1"/>
  <c r="Y62" i="13"/>
  <c r="AE62" i="13" s="1"/>
  <c r="P63" i="13"/>
  <c r="Q63" i="13" s="1"/>
  <c r="Y63" i="13"/>
  <c r="AE63" i="13" s="1"/>
  <c r="Y64" i="13"/>
  <c r="AE64" i="13" s="1"/>
  <c r="Y65" i="13"/>
  <c r="AE65" i="13"/>
  <c r="Y66" i="13"/>
  <c r="AE66" i="13"/>
  <c r="Y67" i="13"/>
  <c r="AE67" i="13" s="1"/>
  <c r="Y68" i="13"/>
  <c r="AE68" i="13" s="1"/>
  <c r="P34" i="13"/>
  <c r="P39" i="13"/>
  <c r="Q39" i="13" s="1"/>
  <c r="R39" i="13" s="1"/>
  <c r="P44" i="13"/>
  <c r="P49" i="13"/>
  <c r="Q49" i="13" s="1"/>
  <c r="R49" i="13" s="1"/>
  <c r="P54" i="13"/>
  <c r="Q54" i="13" s="1"/>
  <c r="R54" i="13" s="1"/>
  <c r="V44" i="14"/>
  <c r="V43" i="14"/>
  <c r="F32" i="60"/>
  <c r="F33" i="60"/>
  <c r="F34" i="60"/>
  <c r="F35" i="60"/>
  <c r="F31" i="60"/>
  <c r="D19" i="20"/>
  <c r="I19" i="20"/>
  <c r="U82" i="19"/>
  <c r="W81" i="19"/>
  <c r="V74" i="19"/>
  <c r="Y78" i="19"/>
  <c r="Y77" i="19"/>
  <c r="Y76" i="19"/>
  <c r="Y75" i="19"/>
  <c r="Y74" i="19"/>
  <c r="Y73" i="19"/>
  <c r="K21" i="20"/>
  <c r="D29" i="13"/>
  <c r="D34" i="13"/>
  <c r="D39" i="13"/>
  <c r="D44" i="13"/>
  <c r="D49" i="13"/>
  <c r="D50" i="13"/>
  <c r="D51" i="13"/>
  <c r="D52" i="13"/>
  <c r="D53" i="13"/>
  <c r="D54" i="13"/>
  <c r="D55" i="13"/>
  <c r="D56" i="13"/>
  <c r="D57" i="13"/>
  <c r="D58" i="13"/>
  <c r="D59" i="13"/>
  <c r="BR17" i="19" l="1"/>
  <c r="BK18" i="1"/>
  <c r="M53" i="18"/>
  <c r="P38" i="13"/>
  <c r="Q38" i="13" s="1"/>
  <c r="S39" i="13"/>
  <c r="P48" i="13"/>
  <c r="Q48" i="13" s="1"/>
  <c r="S49" i="13"/>
  <c r="S54" i="13"/>
  <c r="R62" i="13"/>
  <c r="S62" i="13" s="1"/>
  <c r="R63" i="13"/>
  <c r="S63" i="13" s="1"/>
  <c r="R55" i="13"/>
  <c r="S55" i="13" s="1"/>
  <c r="Q34" i="13"/>
  <c r="Q44" i="13"/>
  <c r="P35" i="13"/>
  <c r="Q35" i="13" s="1"/>
  <c r="P37" i="13"/>
  <c r="Q37" i="13" s="1"/>
  <c r="P40" i="13"/>
  <c r="Q40" i="13" s="1"/>
  <c r="P42" i="13"/>
  <c r="Q42" i="13" s="1"/>
  <c r="P45" i="13"/>
  <c r="Q45" i="13" s="1"/>
  <c r="P47" i="13"/>
  <c r="Q47" i="13" s="1"/>
  <c r="P50" i="13"/>
  <c r="Q50" i="13" s="1"/>
  <c r="P52" i="13"/>
  <c r="Q52" i="13" s="1"/>
  <c r="P36" i="13"/>
  <c r="Q36" i="13" s="1"/>
  <c r="P41" i="13"/>
  <c r="Q41" i="13" s="1"/>
  <c r="P43" i="13"/>
  <c r="Q43" i="13" s="1"/>
  <c r="P46" i="13"/>
  <c r="Q46" i="13" s="1"/>
  <c r="P51" i="13"/>
  <c r="Q51" i="13" s="1"/>
  <c r="P53" i="13"/>
  <c r="Q53" i="13" s="1"/>
  <c r="W128" i="30"/>
  <c r="BK19" i="1" l="1"/>
  <c r="AD30" i="54"/>
  <c r="M52" i="18"/>
  <c r="R34" i="13"/>
  <c r="S34" i="13" s="1"/>
  <c r="R36" i="13"/>
  <c r="S36" i="13" s="1"/>
  <c r="R35" i="13"/>
  <c r="S35" i="13" s="1"/>
  <c r="R37" i="13"/>
  <c r="S37" i="13" s="1"/>
  <c r="R38" i="13"/>
  <c r="S38" i="13" s="1"/>
  <c r="R43" i="13"/>
  <c r="S43" i="13" s="1"/>
  <c r="R40" i="13"/>
  <c r="S40" i="13" s="1"/>
  <c r="R41" i="13"/>
  <c r="S41" i="13" s="1"/>
  <c r="R42" i="13"/>
  <c r="S42" i="13" s="1"/>
  <c r="R44" i="13"/>
  <c r="S44" i="13" s="1"/>
  <c r="R45" i="13"/>
  <c r="S45" i="13" s="1"/>
  <c r="R46" i="13"/>
  <c r="S46" i="13" s="1"/>
  <c r="R47" i="13"/>
  <c r="S47" i="13" s="1"/>
  <c r="R48" i="13"/>
  <c r="S48" i="13" s="1"/>
  <c r="R53" i="13"/>
  <c r="S53" i="13" s="1"/>
  <c r="R52" i="13"/>
  <c r="S52" i="13" s="1"/>
  <c r="R51" i="13"/>
  <c r="S51" i="13" s="1"/>
  <c r="R50" i="13"/>
  <c r="S50" i="13" s="1"/>
  <c r="O109" i="30"/>
  <c r="O110" i="30" s="1"/>
  <c r="O111" i="30" s="1"/>
  <c r="O112" i="30" s="1"/>
  <c r="O113" i="30" s="1"/>
  <c r="O114" i="30" s="1"/>
  <c r="O115" i="30" s="1"/>
  <c r="O116" i="30" s="1"/>
  <c r="O117" i="30" s="1"/>
  <c r="O118" i="30" s="1"/>
  <c r="O119" i="30" s="1"/>
  <c r="O120" i="30" s="1"/>
  <c r="O121" i="30" s="1"/>
  <c r="O83" i="30"/>
  <c r="O84" i="30" s="1"/>
  <c r="O85" i="30" s="1"/>
  <c r="O86" i="30" s="1"/>
  <c r="O87" i="30" s="1"/>
  <c r="O88" i="30" s="1"/>
  <c r="O89" i="30" s="1"/>
  <c r="O90" i="30" s="1"/>
  <c r="O91" i="30" s="1"/>
  <c r="O92" i="30" s="1"/>
  <c r="O93" i="30" s="1"/>
  <c r="O94" i="30" s="1"/>
  <c r="O95" i="30" s="1"/>
  <c r="O96" i="30" s="1"/>
  <c r="O97" i="30" s="1"/>
  <c r="O98" i="30" s="1"/>
  <c r="O99" i="30" s="1"/>
  <c r="O100" i="30" s="1"/>
  <c r="O101" i="30" s="1"/>
  <c r="O102" i="30" s="1"/>
  <c r="O103" i="30" s="1"/>
  <c r="O104" i="30" s="1"/>
  <c r="O105" i="30" s="1"/>
  <c r="O106" i="30" s="1"/>
  <c r="O107" i="30" s="1"/>
  <c r="O108" i="30" s="1"/>
  <c r="O82" i="30"/>
  <c r="O81" i="30"/>
  <c r="P80" i="30"/>
  <c r="Q80" i="30"/>
  <c r="BK20" i="1" l="1"/>
  <c r="AD29" i="54"/>
  <c r="M51" i="18"/>
  <c r="M129" i="32"/>
  <c r="M130" i="32"/>
  <c r="M131" i="32"/>
  <c r="M132" i="32"/>
  <c r="M133" i="32"/>
  <c r="M95" i="32"/>
  <c r="M96" i="32" s="1"/>
  <c r="M97" i="32" s="1"/>
  <c r="M98" i="32" s="1"/>
  <c r="M99" i="32" s="1"/>
  <c r="M100" i="32" s="1"/>
  <c r="M101" i="32" s="1"/>
  <c r="M102" i="32" s="1"/>
  <c r="M103" i="32" s="1"/>
  <c r="M104" i="32" s="1"/>
  <c r="M105" i="32" s="1"/>
  <c r="M106" i="32" s="1"/>
  <c r="M107" i="32" s="1"/>
  <c r="M108" i="32" s="1"/>
  <c r="M109" i="32" s="1"/>
  <c r="M110" i="32" s="1"/>
  <c r="M111" i="32" s="1"/>
  <c r="M112" i="32" s="1"/>
  <c r="M113" i="32" s="1"/>
  <c r="M114" i="32" s="1"/>
  <c r="M115" i="32" s="1"/>
  <c r="M116" i="32" s="1"/>
  <c r="M117" i="32" s="1"/>
  <c r="M118" i="32" s="1"/>
  <c r="M119" i="32" s="1"/>
  <c r="M120" i="32" s="1"/>
  <c r="M121" i="32" s="1"/>
  <c r="M122" i="32" s="1"/>
  <c r="M123" i="32" s="1"/>
  <c r="M124" i="32" s="1"/>
  <c r="M125" i="32" s="1"/>
  <c r="M126" i="32" s="1"/>
  <c r="M127" i="32" s="1"/>
  <c r="M128" i="32" s="1"/>
  <c r="M94" i="32"/>
  <c r="N92" i="32"/>
  <c r="O92" i="32"/>
  <c r="P92" i="32"/>
  <c r="W74" i="19"/>
  <c r="W75" i="19"/>
  <c r="W76" i="19"/>
  <c r="W77" i="19"/>
  <c r="W78" i="19"/>
  <c r="V73" i="19"/>
  <c r="U73" i="19"/>
  <c r="W73" i="19" l="1"/>
  <c r="W79" i="19" s="1"/>
  <c r="BK21" i="1"/>
  <c r="AD28" i="54"/>
  <c r="M50" i="18"/>
  <c r="U111" i="36"/>
  <c r="U112" i="36" s="1"/>
  <c r="U113" i="36" s="1"/>
  <c r="U114" i="36" s="1"/>
  <c r="U115" i="36" s="1"/>
  <c r="U116" i="36" s="1"/>
  <c r="U117" i="36" s="1"/>
  <c r="U118" i="36" s="1"/>
  <c r="U119" i="36" s="1"/>
  <c r="U120" i="36" s="1"/>
  <c r="U121" i="36" s="1"/>
  <c r="U122" i="36" s="1"/>
  <c r="U123" i="36" s="1"/>
  <c r="U124" i="36" s="1"/>
  <c r="U125" i="36" s="1"/>
  <c r="U126" i="36" s="1"/>
  <c r="U127" i="36" s="1"/>
  <c r="U128" i="36" s="1"/>
  <c r="U129" i="36" s="1"/>
  <c r="U130" i="36" s="1"/>
  <c r="U131" i="36" s="1"/>
  <c r="U132" i="36" s="1"/>
  <c r="U133" i="36" s="1"/>
  <c r="U134" i="36" s="1"/>
  <c r="U135" i="36" s="1"/>
  <c r="U136" i="36" s="1"/>
  <c r="U137" i="36" s="1"/>
  <c r="U138" i="36" s="1"/>
  <c r="U139" i="36" s="1"/>
  <c r="U140" i="36" s="1"/>
  <c r="U141" i="36" s="1"/>
  <c r="U142" i="36" s="1"/>
  <c r="U143" i="36" s="1"/>
  <c r="U144" i="36" s="1"/>
  <c r="U145" i="36" s="1"/>
  <c r="U146" i="36" s="1"/>
  <c r="U147" i="36" s="1"/>
  <c r="U148" i="36" s="1"/>
  <c r="U149" i="36" s="1"/>
  <c r="U150" i="36" s="1"/>
  <c r="U151" i="36" s="1"/>
  <c r="X86" i="25"/>
  <c r="X87" i="25" s="1"/>
  <c r="X88" i="25" s="1"/>
  <c r="X89" i="25" s="1"/>
  <c r="X90" i="25" s="1"/>
  <c r="X91" i="25" s="1"/>
  <c r="X92" i="25" s="1"/>
  <c r="X93" i="25" s="1"/>
  <c r="X94" i="25" s="1"/>
  <c r="X95" i="25" s="1"/>
  <c r="X96" i="25" s="1"/>
  <c r="X97" i="25" s="1"/>
  <c r="X98" i="25" s="1"/>
  <c r="X99" i="25" s="1"/>
  <c r="X100" i="25" s="1"/>
  <c r="X101" i="25" s="1"/>
  <c r="X102" i="25" s="1"/>
  <c r="X103" i="25" s="1"/>
  <c r="X104" i="25" s="1"/>
  <c r="X105" i="25" s="1"/>
  <c r="X106" i="25" s="1"/>
  <c r="X107" i="25" s="1"/>
  <c r="X108" i="25" s="1"/>
  <c r="X109" i="25" s="1"/>
  <c r="X110" i="25" s="1"/>
  <c r="X111" i="25" s="1"/>
  <c r="X112" i="25" s="1"/>
  <c r="X113" i="25" s="1"/>
  <c r="X114" i="25" s="1"/>
  <c r="X115" i="25" s="1"/>
  <c r="X116" i="25" s="1"/>
  <c r="X117" i="25" s="1"/>
  <c r="X118" i="25" s="1"/>
  <c r="X119" i="25" s="1"/>
  <c r="X120" i="25" s="1"/>
  <c r="X121" i="25" s="1"/>
  <c r="X122" i="25" s="1"/>
  <c r="X123" i="25" s="1"/>
  <c r="X124" i="25" s="1"/>
  <c r="X125" i="25" s="1"/>
  <c r="X126" i="25" s="1"/>
  <c r="X127" i="25" s="1"/>
  <c r="AC85" i="25"/>
  <c r="AB85" i="25"/>
  <c r="AA85" i="25"/>
  <c r="Z85" i="25"/>
  <c r="Y85" i="25"/>
  <c r="P18" i="53"/>
  <c r="F18" i="53"/>
  <c r="N18" i="53" s="1"/>
  <c r="D18" i="53"/>
  <c r="L18" i="53" s="1"/>
  <c r="AW7" i="50"/>
  <c r="AW8" i="50"/>
  <c r="AW9" i="50"/>
  <c r="AW10" i="50"/>
  <c r="AW11" i="50"/>
  <c r="AW12" i="50"/>
  <c r="AW13" i="50"/>
  <c r="AW14" i="50"/>
  <c r="AW15" i="50"/>
  <c r="AW16" i="50"/>
  <c r="AW17" i="50"/>
  <c r="AW18" i="50"/>
  <c r="AW19" i="50"/>
  <c r="AW20" i="50"/>
  <c r="AW21" i="50"/>
  <c r="AW22" i="50"/>
  <c r="AW23" i="50"/>
  <c r="AW24" i="50"/>
  <c r="AW25" i="50"/>
  <c r="AW26" i="50"/>
  <c r="AW27" i="50"/>
  <c r="AW28" i="50"/>
  <c r="AW29" i="50"/>
  <c r="AW30" i="50"/>
  <c r="AW31" i="50"/>
  <c r="AW32" i="50"/>
  <c r="AW33" i="50"/>
  <c r="AW34" i="50"/>
  <c r="AW35" i="50"/>
  <c r="AW36" i="50"/>
  <c r="AW37" i="50"/>
  <c r="AW38" i="50"/>
  <c r="AW39" i="50"/>
  <c r="AW40" i="50"/>
  <c r="AW41" i="50"/>
  <c r="AW42" i="50"/>
  <c r="AW43" i="50"/>
  <c r="AW44" i="50"/>
  <c r="AW45" i="50"/>
  <c r="AW46" i="50"/>
  <c r="AW6" i="50"/>
  <c r="AX27" i="50"/>
  <c r="AY27" i="50" s="1"/>
  <c r="AX28" i="50"/>
  <c r="AY28" i="50" s="1"/>
  <c r="AX29" i="50"/>
  <c r="AY29" i="50" s="1"/>
  <c r="AX30" i="50"/>
  <c r="AY30" i="50" s="1"/>
  <c r="AX31" i="50"/>
  <c r="AY31" i="50" s="1"/>
  <c r="AX32" i="50"/>
  <c r="AY32" i="50" s="1"/>
  <c r="AX33" i="50"/>
  <c r="AY33" i="50" s="1"/>
  <c r="AX34" i="50"/>
  <c r="AY34" i="50" s="1"/>
  <c r="AX35" i="50"/>
  <c r="AY35" i="50" s="1"/>
  <c r="AX36" i="50"/>
  <c r="AY36" i="50" s="1"/>
  <c r="AX37" i="50"/>
  <c r="AY37" i="50" s="1"/>
  <c r="Q88" i="25"/>
  <c r="Q89" i="25" s="1"/>
  <c r="Q90" i="25" s="1"/>
  <c r="Q91" i="25" s="1"/>
  <c r="Q92" i="25" s="1"/>
  <c r="Q93" i="25" s="1"/>
  <c r="Q94" i="25" s="1"/>
  <c r="Q95" i="25" s="1"/>
  <c r="Q96" i="25" s="1"/>
  <c r="Q97" i="25" s="1"/>
  <c r="Q98" i="25" s="1"/>
  <c r="Q99" i="25" s="1"/>
  <c r="Q100" i="25" s="1"/>
  <c r="Q101" i="25" s="1"/>
  <c r="Q102" i="25" s="1"/>
  <c r="Q103" i="25" s="1"/>
  <c r="Q104" i="25" s="1"/>
  <c r="Q105" i="25" s="1"/>
  <c r="Q106" i="25" s="1"/>
  <c r="Q107" i="25" s="1"/>
  <c r="Q108" i="25" s="1"/>
  <c r="Q109" i="25" s="1"/>
  <c r="Q110" i="25" s="1"/>
  <c r="Q111" i="25" s="1"/>
  <c r="Q112" i="25" s="1"/>
  <c r="Q113" i="25" s="1"/>
  <c r="Q114" i="25" s="1"/>
  <c r="Q115" i="25" s="1"/>
  <c r="Q116" i="25" s="1"/>
  <c r="Q117" i="25" s="1"/>
  <c r="Q118" i="25" s="1"/>
  <c r="Q119" i="25" s="1"/>
  <c r="Q120" i="25" s="1"/>
  <c r="Q121" i="25" s="1"/>
  <c r="Q122" i="25" s="1"/>
  <c r="Q123" i="25" s="1"/>
  <c r="Q124" i="25" s="1"/>
  <c r="Q125" i="25" s="1"/>
  <c r="Q126" i="25" s="1"/>
  <c r="Q127" i="25" s="1"/>
  <c r="Q87" i="25"/>
  <c r="S85" i="25"/>
  <c r="T85" i="25"/>
  <c r="U85" i="25"/>
  <c r="V85" i="25"/>
  <c r="R85" i="25"/>
  <c r="Q86" i="25"/>
  <c r="AR7" i="50"/>
  <c r="AR8" i="50"/>
  <c r="AR9" i="50"/>
  <c r="AR10" i="50"/>
  <c r="AR11" i="50"/>
  <c r="AR12" i="50"/>
  <c r="AR13" i="50"/>
  <c r="AR14" i="50"/>
  <c r="AR15" i="50"/>
  <c r="AR16" i="50"/>
  <c r="AR17" i="50"/>
  <c r="AR18" i="50"/>
  <c r="AR19" i="50"/>
  <c r="AR20" i="50"/>
  <c r="AR21" i="50"/>
  <c r="AR22" i="50"/>
  <c r="AR23" i="50"/>
  <c r="AR24" i="50"/>
  <c r="AR25" i="50"/>
  <c r="AR26" i="50"/>
  <c r="AR27" i="50"/>
  <c r="AR28" i="50"/>
  <c r="AR29" i="50"/>
  <c r="AR30" i="50"/>
  <c r="AR31" i="50"/>
  <c r="AR32" i="50"/>
  <c r="AR33" i="50"/>
  <c r="AR34" i="50"/>
  <c r="AR35" i="50"/>
  <c r="AR36" i="50"/>
  <c r="AR37" i="50"/>
  <c r="AR38" i="50"/>
  <c r="AR39" i="50"/>
  <c r="AR40" i="50"/>
  <c r="AR41" i="50"/>
  <c r="AR42" i="50"/>
  <c r="AR43" i="50"/>
  <c r="AR44" i="50"/>
  <c r="AR45" i="50"/>
  <c r="AR46" i="50"/>
  <c r="AR6" i="50"/>
  <c r="E78" i="50"/>
  <c r="E73" i="50"/>
  <c r="E72" i="50"/>
  <c r="E71" i="50"/>
  <c r="H5" i="52"/>
  <c r="C7" i="52"/>
  <c r="C8" i="52" s="1"/>
  <c r="C9" i="52" s="1"/>
  <c r="C10" i="52" s="1"/>
  <c r="C11" i="52" s="1"/>
  <c r="C12" i="52" s="1"/>
  <c r="C13" i="52" s="1"/>
  <c r="C14" i="52" s="1"/>
  <c r="C15" i="52" s="1"/>
  <c r="C16" i="52" s="1"/>
  <c r="C17" i="52" s="1"/>
  <c r="C18" i="52" s="1"/>
  <c r="C19" i="52" s="1"/>
  <c r="C20" i="52" s="1"/>
  <c r="C21" i="52" s="1"/>
  <c r="C22" i="52" s="1"/>
  <c r="C23" i="52" s="1"/>
  <c r="C24" i="52" s="1"/>
  <c r="C25" i="52" s="1"/>
  <c r="C26" i="52" s="1"/>
  <c r="C27" i="52" s="1"/>
  <c r="C28" i="52" s="1"/>
  <c r="C29" i="52" s="1"/>
  <c r="C30" i="52" s="1"/>
  <c r="C31" i="52" s="1"/>
  <c r="C32" i="52" s="1"/>
  <c r="C33" i="52" s="1"/>
  <c r="C34" i="52" s="1"/>
  <c r="C35" i="52" s="1"/>
  <c r="C36" i="52" s="1"/>
  <c r="C37" i="52" s="1"/>
  <c r="C38" i="52" s="1"/>
  <c r="C39" i="52" s="1"/>
  <c r="C40" i="52" s="1"/>
  <c r="C41" i="52" s="1"/>
  <c r="C42" i="52" s="1"/>
  <c r="C43" i="52" s="1"/>
  <c r="C44" i="52" s="1"/>
  <c r="C45" i="52" s="1"/>
  <c r="C6" i="52"/>
  <c r="C5" i="52"/>
  <c r="F6" i="50"/>
  <c r="F7" i="50"/>
  <c r="F8" i="50"/>
  <c r="F9" i="50"/>
  <c r="F10" i="50"/>
  <c r="F11" i="50"/>
  <c r="F12" i="50"/>
  <c r="F13" i="50"/>
  <c r="F14" i="50"/>
  <c r="F15" i="50"/>
  <c r="F16" i="50"/>
  <c r="F17" i="50"/>
  <c r="F18" i="50"/>
  <c r="F19" i="50"/>
  <c r="F20" i="50"/>
  <c r="F21" i="50"/>
  <c r="E58" i="50" s="1"/>
  <c r="F22" i="50"/>
  <c r="F23" i="50"/>
  <c r="F24" i="50"/>
  <c r="F25" i="50"/>
  <c r="F26" i="50"/>
  <c r="F27" i="50"/>
  <c r="F28" i="50"/>
  <c r="F29" i="50"/>
  <c r="F30" i="50"/>
  <c r="F31" i="50"/>
  <c r="F32" i="50"/>
  <c r="F33" i="50"/>
  <c r="F34" i="50"/>
  <c r="F35" i="50"/>
  <c r="F36" i="50"/>
  <c r="F37" i="50"/>
  <c r="F38" i="50"/>
  <c r="F39" i="50"/>
  <c r="F40" i="50"/>
  <c r="F41" i="50"/>
  <c r="F42" i="50"/>
  <c r="E59" i="50" s="1"/>
  <c r="E60" i="50"/>
  <c r="BK22" i="1" l="1"/>
  <c r="AD27" i="54"/>
  <c r="M49" i="18"/>
  <c r="W7" i="50"/>
  <c r="Y7" i="50" s="1"/>
  <c r="AT7" i="50" s="1"/>
  <c r="W8" i="50"/>
  <c r="W9" i="50"/>
  <c r="Y9" i="50" s="1"/>
  <c r="AT9" i="50" s="1"/>
  <c r="W10" i="50"/>
  <c r="Y10" i="50" s="1"/>
  <c r="AT10" i="50" s="1"/>
  <c r="W11" i="50"/>
  <c r="Y11" i="50" s="1"/>
  <c r="AT11" i="50" s="1"/>
  <c r="W12" i="50"/>
  <c r="W13" i="50"/>
  <c r="Y13" i="50" s="1"/>
  <c r="AT13" i="50" s="1"/>
  <c r="W14" i="50"/>
  <c r="Y14" i="50" s="1"/>
  <c r="AT14" i="50" s="1"/>
  <c r="W15" i="50"/>
  <c r="Y15" i="50" s="1"/>
  <c r="AT15" i="50" s="1"/>
  <c r="W16" i="50"/>
  <c r="W17" i="50"/>
  <c r="Y17" i="50" s="1"/>
  <c r="AT17" i="50" s="1"/>
  <c r="W18" i="50"/>
  <c r="Y18" i="50" s="1"/>
  <c r="AT18" i="50" s="1"/>
  <c r="W19" i="50"/>
  <c r="Y19" i="50" s="1"/>
  <c r="AT19" i="50" s="1"/>
  <c r="W20" i="50"/>
  <c r="W21" i="50"/>
  <c r="F71" i="50" s="1"/>
  <c r="W22" i="50"/>
  <c r="Y22" i="50" s="1"/>
  <c r="AT22" i="50" s="1"/>
  <c r="W23" i="50"/>
  <c r="Y23" i="50" s="1"/>
  <c r="AT23" i="50" s="1"/>
  <c r="W24" i="50"/>
  <c r="W25" i="50"/>
  <c r="Y25" i="50" s="1"/>
  <c r="AT25" i="50" s="1"/>
  <c r="W26" i="50"/>
  <c r="Y26" i="50" s="1"/>
  <c r="AT26" i="50" s="1"/>
  <c r="W27" i="50"/>
  <c r="Y27" i="50" s="1"/>
  <c r="AT27" i="50" s="1"/>
  <c r="W28" i="50"/>
  <c r="W29" i="50"/>
  <c r="Y29" i="50" s="1"/>
  <c r="AT29" i="50" s="1"/>
  <c r="W30" i="50"/>
  <c r="Y30" i="50" s="1"/>
  <c r="AT30" i="50" s="1"/>
  <c r="W31" i="50"/>
  <c r="Y31" i="50" s="1"/>
  <c r="AT31" i="50" s="1"/>
  <c r="W32" i="50"/>
  <c r="W33" i="50"/>
  <c r="Y33" i="50" s="1"/>
  <c r="AT33" i="50" s="1"/>
  <c r="W35" i="50"/>
  <c r="W36" i="50"/>
  <c r="Y36" i="50" s="1"/>
  <c r="AT36" i="50" s="1"/>
  <c r="W37" i="50"/>
  <c r="Y37" i="50" s="1"/>
  <c r="AT37" i="50" s="1"/>
  <c r="W38" i="50"/>
  <c r="Y38" i="50" s="1"/>
  <c r="AT38" i="50" s="1"/>
  <c r="W41" i="50"/>
  <c r="W42" i="50"/>
  <c r="F72" i="50" s="1"/>
  <c r="W43" i="50"/>
  <c r="W44" i="50"/>
  <c r="AC44" i="50" s="1"/>
  <c r="AC45" i="50"/>
  <c r="AC46" i="50"/>
  <c r="W6" i="50"/>
  <c r="V6" i="50"/>
  <c r="V7" i="50"/>
  <c r="V8" i="50"/>
  <c r="V9" i="50"/>
  <c r="V10" i="50"/>
  <c r="V11" i="50"/>
  <c r="V12" i="50"/>
  <c r="V13" i="50"/>
  <c r="V14" i="50"/>
  <c r="V15" i="50"/>
  <c r="V16" i="50"/>
  <c r="V17" i="50"/>
  <c r="V18" i="50"/>
  <c r="V19" i="50"/>
  <c r="V20" i="50"/>
  <c r="V21" i="50"/>
  <c r="V22" i="50"/>
  <c r="V23" i="50"/>
  <c r="V24" i="50"/>
  <c r="V25" i="50"/>
  <c r="V26" i="50"/>
  <c r="V27" i="50"/>
  <c r="V28" i="50"/>
  <c r="V29" i="50"/>
  <c r="V30" i="50"/>
  <c r="V31" i="50"/>
  <c r="V32" i="50"/>
  <c r="V33" i="50"/>
  <c r="V34" i="50"/>
  <c r="V35" i="50"/>
  <c r="V36" i="50"/>
  <c r="V37" i="50"/>
  <c r="V38" i="50"/>
  <c r="AG38" i="50" s="1"/>
  <c r="V39" i="50"/>
  <c r="V40" i="50"/>
  <c r="V41" i="50"/>
  <c r="V42" i="50"/>
  <c r="F59" i="50" s="1"/>
  <c r="V43" i="50"/>
  <c r="V44" i="50"/>
  <c r="AB44" i="50" s="1"/>
  <c r="M66" i="19" s="1"/>
  <c r="V45" i="50"/>
  <c r="AB45" i="50" s="1"/>
  <c r="M67" i="19" s="1"/>
  <c r="V46" i="50"/>
  <c r="AB46" i="50" s="1"/>
  <c r="Y8" i="50"/>
  <c r="AT8" i="50" s="1"/>
  <c r="Y12" i="50"/>
  <c r="AT12" i="50" s="1"/>
  <c r="Y6" i="50"/>
  <c r="AT6" i="50" s="1"/>
  <c r="U40" i="50"/>
  <c r="U41" i="50" s="1"/>
  <c r="U42" i="50" s="1"/>
  <c r="U43" i="50" s="1"/>
  <c r="U44" i="50" s="1"/>
  <c r="U45" i="50" s="1"/>
  <c r="U46" i="50" s="1"/>
  <c r="U8" i="50"/>
  <c r="U9" i="50" s="1"/>
  <c r="U10" i="50" s="1"/>
  <c r="U11" i="50" s="1"/>
  <c r="U12" i="50" s="1"/>
  <c r="U13" i="50" s="1"/>
  <c r="U14" i="50" s="1"/>
  <c r="U15" i="50" s="1"/>
  <c r="U16" i="50" s="1"/>
  <c r="U17" i="50" s="1"/>
  <c r="U18" i="50" s="1"/>
  <c r="U19" i="50" s="1"/>
  <c r="U20" i="50" s="1"/>
  <c r="U21" i="50" s="1"/>
  <c r="U22" i="50" s="1"/>
  <c r="U23" i="50" s="1"/>
  <c r="U24" i="50" s="1"/>
  <c r="U25" i="50" s="1"/>
  <c r="U26" i="50" s="1"/>
  <c r="U27" i="50" s="1"/>
  <c r="U28" i="50" s="1"/>
  <c r="U29" i="50" s="1"/>
  <c r="U30" i="50" s="1"/>
  <c r="U31" i="50" s="1"/>
  <c r="U32" i="50" s="1"/>
  <c r="U33" i="50" s="1"/>
  <c r="U34" i="50" s="1"/>
  <c r="U35" i="50" s="1"/>
  <c r="U36" i="50" s="1"/>
  <c r="U37" i="50" s="1"/>
  <c r="U38" i="50" s="1"/>
  <c r="U39" i="50" s="1"/>
  <c r="U7" i="50"/>
  <c r="Y46" i="50"/>
  <c r="AT46" i="50" s="1"/>
  <c r="J46" i="50"/>
  <c r="K45" i="50"/>
  <c r="T67" i="15" s="1"/>
  <c r="J45" i="50"/>
  <c r="J44" i="50"/>
  <c r="K43" i="50"/>
  <c r="T65" i="15" s="1"/>
  <c r="J43" i="50"/>
  <c r="E65" i="50" s="1"/>
  <c r="I42" i="50"/>
  <c r="H42" i="50"/>
  <c r="Y41" i="50"/>
  <c r="AT41" i="50" s="1"/>
  <c r="Y35" i="50"/>
  <c r="AT35" i="50" s="1"/>
  <c r="Y32" i="50"/>
  <c r="AT32" i="50" s="1"/>
  <c r="Y28" i="50"/>
  <c r="AT28" i="50" s="1"/>
  <c r="Y24" i="50"/>
  <c r="AT24" i="50" s="1"/>
  <c r="Y20" i="50"/>
  <c r="AT20" i="50" s="1"/>
  <c r="Y16" i="50"/>
  <c r="AT16" i="50" s="1"/>
  <c r="D8" i="50"/>
  <c r="D9" i="50" s="1"/>
  <c r="D10" i="50" s="1"/>
  <c r="D11" i="50" s="1"/>
  <c r="D12" i="50" s="1"/>
  <c r="D13" i="50" s="1"/>
  <c r="D14" i="50" s="1"/>
  <c r="D15" i="50" s="1"/>
  <c r="D16" i="50" s="1"/>
  <c r="D17" i="50" s="1"/>
  <c r="D18" i="50" s="1"/>
  <c r="D19" i="50" s="1"/>
  <c r="D20" i="50" s="1"/>
  <c r="D21" i="50" s="1"/>
  <c r="D22" i="50" s="1"/>
  <c r="D23" i="50" s="1"/>
  <c r="D24" i="50" s="1"/>
  <c r="D25" i="50" s="1"/>
  <c r="D26" i="50" s="1"/>
  <c r="D27" i="50" s="1"/>
  <c r="D28" i="50" s="1"/>
  <c r="D29" i="50" s="1"/>
  <c r="D30" i="50" s="1"/>
  <c r="D31" i="50" s="1"/>
  <c r="D32" i="50" s="1"/>
  <c r="D33" i="50" s="1"/>
  <c r="D34" i="50" s="1"/>
  <c r="D35" i="50" s="1"/>
  <c r="D36" i="50" s="1"/>
  <c r="D37" i="50" s="1"/>
  <c r="D38" i="50" s="1"/>
  <c r="D39" i="50" s="1"/>
  <c r="D40" i="50" s="1"/>
  <c r="D41" i="50" s="1"/>
  <c r="D42" i="50" s="1"/>
  <c r="D43" i="50" s="1"/>
  <c r="D44" i="50" s="1"/>
  <c r="D45" i="50" s="1"/>
  <c r="D46" i="50" s="1"/>
  <c r="AG26" i="50" l="1"/>
  <c r="Y21" i="50"/>
  <c r="Y44" i="50"/>
  <c r="AT44" i="50" s="1"/>
  <c r="P68" i="19"/>
  <c r="O68" i="19"/>
  <c r="P66" i="19"/>
  <c r="O66" i="19"/>
  <c r="P67" i="19"/>
  <c r="O67" i="19"/>
  <c r="N67" i="19" s="1"/>
  <c r="BK23" i="1"/>
  <c r="AD26" i="54"/>
  <c r="M48" i="18"/>
  <c r="AT21" i="50"/>
  <c r="G71" i="50"/>
  <c r="F60" i="50"/>
  <c r="AG43" i="50"/>
  <c r="AB43" i="50"/>
  <c r="AG21" i="50"/>
  <c r="F58" i="50"/>
  <c r="F73" i="50"/>
  <c r="AC43" i="50"/>
  <c r="I43" i="50"/>
  <c r="E75" i="50" s="1"/>
  <c r="C43" i="50"/>
  <c r="Y45" i="50"/>
  <c r="AT45" i="50" s="1"/>
  <c r="Y43" i="50"/>
  <c r="K15" i="50"/>
  <c r="K7" i="50"/>
  <c r="K46" i="50"/>
  <c r="K44" i="50"/>
  <c r="T66" i="15" s="1"/>
  <c r="Y42" i="50"/>
  <c r="K6" i="50"/>
  <c r="K8" i="50"/>
  <c r="K39" i="50"/>
  <c r="T61" i="15" s="1"/>
  <c r="C69" i="15" s="1"/>
  <c r="I72" i="7" s="1"/>
  <c r="K35" i="50"/>
  <c r="AC35" i="50" s="1"/>
  <c r="K31" i="50"/>
  <c r="AC31" i="50" s="1"/>
  <c r="K27" i="50"/>
  <c r="AC27" i="50" s="1"/>
  <c r="K23" i="50"/>
  <c r="AC23" i="50" s="1"/>
  <c r="K19" i="50"/>
  <c r="AC19" i="50" s="1"/>
  <c r="H43" i="50"/>
  <c r="E62" i="50" s="1"/>
  <c r="U6" i="36"/>
  <c r="U7" i="36" s="1"/>
  <c r="U8" i="36" s="1"/>
  <c r="U9" i="36" s="1"/>
  <c r="U10" i="36" s="1"/>
  <c r="U11" i="36" s="1"/>
  <c r="U12" i="36" s="1"/>
  <c r="U13" i="36" s="1"/>
  <c r="U14" i="36" s="1"/>
  <c r="U15" i="36" s="1"/>
  <c r="U16" i="36" s="1"/>
  <c r="U17" i="36" s="1"/>
  <c r="U18" i="36" s="1"/>
  <c r="U19" i="36" s="1"/>
  <c r="U20" i="36" s="1"/>
  <c r="U21" i="36" s="1"/>
  <c r="U22" i="36" s="1"/>
  <c r="U23" i="36" s="1"/>
  <c r="U24" i="36" s="1"/>
  <c r="U25" i="36" s="1"/>
  <c r="U26" i="36" s="1"/>
  <c r="U27" i="36" s="1"/>
  <c r="U28" i="36" s="1"/>
  <c r="U29" i="36" s="1"/>
  <c r="U30" i="36" s="1"/>
  <c r="U31" i="36" s="1"/>
  <c r="U32" i="36" s="1"/>
  <c r="U33" i="36" s="1"/>
  <c r="U34" i="36" s="1"/>
  <c r="U35" i="36" s="1"/>
  <c r="U36" i="36" s="1"/>
  <c r="U37" i="36" s="1"/>
  <c r="U38" i="36" s="1"/>
  <c r="U39" i="36" s="1"/>
  <c r="U40" i="36" s="1"/>
  <c r="U41" i="36" s="1"/>
  <c r="U42" i="36" s="1"/>
  <c r="U43" i="36" s="1"/>
  <c r="U44" i="36" s="1"/>
  <c r="U45" i="36" s="1"/>
  <c r="U46" i="36" s="1"/>
  <c r="DA28" i="25"/>
  <c r="DB28" i="25"/>
  <c r="DD28" i="25"/>
  <c r="DA29" i="25"/>
  <c r="DB29" i="25"/>
  <c r="DD29" i="25"/>
  <c r="DA30" i="25"/>
  <c r="DE30" i="25" s="1"/>
  <c r="DB30" i="25"/>
  <c r="DA31" i="25"/>
  <c r="DA32" i="25" s="1"/>
  <c r="DB31" i="25"/>
  <c r="DB32" i="25"/>
  <c r="DB33" i="25"/>
  <c r="DB34" i="25"/>
  <c r="DB35" i="25"/>
  <c r="DB36" i="25"/>
  <c r="DB37" i="25"/>
  <c r="DB38" i="25"/>
  <c r="DB39" i="25"/>
  <c r="DB40" i="25"/>
  <c r="DB41" i="25"/>
  <c r="DB42" i="25"/>
  <c r="DB43" i="25"/>
  <c r="DB44" i="25"/>
  <c r="DB45" i="25"/>
  <c r="DB46" i="25"/>
  <c r="DB47" i="25"/>
  <c r="DB48" i="25"/>
  <c r="DB49" i="25"/>
  <c r="DB50" i="25"/>
  <c r="DB51" i="25"/>
  <c r="DB52" i="25"/>
  <c r="DB53" i="25"/>
  <c r="DB54" i="25"/>
  <c r="DB55" i="25"/>
  <c r="DB56" i="25"/>
  <c r="DB57" i="25"/>
  <c r="DB58" i="25"/>
  <c r="DB59" i="25"/>
  <c r="DB60" i="25"/>
  <c r="DB61" i="25"/>
  <c r="DB62" i="25"/>
  <c r="DB63" i="25"/>
  <c r="DB64" i="25"/>
  <c r="DB65" i="25"/>
  <c r="DB66" i="25"/>
  <c r="DB67" i="25"/>
  <c r="DB68" i="25"/>
  <c r="DB69" i="25"/>
  <c r="DB70" i="25"/>
  <c r="DB27" i="25"/>
  <c r="DD27" i="25"/>
  <c r="DA27" i="25"/>
  <c r="DD26" i="25"/>
  <c r="DB26" i="25"/>
  <c r="CT68" i="19"/>
  <c r="AN68" i="19" s="1"/>
  <c r="CV68" i="19"/>
  <c r="CS68" i="19"/>
  <c r="AM68" i="19" s="1"/>
  <c r="CU68" i="19"/>
  <c r="CZ68" i="19" s="1"/>
  <c r="DA68" i="19" s="1"/>
  <c r="G68" i="18" s="1"/>
  <c r="BD70" i="29"/>
  <c r="BD71" i="29"/>
  <c r="AX31" i="19"/>
  <c r="AX32" i="19"/>
  <c r="AX33" i="19"/>
  <c r="AX34" i="19"/>
  <c r="AX35" i="19"/>
  <c r="AX36" i="19"/>
  <c r="AX37" i="19"/>
  <c r="AX38" i="19"/>
  <c r="AX39" i="19"/>
  <c r="AX40" i="19"/>
  <c r="AX41" i="19"/>
  <c r="AX42" i="19"/>
  <c r="AX43" i="19"/>
  <c r="AX44" i="19"/>
  <c r="AX45" i="19"/>
  <c r="AX46" i="19"/>
  <c r="AX47" i="19"/>
  <c r="AX48" i="19"/>
  <c r="AX49" i="19"/>
  <c r="AX50" i="19"/>
  <c r="AX52" i="19"/>
  <c r="AX53" i="19"/>
  <c r="AX54" i="19"/>
  <c r="AX55" i="19"/>
  <c r="AX56" i="19"/>
  <c r="AX57" i="19"/>
  <c r="AX58" i="19"/>
  <c r="AX59" i="19"/>
  <c r="AX60" i="19"/>
  <c r="AX61" i="19"/>
  <c r="AX62" i="19"/>
  <c r="AX63" i="19"/>
  <c r="AX64" i="19"/>
  <c r="AX65" i="19"/>
  <c r="AX66" i="19"/>
  <c r="AX67" i="19"/>
  <c r="AX68" i="19"/>
  <c r="AW68" i="19"/>
  <c r="AY68" i="19" s="1"/>
  <c r="D68" i="18"/>
  <c r="L69" i="13"/>
  <c r="P44" i="53"/>
  <c r="K71" i="34"/>
  <c r="J65" i="19"/>
  <c r="E68" i="19"/>
  <c r="C68" i="19" s="1"/>
  <c r="N66" i="19" l="1"/>
  <c r="K17" i="50"/>
  <c r="AC17" i="50" s="1"/>
  <c r="Q39" i="19" s="1"/>
  <c r="K21" i="50"/>
  <c r="K25" i="50"/>
  <c r="AC25" i="50" s="1"/>
  <c r="Q47" i="19" s="1"/>
  <c r="K29" i="50"/>
  <c r="AC29" i="50" s="1"/>
  <c r="AE29" i="50" s="1"/>
  <c r="K33" i="50"/>
  <c r="AC33" i="50" s="1"/>
  <c r="Q55" i="19" s="1"/>
  <c r="K37" i="50"/>
  <c r="T59" i="15" s="1"/>
  <c r="K41" i="50"/>
  <c r="T63" i="15" s="1"/>
  <c r="C63" i="15" s="1"/>
  <c r="K12" i="50"/>
  <c r="AC12" i="50" s="1"/>
  <c r="Q34" i="19" s="1"/>
  <c r="K11" i="50"/>
  <c r="AC11" i="50" s="1"/>
  <c r="Q33" i="19" s="1"/>
  <c r="J72" i="7"/>
  <c r="AU72" i="7" s="1"/>
  <c r="M72" i="7"/>
  <c r="DE32" i="25"/>
  <c r="DA33" i="25"/>
  <c r="DE31" i="25"/>
  <c r="N68" i="19"/>
  <c r="C66" i="15"/>
  <c r="C68" i="15"/>
  <c r="C65" i="15"/>
  <c r="C67" i="15"/>
  <c r="BK24" i="1"/>
  <c r="AD25" i="54"/>
  <c r="M47" i="18"/>
  <c r="AC6" i="50"/>
  <c r="Q28" i="19" s="1"/>
  <c r="AC7" i="50"/>
  <c r="AE7" i="50" s="1"/>
  <c r="AC15" i="50"/>
  <c r="Q37" i="19" s="1"/>
  <c r="G75" i="50"/>
  <c r="G72" i="50"/>
  <c r="AT42" i="50"/>
  <c r="AT43" i="50"/>
  <c r="G73" i="50"/>
  <c r="F78" i="50"/>
  <c r="AH43" i="50"/>
  <c r="M65" i="19"/>
  <c r="F65" i="50"/>
  <c r="K16" i="50"/>
  <c r="AC16" i="50" s="1"/>
  <c r="Q38" i="19" s="1"/>
  <c r="K18" i="50"/>
  <c r="AC18" i="50" s="1"/>
  <c r="Q40" i="19" s="1"/>
  <c r="K20" i="50"/>
  <c r="AC20" i="50" s="1"/>
  <c r="Q42" i="19" s="1"/>
  <c r="K22" i="50"/>
  <c r="AC22" i="50" s="1"/>
  <c r="Q44" i="19" s="1"/>
  <c r="K24" i="50"/>
  <c r="AC24" i="50" s="1"/>
  <c r="Q46" i="19" s="1"/>
  <c r="K26" i="50"/>
  <c r="AC26" i="50" s="1"/>
  <c r="Q48" i="19" s="1"/>
  <c r="K28" i="50"/>
  <c r="AC28" i="50" s="1"/>
  <c r="Q50" i="19" s="1"/>
  <c r="K30" i="50"/>
  <c r="AC30" i="50" s="1"/>
  <c r="Q52" i="19" s="1"/>
  <c r="K32" i="50"/>
  <c r="AC32" i="50" s="1"/>
  <c r="Q54" i="19" s="1"/>
  <c r="K34" i="50"/>
  <c r="K36" i="50"/>
  <c r="T58" i="15" s="1"/>
  <c r="K38" i="50"/>
  <c r="T60" i="15" s="1"/>
  <c r="K40" i="50"/>
  <c r="T62" i="15" s="1"/>
  <c r="C62" i="15" s="1"/>
  <c r="K42" i="50"/>
  <c r="K10" i="50"/>
  <c r="AC10" i="50" s="1"/>
  <c r="K14" i="50"/>
  <c r="AC14" i="50" s="1"/>
  <c r="Q36" i="19" s="1"/>
  <c r="K9" i="50"/>
  <c r="AC9" i="50" s="1"/>
  <c r="Q31" i="19" s="1"/>
  <c r="K13" i="50"/>
  <c r="AC13" i="50" s="1"/>
  <c r="Q35" i="19" s="1"/>
  <c r="T64" i="15"/>
  <c r="C64" i="15" s="1"/>
  <c r="E77" i="50"/>
  <c r="AC21" i="50"/>
  <c r="AE21" i="50" s="1"/>
  <c r="E76" i="50"/>
  <c r="AC8" i="50"/>
  <c r="AE8" i="50" s="1"/>
  <c r="AE18" i="50"/>
  <c r="AE22" i="50"/>
  <c r="AE26" i="50"/>
  <c r="AE30" i="50"/>
  <c r="AE19" i="50"/>
  <c r="Q41" i="19"/>
  <c r="AE23" i="50"/>
  <c r="Q45" i="19"/>
  <c r="AE25" i="50"/>
  <c r="AE27" i="50"/>
  <c r="Q49" i="19"/>
  <c r="Q51" i="19"/>
  <c r="AE31" i="50"/>
  <c r="Q53" i="19"/>
  <c r="AE35" i="50"/>
  <c r="Q57" i="19"/>
  <c r="AE6" i="50"/>
  <c r="AE12" i="50"/>
  <c r="AC36" i="50"/>
  <c r="AE15" i="50"/>
  <c r="Q32" i="19"/>
  <c r="AE14" i="50"/>
  <c r="AC38" i="50"/>
  <c r="AC42" i="50"/>
  <c r="F77" i="50" s="1"/>
  <c r="AE13" i="50"/>
  <c r="AC37" i="50"/>
  <c r="AC41" i="50"/>
  <c r="Q30" i="19"/>
  <c r="AE44" i="50"/>
  <c r="Q66" i="19"/>
  <c r="AE43" i="50"/>
  <c r="G78" i="50" s="1"/>
  <c r="Q65" i="19"/>
  <c r="AE46" i="50"/>
  <c r="Q68" i="19"/>
  <c r="AE45" i="50"/>
  <c r="Q67" i="19"/>
  <c r="CW68" i="19"/>
  <c r="J15" i="50"/>
  <c r="B37" i="15" s="1"/>
  <c r="J14" i="50"/>
  <c r="B36" i="15" s="1"/>
  <c r="J13" i="50"/>
  <c r="B35" i="15" s="1"/>
  <c r="J12" i="50"/>
  <c r="B34" i="15" s="1"/>
  <c r="J11" i="50"/>
  <c r="B33" i="15" s="1"/>
  <c r="J10" i="50"/>
  <c r="B32" i="15" s="1"/>
  <c r="J9" i="50"/>
  <c r="B31" i="15" s="1"/>
  <c r="J8" i="50"/>
  <c r="B30" i="15" s="1"/>
  <c r="J7" i="50"/>
  <c r="B29" i="15" s="1"/>
  <c r="J6" i="50"/>
  <c r="B28" i="15" s="1"/>
  <c r="J42" i="50"/>
  <c r="J41" i="50"/>
  <c r="B63" i="15" s="1"/>
  <c r="J40" i="50"/>
  <c r="B62" i="15" s="1"/>
  <c r="J39" i="50"/>
  <c r="B61" i="15" s="1"/>
  <c r="J38" i="50"/>
  <c r="B60" i="15" s="1"/>
  <c r="J37" i="50"/>
  <c r="B59" i="15" s="1"/>
  <c r="J36" i="50"/>
  <c r="B58" i="15" s="1"/>
  <c r="J35" i="50"/>
  <c r="B57" i="15" s="1"/>
  <c r="J34" i="50"/>
  <c r="B56" i="15" s="1"/>
  <c r="J33" i="50"/>
  <c r="B55" i="15" s="1"/>
  <c r="J32" i="50"/>
  <c r="B54" i="15" s="1"/>
  <c r="J31" i="50"/>
  <c r="B53" i="15" s="1"/>
  <c r="J30" i="50"/>
  <c r="B52" i="15" s="1"/>
  <c r="J29" i="50"/>
  <c r="B51" i="15" s="1"/>
  <c r="J28" i="50"/>
  <c r="B50" i="15" s="1"/>
  <c r="J27" i="50"/>
  <c r="B49" i="15" s="1"/>
  <c r="J26" i="50"/>
  <c r="B48" i="15" s="1"/>
  <c r="J25" i="50"/>
  <c r="B47" i="15" s="1"/>
  <c r="J24" i="50"/>
  <c r="B46" i="15" s="1"/>
  <c r="J23" i="50"/>
  <c r="B45" i="15" s="1"/>
  <c r="J22" i="50"/>
  <c r="B44" i="15" s="1"/>
  <c r="J21" i="50"/>
  <c r="J20" i="50"/>
  <c r="B42" i="15" s="1"/>
  <c r="J19" i="50"/>
  <c r="B41" i="15" s="1"/>
  <c r="J18" i="50"/>
  <c r="B40" i="15" s="1"/>
  <c r="J17" i="50"/>
  <c r="B39" i="15" s="1"/>
  <c r="J16" i="50"/>
  <c r="B38" i="15" s="1"/>
  <c r="Q29" i="19" l="1"/>
  <c r="AE33" i="50"/>
  <c r="AE9" i="50"/>
  <c r="AE10" i="50"/>
  <c r="AE11" i="50"/>
  <c r="Q43" i="19"/>
  <c r="AE17" i="50"/>
  <c r="AE32" i="50"/>
  <c r="AE28" i="50"/>
  <c r="AE24" i="50"/>
  <c r="AE20" i="50"/>
  <c r="AE16" i="50"/>
  <c r="K71" i="25"/>
  <c r="H16" i="53" s="1"/>
  <c r="AT72" i="7"/>
  <c r="N72" i="7"/>
  <c r="DE33" i="25"/>
  <c r="DA34" i="25"/>
  <c r="T67" i="19"/>
  <c r="S67" i="19"/>
  <c r="T68" i="19"/>
  <c r="S68" i="19"/>
  <c r="T65" i="19"/>
  <c r="S65" i="19"/>
  <c r="T66" i="19"/>
  <c r="S66" i="19"/>
  <c r="P65" i="19"/>
  <c r="O65" i="19"/>
  <c r="T34" i="19"/>
  <c r="S34" i="19"/>
  <c r="T28" i="19"/>
  <c r="S28" i="19"/>
  <c r="T57" i="19"/>
  <c r="S57" i="19"/>
  <c r="T55" i="19"/>
  <c r="S55" i="19"/>
  <c r="T53" i="19"/>
  <c r="S53" i="19"/>
  <c r="T51" i="19"/>
  <c r="S51" i="19"/>
  <c r="T49" i="19"/>
  <c r="S49" i="19"/>
  <c r="T47" i="19"/>
  <c r="S47" i="19"/>
  <c r="R47" i="19" s="1"/>
  <c r="T45" i="19"/>
  <c r="S45" i="19"/>
  <c r="R45" i="19" s="1"/>
  <c r="C45" i="18" s="1"/>
  <c r="E48" i="7" s="1"/>
  <c r="T43" i="19"/>
  <c r="S43" i="19"/>
  <c r="R43" i="19" s="1"/>
  <c r="C43" i="18" s="1"/>
  <c r="E46" i="7" s="1"/>
  <c r="T30" i="19"/>
  <c r="S30" i="19"/>
  <c r="R30" i="19" s="1"/>
  <c r="T35" i="19"/>
  <c r="S35" i="19"/>
  <c r="R35" i="19" s="1"/>
  <c r="T31" i="19"/>
  <c r="S31" i="19"/>
  <c r="R31" i="19" s="1"/>
  <c r="T36" i="19"/>
  <c r="S36" i="19"/>
  <c r="R36" i="19" s="1"/>
  <c r="C36" i="18" s="1"/>
  <c r="E39" i="7" s="1"/>
  <c r="T32" i="19"/>
  <c r="S32" i="19"/>
  <c r="R32" i="19" s="1"/>
  <c r="T37" i="19"/>
  <c r="S37" i="19"/>
  <c r="R37" i="19" s="1"/>
  <c r="C37" i="18" s="1"/>
  <c r="T33" i="19"/>
  <c r="S33" i="19"/>
  <c r="R33" i="19" s="1"/>
  <c r="T29" i="19"/>
  <c r="S29" i="19"/>
  <c r="R29" i="19" s="1"/>
  <c r="T41" i="19"/>
  <c r="S41" i="19"/>
  <c r="R41" i="19" s="1"/>
  <c r="T39" i="19"/>
  <c r="S39" i="19"/>
  <c r="T54" i="19"/>
  <c r="S54" i="19"/>
  <c r="R54" i="19" s="1"/>
  <c r="T52" i="19"/>
  <c r="S52" i="19"/>
  <c r="R52" i="19" s="1"/>
  <c r="T50" i="19"/>
  <c r="S50" i="19"/>
  <c r="R50" i="19" s="1"/>
  <c r="T48" i="19"/>
  <c r="S48" i="19"/>
  <c r="R48" i="19" s="1"/>
  <c r="T46" i="19"/>
  <c r="S46" i="19"/>
  <c r="R46" i="19" s="1"/>
  <c r="T44" i="19"/>
  <c r="S44" i="19"/>
  <c r="R44" i="19" s="1"/>
  <c r="C44" i="18" s="1"/>
  <c r="T42" i="19"/>
  <c r="S42" i="19"/>
  <c r="R42" i="19" s="1"/>
  <c r="T40" i="19"/>
  <c r="S40" i="19"/>
  <c r="R40" i="19" s="1"/>
  <c r="T38" i="19"/>
  <c r="S38" i="19"/>
  <c r="R38" i="19" s="1"/>
  <c r="AD24" i="54"/>
  <c r="M46" i="18"/>
  <c r="B64" i="15"/>
  <c r="E64" i="50"/>
  <c r="F76" i="50"/>
  <c r="B43" i="15"/>
  <c r="E63" i="50"/>
  <c r="G76" i="50"/>
  <c r="AO22" i="50"/>
  <c r="AO24" i="50"/>
  <c r="AO26" i="50"/>
  <c r="AO28" i="50"/>
  <c r="AO30" i="50"/>
  <c r="AO32" i="50"/>
  <c r="AO44" i="50"/>
  <c r="AO46" i="50"/>
  <c r="AO23" i="50"/>
  <c r="AO27" i="50"/>
  <c r="AO31" i="50"/>
  <c r="AO35" i="50"/>
  <c r="AO43" i="50"/>
  <c r="AO21" i="50"/>
  <c r="AO25" i="50"/>
  <c r="AO29" i="50"/>
  <c r="AO33" i="50"/>
  <c r="AO45" i="50"/>
  <c r="AE37" i="50"/>
  <c r="AO37" i="50" s="1"/>
  <c r="Q59" i="19"/>
  <c r="AE38" i="50"/>
  <c r="AO38" i="50" s="1"/>
  <c r="Q60" i="19"/>
  <c r="AE41" i="50"/>
  <c r="AO41" i="50" s="1"/>
  <c r="Q63" i="19"/>
  <c r="AE42" i="50"/>
  <c r="G77" i="50" s="1"/>
  <c r="Q64" i="19"/>
  <c r="AE36" i="50"/>
  <c r="AO36" i="50" s="1"/>
  <c r="Q58" i="19"/>
  <c r="I68" i="15"/>
  <c r="DC70" i="25" s="1"/>
  <c r="DJ70" i="25" s="1"/>
  <c r="E71" i="10"/>
  <c r="AE68" i="19"/>
  <c r="AE69" i="19" s="1"/>
  <c r="F69" i="14" s="1"/>
  <c r="I70" i="1"/>
  <c r="I71" i="1"/>
  <c r="K70" i="24"/>
  <c r="BO70" i="24"/>
  <c r="K71" i="24"/>
  <c r="BO71" i="24"/>
  <c r="L69" i="25"/>
  <c r="M69" i="25"/>
  <c r="L70" i="25"/>
  <c r="P17" i="53" s="1"/>
  <c r="M70" i="25"/>
  <c r="H70" i="7"/>
  <c r="H71" i="7"/>
  <c r="I70" i="26"/>
  <c r="J70" i="26"/>
  <c r="K70" i="26"/>
  <c r="I71" i="26"/>
  <c r="J71" i="26"/>
  <c r="K71" i="26"/>
  <c r="I70" i="29"/>
  <c r="I71" i="29"/>
  <c r="T70" i="48"/>
  <c r="H70" i="10"/>
  <c r="H71" i="10"/>
  <c r="D71" i="10" s="1"/>
  <c r="CJ69" i="25"/>
  <c r="CK69" i="25"/>
  <c r="CL69" i="25"/>
  <c r="CM69" i="25"/>
  <c r="CJ70" i="25"/>
  <c r="CK70" i="25"/>
  <c r="CL70" i="25"/>
  <c r="CM70" i="25"/>
  <c r="C68" i="14"/>
  <c r="F71" i="34" s="1"/>
  <c r="I68" i="14"/>
  <c r="D71" i="26" s="1"/>
  <c r="J68" i="14"/>
  <c r="E71" i="26" s="1"/>
  <c r="K68" i="14"/>
  <c r="F71" i="26" s="1"/>
  <c r="O68" i="14"/>
  <c r="O67" i="15"/>
  <c r="Q68" i="15"/>
  <c r="K68" i="15" s="1"/>
  <c r="I71" i="10" s="1"/>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O20" i="15"/>
  <c r="O19" i="15"/>
  <c r="O18" i="15"/>
  <c r="O17" i="15"/>
  <c r="O16" i="15"/>
  <c r="O15" i="15"/>
  <c r="O14" i="15"/>
  <c r="O13" i="15"/>
  <c r="O12" i="15"/>
  <c r="O11" i="15"/>
  <c r="O10" i="15"/>
  <c r="O9" i="15"/>
  <c r="O8" i="15"/>
  <c r="O66" i="15"/>
  <c r="O65" i="15"/>
  <c r="AH69" i="47"/>
  <c r="AH70" i="47"/>
  <c r="AH68" i="47"/>
  <c r="AH67" i="47"/>
  <c r="AH66" i="47"/>
  <c r="AH65" i="47"/>
  <c r="AH64" i="47"/>
  <c r="AH63" i="47"/>
  <c r="AH62" i="47"/>
  <c r="AH61" i="47"/>
  <c r="AH60" i="47"/>
  <c r="AH59" i="47"/>
  <c r="AH58" i="47"/>
  <c r="AH57" i="47"/>
  <c r="AH56" i="47"/>
  <c r="AH55" i="47"/>
  <c r="AH54" i="47"/>
  <c r="AH53" i="47"/>
  <c r="AH52" i="47"/>
  <c r="AH51" i="47"/>
  <c r="AH50" i="47"/>
  <c r="AH49" i="47"/>
  <c r="AH48" i="47"/>
  <c r="AH47" i="47"/>
  <c r="AH46" i="47"/>
  <c r="AH45" i="47"/>
  <c r="AH44" i="47"/>
  <c r="AH43" i="47"/>
  <c r="AH42" i="47"/>
  <c r="AH41" i="47"/>
  <c r="AH40" i="47"/>
  <c r="AH39" i="47"/>
  <c r="AH38" i="47"/>
  <c r="AH37" i="47"/>
  <c r="AH36" i="47"/>
  <c r="AH35" i="47"/>
  <c r="AH34" i="47"/>
  <c r="AH33" i="47"/>
  <c r="AH32" i="47"/>
  <c r="AH31" i="47"/>
  <c r="AH30" i="47"/>
  <c r="AH29" i="47"/>
  <c r="AH28" i="47"/>
  <c r="AH27" i="47"/>
  <c r="AH26" i="47"/>
  <c r="AH25" i="47"/>
  <c r="AH24" i="47"/>
  <c r="AH23" i="47"/>
  <c r="AH22" i="47"/>
  <c r="AH21" i="47"/>
  <c r="AH20" i="47"/>
  <c r="AH19" i="47"/>
  <c r="AH18" i="47"/>
  <c r="AH17" i="47"/>
  <c r="AH16" i="47"/>
  <c r="AH15" i="47"/>
  <c r="AH14" i="47"/>
  <c r="AH13" i="47"/>
  <c r="AH12" i="47"/>
  <c r="AH11" i="47"/>
  <c r="AH10" i="47"/>
  <c r="AH9" i="47"/>
  <c r="AH67" i="44"/>
  <c r="Q67" i="15"/>
  <c r="K67" i="15" s="1"/>
  <c r="I70" i="10" s="1"/>
  <c r="I67" i="15"/>
  <c r="DC69" i="25" s="1"/>
  <c r="DJ69" i="25" s="1"/>
  <c r="N69" i="13"/>
  <c r="N68" i="13"/>
  <c r="N67" i="13"/>
  <c r="L68" i="13"/>
  <c r="K70" i="34"/>
  <c r="I70" i="34"/>
  <c r="C67" i="14"/>
  <c r="F70" i="34" s="1"/>
  <c r="I67" i="14"/>
  <c r="J67" i="14"/>
  <c r="E70" i="26" s="1"/>
  <c r="K67" i="14"/>
  <c r="F70" i="26" s="1"/>
  <c r="O67" i="14"/>
  <c r="E68" i="33" s="1"/>
  <c r="D67" i="18"/>
  <c r="E70" i="25" s="1"/>
  <c r="E70" i="10"/>
  <c r="O6" i="36"/>
  <c r="O7" i="36"/>
  <c r="O8" i="36" s="1"/>
  <c r="O9" i="36" s="1"/>
  <c r="O10" i="36" s="1"/>
  <c r="O11" i="36" s="1"/>
  <c r="O12" i="36" s="1"/>
  <c r="O13" i="36" s="1"/>
  <c r="O14" i="36" s="1"/>
  <c r="O15" i="36" s="1"/>
  <c r="O16" i="36" s="1"/>
  <c r="O17" i="36" s="1"/>
  <c r="O18" i="36" s="1"/>
  <c r="O19" i="36" s="1"/>
  <c r="O20" i="36" s="1"/>
  <c r="O21" i="36" s="1"/>
  <c r="O22" i="36" s="1"/>
  <c r="O23" i="36" s="1"/>
  <c r="O24" i="36" s="1"/>
  <c r="O25" i="36" s="1"/>
  <c r="O26" i="36" s="1"/>
  <c r="O55" i="36"/>
  <c r="O56" i="36"/>
  <c r="O57" i="36" s="1"/>
  <c r="O58" i="36" s="1"/>
  <c r="O59" i="36" s="1"/>
  <c r="O60" i="36" s="1"/>
  <c r="O61" i="36" s="1"/>
  <c r="O62" i="36" s="1"/>
  <c r="O63" i="36" s="1"/>
  <c r="O64" i="36" s="1"/>
  <c r="O65" i="36" s="1"/>
  <c r="O66" i="36" s="1"/>
  <c r="O67" i="36" s="1"/>
  <c r="O68" i="36" s="1"/>
  <c r="O69" i="36" s="1"/>
  <c r="O70" i="36" s="1"/>
  <c r="O71" i="36" s="1"/>
  <c r="O72" i="36" s="1"/>
  <c r="O73" i="36" s="1"/>
  <c r="O74" i="36" s="1"/>
  <c r="O75" i="36" s="1"/>
  <c r="O76" i="36" s="1"/>
  <c r="O77" i="36" s="1"/>
  <c r="O78" i="36" s="1"/>
  <c r="O79" i="36" s="1"/>
  <c r="O80" i="36" s="1"/>
  <c r="O111" i="36"/>
  <c r="O112" i="36"/>
  <c r="O113" i="36" s="1"/>
  <c r="O114" i="36" s="1"/>
  <c r="O115" i="36" s="1"/>
  <c r="O116" i="36" s="1"/>
  <c r="O117" i="36" s="1"/>
  <c r="O118" i="36" s="1"/>
  <c r="O119" i="36" s="1"/>
  <c r="O120" i="36" s="1"/>
  <c r="O121" i="36" s="1"/>
  <c r="O122" i="36" s="1"/>
  <c r="O123" i="36" s="1"/>
  <c r="O124" i="36" s="1"/>
  <c r="O125" i="36" s="1"/>
  <c r="O126" i="36" s="1"/>
  <c r="O127" i="36" s="1"/>
  <c r="O128" i="36" s="1"/>
  <c r="O129" i="36" s="1"/>
  <c r="O130" i="36" s="1"/>
  <c r="O131" i="36" s="1"/>
  <c r="O132" i="36" s="1"/>
  <c r="O133" i="36" s="1"/>
  <c r="O134" i="36" s="1"/>
  <c r="O135" i="36" s="1"/>
  <c r="O136" i="36" s="1"/>
  <c r="O160" i="36"/>
  <c r="O161" i="36" s="1"/>
  <c r="O162" i="36" s="1"/>
  <c r="O163" i="36" s="1"/>
  <c r="O164" i="36" s="1"/>
  <c r="O165" i="36" s="1"/>
  <c r="O166" i="36" s="1"/>
  <c r="O167" i="36" s="1"/>
  <c r="O168" i="36" s="1"/>
  <c r="O169" i="36" s="1"/>
  <c r="O170" i="36" s="1"/>
  <c r="O171" i="36" s="1"/>
  <c r="O172" i="36" s="1"/>
  <c r="O173" i="36" s="1"/>
  <c r="O174" i="36" s="1"/>
  <c r="O175" i="36" s="1"/>
  <c r="O176" i="36" s="1"/>
  <c r="O177" i="36" s="1"/>
  <c r="O178" i="36" s="1"/>
  <c r="O179" i="36" s="1"/>
  <c r="O180" i="36" s="1"/>
  <c r="O181" i="36" s="1"/>
  <c r="O182" i="36" s="1"/>
  <c r="O195" i="36"/>
  <c r="O196" i="36"/>
  <c r="O197" i="36"/>
  <c r="O198" i="36"/>
  <c r="O199" i="36"/>
  <c r="O200" i="36"/>
  <c r="O201" i="36"/>
  <c r="O202" i="36"/>
  <c r="O203" i="36"/>
  <c r="O204" i="36"/>
  <c r="O205" i="36"/>
  <c r="O206" i="36"/>
  <c r="O207" i="36"/>
  <c r="O208" i="36"/>
  <c r="O209" i="36"/>
  <c r="O210" i="36"/>
  <c r="O211" i="36"/>
  <c r="O212" i="36"/>
  <c r="O213" i="36"/>
  <c r="O214" i="36"/>
  <c r="O215" i="36"/>
  <c r="O216" i="36"/>
  <c r="O217" i="36"/>
  <c r="O224" i="36"/>
  <c r="O225" i="36"/>
  <c r="O226" i="36"/>
  <c r="O227" i="36"/>
  <c r="O228" i="36"/>
  <c r="O229" i="36"/>
  <c r="O230" i="36"/>
  <c r="O231" i="36"/>
  <c r="O232" i="36"/>
  <c r="O233" i="36"/>
  <c r="O234" i="36"/>
  <c r="O235" i="36"/>
  <c r="O236" i="36"/>
  <c r="O237" i="36"/>
  <c r="O238" i="36"/>
  <c r="O239" i="36"/>
  <c r="O240" i="36"/>
  <c r="O241" i="36"/>
  <c r="O242" i="36"/>
  <c r="O243" i="36"/>
  <c r="O244" i="36"/>
  <c r="O245" i="36"/>
  <c r="O246" i="36"/>
  <c r="O252" i="36"/>
  <c r="O253" i="36"/>
  <c r="O254" i="36"/>
  <c r="O255" i="36"/>
  <c r="O256" i="36"/>
  <c r="O257" i="36"/>
  <c r="O258" i="36"/>
  <c r="O259" i="36"/>
  <c r="O260" i="36"/>
  <c r="O261" i="36"/>
  <c r="O262" i="36"/>
  <c r="O263" i="36"/>
  <c r="O264" i="36"/>
  <c r="O265" i="36"/>
  <c r="O266" i="36"/>
  <c r="O267" i="36"/>
  <c r="O268" i="36"/>
  <c r="O269" i="36"/>
  <c r="O270" i="36"/>
  <c r="O271" i="36"/>
  <c r="O272" i="36"/>
  <c r="O273" i="36"/>
  <c r="O274" i="36"/>
  <c r="O280" i="36"/>
  <c r="O281" i="36"/>
  <c r="O282" i="36"/>
  <c r="O283" i="36"/>
  <c r="O284" i="36"/>
  <c r="O285" i="36"/>
  <c r="O286" i="36"/>
  <c r="O287" i="36"/>
  <c r="O288" i="36"/>
  <c r="O289" i="36"/>
  <c r="O290" i="36"/>
  <c r="O291" i="36"/>
  <c r="O292" i="36"/>
  <c r="O293" i="36"/>
  <c r="O294" i="36"/>
  <c r="O295" i="36"/>
  <c r="O296" i="36"/>
  <c r="O297" i="36"/>
  <c r="O298" i="36"/>
  <c r="O299" i="36"/>
  <c r="O300" i="36"/>
  <c r="O301" i="36"/>
  <c r="O302" i="36"/>
  <c r="O308" i="36"/>
  <c r="O309" i="36"/>
  <c r="O310" i="36"/>
  <c r="O311" i="36"/>
  <c r="O312" i="36"/>
  <c r="O313" i="36"/>
  <c r="O314" i="36"/>
  <c r="O315" i="36"/>
  <c r="O316" i="36"/>
  <c r="O317" i="36"/>
  <c r="O318" i="36"/>
  <c r="O319" i="36"/>
  <c r="O320" i="36"/>
  <c r="O321" i="36"/>
  <c r="O322" i="36"/>
  <c r="O323" i="36"/>
  <c r="O324" i="36"/>
  <c r="O325" i="36"/>
  <c r="O326" i="36"/>
  <c r="O327" i="36"/>
  <c r="O328" i="36"/>
  <c r="O329" i="36"/>
  <c r="O330" i="36"/>
  <c r="O337" i="36"/>
  <c r="O338" i="36"/>
  <c r="O339" i="36"/>
  <c r="O340" i="36"/>
  <c r="O341" i="36"/>
  <c r="O342" i="36"/>
  <c r="O343" i="36"/>
  <c r="O344" i="36"/>
  <c r="O345" i="36"/>
  <c r="O346" i="36"/>
  <c r="O347" i="36"/>
  <c r="O348" i="36"/>
  <c r="O349" i="36"/>
  <c r="O350" i="36"/>
  <c r="O351" i="36"/>
  <c r="O352" i="36"/>
  <c r="O353" i="36"/>
  <c r="O354" i="36"/>
  <c r="O355" i="36"/>
  <c r="O356" i="36"/>
  <c r="O357" i="36"/>
  <c r="O358" i="36"/>
  <c r="O367" i="36"/>
  <c r="O368" i="36"/>
  <c r="O369" i="36"/>
  <c r="O370" i="36"/>
  <c r="O371" i="36"/>
  <c r="O372" i="36"/>
  <c r="O373" i="36"/>
  <c r="O374" i="36"/>
  <c r="O375" i="36"/>
  <c r="O376" i="36"/>
  <c r="O377" i="36"/>
  <c r="O378" i="36"/>
  <c r="O379" i="36"/>
  <c r="O380" i="36"/>
  <c r="O381" i="36"/>
  <c r="O382" i="36"/>
  <c r="O383" i="36"/>
  <c r="O384" i="36"/>
  <c r="O385" i="36"/>
  <c r="O386" i="36"/>
  <c r="O387" i="36"/>
  <c r="O388" i="36"/>
  <c r="O389" i="36"/>
  <c r="O430" i="36"/>
  <c r="O431" i="36"/>
  <c r="O432" i="36"/>
  <c r="O433" i="36"/>
  <c r="O434" i="36"/>
  <c r="O435" i="36"/>
  <c r="O436" i="36"/>
  <c r="O437" i="36"/>
  <c r="O438" i="36"/>
  <c r="O439" i="36"/>
  <c r="O440" i="36"/>
  <c r="O441" i="36"/>
  <c r="O442" i="36"/>
  <c r="O443" i="36"/>
  <c r="O444" i="36"/>
  <c r="O445" i="36"/>
  <c r="O446" i="36"/>
  <c r="O447" i="36"/>
  <c r="O448" i="36"/>
  <c r="O449" i="36"/>
  <c r="O450" i="36"/>
  <c r="O451" i="36"/>
  <c r="O452" i="36"/>
  <c r="O462" i="36"/>
  <c r="O463" i="36"/>
  <c r="O464" i="36"/>
  <c r="O465" i="36"/>
  <c r="O466" i="36"/>
  <c r="O467" i="36"/>
  <c r="O468" i="36"/>
  <c r="O469" i="36"/>
  <c r="O470" i="36"/>
  <c r="O471" i="36"/>
  <c r="O472" i="36"/>
  <c r="O473" i="36"/>
  <c r="O474" i="36"/>
  <c r="O475" i="36"/>
  <c r="O476" i="36"/>
  <c r="O477" i="36"/>
  <c r="O478" i="36"/>
  <c r="O479" i="36"/>
  <c r="O480" i="36"/>
  <c r="O481" i="36"/>
  <c r="O482" i="36"/>
  <c r="O483" i="36"/>
  <c r="O484" i="36"/>
  <c r="O493" i="36"/>
  <c r="O494" i="36"/>
  <c r="O495" i="36"/>
  <c r="O496" i="36"/>
  <c r="O497" i="36"/>
  <c r="O498" i="36"/>
  <c r="O499" i="36"/>
  <c r="O500" i="36"/>
  <c r="O501" i="36"/>
  <c r="O502" i="36"/>
  <c r="O503" i="36"/>
  <c r="O504" i="36"/>
  <c r="O505" i="36"/>
  <c r="O506" i="36"/>
  <c r="O507" i="36"/>
  <c r="O508" i="36"/>
  <c r="O509" i="36"/>
  <c r="O510" i="36"/>
  <c r="O511" i="36"/>
  <c r="O512" i="36"/>
  <c r="O513" i="36"/>
  <c r="O514" i="36"/>
  <c r="O515" i="36"/>
  <c r="O524" i="36"/>
  <c r="O525" i="36"/>
  <c r="O526" i="36"/>
  <c r="O527" i="36"/>
  <c r="O528" i="36"/>
  <c r="O529" i="36"/>
  <c r="O530" i="36"/>
  <c r="O531" i="36"/>
  <c r="O532" i="36"/>
  <c r="O533" i="36"/>
  <c r="O534" i="36"/>
  <c r="O535" i="36"/>
  <c r="O536" i="36"/>
  <c r="O537" i="36"/>
  <c r="O538" i="36"/>
  <c r="O539" i="36"/>
  <c r="O540" i="36"/>
  <c r="O541" i="36"/>
  <c r="O542" i="36"/>
  <c r="O543" i="36"/>
  <c r="O544" i="36"/>
  <c r="O545" i="36"/>
  <c r="O546" i="36"/>
  <c r="O555" i="36"/>
  <c r="O556" i="36"/>
  <c r="O557" i="36"/>
  <c r="O558" i="36"/>
  <c r="O559" i="36"/>
  <c r="O560" i="36"/>
  <c r="O561" i="36"/>
  <c r="O562" i="36"/>
  <c r="O563" i="36"/>
  <c r="O564" i="36"/>
  <c r="O565" i="36"/>
  <c r="O566" i="36"/>
  <c r="O567" i="36"/>
  <c r="O568" i="36"/>
  <c r="O569" i="36"/>
  <c r="O570" i="36"/>
  <c r="O571" i="36"/>
  <c r="O572" i="36"/>
  <c r="O573" i="36"/>
  <c r="O574" i="36"/>
  <c r="O575" i="36"/>
  <c r="O576" i="36"/>
  <c r="O577" i="36"/>
  <c r="O587" i="36"/>
  <c r="O588" i="36"/>
  <c r="O589" i="36"/>
  <c r="O590" i="36"/>
  <c r="O591" i="36"/>
  <c r="O592" i="36"/>
  <c r="O593" i="36"/>
  <c r="O594" i="36"/>
  <c r="O595" i="36"/>
  <c r="O596" i="36"/>
  <c r="O597" i="36"/>
  <c r="O598" i="36"/>
  <c r="O599" i="36"/>
  <c r="O600" i="36"/>
  <c r="O601" i="36"/>
  <c r="O602" i="36"/>
  <c r="O603" i="36"/>
  <c r="O604" i="36"/>
  <c r="O605" i="36"/>
  <c r="O606" i="36"/>
  <c r="O607" i="36"/>
  <c r="O608" i="36"/>
  <c r="O609" i="36"/>
  <c r="B255" i="43"/>
  <c r="D255" i="43"/>
  <c r="F255" i="43"/>
  <c r="B256" i="43"/>
  <c r="D256" i="43"/>
  <c r="F256" i="43"/>
  <c r="B257" i="43"/>
  <c r="D257" i="43"/>
  <c r="F257" i="43"/>
  <c r="B259" i="43"/>
  <c r="D259" i="43"/>
  <c r="F259" i="43"/>
  <c r="B260" i="43"/>
  <c r="D260" i="43"/>
  <c r="F260" i="43"/>
  <c r="B266" i="43"/>
  <c r="D5" i="20"/>
  <c r="D6" i="20"/>
  <c r="H6" i="20"/>
  <c r="D7" i="20"/>
  <c r="H7" i="20"/>
  <c r="D8" i="20"/>
  <c r="H8" i="20"/>
  <c r="D9" i="20"/>
  <c r="H9" i="20"/>
  <c r="D10" i="20"/>
  <c r="H10" i="20"/>
  <c r="D11" i="20"/>
  <c r="H11" i="20"/>
  <c r="D12" i="20"/>
  <c r="H12" i="20"/>
  <c r="D13" i="20"/>
  <c r="H13" i="20"/>
  <c r="D14" i="20"/>
  <c r="H14" i="20"/>
  <c r="D15" i="20"/>
  <c r="H15" i="20"/>
  <c r="H16" i="20"/>
  <c r="D17" i="20"/>
  <c r="H17" i="20"/>
  <c r="H18" i="20"/>
  <c r="CH23" i="19"/>
  <c r="W23" i="19" s="1"/>
  <c r="K24" i="19"/>
  <c r="L24" i="19"/>
  <c r="CH24" i="19"/>
  <c r="W24" i="19" s="1"/>
  <c r="K25" i="19"/>
  <c r="L25" i="19"/>
  <c r="CH25" i="19"/>
  <c r="W25" i="19" s="1"/>
  <c r="K26" i="19"/>
  <c r="L26" i="19"/>
  <c r="CH26" i="19"/>
  <c r="W26" i="19" s="1"/>
  <c r="K27" i="19"/>
  <c r="L27" i="19"/>
  <c r="CH27" i="19"/>
  <c r="W27" i="19" s="1"/>
  <c r="B28" i="19"/>
  <c r="G28" i="19"/>
  <c r="K28" i="19"/>
  <c r="L28" i="19"/>
  <c r="AP28" i="19"/>
  <c r="AZ28" i="19"/>
  <c r="BA28" i="19"/>
  <c r="CH28" i="19"/>
  <c r="W28" i="19" s="1"/>
  <c r="CS28" i="19"/>
  <c r="DC28" i="19" s="1"/>
  <c r="CT28" i="19"/>
  <c r="DD28" i="19" s="1"/>
  <c r="CU28" i="19"/>
  <c r="CV28" i="19"/>
  <c r="B29" i="19"/>
  <c r="K29" i="19"/>
  <c r="L29" i="19"/>
  <c r="AP29" i="19"/>
  <c r="CH29" i="19"/>
  <c r="W29" i="19" s="1"/>
  <c r="CS29" i="19"/>
  <c r="CT29" i="19"/>
  <c r="CU29" i="19"/>
  <c r="CV29" i="19"/>
  <c r="DC29" i="19"/>
  <c r="DD29" i="19"/>
  <c r="B30" i="19"/>
  <c r="K30" i="19"/>
  <c r="L30" i="19"/>
  <c r="AP30" i="19"/>
  <c r="CH30" i="19"/>
  <c r="W30" i="19" s="1"/>
  <c r="CS30" i="19"/>
  <c r="DC30" i="19" s="1"/>
  <c r="CT30" i="19"/>
  <c r="DD30" i="19" s="1"/>
  <c r="CU30" i="19"/>
  <c r="CV30" i="19"/>
  <c r="B31" i="19"/>
  <c r="E31" i="19" s="1"/>
  <c r="K31" i="19"/>
  <c r="L31" i="19"/>
  <c r="C31" i="18"/>
  <c r="E34" i="7" s="1"/>
  <c r="AP31" i="19"/>
  <c r="CH31" i="19"/>
  <c r="W31" i="19" s="1"/>
  <c r="CS31" i="19"/>
  <c r="CT31" i="19"/>
  <c r="DD31" i="19" s="1"/>
  <c r="CU31" i="19"/>
  <c r="CV31" i="19"/>
  <c r="CW31" i="19" s="1"/>
  <c r="DC31" i="19"/>
  <c r="B32" i="19"/>
  <c r="K32" i="19"/>
  <c r="L32" i="19"/>
  <c r="AP32" i="19"/>
  <c r="AQ32" i="19" s="1"/>
  <c r="AU32" i="19"/>
  <c r="AU29" i="19" s="1"/>
  <c r="AU30" i="19" s="1"/>
  <c r="AU31" i="19" s="1"/>
  <c r="AV32" i="19"/>
  <c r="AV29" i="19" s="1"/>
  <c r="AZ32" i="19"/>
  <c r="AZ29" i="19" s="1"/>
  <c r="AZ30" i="19" s="1"/>
  <c r="AZ31" i="19" s="1"/>
  <c r="BA32" i="19"/>
  <c r="BA29" i="19" s="1"/>
  <c r="BA30" i="19" s="1"/>
  <c r="BA31" i="19" s="1"/>
  <c r="BC32" i="19"/>
  <c r="BB32" i="19" s="1"/>
  <c r="CH32" i="19"/>
  <c r="W32" i="19" s="1"/>
  <c r="CS32" i="19"/>
  <c r="DC32" i="19" s="1"/>
  <c r="CT32" i="19"/>
  <c r="CU32" i="19"/>
  <c r="CV32" i="19"/>
  <c r="CW32" i="19"/>
  <c r="DD32" i="19"/>
  <c r="B33" i="19"/>
  <c r="E33" i="19" s="1"/>
  <c r="G33" i="19"/>
  <c r="K33" i="19"/>
  <c r="L33" i="19"/>
  <c r="AH33" i="19"/>
  <c r="AJ33" i="19"/>
  <c r="AP33" i="19"/>
  <c r="AQ33" i="19" s="1"/>
  <c r="AU33" i="19"/>
  <c r="AV33" i="19"/>
  <c r="AZ33" i="19"/>
  <c r="BA33" i="19"/>
  <c r="CH33" i="19"/>
  <c r="W33" i="19" s="1"/>
  <c r="CS33" i="19"/>
  <c r="DC33" i="19" s="1"/>
  <c r="CT33" i="19"/>
  <c r="DD33" i="19" s="1"/>
  <c r="CU33" i="19"/>
  <c r="CV33" i="19"/>
  <c r="B34" i="19"/>
  <c r="E34" i="19" s="1"/>
  <c r="K34" i="19"/>
  <c r="L34" i="19"/>
  <c r="AH34" i="19"/>
  <c r="AJ34" i="19"/>
  <c r="AP34" i="19"/>
  <c r="AU34" i="19"/>
  <c r="AV34" i="19"/>
  <c r="AZ34" i="19"/>
  <c r="BA34" i="19"/>
  <c r="CH34" i="19"/>
  <c r="W34" i="19" s="1"/>
  <c r="CS34" i="19"/>
  <c r="DC34" i="19" s="1"/>
  <c r="CT34" i="19"/>
  <c r="DD34" i="19" s="1"/>
  <c r="CU34" i="19"/>
  <c r="CV34" i="19"/>
  <c r="B35" i="19"/>
  <c r="E35" i="19" s="1"/>
  <c r="K35" i="19"/>
  <c r="L35" i="19"/>
  <c r="C35" i="18"/>
  <c r="AH35" i="19"/>
  <c r="AJ35" i="19"/>
  <c r="AU35" i="19"/>
  <c r="AV35" i="19"/>
  <c r="AZ35" i="19"/>
  <c r="BA35" i="19"/>
  <c r="BO35" i="19"/>
  <c r="CH35" i="19"/>
  <c r="W35" i="19" s="1"/>
  <c r="CS35" i="19"/>
  <c r="CT35" i="19"/>
  <c r="DD35" i="19" s="1"/>
  <c r="CU35" i="19"/>
  <c r="CV35" i="19"/>
  <c r="CW35" i="19" s="1"/>
  <c r="DC35" i="19"/>
  <c r="B36" i="19"/>
  <c r="K36" i="19"/>
  <c r="L36" i="19"/>
  <c r="AH36" i="19"/>
  <c r="AJ36" i="19"/>
  <c r="AW36" i="19"/>
  <c r="BO36" i="19"/>
  <c r="CH36" i="19"/>
  <c r="W36" i="19" s="1"/>
  <c r="CS36" i="19"/>
  <c r="DC36" i="19" s="1"/>
  <c r="CT36" i="19"/>
  <c r="DD36" i="19" s="1"/>
  <c r="CU36" i="19"/>
  <c r="CV36" i="19"/>
  <c r="CW36" i="19" s="1"/>
  <c r="B37" i="19"/>
  <c r="E37" i="19"/>
  <c r="K37" i="19"/>
  <c r="L37" i="19"/>
  <c r="AH37" i="19"/>
  <c r="AJ37" i="19"/>
  <c r="BO37" i="19"/>
  <c r="CH37" i="19"/>
  <c r="W37" i="19" s="1"/>
  <c r="CS37" i="19"/>
  <c r="DC37" i="19" s="1"/>
  <c r="CT37" i="19"/>
  <c r="CU37" i="19"/>
  <c r="CV37" i="19"/>
  <c r="DD37" i="19"/>
  <c r="B38" i="19"/>
  <c r="D16" i="59" s="1"/>
  <c r="D38" i="19"/>
  <c r="E38" i="19"/>
  <c r="G38" i="19"/>
  <c r="J38" i="19"/>
  <c r="K38" i="19"/>
  <c r="L38" i="19"/>
  <c r="AH38" i="19"/>
  <c r="AJ38" i="19"/>
  <c r="AU38" i="19"/>
  <c r="AU37" i="19" s="1"/>
  <c r="AV38" i="19"/>
  <c r="AV37" i="19" s="1"/>
  <c r="AZ38" i="19"/>
  <c r="AZ37" i="19" s="1"/>
  <c r="BA38" i="19"/>
  <c r="BA37" i="19" s="1"/>
  <c r="BO38" i="19"/>
  <c r="CH38" i="19"/>
  <c r="W38" i="19" s="1"/>
  <c r="CS38" i="19"/>
  <c r="CT38" i="19"/>
  <c r="DD38" i="19" s="1"/>
  <c r="CU38" i="19"/>
  <c r="CV38" i="19"/>
  <c r="DC38" i="19"/>
  <c r="B39" i="19"/>
  <c r="J39" i="19"/>
  <c r="K39" i="19"/>
  <c r="L39" i="19"/>
  <c r="AH39" i="19"/>
  <c r="AJ39" i="19"/>
  <c r="AU39" i="19"/>
  <c r="AV39" i="19"/>
  <c r="AZ39" i="19"/>
  <c r="BA39" i="19"/>
  <c r="CH39" i="19"/>
  <c r="W39" i="19" s="1"/>
  <c r="CS39" i="19"/>
  <c r="DC39" i="19" s="1"/>
  <c r="CT39" i="19"/>
  <c r="DD39" i="19" s="1"/>
  <c r="CU39" i="19"/>
  <c r="CV39" i="19"/>
  <c r="B40" i="19"/>
  <c r="J40" i="19"/>
  <c r="K40" i="19"/>
  <c r="L40" i="19"/>
  <c r="C40" i="18"/>
  <c r="E43" i="7" s="1"/>
  <c r="AH40" i="19"/>
  <c r="AJ40" i="19"/>
  <c r="AU40" i="19"/>
  <c r="AV40" i="19"/>
  <c r="AZ40" i="19"/>
  <c r="BA40" i="19"/>
  <c r="CH40" i="19"/>
  <c r="W40" i="19" s="1"/>
  <c r="CS40" i="19"/>
  <c r="CT40" i="19"/>
  <c r="DD40" i="19" s="1"/>
  <c r="CU40" i="19"/>
  <c r="CV40" i="19"/>
  <c r="DC40" i="19"/>
  <c r="B41" i="19"/>
  <c r="J41" i="19"/>
  <c r="K41" i="19"/>
  <c r="L41" i="19"/>
  <c r="AH41" i="19"/>
  <c r="AJ41" i="19"/>
  <c r="AU41" i="19"/>
  <c r="AU42" i="19" s="1"/>
  <c r="AV41" i="19"/>
  <c r="AZ41" i="19"/>
  <c r="BA41" i="19"/>
  <c r="CH41" i="19"/>
  <c r="W41" i="19" s="1"/>
  <c r="CS41" i="19"/>
  <c r="DC41" i="19" s="1"/>
  <c r="CT41" i="19"/>
  <c r="DD41" i="19" s="1"/>
  <c r="CU41" i="19"/>
  <c r="CV41" i="19"/>
  <c r="B42" i="19"/>
  <c r="E42" i="19" s="1"/>
  <c r="J42" i="19"/>
  <c r="K42" i="19"/>
  <c r="L42" i="19"/>
  <c r="C42" i="18"/>
  <c r="W42" i="19"/>
  <c r="AH42" i="19"/>
  <c r="AJ42" i="19"/>
  <c r="AR42" i="19"/>
  <c r="AS42" i="19"/>
  <c r="CG42" i="19"/>
  <c r="CI42" i="19" s="1"/>
  <c r="AD42" i="19" s="1"/>
  <c r="F42" i="14" s="1"/>
  <c r="CS42" i="19"/>
  <c r="CT42" i="19"/>
  <c r="DD42" i="19" s="1"/>
  <c r="CU42" i="19"/>
  <c r="CV42" i="19"/>
  <c r="DC42" i="19"/>
  <c r="B43" i="19"/>
  <c r="G43" i="19"/>
  <c r="J43" i="19"/>
  <c r="K43" i="19"/>
  <c r="L43" i="19"/>
  <c r="W43" i="19"/>
  <c r="AH43" i="19"/>
  <c r="AJ43" i="19"/>
  <c r="AW43" i="19"/>
  <c r="CG43" i="19"/>
  <c r="CI43" i="19" s="1"/>
  <c r="AD43" i="19" s="1"/>
  <c r="CS43" i="19"/>
  <c r="DC43" i="19" s="1"/>
  <c r="CT43" i="19"/>
  <c r="DD43" i="19" s="1"/>
  <c r="CU43" i="19"/>
  <c r="CV43" i="19"/>
  <c r="B44" i="19"/>
  <c r="J44" i="19"/>
  <c r="K44" i="19"/>
  <c r="L44" i="19"/>
  <c r="W44" i="19"/>
  <c r="AH44" i="19"/>
  <c r="AJ44" i="19"/>
  <c r="AR44" i="19"/>
  <c r="AS44" i="19"/>
  <c r="AW44" i="19"/>
  <c r="CG44" i="19"/>
  <c r="CI44" i="19" s="1"/>
  <c r="AD44" i="19" s="1"/>
  <c r="CS44" i="19"/>
  <c r="DC44" i="19" s="1"/>
  <c r="CT44" i="19"/>
  <c r="DD44" i="19" s="1"/>
  <c r="CU44" i="19"/>
  <c r="CV44" i="19"/>
  <c r="B45" i="19"/>
  <c r="E45" i="19" s="1"/>
  <c r="J45" i="19"/>
  <c r="K45" i="19"/>
  <c r="L45" i="19"/>
  <c r="W45" i="19"/>
  <c r="AH45" i="19"/>
  <c r="AJ45" i="19"/>
  <c r="AR45" i="19"/>
  <c r="AS45" i="19"/>
  <c r="AW45" i="19"/>
  <c r="CG45" i="19"/>
  <c r="CI45" i="19"/>
  <c r="AD45" i="19" s="1"/>
  <c r="CS45" i="19"/>
  <c r="CT45" i="19"/>
  <c r="DD45" i="19" s="1"/>
  <c r="CU45" i="19"/>
  <c r="CV45" i="19"/>
  <c r="CW45" i="19" s="1"/>
  <c r="DC45" i="19"/>
  <c r="B46" i="19"/>
  <c r="J46" i="19"/>
  <c r="K46" i="19"/>
  <c r="I46" i="19" s="1"/>
  <c r="D46" i="14" s="1"/>
  <c r="L46" i="19"/>
  <c r="W46" i="19"/>
  <c r="AH46" i="19"/>
  <c r="AJ46" i="19"/>
  <c r="AR46" i="19"/>
  <c r="AS46" i="19"/>
  <c r="AW46" i="19"/>
  <c r="CG46" i="19"/>
  <c r="CI46" i="19" s="1"/>
  <c r="AD46" i="19" s="1"/>
  <c r="F46" i="14" s="1"/>
  <c r="S46" i="14" s="1"/>
  <c r="CS46" i="19"/>
  <c r="CT46" i="19"/>
  <c r="DD46" i="19" s="1"/>
  <c r="CU46" i="19"/>
  <c r="CV46" i="19"/>
  <c r="DC46" i="19"/>
  <c r="B47" i="19"/>
  <c r="J47" i="19"/>
  <c r="K47" i="19"/>
  <c r="L47" i="19"/>
  <c r="W47" i="19"/>
  <c r="AH47" i="19"/>
  <c r="AJ47" i="19"/>
  <c r="AW47" i="19"/>
  <c r="CG47" i="19"/>
  <c r="CI47" i="19" s="1"/>
  <c r="AD47" i="19" s="1"/>
  <c r="CS47" i="19"/>
  <c r="CT47" i="19"/>
  <c r="DD47" i="19" s="1"/>
  <c r="CU47" i="19"/>
  <c r="CV47" i="19"/>
  <c r="DC47" i="19"/>
  <c r="B48" i="19"/>
  <c r="G48" i="19"/>
  <c r="J48" i="19"/>
  <c r="K48" i="19"/>
  <c r="L48" i="19"/>
  <c r="W48" i="19"/>
  <c r="AH48" i="19"/>
  <c r="AJ48" i="19"/>
  <c r="AR48" i="19"/>
  <c r="AW48" i="19"/>
  <c r="BI48" i="19"/>
  <c r="CG48" i="19"/>
  <c r="CI48" i="19" s="1"/>
  <c r="AD48" i="19" s="1"/>
  <c r="CS48" i="19"/>
  <c r="CT48" i="19"/>
  <c r="DD48" i="19" s="1"/>
  <c r="CU48" i="19"/>
  <c r="CV48" i="19"/>
  <c r="DC48" i="19"/>
  <c r="B49" i="19"/>
  <c r="J49" i="19"/>
  <c r="K49" i="19"/>
  <c r="L49" i="19"/>
  <c r="W49" i="19"/>
  <c r="AH49" i="19"/>
  <c r="AJ49" i="19"/>
  <c r="AW49" i="19"/>
  <c r="CG49" i="19"/>
  <c r="CI49" i="19" s="1"/>
  <c r="AD49" i="19" s="1"/>
  <c r="F49" i="14" s="1"/>
  <c r="S49" i="14" s="1"/>
  <c r="CS49" i="19"/>
  <c r="DC49" i="19" s="1"/>
  <c r="CT49" i="19"/>
  <c r="CU49" i="19"/>
  <c r="CV49" i="19"/>
  <c r="DD49" i="19"/>
  <c r="B50" i="19"/>
  <c r="G50" i="19"/>
  <c r="J50" i="19"/>
  <c r="K50" i="19"/>
  <c r="L50" i="19"/>
  <c r="V50" i="19"/>
  <c r="W50" i="19"/>
  <c r="AH50" i="19"/>
  <c r="AJ50" i="19"/>
  <c r="AW50" i="19"/>
  <c r="CI50" i="19"/>
  <c r="AD50" i="19" s="1"/>
  <c r="F50" i="14" s="1"/>
  <c r="CS50" i="19"/>
  <c r="DC50" i="19" s="1"/>
  <c r="CT50" i="19"/>
  <c r="CU50" i="19"/>
  <c r="CV50" i="19"/>
  <c r="DD50" i="19"/>
  <c r="B51" i="19"/>
  <c r="D29" i="59" s="1"/>
  <c r="D51" i="19"/>
  <c r="E51" i="19"/>
  <c r="G51" i="19"/>
  <c r="J51" i="19"/>
  <c r="K51" i="19"/>
  <c r="L51" i="19"/>
  <c r="W51" i="19"/>
  <c r="AH51" i="19"/>
  <c r="AJ51" i="19"/>
  <c r="AW51" i="19"/>
  <c r="AY50" i="19"/>
  <c r="M50" i="14" s="1"/>
  <c r="E53" i="29" s="1"/>
  <c r="CI51" i="19"/>
  <c r="AD51" i="19" s="1"/>
  <c r="CS51" i="19"/>
  <c r="DC51" i="19" s="1"/>
  <c r="CT51" i="19"/>
  <c r="DD51" i="19" s="1"/>
  <c r="CU51" i="19"/>
  <c r="CV51" i="19"/>
  <c r="B52" i="19"/>
  <c r="G52" i="19"/>
  <c r="J52" i="19"/>
  <c r="K52" i="19"/>
  <c r="L52" i="19"/>
  <c r="W52" i="19"/>
  <c r="AH52" i="19"/>
  <c r="AJ52" i="19"/>
  <c r="AW52" i="19"/>
  <c r="CI52" i="19"/>
  <c r="CS52" i="19"/>
  <c r="DC52" i="19" s="1"/>
  <c r="CT52" i="19"/>
  <c r="DD52" i="19" s="1"/>
  <c r="CU52" i="19"/>
  <c r="CV52" i="19"/>
  <c r="B53" i="19"/>
  <c r="J53" i="19"/>
  <c r="K53" i="19"/>
  <c r="L53" i="19"/>
  <c r="AH53" i="19"/>
  <c r="AJ53" i="19"/>
  <c r="AW53" i="19"/>
  <c r="AY53" i="19" s="1"/>
  <c r="M53" i="14" s="1"/>
  <c r="E56" i="29" s="1"/>
  <c r="CI53" i="19"/>
  <c r="CS53" i="19"/>
  <c r="DC53" i="19" s="1"/>
  <c r="CT53" i="19"/>
  <c r="DD53" i="19" s="1"/>
  <c r="CU53" i="19"/>
  <c r="CV53" i="19"/>
  <c r="B54" i="19"/>
  <c r="G54" i="19"/>
  <c r="H54" i="19"/>
  <c r="AH54" i="19"/>
  <c r="AJ54" i="19"/>
  <c r="AW54" i="19"/>
  <c r="AY54" i="19" s="1"/>
  <c r="M54" i="14" s="1"/>
  <c r="E57" i="29" s="1"/>
  <c r="U534" i="36" s="1"/>
  <c r="CS54" i="19"/>
  <c r="CT54" i="19"/>
  <c r="DD54" i="19" s="1"/>
  <c r="CU54" i="19"/>
  <c r="CV54" i="19"/>
  <c r="DC54" i="19"/>
  <c r="B55" i="19"/>
  <c r="G55" i="19"/>
  <c r="J55" i="19"/>
  <c r="K55" i="19"/>
  <c r="L55" i="19"/>
  <c r="AH55" i="19"/>
  <c r="AJ55" i="19"/>
  <c r="AW55" i="19"/>
  <c r="AY55" i="19" s="1"/>
  <c r="BK78" i="19"/>
  <c r="BN78" i="19" s="1"/>
  <c r="CS55" i="19"/>
  <c r="CT55" i="19"/>
  <c r="DD55" i="19" s="1"/>
  <c r="CU55" i="19"/>
  <c r="CV55" i="19"/>
  <c r="DC55" i="19"/>
  <c r="B56" i="19"/>
  <c r="G56" i="19"/>
  <c r="H56" i="19"/>
  <c r="L56" i="19"/>
  <c r="AH56" i="19"/>
  <c r="AJ56" i="19"/>
  <c r="AW56" i="19"/>
  <c r="AY56" i="19" s="1"/>
  <c r="M56" i="14" s="1"/>
  <c r="E59" i="29" s="1"/>
  <c r="BJ79" i="19"/>
  <c r="BN79" i="19"/>
  <c r="CS56" i="19"/>
  <c r="DC56" i="19" s="1"/>
  <c r="CT56" i="19"/>
  <c r="DD56" i="19" s="1"/>
  <c r="CU56" i="19"/>
  <c r="CV56" i="19"/>
  <c r="B57" i="19"/>
  <c r="E57" i="19" s="1"/>
  <c r="G57" i="19"/>
  <c r="H57" i="19"/>
  <c r="AH57" i="19"/>
  <c r="AJ57" i="19"/>
  <c r="AW57" i="19"/>
  <c r="AY57" i="19" s="1"/>
  <c r="M57" i="14" s="1"/>
  <c r="E60" i="29" s="1"/>
  <c r="U537" i="36" s="1"/>
  <c r="BJ80" i="19"/>
  <c r="BK80" i="19"/>
  <c r="BN80" i="19" s="1"/>
  <c r="CS57" i="19"/>
  <c r="DC57" i="19" s="1"/>
  <c r="CT57" i="19"/>
  <c r="DD57" i="19" s="1"/>
  <c r="CU57" i="19"/>
  <c r="CV57" i="19"/>
  <c r="CZ57" i="19" s="1"/>
  <c r="B58" i="19"/>
  <c r="E58" i="19" s="1"/>
  <c r="G58" i="19"/>
  <c r="J58" i="19"/>
  <c r="L58" i="19"/>
  <c r="AH58" i="19"/>
  <c r="BJ81" i="19"/>
  <c r="BN81" i="19"/>
  <c r="BP81" i="19"/>
  <c r="CS58" i="19"/>
  <c r="AM58" i="19" s="1"/>
  <c r="CT58" i="19"/>
  <c r="AN58" i="19" s="1"/>
  <c r="CU58" i="19"/>
  <c r="CV58" i="19"/>
  <c r="B59" i="19"/>
  <c r="G59" i="19"/>
  <c r="J59" i="19"/>
  <c r="K59" i="19"/>
  <c r="L59" i="19"/>
  <c r="AJ59" i="19"/>
  <c r="AJ60" i="19" s="1"/>
  <c r="BJ82" i="19"/>
  <c r="BN82" i="19"/>
  <c r="BP82" i="19"/>
  <c r="CS59" i="19"/>
  <c r="AM59" i="19" s="1"/>
  <c r="CT59" i="19"/>
  <c r="AN59" i="19" s="1"/>
  <c r="CU59" i="19"/>
  <c r="CV59" i="19"/>
  <c r="B60" i="19"/>
  <c r="G60" i="19"/>
  <c r="J60" i="19"/>
  <c r="K60" i="19"/>
  <c r="L60" i="19"/>
  <c r="BJ85" i="19"/>
  <c r="BN85" i="19"/>
  <c r="BP85" i="19"/>
  <c r="CS60" i="19"/>
  <c r="AM60" i="19" s="1"/>
  <c r="CT60" i="19"/>
  <c r="AN60" i="19" s="1"/>
  <c r="CU60" i="19"/>
  <c r="CV60" i="19"/>
  <c r="B61" i="19"/>
  <c r="G61" i="19"/>
  <c r="J61" i="19"/>
  <c r="K61" i="19"/>
  <c r="L61" i="19"/>
  <c r="AY61" i="19"/>
  <c r="M61" i="14" s="1"/>
  <c r="BJ86" i="19"/>
  <c r="BL86" i="19"/>
  <c r="BN86" i="19" s="1"/>
  <c r="BP86" i="19"/>
  <c r="BW61" i="19" s="1"/>
  <c r="W39" i="50" s="1"/>
  <c r="Y39" i="50" s="1"/>
  <c r="CS61" i="19"/>
  <c r="AM61" i="19" s="1"/>
  <c r="CT61" i="19"/>
  <c r="AN61" i="19" s="1"/>
  <c r="CU61" i="19"/>
  <c r="CV61" i="19"/>
  <c r="B62" i="19"/>
  <c r="G62" i="19"/>
  <c r="J62" i="19"/>
  <c r="K62" i="19"/>
  <c r="L62" i="19"/>
  <c r="Y62" i="19"/>
  <c r="AY62" i="19"/>
  <c r="M62" i="14" s="1"/>
  <c r="BJ87" i="19"/>
  <c r="BN87" i="19"/>
  <c r="BP87" i="19"/>
  <c r="BW62" i="19" s="1"/>
  <c r="W40" i="50" s="1"/>
  <c r="Y40" i="50" s="1"/>
  <c r="CS62" i="19"/>
  <c r="AM62" i="19" s="1"/>
  <c r="CT62" i="19"/>
  <c r="AN62" i="19" s="1"/>
  <c r="CU62" i="19"/>
  <c r="CV62" i="19"/>
  <c r="CW62" i="19" s="1"/>
  <c r="B63" i="19"/>
  <c r="E63" i="19"/>
  <c r="G63" i="19"/>
  <c r="J63" i="19"/>
  <c r="K63" i="19"/>
  <c r="L63" i="19"/>
  <c r="Y63" i="19"/>
  <c r="BK88" i="19"/>
  <c r="BN88" i="19" s="1"/>
  <c r="CS63" i="19"/>
  <c r="AM63" i="19" s="1"/>
  <c r="CT63" i="19"/>
  <c r="AN63" i="19" s="1"/>
  <c r="CU63" i="19"/>
  <c r="CV63" i="19"/>
  <c r="B64" i="19"/>
  <c r="E64" i="19" s="1"/>
  <c r="G64" i="19"/>
  <c r="J64" i="19"/>
  <c r="K64" i="19"/>
  <c r="L64" i="19"/>
  <c r="Y64" i="19"/>
  <c r="BK89" i="19"/>
  <c r="BN89" i="19" s="1"/>
  <c r="BP89" i="19"/>
  <c r="CS64" i="19"/>
  <c r="AM64" i="19" s="1"/>
  <c r="CT64" i="19"/>
  <c r="AN64" i="19" s="1"/>
  <c r="CU64" i="19"/>
  <c r="CV64" i="19"/>
  <c r="CW64" i="19" s="1"/>
  <c r="B65" i="19"/>
  <c r="E65" i="19" s="1"/>
  <c r="K65" i="19"/>
  <c r="L65" i="19"/>
  <c r="BK90" i="19"/>
  <c r="BN90" i="19" s="1"/>
  <c r="CS65" i="19"/>
  <c r="AM65" i="19" s="1"/>
  <c r="CT65" i="19"/>
  <c r="AN65" i="19" s="1"/>
  <c r="CU65" i="19"/>
  <c r="CV65" i="19"/>
  <c r="D66" i="19"/>
  <c r="E66" i="19"/>
  <c r="J66" i="19"/>
  <c r="K66" i="19"/>
  <c r="L66" i="19"/>
  <c r="BK91" i="19"/>
  <c r="BN91" i="19" s="1"/>
  <c r="CS66" i="19"/>
  <c r="AM66" i="19" s="1"/>
  <c r="CT66" i="19"/>
  <c r="AN66" i="19" s="1"/>
  <c r="CU66" i="19"/>
  <c r="CV66" i="19"/>
  <c r="D67" i="19"/>
  <c r="E67" i="19"/>
  <c r="CS67" i="19"/>
  <c r="AM67" i="19" s="1"/>
  <c r="CT67" i="19"/>
  <c r="AN67" i="19" s="1"/>
  <c r="CU67" i="19"/>
  <c r="CV67" i="19"/>
  <c r="AD87" i="19"/>
  <c r="E11" i="10"/>
  <c r="E13" i="10"/>
  <c r="E15" i="10"/>
  <c r="E17" i="10"/>
  <c r="C21" i="18"/>
  <c r="E24" i="10"/>
  <c r="C22" i="18"/>
  <c r="C23" i="18"/>
  <c r="E26" i="10"/>
  <c r="B24" i="18"/>
  <c r="C24" i="18"/>
  <c r="B25" i="18"/>
  <c r="C25" i="18"/>
  <c r="B26" i="18"/>
  <c r="C26" i="18"/>
  <c r="D26" i="18"/>
  <c r="E29" i="10"/>
  <c r="B27" i="18"/>
  <c r="C27" i="18"/>
  <c r="D27" i="18"/>
  <c r="E29" i="25" s="1"/>
  <c r="D28" i="18"/>
  <c r="F28" i="18"/>
  <c r="G28" i="18"/>
  <c r="D29" i="18"/>
  <c r="F29" i="18"/>
  <c r="G29" i="18"/>
  <c r="DD31" i="25" s="1"/>
  <c r="D30" i="18"/>
  <c r="F30" i="18"/>
  <c r="G30" i="18"/>
  <c r="DD32" i="25" s="1"/>
  <c r="D31" i="18"/>
  <c r="F31" i="18"/>
  <c r="G31" i="18"/>
  <c r="DD33" i="25" s="1"/>
  <c r="K31" i="18"/>
  <c r="D32" i="18"/>
  <c r="E34" i="25" s="1"/>
  <c r="F32" i="18"/>
  <c r="G32" i="18"/>
  <c r="K32" i="18"/>
  <c r="D33" i="18"/>
  <c r="F33" i="18"/>
  <c r="G33" i="18"/>
  <c r="DD35" i="25" s="1"/>
  <c r="K33" i="18"/>
  <c r="D34" i="18"/>
  <c r="E36" i="25" s="1"/>
  <c r="F34" i="18"/>
  <c r="G34" i="18"/>
  <c r="K34" i="18"/>
  <c r="D35" i="18"/>
  <c r="E37" i="25" s="1"/>
  <c r="F35" i="18"/>
  <c r="G35" i="18"/>
  <c r="K35" i="18"/>
  <c r="D36" i="18"/>
  <c r="F36" i="18"/>
  <c r="G36" i="18"/>
  <c r="DD38" i="25" s="1"/>
  <c r="K36" i="18"/>
  <c r="D37" i="18"/>
  <c r="F37" i="18"/>
  <c r="G37" i="18"/>
  <c r="DD39" i="25" s="1"/>
  <c r="K37" i="18"/>
  <c r="D38" i="18"/>
  <c r="E40" i="25" s="1"/>
  <c r="F38" i="18"/>
  <c r="G38" i="18"/>
  <c r="K38" i="18"/>
  <c r="D39" i="18"/>
  <c r="F39" i="18"/>
  <c r="G39" i="18"/>
  <c r="DD41" i="25" s="1"/>
  <c r="K39" i="18"/>
  <c r="D40" i="18"/>
  <c r="F40" i="18"/>
  <c r="G40" i="18"/>
  <c r="DD42" i="25" s="1"/>
  <c r="K40" i="18"/>
  <c r="D41" i="18"/>
  <c r="F41" i="18"/>
  <c r="G41" i="18"/>
  <c r="DD43" i="25" s="1"/>
  <c r="K41" i="18"/>
  <c r="D42" i="18"/>
  <c r="F42" i="18"/>
  <c r="G42" i="18"/>
  <c r="DD44" i="25" s="1"/>
  <c r="K42" i="18"/>
  <c r="D43" i="18"/>
  <c r="E45" i="25" s="1"/>
  <c r="F43" i="18"/>
  <c r="G43" i="18"/>
  <c r="K43" i="18"/>
  <c r="D44" i="18"/>
  <c r="E46" i="25" s="1"/>
  <c r="F44" i="18"/>
  <c r="G44" i="18"/>
  <c r="K44" i="18"/>
  <c r="D45" i="18"/>
  <c r="E47" i="25" s="1"/>
  <c r="F45" i="18"/>
  <c r="G45" i="18"/>
  <c r="DD47" i="25" s="1"/>
  <c r="K45" i="18"/>
  <c r="D46" i="18"/>
  <c r="E48" i="25" s="1"/>
  <c r="U432" i="36" s="1"/>
  <c r="F46" i="18"/>
  <c r="G46" i="18"/>
  <c r="K46" i="18"/>
  <c r="D47" i="18"/>
  <c r="E49" i="25" s="1"/>
  <c r="U433" i="36" s="1"/>
  <c r="F47" i="18"/>
  <c r="G47" i="18"/>
  <c r="K47" i="18"/>
  <c r="D48" i="18"/>
  <c r="F48" i="18"/>
  <c r="G48" i="18"/>
  <c r="K48" i="18"/>
  <c r="D49" i="18"/>
  <c r="E51" i="25" s="1"/>
  <c r="U435" i="36" s="1"/>
  <c r="F49" i="18"/>
  <c r="G49" i="18"/>
  <c r="K49" i="18"/>
  <c r="D50" i="18"/>
  <c r="F50" i="18"/>
  <c r="G50" i="18"/>
  <c r="DD52" i="25" s="1"/>
  <c r="K50" i="18"/>
  <c r="D51" i="18"/>
  <c r="F51" i="18"/>
  <c r="G51" i="18"/>
  <c r="DD53" i="25" s="1"/>
  <c r="K51" i="18"/>
  <c r="D52" i="18"/>
  <c r="E54" i="25" s="1"/>
  <c r="U438" i="36" s="1"/>
  <c r="F52" i="18"/>
  <c r="G52" i="18"/>
  <c r="K52" i="18"/>
  <c r="D53" i="18"/>
  <c r="E55" i="25" s="1"/>
  <c r="U439" i="36" s="1"/>
  <c r="F53" i="18"/>
  <c r="G53" i="18"/>
  <c r="K53" i="18"/>
  <c r="D54" i="18"/>
  <c r="F54" i="18"/>
  <c r="G54" i="18"/>
  <c r="E57" i="10"/>
  <c r="K54" i="18"/>
  <c r="D55" i="18"/>
  <c r="E57" i="25" s="1"/>
  <c r="U441" i="36" s="1"/>
  <c r="F55" i="18"/>
  <c r="G55" i="18"/>
  <c r="K55" i="18"/>
  <c r="D56" i="18"/>
  <c r="E58" i="25" s="1"/>
  <c r="U442" i="36" s="1"/>
  <c r="F56" i="18"/>
  <c r="G56" i="18"/>
  <c r="E59" i="10"/>
  <c r="K56" i="18"/>
  <c r="D57" i="18"/>
  <c r="E59" i="25" s="1"/>
  <c r="F57" i="18"/>
  <c r="G57" i="18"/>
  <c r="K57" i="18"/>
  <c r="D58" i="18"/>
  <c r="G58" i="18"/>
  <c r="DD60" i="25" s="1"/>
  <c r="K58" i="18"/>
  <c r="D59" i="18"/>
  <c r="E61" i="25" s="1"/>
  <c r="G59" i="18"/>
  <c r="U61" i="25" s="1"/>
  <c r="D60" i="18"/>
  <c r="E62" i="25" s="1"/>
  <c r="U446" i="36" s="1"/>
  <c r="G60" i="18"/>
  <c r="E63" i="10"/>
  <c r="D61" i="18"/>
  <c r="D62" i="18"/>
  <c r="E64" i="25" s="1"/>
  <c r="D63" i="18"/>
  <c r="D64" i="18"/>
  <c r="D65" i="18"/>
  <c r="E68" i="10"/>
  <c r="D66" i="18"/>
  <c r="E69" i="10"/>
  <c r="Q7" i="15"/>
  <c r="K7" i="15" s="1"/>
  <c r="I10" i="10" s="1"/>
  <c r="Q8" i="15"/>
  <c r="K8" i="15" s="1"/>
  <c r="I11" i="10" s="1"/>
  <c r="Q9" i="15"/>
  <c r="K9" i="15" s="1"/>
  <c r="I12" i="10" s="1"/>
  <c r="Q10" i="15"/>
  <c r="K10" i="15" s="1"/>
  <c r="I13" i="10" s="1"/>
  <c r="Q11" i="15"/>
  <c r="K11" i="15" s="1"/>
  <c r="I14" i="10" s="1"/>
  <c r="Q12" i="15"/>
  <c r="K12" i="15" s="1"/>
  <c r="I15" i="10" s="1"/>
  <c r="Q13" i="15"/>
  <c r="K13" i="15" s="1"/>
  <c r="I16" i="10" s="1"/>
  <c r="Q14" i="15"/>
  <c r="K14" i="15" s="1"/>
  <c r="I17" i="10" s="1"/>
  <c r="Q15" i="15"/>
  <c r="K15" i="15" s="1"/>
  <c r="I18" i="10" s="1"/>
  <c r="Q16" i="15"/>
  <c r="K16" i="15" s="1"/>
  <c r="I19" i="10" s="1"/>
  <c r="Q17" i="15"/>
  <c r="K17" i="15" s="1"/>
  <c r="I20" i="10" s="1"/>
  <c r="Q18" i="15"/>
  <c r="K18" i="15" s="1"/>
  <c r="I21" i="10" s="1"/>
  <c r="Q19" i="15"/>
  <c r="K19" i="15" s="1"/>
  <c r="I22" i="10" s="1"/>
  <c r="I20" i="15"/>
  <c r="Q20" i="15"/>
  <c r="K20" i="15" s="1"/>
  <c r="I23" i="10" s="1"/>
  <c r="I21" i="15"/>
  <c r="Q21" i="15"/>
  <c r="K21" i="15" s="1"/>
  <c r="I24" i="10" s="1"/>
  <c r="I22" i="15"/>
  <c r="Q22" i="15"/>
  <c r="K22" i="15" s="1"/>
  <c r="I25" i="10" s="1"/>
  <c r="I23" i="15"/>
  <c r="Q23" i="15"/>
  <c r="K23" i="15" s="1"/>
  <c r="I26" i="10" s="1"/>
  <c r="I24" i="15"/>
  <c r="DC26" i="25" s="1"/>
  <c r="DJ26" i="25" s="1"/>
  <c r="Q24" i="15"/>
  <c r="K24" i="15" s="1"/>
  <c r="I27" i="10" s="1"/>
  <c r="I25" i="15"/>
  <c r="DC27" i="25" s="1"/>
  <c r="DJ27" i="25" s="1"/>
  <c r="Q25" i="15"/>
  <c r="K25" i="15" s="1"/>
  <c r="I28" i="10" s="1"/>
  <c r="I26" i="15"/>
  <c r="DC28" i="25" s="1"/>
  <c r="DJ28" i="25" s="1"/>
  <c r="Q26" i="15"/>
  <c r="K26" i="15" s="1"/>
  <c r="I29" i="10" s="1"/>
  <c r="I27" i="15"/>
  <c r="DC29" i="25" s="1"/>
  <c r="DJ29" i="25" s="1"/>
  <c r="Q27" i="15"/>
  <c r="K27" i="15" s="1"/>
  <c r="I30" i="10" s="1"/>
  <c r="AX6" i="50"/>
  <c r="AY6" i="50" s="1"/>
  <c r="I28" i="15"/>
  <c r="DC30" i="25" s="1"/>
  <c r="DJ30" i="25" s="1"/>
  <c r="Q28" i="15"/>
  <c r="K28" i="15" s="1"/>
  <c r="I31" i="10" s="1"/>
  <c r="AX7" i="50"/>
  <c r="AY7" i="50" s="1"/>
  <c r="I29" i="15"/>
  <c r="DC31" i="25" s="1"/>
  <c r="DJ31" i="25" s="1"/>
  <c r="Q29" i="15"/>
  <c r="K29" i="15" s="1"/>
  <c r="I32" i="10" s="1"/>
  <c r="AX8" i="50"/>
  <c r="AY8" i="50" s="1"/>
  <c r="I30" i="15"/>
  <c r="DC32" i="25" s="1"/>
  <c r="DJ32" i="25" s="1"/>
  <c r="Q30" i="15"/>
  <c r="K30" i="15" s="1"/>
  <c r="I33" i="10" s="1"/>
  <c r="AX9" i="50"/>
  <c r="AY9" i="50" s="1"/>
  <c r="I31" i="15"/>
  <c r="DC33" i="25" s="1"/>
  <c r="DJ33" i="25" s="1"/>
  <c r="Q31" i="15"/>
  <c r="K31" i="15" s="1"/>
  <c r="I34" i="10" s="1"/>
  <c r="AX10" i="50"/>
  <c r="AY10" i="50" s="1"/>
  <c r="I32" i="15"/>
  <c r="DC34" i="25" s="1"/>
  <c r="DJ34" i="25" s="1"/>
  <c r="Q32" i="15"/>
  <c r="K32" i="15" s="1"/>
  <c r="I35" i="10" s="1"/>
  <c r="AX11" i="50"/>
  <c r="AY11" i="50" s="1"/>
  <c r="I33" i="15"/>
  <c r="DC35" i="25" s="1"/>
  <c r="DJ35" i="25" s="1"/>
  <c r="Q33" i="15"/>
  <c r="K33" i="15" s="1"/>
  <c r="I36" i="10" s="1"/>
  <c r="AX12" i="50"/>
  <c r="AY12" i="50" s="1"/>
  <c r="I34" i="15"/>
  <c r="DC36" i="25" s="1"/>
  <c r="DJ36" i="25" s="1"/>
  <c r="Q34" i="15"/>
  <c r="K34" i="15" s="1"/>
  <c r="I37" i="10" s="1"/>
  <c r="AX13" i="50"/>
  <c r="AY13" i="50" s="1"/>
  <c r="I35" i="15"/>
  <c r="DC37" i="25" s="1"/>
  <c r="DJ37" i="25" s="1"/>
  <c r="Q35" i="15"/>
  <c r="K35" i="15" s="1"/>
  <c r="I38" i="10" s="1"/>
  <c r="AX14" i="50"/>
  <c r="AY14" i="50" s="1"/>
  <c r="I36" i="15"/>
  <c r="DC38" i="25" s="1"/>
  <c r="DJ38" i="25" s="1"/>
  <c r="Q36" i="15"/>
  <c r="K36" i="15" s="1"/>
  <c r="I39" i="10" s="1"/>
  <c r="AX15" i="50"/>
  <c r="AY15" i="50" s="1"/>
  <c r="I37" i="15"/>
  <c r="DC39" i="25" s="1"/>
  <c r="DJ39" i="25" s="1"/>
  <c r="Q37" i="15"/>
  <c r="K37" i="15" s="1"/>
  <c r="I40" i="10" s="1"/>
  <c r="AX16" i="50"/>
  <c r="AY16" i="50" s="1"/>
  <c r="I38" i="15"/>
  <c r="DC40" i="25" s="1"/>
  <c r="DJ40" i="25" s="1"/>
  <c r="Q38" i="15"/>
  <c r="K38" i="15" s="1"/>
  <c r="I41" i="10" s="1"/>
  <c r="AX17" i="50"/>
  <c r="AY17" i="50" s="1"/>
  <c r="I39" i="15"/>
  <c r="DC41" i="25" s="1"/>
  <c r="DJ41" i="25" s="1"/>
  <c r="Q39" i="15"/>
  <c r="K39" i="15" s="1"/>
  <c r="I42" i="10" s="1"/>
  <c r="AX18" i="50"/>
  <c r="AY18" i="50" s="1"/>
  <c r="I40" i="15"/>
  <c r="DC42" i="25" s="1"/>
  <c r="DJ42" i="25" s="1"/>
  <c r="Q40" i="15"/>
  <c r="K40" i="15" s="1"/>
  <c r="I43" i="10" s="1"/>
  <c r="AX19" i="50"/>
  <c r="AY19" i="50" s="1"/>
  <c r="I41" i="15"/>
  <c r="DC43" i="25" s="1"/>
  <c r="DJ43" i="25" s="1"/>
  <c r="Q41" i="15"/>
  <c r="K41" i="15" s="1"/>
  <c r="I44" i="10" s="1"/>
  <c r="AX20" i="50"/>
  <c r="AY20" i="50" s="1"/>
  <c r="I42" i="15"/>
  <c r="DC44" i="25" s="1"/>
  <c r="DJ44" i="25" s="1"/>
  <c r="Q42" i="15"/>
  <c r="K42" i="15" s="1"/>
  <c r="I45" i="10" s="1"/>
  <c r="AX21" i="50"/>
  <c r="AY21" i="50" s="1"/>
  <c r="I43" i="15"/>
  <c r="DC45" i="25" s="1"/>
  <c r="DJ45" i="25" s="1"/>
  <c r="Q43" i="15"/>
  <c r="K43" i="15" s="1"/>
  <c r="I46" i="10" s="1"/>
  <c r="AX22" i="50"/>
  <c r="AY22" i="50" s="1"/>
  <c r="I44" i="15"/>
  <c r="DC46" i="25" s="1"/>
  <c r="DJ46" i="25" s="1"/>
  <c r="Q44" i="15"/>
  <c r="K44" i="15" s="1"/>
  <c r="I47" i="10" s="1"/>
  <c r="AX23" i="50"/>
  <c r="AY23" i="50" s="1"/>
  <c r="I45" i="15"/>
  <c r="DC47" i="25" s="1"/>
  <c r="DJ47" i="25" s="1"/>
  <c r="Q45" i="15"/>
  <c r="K45" i="15" s="1"/>
  <c r="I48" i="10" s="1"/>
  <c r="AX24" i="50"/>
  <c r="AY24" i="50" s="1"/>
  <c r="I46" i="15"/>
  <c r="DC48" i="25" s="1"/>
  <c r="DJ48" i="25" s="1"/>
  <c r="Q46" i="15"/>
  <c r="K46" i="15" s="1"/>
  <c r="I49" i="10" s="1"/>
  <c r="I47" i="15"/>
  <c r="DC49" i="25" s="1"/>
  <c r="DJ49" i="25" s="1"/>
  <c r="Q47" i="15"/>
  <c r="K47" i="15" s="1"/>
  <c r="I50" i="10" s="1"/>
  <c r="AX26" i="50"/>
  <c r="AY26" i="50" s="1"/>
  <c r="I48" i="15"/>
  <c r="DC50" i="25" s="1"/>
  <c r="DJ50" i="25" s="1"/>
  <c r="Q48" i="15"/>
  <c r="K48" i="15" s="1"/>
  <c r="I51" i="10" s="1"/>
  <c r="D49" i="15"/>
  <c r="I49" i="15"/>
  <c r="DC51" i="25" s="1"/>
  <c r="DJ51" i="25" s="1"/>
  <c r="Q49" i="15"/>
  <c r="K49" i="15" s="1"/>
  <c r="I52" i="10" s="1"/>
  <c r="D50" i="15"/>
  <c r="I50" i="15"/>
  <c r="DC52" i="25" s="1"/>
  <c r="DJ52" i="25" s="1"/>
  <c r="Q50" i="15"/>
  <c r="K50" i="15" s="1"/>
  <c r="I53" i="10" s="1"/>
  <c r="D51" i="15"/>
  <c r="I51" i="15"/>
  <c r="DC53" i="25" s="1"/>
  <c r="DJ53" i="25" s="1"/>
  <c r="Q51" i="15"/>
  <c r="K51" i="15" s="1"/>
  <c r="I54" i="10" s="1"/>
  <c r="D52" i="15"/>
  <c r="I52" i="15"/>
  <c r="DC54" i="25" s="1"/>
  <c r="DJ54" i="25" s="1"/>
  <c r="Q52" i="15"/>
  <c r="K52" i="15" s="1"/>
  <c r="D53" i="15"/>
  <c r="I53" i="15"/>
  <c r="DC55" i="25" s="1"/>
  <c r="DJ55" i="25" s="1"/>
  <c r="Q53" i="15"/>
  <c r="K53" i="15" s="1"/>
  <c r="I56" i="10" s="1"/>
  <c r="D54" i="15"/>
  <c r="I54" i="15"/>
  <c r="DC56" i="25" s="1"/>
  <c r="DJ56" i="25" s="1"/>
  <c r="Q54" i="15"/>
  <c r="K54" i="15" s="1"/>
  <c r="I57" i="10" s="1"/>
  <c r="D55" i="15"/>
  <c r="I55" i="15"/>
  <c r="DC57" i="25" s="1"/>
  <c r="DJ57" i="25" s="1"/>
  <c r="Q55" i="15"/>
  <c r="K55" i="15" s="1"/>
  <c r="D56" i="15"/>
  <c r="I56" i="15"/>
  <c r="DC58" i="25" s="1"/>
  <c r="DJ58" i="25" s="1"/>
  <c r="Q56" i="15"/>
  <c r="K56" i="15" s="1"/>
  <c r="I59" i="10" s="1"/>
  <c r="I57" i="15"/>
  <c r="DC59" i="25" s="1"/>
  <c r="DJ59" i="25" s="1"/>
  <c r="Q57" i="15"/>
  <c r="K57" i="15" s="1"/>
  <c r="I60" i="10" s="1"/>
  <c r="I58" i="15"/>
  <c r="DC60" i="25" s="1"/>
  <c r="DJ60" i="25" s="1"/>
  <c r="Q58" i="15"/>
  <c r="K58" i="15" s="1"/>
  <c r="I59" i="15"/>
  <c r="DC61" i="25" s="1"/>
  <c r="DJ61" i="25" s="1"/>
  <c r="Q59" i="15"/>
  <c r="K59" i="15" s="1"/>
  <c r="I62" i="10" s="1"/>
  <c r="I60" i="15"/>
  <c r="DC62" i="25" s="1"/>
  <c r="DJ62" i="25" s="1"/>
  <c r="Q60" i="15"/>
  <c r="K60" i="15" s="1"/>
  <c r="I63" i="10" s="1"/>
  <c r="I61" i="15"/>
  <c r="DC63" i="25" s="1"/>
  <c r="DJ63" i="25" s="1"/>
  <c r="Q61" i="15"/>
  <c r="K61" i="15" s="1"/>
  <c r="I62" i="15"/>
  <c r="DC64" i="25" s="1"/>
  <c r="DJ64" i="25" s="1"/>
  <c r="Q62" i="15"/>
  <c r="K62" i="15" s="1"/>
  <c r="I63" i="15"/>
  <c r="DC65" i="25" s="1"/>
  <c r="DJ65" i="25" s="1"/>
  <c r="Q63" i="15"/>
  <c r="K63" i="15" s="1"/>
  <c r="I64" i="15"/>
  <c r="DC66" i="25" s="1"/>
  <c r="DJ66" i="25" s="1"/>
  <c r="Q64" i="15"/>
  <c r="K64" i="15" s="1"/>
  <c r="I67" i="10" s="1"/>
  <c r="I65" i="15"/>
  <c r="DC67" i="25" s="1"/>
  <c r="DJ67" i="25" s="1"/>
  <c r="Q65" i="15"/>
  <c r="K65" i="15" s="1"/>
  <c r="I68" i="10" s="1"/>
  <c r="I66" i="15"/>
  <c r="DC68" i="25" s="1"/>
  <c r="DJ68" i="25" s="1"/>
  <c r="Q66" i="15"/>
  <c r="K66" i="15" s="1"/>
  <c r="I69" i="10" s="1"/>
  <c r="O20" i="14"/>
  <c r="O21" i="14"/>
  <c r="E22" i="33" s="1"/>
  <c r="O22" i="14"/>
  <c r="O23" i="14"/>
  <c r="E24" i="33" s="1"/>
  <c r="O24" i="14"/>
  <c r="O25" i="14"/>
  <c r="E26" i="33" s="1"/>
  <c r="O26" i="14"/>
  <c r="O27" i="14"/>
  <c r="E28" i="33" s="1"/>
  <c r="F28" i="33" s="1"/>
  <c r="C28" i="14"/>
  <c r="E31" i="1"/>
  <c r="I28" i="14"/>
  <c r="J28" i="14"/>
  <c r="K28" i="14"/>
  <c r="O28" i="14"/>
  <c r="E29" i="33" s="1"/>
  <c r="I29" i="14"/>
  <c r="D32" i="26" s="1"/>
  <c r="J29" i="14"/>
  <c r="K29" i="14"/>
  <c r="F32" i="26" s="1"/>
  <c r="O29" i="14"/>
  <c r="E33" i="1"/>
  <c r="I30" i="14"/>
  <c r="D33" i="26" s="1"/>
  <c r="J30" i="14"/>
  <c r="E33" i="26" s="1"/>
  <c r="K30" i="14"/>
  <c r="F33" i="26" s="1"/>
  <c r="O30" i="14"/>
  <c r="E31" i="33" s="1"/>
  <c r="I31" i="14"/>
  <c r="D34" i="26" s="1"/>
  <c r="J31" i="14"/>
  <c r="E34" i="26" s="1"/>
  <c r="K31" i="14"/>
  <c r="O31" i="14"/>
  <c r="I32" i="14"/>
  <c r="J32" i="14"/>
  <c r="K32" i="14"/>
  <c r="O32" i="14"/>
  <c r="E33" i="33" s="1"/>
  <c r="C33" i="14"/>
  <c r="F36" i="34" s="1"/>
  <c r="F36" i="60"/>
  <c r="I33" i="14"/>
  <c r="O33" i="14"/>
  <c r="F37" i="60"/>
  <c r="I34" i="14"/>
  <c r="D37" i="26" s="1"/>
  <c r="O34" i="14"/>
  <c r="E38" i="1"/>
  <c r="F38" i="60"/>
  <c r="I35" i="14"/>
  <c r="D38" i="26" s="1"/>
  <c r="O35" i="14"/>
  <c r="E39" i="1"/>
  <c r="F39" i="60"/>
  <c r="I36" i="14"/>
  <c r="D39" i="26" s="1"/>
  <c r="O36" i="14"/>
  <c r="E40" i="1"/>
  <c r="F40" i="60"/>
  <c r="O37" i="14"/>
  <c r="C38" i="14"/>
  <c r="E41" i="1"/>
  <c r="I38" i="14"/>
  <c r="D41" i="26" s="1"/>
  <c r="O38" i="14"/>
  <c r="F42" i="60"/>
  <c r="I39" i="14"/>
  <c r="O39" i="14"/>
  <c r="E43" i="1"/>
  <c r="F43" i="60"/>
  <c r="I40" i="14"/>
  <c r="D43" i="26" s="1"/>
  <c r="O40" i="14"/>
  <c r="E44" i="1"/>
  <c r="F44" i="60"/>
  <c r="X44" i="60" s="1"/>
  <c r="I41" i="14"/>
  <c r="D44" i="26" s="1"/>
  <c r="O41" i="14"/>
  <c r="E45" i="1"/>
  <c r="F45" i="60"/>
  <c r="I42" i="14"/>
  <c r="D45" i="26" s="1"/>
  <c r="O42" i="14"/>
  <c r="C43" i="14"/>
  <c r="F43" i="14"/>
  <c r="S43" i="14" s="1"/>
  <c r="E46" i="1"/>
  <c r="F46" i="60"/>
  <c r="I43" i="14"/>
  <c r="D46" i="26" s="1"/>
  <c r="O43" i="14"/>
  <c r="F44" i="14"/>
  <c r="S44" i="14" s="1"/>
  <c r="E47" i="1"/>
  <c r="F47" i="60"/>
  <c r="I44" i="14"/>
  <c r="D47" i="26" s="1"/>
  <c r="J44" i="14"/>
  <c r="E47" i="26" s="1"/>
  <c r="K44" i="14"/>
  <c r="F47" i="26" s="1"/>
  <c r="O44" i="14"/>
  <c r="E45" i="33" s="1"/>
  <c r="U587" i="36" s="1"/>
  <c r="F45" i="14"/>
  <c r="S45" i="14" s="1"/>
  <c r="E48" i="1"/>
  <c r="F48" i="60"/>
  <c r="I45" i="14"/>
  <c r="D48" i="26" s="1"/>
  <c r="J45" i="14"/>
  <c r="E48" i="26" s="1"/>
  <c r="K45" i="14"/>
  <c r="F48" i="26" s="1"/>
  <c r="O45" i="14"/>
  <c r="E49" i="1"/>
  <c r="F49" i="60"/>
  <c r="I46" i="14"/>
  <c r="D49" i="26" s="1"/>
  <c r="J46" i="14"/>
  <c r="K46" i="14"/>
  <c r="F49" i="26" s="1"/>
  <c r="O46" i="14"/>
  <c r="E50" i="1"/>
  <c r="F50" i="60"/>
  <c r="I47" i="14"/>
  <c r="D50" i="26" s="1"/>
  <c r="J47" i="14"/>
  <c r="K47" i="14"/>
  <c r="F50" i="26" s="1"/>
  <c r="O47" i="14"/>
  <c r="C48" i="14"/>
  <c r="F51" i="34" s="1"/>
  <c r="I48" i="14"/>
  <c r="J48" i="14"/>
  <c r="E51" i="26" s="1"/>
  <c r="K48" i="14"/>
  <c r="O48" i="14"/>
  <c r="E49" i="33" s="1"/>
  <c r="F52" i="60"/>
  <c r="I49" i="14"/>
  <c r="J49" i="14"/>
  <c r="E52" i="26" s="1"/>
  <c r="K49" i="14"/>
  <c r="O49" i="14"/>
  <c r="C50" i="14"/>
  <c r="E53" i="1"/>
  <c r="F53" i="60"/>
  <c r="I50" i="14"/>
  <c r="J50" i="14"/>
  <c r="K50" i="14"/>
  <c r="O50" i="14"/>
  <c r="C51" i="14"/>
  <c r="I51" i="14"/>
  <c r="D54" i="26" s="1"/>
  <c r="J51" i="14"/>
  <c r="E54" i="26" s="1"/>
  <c r="K51" i="14"/>
  <c r="F54" i="26" s="1"/>
  <c r="M51" i="14"/>
  <c r="O51" i="14"/>
  <c r="C52" i="14"/>
  <c r="F55" i="34" s="1"/>
  <c r="F55" i="60"/>
  <c r="I52" i="14"/>
  <c r="J52" i="14"/>
  <c r="E55" i="26" s="1"/>
  <c r="K52" i="14"/>
  <c r="M52" i="14"/>
  <c r="E55" i="29" s="1"/>
  <c r="U532" i="36" s="1"/>
  <c r="O52" i="14"/>
  <c r="F53" i="14"/>
  <c r="I53" i="14"/>
  <c r="J53" i="14"/>
  <c r="E56" i="26" s="1"/>
  <c r="K53" i="14"/>
  <c r="O53" i="14"/>
  <c r="E54" i="33" s="1"/>
  <c r="C54" i="14"/>
  <c r="F57" i="34" s="1"/>
  <c r="F54" i="14"/>
  <c r="S54" i="14" s="1"/>
  <c r="E57" i="1"/>
  <c r="I54" i="14"/>
  <c r="J54" i="14"/>
  <c r="E57" i="26" s="1"/>
  <c r="K54" i="14"/>
  <c r="O54" i="14"/>
  <c r="E55" i="33" s="1"/>
  <c r="C55" i="14"/>
  <c r="F58" i="34" s="1"/>
  <c r="E58" i="1"/>
  <c r="F58" i="60"/>
  <c r="I55" i="14"/>
  <c r="D58" i="26" s="1"/>
  <c r="J55" i="14"/>
  <c r="E58" i="26" s="1"/>
  <c r="K55" i="14"/>
  <c r="F58" i="26" s="1"/>
  <c r="M55" i="14"/>
  <c r="O55" i="14"/>
  <c r="C56" i="14"/>
  <c r="E59" i="1"/>
  <c r="F59" i="60"/>
  <c r="I56" i="14"/>
  <c r="D59" i="26" s="1"/>
  <c r="J56" i="14"/>
  <c r="E59" i="26" s="1"/>
  <c r="K56" i="14"/>
  <c r="F59" i="26" s="1"/>
  <c r="O56" i="14"/>
  <c r="C57" i="14"/>
  <c r="F60" i="34" s="1"/>
  <c r="I57" i="14"/>
  <c r="D60" i="26" s="1"/>
  <c r="J57" i="14"/>
  <c r="E60" i="26" s="1"/>
  <c r="K57" i="14"/>
  <c r="F60" i="26" s="1"/>
  <c r="O57" i="14"/>
  <c r="C58" i="14"/>
  <c r="F61" i="60"/>
  <c r="I58" i="14"/>
  <c r="D61" i="26" s="1"/>
  <c r="J58" i="14"/>
  <c r="E61" i="26" s="1"/>
  <c r="K58" i="14"/>
  <c r="F61" i="26" s="1"/>
  <c r="O58" i="14"/>
  <c r="C59" i="14"/>
  <c r="F62" i="34" s="1"/>
  <c r="F59" i="14"/>
  <c r="S59" i="14" s="1"/>
  <c r="I59" i="14"/>
  <c r="D62" i="26" s="1"/>
  <c r="J59" i="14"/>
  <c r="E62" i="26" s="1"/>
  <c r="K59" i="14"/>
  <c r="F62" i="26" s="1"/>
  <c r="O59" i="14"/>
  <c r="C60" i="14"/>
  <c r="F63" i="34" s="1"/>
  <c r="I60" i="14"/>
  <c r="D63" i="26" s="1"/>
  <c r="J60" i="14"/>
  <c r="E63" i="26" s="1"/>
  <c r="K60" i="14"/>
  <c r="O60" i="14"/>
  <c r="C61" i="14"/>
  <c r="I61" i="14"/>
  <c r="D64" i="26" s="1"/>
  <c r="J61" i="14"/>
  <c r="K61" i="14"/>
  <c r="F64" i="26" s="1"/>
  <c r="O61" i="14"/>
  <c r="E62" i="33" s="1"/>
  <c r="U604" i="36" s="1"/>
  <c r="C62" i="14"/>
  <c r="F65" i="34" s="1"/>
  <c r="I62" i="14"/>
  <c r="J62" i="14"/>
  <c r="E65" i="26" s="1"/>
  <c r="K62" i="14"/>
  <c r="F65" i="26" s="1"/>
  <c r="O62" i="14"/>
  <c r="C63" i="14"/>
  <c r="F66" i="34" s="1"/>
  <c r="I63" i="14"/>
  <c r="D66" i="26" s="1"/>
  <c r="J63" i="14"/>
  <c r="E66" i="26" s="1"/>
  <c r="K63" i="14"/>
  <c r="F66" i="26" s="1"/>
  <c r="O63" i="14"/>
  <c r="E64" i="33" s="1"/>
  <c r="U606" i="36" s="1"/>
  <c r="C64" i="14"/>
  <c r="F67" i="34" s="1"/>
  <c r="I64" i="14"/>
  <c r="D67" i="26" s="1"/>
  <c r="J64" i="14"/>
  <c r="E67" i="26" s="1"/>
  <c r="K64" i="14"/>
  <c r="F67" i="26" s="1"/>
  <c r="O64" i="14"/>
  <c r="C65" i="14"/>
  <c r="F68" i="34" s="1"/>
  <c r="I65" i="14"/>
  <c r="D68" i="26" s="1"/>
  <c r="J65" i="14"/>
  <c r="E68" i="26" s="1"/>
  <c r="K65" i="14"/>
  <c r="F68" i="26" s="1"/>
  <c r="O65" i="14"/>
  <c r="E66" i="33" s="1"/>
  <c r="U608" i="36" s="1"/>
  <c r="C66" i="14"/>
  <c r="I66" i="14"/>
  <c r="D69" i="26" s="1"/>
  <c r="J66" i="14"/>
  <c r="E69" i="26" s="1"/>
  <c r="K66" i="14"/>
  <c r="F69" i="26" s="1"/>
  <c r="O66" i="14"/>
  <c r="E67" i="33" s="1"/>
  <c r="U609" i="36" s="1"/>
  <c r="Z8" i="13"/>
  <c r="Z9" i="13"/>
  <c r="Z10" i="13"/>
  <c r="Z11" i="13"/>
  <c r="Z12" i="13"/>
  <c r="Z13" i="13"/>
  <c r="Z14" i="13"/>
  <c r="Z15" i="13"/>
  <c r="Z16" i="13"/>
  <c r="Z17" i="13"/>
  <c r="Z18" i="13"/>
  <c r="Z19" i="13"/>
  <c r="Z20" i="13"/>
  <c r="Z21" i="13"/>
  <c r="Z22" i="13"/>
  <c r="Z23" i="13"/>
  <c r="Z24" i="13"/>
  <c r="Z25" i="13"/>
  <c r="AC25" i="13"/>
  <c r="C25" i="13" s="1"/>
  <c r="Z26" i="13"/>
  <c r="AC26" i="13"/>
  <c r="C26" i="13" s="1"/>
  <c r="Z27" i="13"/>
  <c r="AC27" i="13"/>
  <c r="C27" i="13" s="1"/>
  <c r="M29" i="13"/>
  <c r="N29" i="13"/>
  <c r="Z29" i="13"/>
  <c r="AC29" i="13"/>
  <c r="C29" i="13" s="1"/>
  <c r="AE29" i="13"/>
  <c r="AE8" i="13" s="1"/>
  <c r="AD8" i="13" s="1"/>
  <c r="AF29" i="13"/>
  <c r="AY29" i="13"/>
  <c r="J29" i="13"/>
  <c r="AZ29" i="13"/>
  <c r="K29" i="13"/>
  <c r="I30" i="13"/>
  <c r="N30" i="13"/>
  <c r="Z30" i="13"/>
  <c r="Z31" i="13" s="1"/>
  <c r="Z32" i="13" s="1"/>
  <c r="Z33" i="13" s="1"/>
  <c r="Z34" i="13" s="1"/>
  <c r="Z35" i="13" s="1"/>
  <c r="AC30" i="13"/>
  <c r="C30" i="13" s="1"/>
  <c r="AY30" i="13"/>
  <c r="AZ30" i="13"/>
  <c r="K30" i="13" s="1"/>
  <c r="I31" i="13"/>
  <c r="I32" i="13" s="1"/>
  <c r="N31" i="13"/>
  <c r="AC31" i="13"/>
  <c r="C31" i="13" s="1"/>
  <c r="J33" i="34" s="1"/>
  <c r="AY31" i="13"/>
  <c r="J31" i="13" s="1"/>
  <c r="AZ31" i="13"/>
  <c r="K31" i="13" s="1"/>
  <c r="N34" i="60"/>
  <c r="AC32" i="13"/>
  <c r="C32" i="13" s="1"/>
  <c r="AY32" i="13"/>
  <c r="J32" i="13" s="1"/>
  <c r="AZ32" i="13"/>
  <c r="K32" i="13" s="1"/>
  <c r="AC33" i="13"/>
  <c r="C33" i="13" s="1"/>
  <c r="AY33" i="13"/>
  <c r="AZ33" i="13"/>
  <c r="K33" i="13" s="1"/>
  <c r="AC34" i="13"/>
  <c r="C34" i="13" s="1"/>
  <c r="J36" i="34" s="1"/>
  <c r="AE34" i="13"/>
  <c r="AE30" i="13" s="1"/>
  <c r="AD30" i="13" s="1"/>
  <c r="D30" i="13" s="1"/>
  <c r="AF34" i="13"/>
  <c r="AY34" i="13"/>
  <c r="BA34" i="13" s="1"/>
  <c r="AZ34" i="13"/>
  <c r="K34" i="13" s="1"/>
  <c r="I35" i="13"/>
  <c r="AC35" i="13"/>
  <c r="C35" i="13" s="1"/>
  <c r="AY35" i="13"/>
  <c r="J35" i="13"/>
  <c r="AZ35" i="13"/>
  <c r="K35" i="13"/>
  <c r="L36" i="13"/>
  <c r="AW36" i="13"/>
  <c r="AX36" i="13"/>
  <c r="AY36" i="13"/>
  <c r="BA36" i="13" s="1"/>
  <c r="AZ36" i="13"/>
  <c r="L37" i="13"/>
  <c r="AW37" i="13"/>
  <c r="AX37" i="13"/>
  <c r="L38" i="13"/>
  <c r="AW38" i="13"/>
  <c r="AX38" i="13"/>
  <c r="L39" i="13"/>
  <c r="V39" i="13"/>
  <c r="AE39" i="13"/>
  <c r="AE35" i="13" s="1"/>
  <c r="AD35" i="13" s="1"/>
  <c r="D35" i="13" s="1"/>
  <c r="AF39" i="13"/>
  <c r="AW39" i="13"/>
  <c r="AX39" i="13"/>
  <c r="L40" i="13"/>
  <c r="V40" i="13"/>
  <c r="X40" i="13"/>
  <c r="X41" i="13" s="1"/>
  <c r="X42" i="13" s="1"/>
  <c r="L41" i="13"/>
  <c r="V41" i="13"/>
  <c r="J44" i="34"/>
  <c r="L42" i="13"/>
  <c r="V42" i="13"/>
  <c r="L43" i="13"/>
  <c r="V43" i="13"/>
  <c r="L44" i="13"/>
  <c r="V44" i="13"/>
  <c r="AE44" i="13"/>
  <c r="AF44" i="13"/>
  <c r="AM44" i="13"/>
  <c r="L45" i="13"/>
  <c r="V45" i="13"/>
  <c r="AM45" i="13"/>
  <c r="L46" i="13"/>
  <c r="V46" i="13"/>
  <c r="AM46" i="13"/>
  <c r="L47" i="13"/>
  <c r="V47" i="13"/>
  <c r="AM47" i="13"/>
  <c r="L48" i="13"/>
  <c r="V48" i="13"/>
  <c r="AM48" i="13"/>
  <c r="L49" i="13"/>
  <c r="V49" i="13"/>
  <c r="AE49" i="13"/>
  <c r="AF49" i="13"/>
  <c r="AM49" i="13"/>
  <c r="L50" i="13"/>
  <c r="AE50" i="13"/>
  <c r="AF50" i="13"/>
  <c r="AM50" i="13"/>
  <c r="L51" i="13"/>
  <c r="AE51" i="13"/>
  <c r="AF51" i="13"/>
  <c r="AM51" i="13"/>
  <c r="L52" i="13"/>
  <c r="AE52" i="13"/>
  <c r="AF52" i="13"/>
  <c r="AM52" i="13"/>
  <c r="L53" i="13"/>
  <c r="AE53" i="13"/>
  <c r="AF53" i="13"/>
  <c r="AM53" i="13"/>
  <c r="J56" i="34"/>
  <c r="L54" i="13"/>
  <c r="AE54" i="13"/>
  <c r="AF54" i="13"/>
  <c r="AM54" i="13"/>
  <c r="L55" i="13"/>
  <c r="AF55" i="13"/>
  <c r="L56" i="13"/>
  <c r="AF56" i="13"/>
  <c r="L57" i="13"/>
  <c r="AF57" i="13"/>
  <c r="BD57" i="13"/>
  <c r="BG57" i="13" s="1"/>
  <c r="L58" i="13"/>
  <c r="BD58" i="13"/>
  <c r="BG58" i="13" s="1"/>
  <c r="L59" i="13"/>
  <c r="L60" i="13"/>
  <c r="K59" i="18"/>
  <c r="BD60" i="13"/>
  <c r="BG60" i="13" s="1"/>
  <c r="L61" i="13"/>
  <c r="K60" i="18"/>
  <c r="AF61" i="13"/>
  <c r="BD61" i="13"/>
  <c r="BG61" i="13" s="1"/>
  <c r="L62" i="13"/>
  <c r="K61" i="18"/>
  <c r="F63" i="13"/>
  <c r="L65" i="60" s="1"/>
  <c r="L63" i="13"/>
  <c r="K62" i="18"/>
  <c r="AF63" i="13"/>
  <c r="BD63" i="13"/>
  <c r="BG63" i="13" s="1"/>
  <c r="F64" i="13"/>
  <c r="L66" i="60" s="1"/>
  <c r="L64" i="13"/>
  <c r="N64" i="13"/>
  <c r="AF64" i="13"/>
  <c r="L65" i="13"/>
  <c r="N65" i="13"/>
  <c r="BD65" i="13"/>
  <c r="BG65" i="13" s="1"/>
  <c r="L66" i="13"/>
  <c r="N66" i="13"/>
  <c r="L67" i="13"/>
  <c r="BD78" i="13"/>
  <c r="BD79" i="13"/>
  <c r="BD80" i="13"/>
  <c r="BE85" i="13"/>
  <c r="BE93" i="13" s="1"/>
  <c r="BE107" i="13"/>
  <c r="AH9" i="44"/>
  <c r="AH10" i="44"/>
  <c r="AH11" i="44"/>
  <c r="AH12" i="44"/>
  <c r="AH13" i="44"/>
  <c r="AH14" i="44"/>
  <c r="AH15" i="44"/>
  <c r="AH16" i="44"/>
  <c r="AH17" i="44"/>
  <c r="AH18" i="44"/>
  <c r="AH19" i="44"/>
  <c r="AH20" i="44"/>
  <c r="AH21" i="44"/>
  <c r="AH22" i="44"/>
  <c r="AH23" i="44"/>
  <c r="AH24" i="44"/>
  <c r="AH25" i="44"/>
  <c r="AH26" i="44"/>
  <c r="AH27" i="44"/>
  <c r="AH28" i="44"/>
  <c r="AH29" i="44"/>
  <c r="AH30" i="44"/>
  <c r="AH31" i="44"/>
  <c r="AH32" i="44"/>
  <c r="AH33" i="44"/>
  <c r="AH34" i="44"/>
  <c r="AH35" i="44"/>
  <c r="AH36" i="44"/>
  <c r="AH37" i="44"/>
  <c r="AH38" i="44"/>
  <c r="AH39" i="44"/>
  <c r="AH40" i="44"/>
  <c r="AH41" i="44"/>
  <c r="AH42" i="44"/>
  <c r="AH43" i="44"/>
  <c r="AH44" i="44"/>
  <c r="AH45" i="44"/>
  <c r="AH46" i="44"/>
  <c r="AH47" i="44"/>
  <c r="AH48" i="44"/>
  <c r="AH49" i="44"/>
  <c r="AH50" i="44"/>
  <c r="AH51" i="44"/>
  <c r="AH52" i="44"/>
  <c r="AH53" i="44"/>
  <c r="AH54" i="44"/>
  <c r="AH55" i="44"/>
  <c r="AH56" i="44"/>
  <c r="AH57" i="44"/>
  <c r="AH58" i="44"/>
  <c r="AH59" i="44"/>
  <c r="AH60" i="44"/>
  <c r="AH61" i="44"/>
  <c r="AH62" i="44"/>
  <c r="AH63" i="44"/>
  <c r="AH64" i="44"/>
  <c r="AH65" i="44"/>
  <c r="AH66" i="44"/>
  <c r="AH68" i="44"/>
  <c r="H7" i="10"/>
  <c r="I7" i="10"/>
  <c r="L7" i="10"/>
  <c r="M7" i="10"/>
  <c r="N7" i="10"/>
  <c r="P7" i="10"/>
  <c r="Q7" i="10"/>
  <c r="R7" i="10"/>
  <c r="AF7" i="10"/>
  <c r="AG7" i="10"/>
  <c r="AI7" i="10"/>
  <c r="AJ7" i="10"/>
  <c r="AK7" i="10"/>
  <c r="AM7" i="10"/>
  <c r="AN7" i="10"/>
  <c r="AQ7" i="10"/>
  <c r="AR7" i="10"/>
  <c r="AT7" i="10"/>
  <c r="AU7" i="10"/>
  <c r="AW7" i="10"/>
  <c r="AX7" i="10"/>
  <c r="B11" i="10"/>
  <c r="H11" i="10"/>
  <c r="D11" i="10" s="1"/>
  <c r="BA11" i="10"/>
  <c r="BB11" i="10" s="1"/>
  <c r="B12" i="10"/>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E12" i="10"/>
  <c r="H12" i="10"/>
  <c r="H13" i="10"/>
  <c r="E14" i="10"/>
  <c r="M14" i="10" s="1"/>
  <c r="H14" i="10"/>
  <c r="D14" i="10" s="1"/>
  <c r="H15" i="10"/>
  <c r="D15" i="10" s="1"/>
  <c r="L15" i="10" s="1"/>
  <c r="E16" i="10"/>
  <c r="H16" i="10"/>
  <c r="H17" i="10"/>
  <c r="D17" i="10" s="1"/>
  <c r="E18" i="10"/>
  <c r="H18" i="10"/>
  <c r="D18" i="10" s="1"/>
  <c r="E19" i="10"/>
  <c r="H19" i="10"/>
  <c r="D19" i="10" s="1"/>
  <c r="L19" i="10" s="1"/>
  <c r="E20" i="10"/>
  <c r="H20" i="10"/>
  <c r="D20" i="10" s="1"/>
  <c r="E21" i="10"/>
  <c r="H21" i="10"/>
  <c r="D21" i="10" s="1"/>
  <c r="L21" i="10" s="1"/>
  <c r="E22" i="10"/>
  <c r="H22" i="10"/>
  <c r="E23" i="10"/>
  <c r="F23" i="10" s="1"/>
  <c r="H22" i="25" s="1"/>
  <c r="H23" i="10"/>
  <c r="D23" i="10" s="1"/>
  <c r="H24" i="10"/>
  <c r="D24" i="10" s="1"/>
  <c r="E25" i="10"/>
  <c r="H25" i="10"/>
  <c r="D25" i="10" s="1"/>
  <c r="L25" i="10" s="1"/>
  <c r="H26" i="10"/>
  <c r="D26" i="10" s="1"/>
  <c r="E27" i="10"/>
  <c r="H27" i="10"/>
  <c r="D27" i="10" s="1"/>
  <c r="E28" i="10"/>
  <c r="H28" i="10"/>
  <c r="D28" i="10" s="1"/>
  <c r="H29" i="10"/>
  <c r="D29" i="10" s="1"/>
  <c r="E30" i="10"/>
  <c r="H30" i="10"/>
  <c r="E31" i="10"/>
  <c r="H31" i="10"/>
  <c r="D31" i="10" s="1"/>
  <c r="E32" i="10"/>
  <c r="H32" i="10"/>
  <c r="D32" i="10" s="1"/>
  <c r="E33" i="10"/>
  <c r="H33" i="10"/>
  <c r="D33" i="10" s="1"/>
  <c r="L33" i="10" s="1"/>
  <c r="E34" i="10"/>
  <c r="H34" i="10"/>
  <c r="E35" i="10"/>
  <c r="H35" i="10"/>
  <c r="E36" i="10"/>
  <c r="H36" i="10"/>
  <c r="D36" i="10" s="1"/>
  <c r="E37" i="10"/>
  <c r="H37" i="10"/>
  <c r="D37" i="10" s="1"/>
  <c r="E38" i="10"/>
  <c r="H38" i="10"/>
  <c r="E39" i="10"/>
  <c r="H39" i="10"/>
  <c r="D39" i="10" s="1"/>
  <c r="L39" i="10" s="1"/>
  <c r="E40" i="10"/>
  <c r="H40" i="10"/>
  <c r="D40" i="10" s="1"/>
  <c r="E41" i="10"/>
  <c r="H41" i="10"/>
  <c r="D41" i="10" s="1"/>
  <c r="E42" i="10"/>
  <c r="H42" i="10"/>
  <c r="D42" i="10" s="1"/>
  <c r="L42" i="10" s="1"/>
  <c r="E43" i="10"/>
  <c r="H43" i="10"/>
  <c r="D43" i="10" s="1"/>
  <c r="E44" i="10"/>
  <c r="H44" i="10"/>
  <c r="D44" i="10" s="1"/>
  <c r="E45" i="10"/>
  <c r="H45" i="10"/>
  <c r="D45" i="10" s="1"/>
  <c r="E46" i="10"/>
  <c r="H46" i="10"/>
  <c r="D46" i="10" s="1"/>
  <c r="L46" i="10" s="1"/>
  <c r="E47" i="10"/>
  <c r="H47" i="10"/>
  <c r="E48" i="10"/>
  <c r="M48" i="10" s="1"/>
  <c r="H48" i="10"/>
  <c r="D48" i="10" s="1"/>
  <c r="E49" i="10"/>
  <c r="H49" i="10"/>
  <c r="D49" i="10" s="1"/>
  <c r="E50" i="10"/>
  <c r="H50" i="10"/>
  <c r="D50" i="10" s="1"/>
  <c r="E51" i="10"/>
  <c r="H51" i="10"/>
  <c r="E52" i="10"/>
  <c r="H52" i="10"/>
  <c r="D52" i="10" s="1"/>
  <c r="E53" i="10"/>
  <c r="H53" i="10"/>
  <c r="D53" i="10" s="1"/>
  <c r="E54" i="10"/>
  <c r="H54" i="10"/>
  <c r="D54" i="10" s="1"/>
  <c r="L54" i="10" s="1"/>
  <c r="E55" i="10"/>
  <c r="H55" i="10"/>
  <c r="D55" i="10" s="1"/>
  <c r="I55" i="10"/>
  <c r="M55" i="10" s="1"/>
  <c r="E56" i="10"/>
  <c r="H56" i="10"/>
  <c r="D56" i="10" s="1"/>
  <c r="H57" i="10"/>
  <c r="D57" i="10" s="1"/>
  <c r="E58" i="10"/>
  <c r="H58" i="10"/>
  <c r="D58" i="10" s="1"/>
  <c r="L58" i="10" s="1"/>
  <c r="I58" i="10"/>
  <c r="H59" i="10"/>
  <c r="D59" i="10" s="1"/>
  <c r="E60" i="10"/>
  <c r="H60" i="10"/>
  <c r="E61" i="10"/>
  <c r="H61" i="10"/>
  <c r="D61" i="10" s="1"/>
  <c r="I61" i="10"/>
  <c r="E62" i="10"/>
  <c r="H62" i="10"/>
  <c r="H63" i="10"/>
  <c r="E64" i="10"/>
  <c r="H64" i="10"/>
  <c r="I64" i="10"/>
  <c r="E65" i="10"/>
  <c r="H65" i="10"/>
  <c r="I65" i="10"/>
  <c r="E66" i="10"/>
  <c r="H66" i="10"/>
  <c r="I66" i="10"/>
  <c r="E67" i="10"/>
  <c r="H67" i="10"/>
  <c r="D67" i="10" s="1"/>
  <c r="L67" i="10" s="1"/>
  <c r="H68" i="10"/>
  <c r="D68" i="10" s="1"/>
  <c r="H69" i="10"/>
  <c r="B74" i="10"/>
  <c r="B75" i="10"/>
  <c r="H7" i="7"/>
  <c r="I7" i="7"/>
  <c r="M7" i="7"/>
  <c r="N7" i="7"/>
  <c r="Q7" i="7"/>
  <c r="R7" i="7"/>
  <c r="AF7" i="7"/>
  <c r="AG7" i="7"/>
  <c r="AI7" i="7"/>
  <c r="AJ7" i="7"/>
  <c r="AK7" i="7"/>
  <c r="AM7" i="7"/>
  <c r="AN7" i="7"/>
  <c r="AQ7" i="7"/>
  <c r="AR7" i="7"/>
  <c r="AT7" i="7"/>
  <c r="AU7" i="7"/>
  <c r="AW7" i="7"/>
  <c r="AX7" i="7"/>
  <c r="AF10" i="7"/>
  <c r="AG10" i="7"/>
  <c r="AT10" i="7"/>
  <c r="AU10" i="7"/>
  <c r="B11" i="7"/>
  <c r="I11" i="7"/>
  <c r="J11" i="7" s="1"/>
  <c r="AT11" i="7" s="1"/>
  <c r="AW11" i="7" s="1"/>
  <c r="AF11" i="7"/>
  <c r="AG11" i="7"/>
  <c r="AJ12" i="7" s="1"/>
  <c r="AI11" i="7"/>
  <c r="AJ11" i="7"/>
  <c r="AK11" i="7" s="1"/>
  <c r="AM11" i="7" s="1"/>
  <c r="BA11" i="7" s="1"/>
  <c r="BB11" i="7" s="1"/>
  <c r="AQ11" i="7"/>
  <c r="AR11" i="7"/>
  <c r="B12" i="7"/>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I12" i="7"/>
  <c r="AF12" i="7"/>
  <c r="AI13" i="7" s="1"/>
  <c r="AG12" i="7"/>
  <c r="AI12" i="7"/>
  <c r="AQ12" i="7"/>
  <c r="AR12" i="7"/>
  <c r="I13" i="7"/>
  <c r="J13" i="7" s="1"/>
  <c r="AT13" i="7" s="1"/>
  <c r="AF13" i="7"/>
  <c r="AG13" i="7"/>
  <c r="AJ14" i="7" s="1"/>
  <c r="AJ13" i="7"/>
  <c r="AQ13" i="7"/>
  <c r="AR13" i="7"/>
  <c r="I14" i="7"/>
  <c r="J14" i="7" s="1"/>
  <c r="AT14" i="7" s="1"/>
  <c r="AF14" i="7"/>
  <c r="AI15" i="7" s="1"/>
  <c r="AG14" i="7"/>
  <c r="AI14" i="7"/>
  <c r="AQ14" i="7"/>
  <c r="AR14" i="7"/>
  <c r="I15" i="7"/>
  <c r="J15" i="7" s="1"/>
  <c r="AT15" i="7" s="1"/>
  <c r="AF15" i="7"/>
  <c r="AG15" i="7"/>
  <c r="AJ16" i="7" s="1"/>
  <c r="AJ15" i="7"/>
  <c r="AQ15" i="7"/>
  <c r="AR15" i="7"/>
  <c r="I16" i="7"/>
  <c r="AF16" i="7"/>
  <c r="AI17" i="7" s="1"/>
  <c r="AG16" i="7"/>
  <c r="AI16" i="7"/>
  <c r="AQ16" i="7"/>
  <c r="AR16" i="7"/>
  <c r="I17" i="7"/>
  <c r="J17" i="7" s="1"/>
  <c r="AT17" i="7" s="1"/>
  <c r="AF17" i="7"/>
  <c r="AG17" i="7"/>
  <c r="AJ17" i="7"/>
  <c r="AQ17" i="7"/>
  <c r="AR17" i="7"/>
  <c r="I18" i="7"/>
  <c r="J18" i="7" s="1"/>
  <c r="AF18" i="7"/>
  <c r="AG18" i="7"/>
  <c r="AI18" i="7"/>
  <c r="AJ18" i="7"/>
  <c r="AK18" i="7" s="1"/>
  <c r="AM18" i="7" s="1"/>
  <c r="BA18" i="7" s="1"/>
  <c r="AQ18" i="7"/>
  <c r="AR18" i="7"/>
  <c r="I19" i="7"/>
  <c r="J19" i="7" s="1"/>
  <c r="AF19" i="7"/>
  <c r="AG19" i="7"/>
  <c r="AI19" i="7"/>
  <c r="AJ19" i="7"/>
  <c r="AK19" i="7" s="1"/>
  <c r="AM19" i="7" s="1"/>
  <c r="BA19" i="7" s="1"/>
  <c r="AQ19" i="7"/>
  <c r="AR19" i="7"/>
  <c r="I20" i="7"/>
  <c r="J20" i="7" s="1"/>
  <c r="AF20" i="7"/>
  <c r="AG20" i="7"/>
  <c r="AJ21" i="7" s="1"/>
  <c r="AI20" i="7"/>
  <c r="AJ20" i="7"/>
  <c r="AK20" i="7" s="1"/>
  <c r="AM20" i="7" s="1"/>
  <c r="BA20" i="7" s="1"/>
  <c r="AQ20" i="7"/>
  <c r="AR20" i="7"/>
  <c r="I21" i="7"/>
  <c r="J21" i="7" s="1"/>
  <c r="AT21" i="7" s="1"/>
  <c r="AF21" i="7"/>
  <c r="AI22" i="7" s="1"/>
  <c r="AG21" i="7"/>
  <c r="AI21" i="7"/>
  <c r="AQ21" i="7"/>
  <c r="AR21" i="7"/>
  <c r="I22" i="7"/>
  <c r="J22" i="7" s="1"/>
  <c r="AT22" i="7" s="1"/>
  <c r="AF22" i="7"/>
  <c r="AG22" i="7"/>
  <c r="AJ23" i="7" s="1"/>
  <c r="AJ22" i="7"/>
  <c r="AQ22" i="7"/>
  <c r="AR22" i="7"/>
  <c r="I23" i="7"/>
  <c r="J23" i="7" s="1"/>
  <c r="AT23" i="7" s="1"/>
  <c r="AF23" i="7"/>
  <c r="AG23" i="7"/>
  <c r="AI23" i="7"/>
  <c r="AQ23" i="7"/>
  <c r="AR23" i="7"/>
  <c r="I24" i="7"/>
  <c r="J24" i="7" s="1"/>
  <c r="AQ24" i="7"/>
  <c r="I25" i="7"/>
  <c r="J25" i="7" s="1"/>
  <c r="AQ25" i="7"/>
  <c r="I26" i="7"/>
  <c r="J26" i="7" s="1"/>
  <c r="AQ26" i="7"/>
  <c r="I27" i="7"/>
  <c r="I28" i="7"/>
  <c r="I29" i="7"/>
  <c r="I30" i="7"/>
  <c r="H31" i="7"/>
  <c r="I31" i="7"/>
  <c r="H32" i="7"/>
  <c r="I32" i="7"/>
  <c r="H33" i="7"/>
  <c r="I33" i="7"/>
  <c r="H34" i="7"/>
  <c r="I34" i="7"/>
  <c r="H35" i="7"/>
  <c r="I35" i="7"/>
  <c r="H36" i="7"/>
  <c r="I36" i="7"/>
  <c r="H37" i="7"/>
  <c r="I37" i="7"/>
  <c r="E38" i="7"/>
  <c r="H38" i="7"/>
  <c r="I38" i="7"/>
  <c r="H39" i="7"/>
  <c r="I39" i="7"/>
  <c r="E40" i="7"/>
  <c r="H40" i="7"/>
  <c r="I40" i="7"/>
  <c r="H41" i="7"/>
  <c r="I41" i="7"/>
  <c r="H42" i="7"/>
  <c r="I42" i="7"/>
  <c r="H43" i="7"/>
  <c r="I43" i="7"/>
  <c r="H44" i="7"/>
  <c r="I44" i="7"/>
  <c r="E45" i="7"/>
  <c r="H45" i="7"/>
  <c r="I45" i="7"/>
  <c r="H46" i="7"/>
  <c r="I46" i="7"/>
  <c r="E47" i="7"/>
  <c r="H47" i="7"/>
  <c r="I47" i="7"/>
  <c r="H48" i="7"/>
  <c r="I48" i="7"/>
  <c r="H49" i="7"/>
  <c r="I49" i="7"/>
  <c r="H50" i="7"/>
  <c r="H51" i="7"/>
  <c r="I51" i="7"/>
  <c r="H52" i="7"/>
  <c r="I52" i="7"/>
  <c r="H53" i="7"/>
  <c r="I53" i="7"/>
  <c r="H54" i="7"/>
  <c r="I54" i="7"/>
  <c r="H55" i="7"/>
  <c r="I55" i="7"/>
  <c r="H56" i="7"/>
  <c r="I56" i="7"/>
  <c r="H57" i="7"/>
  <c r="I57" i="7"/>
  <c r="H58" i="7"/>
  <c r="I58" i="7"/>
  <c r="H59" i="7"/>
  <c r="I59" i="7"/>
  <c r="H60" i="7"/>
  <c r="I60" i="7"/>
  <c r="H61" i="7"/>
  <c r="I61" i="7"/>
  <c r="H62" i="7"/>
  <c r="I62" i="7"/>
  <c r="H63" i="7"/>
  <c r="I63" i="7"/>
  <c r="H64" i="7"/>
  <c r="I64" i="7"/>
  <c r="H65" i="7"/>
  <c r="I65" i="7"/>
  <c r="H66" i="7"/>
  <c r="I66" i="7"/>
  <c r="H67" i="7"/>
  <c r="H68" i="7"/>
  <c r="H69" i="7"/>
  <c r="B74" i="7"/>
  <c r="U74" i="7"/>
  <c r="AQ74" i="7"/>
  <c r="AR74" i="7"/>
  <c r="B75" i="7"/>
  <c r="U75" i="7"/>
  <c r="AF75" i="7"/>
  <c r="AG75" i="7"/>
  <c r="AQ75" i="7"/>
  <c r="AR75" i="7"/>
  <c r="K6" i="25"/>
  <c r="L6" i="25"/>
  <c r="M6" i="25"/>
  <c r="R6" i="25"/>
  <c r="S6" i="25"/>
  <c r="T6" i="25"/>
  <c r="U6" i="25"/>
  <c r="V6" i="25"/>
  <c r="Y6" i="25"/>
  <c r="Z6" i="25"/>
  <c r="AA6" i="25"/>
  <c r="AB6" i="25"/>
  <c r="AC6" i="25"/>
  <c r="AE6" i="25"/>
  <c r="AF6" i="25"/>
  <c r="AG6" i="25"/>
  <c r="AH6" i="25"/>
  <c r="AI6" i="25"/>
  <c r="AW6" i="25"/>
  <c r="AX6" i="25"/>
  <c r="AY6" i="25"/>
  <c r="AZ6" i="25"/>
  <c r="BA6" i="25"/>
  <c r="BC6" i="25"/>
  <c r="BD6" i="25"/>
  <c r="BE6" i="25"/>
  <c r="BF6" i="25"/>
  <c r="BG6" i="25"/>
  <c r="BJ6" i="25"/>
  <c r="BK6" i="25"/>
  <c r="BL6" i="25"/>
  <c r="BM6" i="25"/>
  <c r="BN6" i="25"/>
  <c r="BQ6" i="25"/>
  <c r="BR6" i="25"/>
  <c r="BS6" i="25"/>
  <c r="BT6" i="25"/>
  <c r="BU6" i="25"/>
  <c r="BW6" i="25"/>
  <c r="BX6" i="25"/>
  <c r="BY6" i="25"/>
  <c r="BZ6" i="25"/>
  <c r="CA6" i="25"/>
  <c r="CC6" i="25"/>
  <c r="CD6" i="25"/>
  <c r="CE6" i="25"/>
  <c r="CF6" i="25"/>
  <c r="CG6" i="25"/>
  <c r="CI6" i="25"/>
  <c r="CJ6" i="25"/>
  <c r="CK6" i="25"/>
  <c r="CL6" i="25"/>
  <c r="CM6" i="25"/>
  <c r="L9" i="25"/>
  <c r="M9" i="25"/>
  <c r="N9" i="25"/>
  <c r="AW9" i="25"/>
  <c r="AX9" i="25"/>
  <c r="AY9" i="25"/>
  <c r="AZ9" i="25"/>
  <c r="BA9" i="25"/>
  <c r="B10" i="25"/>
  <c r="L10" i="25"/>
  <c r="M10" i="25"/>
  <c r="N10" i="25"/>
  <c r="BQ10" i="25"/>
  <c r="BR10" i="25"/>
  <c r="BS10" i="25"/>
  <c r="BT10" i="25"/>
  <c r="CI10" i="25"/>
  <c r="CJ10" i="25"/>
  <c r="CK10" i="25"/>
  <c r="CL10" i="25"/>
  <c r="CM10" i="25"/>
  <c r="B11" i="25"/>
  <c r="L11" i="25"/>
  <c r="M11" i="25"/>
  <c r="N11" i="25"/>
  <c r="BQ11" i="25"/>
  <c r="BR11" i="25"/>
  <c r="BS11" i="25"/>
  <c r="BT11" i="25"/>
  <c r="CI11" i="25"/>
  <c r="CJ11" i="25"/>
  <c r="CK11" i="25"/>
  <c r="CL11" i="25"/>
  <c r="CM11" i="25"/>
  <c r="B12" i="25"/>
  <c r="L12" i="25"/>
  <c r="M12" i="25"/>
  <c r="N12" i="25"/>
  <c r="BQ12" i="25"/>
  <c r="BR12" i="25"/>
  <c r="BS12" i="25"/>
  <c r="BT12" i="25"/>
  <c r="CI12" i="25"/>
  <c r="CJ12" i="25"/>
  <c r="CK12" i="25"/>
  <c r="CL12" i="25"/>
  <c r="CM12" i="25"/>
  <c r="B13" i="25"/>
  <c r="L13" i="25"/>
  <c r="M13" i="25"/>
  <c r="N13" i="25"/>
  <c r="BQ13" i="25"/>
  <c r="BR13" i="25"/>
  <c r="BS13" i="25"/>
  <c r="BT13" i="25"/>
  <c r="CI13" i="25"/>
  <c r="CJ13" i="25"/>
  <c r="CK13" i="25"/>
  <c r="CL13" i="25"/>
  <c r="CM13" i="25"/>
  <c r="B14" i="25"/>
  <c r="L14" i="25"/>
  <c r="M14" i="25"/>
  <c r="N14" i="25"/>
  <c r="BQ14" i="25"/>
  <c r="BR14" i="25"/>
  <c r="BS14" i="25"/>
  <c r="BT14" i="25"/>
  <c r="CI14" i="25"/>
  <c r="CJ14" i="25"/>
  <c r="CK14" i="25"/>
  <c r="CL14" i="25"/>
  <c r="CM14" i="25"/>
  <c r="B15" i="25"/>
  <c r="L15" i="25"/>
  <c r="M15" i="25"/>
  <c r="N15" i="25"/>
  <c r="BQ15" i="25"/>
  <c r="BR15" i="25"/>
  <c r="BS15" i="25"/>
  <c r="BT15" i="25"/>
  <c r="CI15" i="25"/>
  <c r="CJ15" i="25"/>
  <c r="CK15" i="25"/>
  <c r="CL15" i="25"/>
  <c r="CM15" i="25"/>
  <c r="B16" i="25"/>
  <c r="L16" i="25"/>
  <c r="M16" i="25"/>
  <c r="N16" i="25"/>
  <c r="BQ16" i="25"/>
  <c r="BR16" i="25"/>
  <c r="BS16" i="25"/>
  <c r="BT16" i="25"/>
  <c r="CI16" i="25"/>
  <c r="CJ16" i="25"/>
  <c r="CK16" i="25"/>
  <c r="CL16" i="25"/>
  <c r="CM16" i="25"/>
  <c r="B17" i="25"/>
  <c r="L17" i="25"/>
  <c r="M17" i="25"/>
  <c r="N17" i="25"/>
  <c r="BQ17" i="25"/>
  <c r="BR17" i="25"/>
  <c r="BS17" i="25"/>
  <c r="BT17" i="25"/>
  <c r="CI17" i="25"/>
  <c r="CJ17" i="25"/>
  <c r="CK17" i="25"/>
  <c r="CL17" i="25"/>
  <c r="CM17" i="25"/>
  <c r="B18" i="25"/>
  <c r="L18" i="25"/>
  <c r="M18" i="25"/>
  <c r="N18" i="25"/>
  <c r="BQ18" i="25"/>
  <c r="BR18" i="25"/>
  <c r="BS18" i="25"/>
  <c r="BT18" i="25"/>
  <c r="CI18" i="25"/>
  <c r="CJ18" i="25"/>
  <c r="CK18" i="25"/>
  <c r="CL18" i="25"/>
  <c r="CM18" i="25"/>
  <c r="B19" i="25"/>
  <c r="L19" i="25"/>
  <c r="M19" i="25"/>
  <c r="N19" i="25"/>
  <c r="BQ19" i="25"/>
  <c r="BR19" i="25"/>
  <c r="BS19" i="25"/>
  <c r="BT19" i="25"/>
  <c r="CI19" i="25"/>
  <c r="CJ19" i="25"/>
  <c r="CK19" i="25"/>
  <c r="CL19" i="25"/>
  <c r="CM19" i="25"/>
  <c r="B20" i="25"/>
  <c r="L20" i="25"/>
  <c r="M20" i="25"/>
  <c r="N20" i="25"/>
  <c r="BQ20" i="25"/>
  <c r="BR20" i="25"/>
  <c r="BS20" i="25"/>
  <c r="BT20" i="25"/>
  <c r="CI20" i="25"/>
  <c r="CJ20" i="25"/>
  <c r="CK20" i="25"/>
  <c r="CL20" i="25"/>
  <c r="CM20" i="25"/>
  <c r="B21" i="25"/>
  <c r="L21" i="25"/>
  <c r="M21" i="25"/>
  <c r="N21" i="25"/>
  <c r="BQ21" i="25"/>
  <c r="BR21" i="25"/>
  <c r="BS21" i="25"/>
  <c r="BT21" i="25"/>
  <c r="CI21" i="25"/>
  <c r="CJ21" i="25"/>
  <c r="CK21" i="25"/>
  <c r="CL21" i="25"/>
  <c r="CM21" i="25"/>
  <c r="B22" i="25"/>
  <c r="L22" i="25"/>
  <c r="M22" i="25"/>
  <c r="BQ22" i="25"/>
  <c r="BR22" i="25"/>
  <c r="BS22" i="25"/>
  <c r="BT22" i="25"/>
  <c r="CI22" i="25"/>
  <c r="CJ22" i="25"/>
  <c r="CK22" i="25"/>
  <c r="CL22" i="25"/>
  <c r="CM22" i="25"/>
  <c r="B23" i="25"/>
  <c r="L23" i="25"/>
  <c r="M23" i="25"/>
  <c r="BQ23" i="25"/>
  <c r="BR23" i="25"/>
  <c r="BS23" i="25"/>
  <c r="BT23" i="25"/>
  <c r="CI23" i="25"/>
  <c r="CJ23" i="25"/>
  <c r="CK23" i="25"/>
  <c r="CL23" i="25"/>
  <c r="CM23" i="25"/>
  <c r="B24" i="25"/>
  <c r="L24" i="25"/>
  <c r="M24" i="25"/>
  <c r="BQ24" i="25"/>
  <c r="BR24" i="25"/>
  <c r="BS24" i="25"/>
  <c r="BT24" i="25"/>
  <c r="CI24" i="25"/>
  <c r="CJ24" i="25"/>
  <c r="CK24" i="25"/>
  <c r="CL24" i="25"/>
  <c r="CM24" i="25"/>
  <c r="B25" i="25"/>
  <c r="L25" i="25"/>
  <c r="M25" i="25"/>
  <c r="BQ25" i="25"/>
  <c r="BR25" i="25"/>
  <c r="BS25" i="25"/>
  <c r="BT25" i="25"/>
  <c r="CI25" i="25"/>
  <c r="CJ25" i="25"/>
  <c r="CK25" i="25"/>
  <c r="CL25" i="25"/>
  <c r="CM25" i="25"/>
  <c r="B26" i="25"/>
  <c r="L26" i="25"/>
  <c r="M26" i="25"/>
  <c r="BR26" i="25"/>
  <c r="BS26" i="25"/>
  <c r="BT26" i="25"/>
  <c r="CI26" i="25"/>
  <c r="CJ26" i="25"/>
  <c r="CK26" i="25"/>
  <c r="CL26" i="25"/>
  <c r="CM26" i="25"/>
  <c r="B27" i="25"/>
  <c r="L27" i="25"/>
  <c r="M27" i="25"/>
  <c r="BR27" i="25"/>
  <c r="BS27" i="25"/>
  <c r="BT27" i="25"/>
  <c r="CI27" i="25"/>
  <c r="CJ27" i="25"/>
  <c r="CK27" i="25"/>
  <c r="CL27" i="25"/>
  <c r="CM27" i="25"/>
  <c r="B28" i="25"/>
  <c r="E28" i="25"/>
  <c r="L28" i="25"/>
  <c r="M28" i="25"/>
  <c r="BS28" i="25"/>
  <c r="BT28" i="25"/>
  <c r="CI28" i="25"/>
  <c r="CJ28" i="25"/>
  <c r="CK28" i="25"/>
  <c r="CL28" i="25"/>
  <c r="CM28" i="25"/>
  <c r="B29" i="25"/>
  <c r="L29" i="25"/>
  <c r="M29" i="25"/>
  <c r="BS29" i="25"/>
  <c r="BT29" i="25"/>
  <c r="CI29" i="25"/>
  <c r="CJ29" i="25"/>
  <c r="CK29" i="25"/>
  <c r="CL29" i="25"/>
  <c r="CM29" i="25"/>
  <c r="B30" i="25"/>
  <c r="E30" i="25"/>
  <c r="L30" i="25"/>
  <c r="D17" i="53" s="1"/>
  <c r="L17" i="53" s="1"/>
  <c r="M30" i="25"/>
  <c r="D19" i="53" s="1"/>
  <c r="L19" i="53" s="1"/>
  <c r="U30" i="25"/>
  <c r="U86" i="25" s="1"/>
  <c r="CJ30" i="25"/>
  <c r="CK30" i="25"/>
  <c r="CL30" i="25"/>
  <c r="CM30" i="25"/>
  <c r="B31" i="25"/>
  <c r="E31" i="25"/>
  <c r="L31" i="25"/>
  <c r="M31" i="25"/>
  <c r="U31" i="25"/>
  <c r="U87" i="25" s="1"/>
  <c r="CJ31" i="25"/>
  <c r="CK31" i="25"/>
  <c r="CL31" i="25"/>
  <c r="CM31" i="25"/>
  <c r="B32" i="25"/>
  <c r="E32" i="25"/>
  <c r="L32" i="25"/>
  <c r="M32" i="25"/>
  <c r="U32" i="25"/>
  <c r="U88" i="25" s="1"/>
  <c r="CJ32" i="25"/>
  <c r="CK32" i="25"/>
  <c r="CL32" i="25"/>
  <c r="CM32" i="25"/>
  <c r="B33" i="25"/>
  <c r="E33" i="25"/>
  <c r="L33" i="25"/>
  <c r="M33" i="25"/>
  <c r="CJ33" i="25"/>
  <c r="CK33" i="25"/>
  <c r="CL33" i="25"/>
  <c r="CM33" i="25"/>
  <c r="B34" i="25"/>
  <c r="DD34" i="25"/>
  <c r="L34" i="25"/>
  <c r="M34" i="25"/>
  <c r="CJ34" i="25"/>
  <c r="CK34" i="25"/>
  <c r="CL34" i="25"/>
  <c r="CM34" i="25"/>
  <c r="B35" i="25"/>
  <c r="E35" i="25"/>
  <c r="L35" i="25"/>
  <c r="M35" i="25"/>
  <c r="CJ35" i="25"/>
  <c r="CK35" i="25"/>
  <c r="CL35" i="25"/>
  <c r="CM35" i="25"/>
  <c r="B36" i="25"/>
  <c r="DD36" i="25"/>
  <c r="L36" i="25"/>
  <c r="M36" i="25"/>
  <c r="CJ36" i="25"/>
  <c r="CK36" i="25"/>
  <c r="CL36" i="25"/>
  <c r="CM36" i="25"/>
  <c r="B37" i="25"/>
  <c r="DD37" i="25"/>
  <c r="L37" i="25"/>
  <c r="M37" i="25"/>
  <c r="CJ37" i="25"/>
  <c r="CK37" i="25"/>
  <c r="CL37" i="25"/>
  <c r="CM37" i="25"/>
  <c r="B38" i="25"/>
  <c r="E38" i="25"/>
  <c r="L38" i="25"/>
  <c r="M38" i="25"/>
  <c r="U38" i="25"/>
  <c r="U94" i="25" s="1"/>
  <c r="CJ38" i="25"/>
  <c r="CK38" i="25"/>
  <c r="CL38" i="25"/>
  <c r="CM38" i="25"/>
  <c r="B39" i="25"/>
  <c r="E39" i="25"/>
  <c r="L39" i="25"/>
  <c r="M39" i="25"/>
  <c r="CJ39" i="25"/>
  <c r="CK39" i="25"/>
  <c r="CL39" i="25"/>
  <c r="CM39" i="25"/>
  <c r="B40" i="25"/>
  <c r="DD40" i="25"/>
  <c r="L40" i="25"/>
  <c r="M40" i="25"/>
  <c r="CJ40" i="25"/>
  <c r="CK40" i="25"/>
  <c r="CL40" i="25"/>
  <c r="CM40" i="25"/>
  <c r="B41" i="25"/>
  <c r="E41" i="25"/>
  <c r="L41" i="25"/>
  <c r="M41" i="25"/>
  <c r="U41" i="25"/>
  <c r="U97" i="25" s="1"/>
  <c r="CJ41" i="25"/>
  <c r="CK41" i="25"/>
  <c r="CL41" i="25"/>
  <c r="CM41" i="25"/>
  <c r="B42" i="25"/>
  <c r="E42" i="25"/>
  <c r="L42" i="25"/>
  <c r="M42" i="25"/>
  <c r="U42" i="25"/>
  <c r="U98" i="25" s="1"/>
  <c r="CJ42" i="25"/>
  <c r="CK42" i="25"/>
  <c r="CL42" i="25"/>
  <c r="CM42" i="25"/>
  <c r="B43" i="25"/>
  <c r="E43" i="25"/>
  <c r="L43" i="25"/>
  <c r="M43" i="25"/>
  <c r="U43" i="25"/>
  <c r="U99" i="25" s="1"/>
  <c r="CJ43" i="25"/>
  <c r="CK43" i="25"/>
  <c r="CL43" i="25"/>
  <c r="CM43" i="25"/>
  <c r="B44" i="25"/>
  <c r="E44" i="25"/>
  <c r="L44" i="25"/>
  <c r="M44" i="25"/>
  <c r="CJ44" i="25"/>
  <c r="CK44" i="25"/>
  <c r="CL44" i="25"/>
  <c r="CM44" i="25"/>
  <c r="B45" i="25"/>
  <c r="U429" i="36"/>
  <c r="R429" i="36" s="1"/>
  <c r="U492" i="36"/>
  <c r="L45" i="25"/>
  <c r="F17" i="53" s="1"/>
  <c r="N17" i="53" s="1"/>
  <c r="M45" i="25"/>
  <c r="F19" i="53" s="1"/>
  <c r="N19" i="53" s="1"/>
  <c r="CJ45" i="25"/>
  <c r="CK45" i="25"/>
  <c r="CL45" i="25"/>
  <c r="CM45" i="25"/>
  <c r="B46" i="25"/>
  <c r="U430" i="36"/>
  <c r="R430" i="36" s="1"/>
  <c r="U493" i="36"/>
  <c r="R493" i="36" s="1"/>
  <c r="L46" i="25"/>
  <c r="M46" i="25"/>
  <c r="T462" i="36" s="1"/>
  <c r="CJ46" i="25"/>
  <c r="CK46" i="25"/>
  <c r="CL46" i="25"/>
  <c r="CM46" i="25"/>
  <c r="B47" i="25"/>
  <c r="U431" i="36"/>
  <c r="U494" i="36"/>
  <c r="R494" i="36" s="1"/>
  <c r="L47" i="25"/>
  <c r="M47" i="25"/>
  <c r="T463" i="36" s="1"/>
  <c r="T494" i="36"/>
  <c r="CJ47" i="25"/>
  <c r="CK47" i="25"/>
  <c r="CL47" i="25"/>
  <c r="CM47" i="25"/>
  <c r="B48" i="25"/>
  <c r="L48" i="25"/>
  <c r="M48" i="25"/>
  <c r="T495" i="36"/>
  <c r="CJ48" i="25"/>
  <c r="CK48" i="25"/>
  <c r="CL48" i="25"/>
  <c r="CM48" i="25"/>
  <c r="B49" i="25"/>
  <c r="DD49" i="25"/>
  <c r="L49" i="25"/>
  <c r="S49" i="25" s="1"/>
  <c r="S105" i="25" s="1"/>
  <c r="M49" i="25"/>
  <c r="T465" i="36" s="1"/>
  <c r="T496" i="36"/>
  <c r="CJ49" i="25"/>
  <c r="CK49" i="25"/>
  <c r="CL49" i="25"/>
  <c r="CM49" i="25"/>
  <c r="B50" i="25"/>
  <c r="E50" i="25"/>
  <c r="U434" i="36" s="1"/>
  <c r="R434" i="36" s="1"/>
  <c r="L50" i="25"/>
  <c r="M50" i="25"/>
  <c r="T466" i="36" s="1"/>
  <c r="T497" i="36"/>
  <c r="CJ50" i="25"/>
  <c r="CK50" i="25"/>
  <c r="CL50" i="25"/>
  <c r="CM50" i="25"/>
  <c r="B51" i="25"/>
  <c r="DD51" i="25"/>
  <c r="L51" i="25"/>
  <c r="M51" i="25"/>
  <c r="T467" i="36" s="1"/>
  <c r="T498" i="36"/>
  <c r="U51" i="25"/>
  <c r="U107" i="25" s="1"/>
  <c r="CJ51" i="25"/>
  <c r="CK51" i="25"/>
  <c r="CL51" i="25"/>
  <c r="CM51" i="25"/>
  <c r="B52" i="25"/>
  <c r="E52" i="25"/>
  <c r="U436" i="36" s="1"/>
  <c r="U499" i="36"/>
  <c r="L52" i="25"/>
  <c r="M52" i="25"/>
  <c r="T468" i="36" s="1"/>
  <c r="T499" i="36"/>
  <c r="CJ52" i="25"/>
  <c r="CK52" i="25"/>
  <c r="CL52" i="25"/>
  <c r="CM52" i="25"/>
  <c r="B53" i="25"/>
  <c r="E53" i="25"/>
  <c r="U500" i="36"/>
  <c r="R500" i="36" s="1"/>
  <c r="L53" i="25"/>
  <c r="M53" i="25"/>
  <c r="T469" i="36" s="1"/>
  <c r="CJ53" i="25"/>
  <c r="CK53" i="25"/>
  <c r="CL53" i="25"/>
  <c r="CM53" i="25"/>
  <c r="B54" i="25"/>
  <c r="L54" i="25"/>
  <c r="M54" i="25"/>
  <c r="T470" i="36" s="1"/>
  <c r="T501" i="36"/>
  <c r="CJ54" i="25"/>
  <c r="CK54" i="25"/>
  <c r="CL54" i="25"/>
  <c r="CM54" i="25"/>
  <c r="B55" i="25"/>
  <c r="L55" i="25"/>
  <c r="M55" i="25"/>
  <c r="T471" i="36" s="1"/>
  <c r="T502" i="36"/>
  <c r="CJ55" i="25"/>
  <c r="CK55" i="25"/>
  <c r="CL55" i="25"/>
  <c r="CM55" i="25"/>
  <c r="B56" i="25"/>
  <c r="E56" i="25"/>
  <c r="L56" i="25"/>
  <c r="M56" i="25"/>
  <c r="T472" i="36" s="1"/>
  <c r="T503" i="36"/>
  <c r="CJ56" i="25"/>
  <c r="CK56" i="25"/>
  <c r="CL56" i="25"/>
  <c r="CM56" i="25"/>
  <c r="B57" i="25"/>
  <c r="L57" i="25"/>
  <c r="M57" i="25"/>
  <c r="T473" i="36" s="1"/>
  <c r="T504" i="36"/>
  <c r="CJ57" i="25"/>
  <c r="CK57" i="25"/>
  <c r="CL57" i="25"/>
  <c r="CM57" i="25"/>
  <c r="B58" i="25"/>
  <c r="DD58" i="25"/>
  <c r="U505" i="36"/>
  <c r="R505" i="36" s="1"/>
  <c r="L58" i="25"/>
  <c r="M58" i="25"/>
  <c r="T474" i="36" s="1"/>
  <c r="T505" i="36"/>
  <c r="CJ58" i="25"/>
  <c r="CK58" i="25"/>
  <c r="CL58" i="25"/>
  <c r="CM58" i="25"/>
  <c r="B59" i="25"/>
  <c r="L59" i="25"/>
  <c r="M59" i="25"/>
  <c r="T475" i="36" s="1"/>
  <c r="T506" i="36"/>
  <c r="CJ59" i="25"/>
  <c r="CK59" i="25"/>
  <c r="CL59" i="25"/>
  <c r="CM59" i="25"/>
  <c r="B60" i="25"/>
  <c r="E60" i="25"/>
  <c r="U444" i="36" s="1"/>
  <c r="U507" i="36"/>
  <c r="R507" i="36" s="1"/>
  <c r="L60" i="25"/>
  <c r="M60" i="25"/>
  <c r="T476" i="36" s="1"/>
  <c r="T507" i="36"/>
  <c r="CJ60" i="25"/>
  <c r="CK60" i="25"/>
  <c r="CL60" i="25"/>
  <c r="CM60" i="25"/>
  <c r="B61" i="25"/>
  <c r="L61" i="25"/>
  <c r="M61" i="25"/>
  <c r="T477" i="36" s="1"/>
  <c r="T508" i="36"/>
  <c r="CJ61" i="25"/>
  <c r="CK61" i="25"/>
  <c r="CL61" i="25"/>
  <c r="CM61" i="25"/>
  <c r="B62" i="25"/>
  <c r="L62" i="25"/>
  <c r="M62" i="25"/>
  <c r="T478" i="36" s="1"/>
  <c r="T509" i="36"/>
  <c r="CJ62" i="25"/>
  <c r="CK62" i="25"/>
  <c r="CL62" i="25"/>
  <c r="CM62" i="25"/>
  <c r="B63" i="25"/>
  <c r="E63" i="25"/>
  <c r="L63" i="25"/>
  <c r="M63" i="25"/>
  <c r="T479" i="36" s="1"/>
  <c r="T510" i="36"/>
  <c r="CJ63" i="25"/>
  <c r="CK63" i="25"/>
  <c r="CL63" i="25"/>
  <c r="CM63" i="25"/>
  <c r="B64" i="25"/>
  <c r="L64" i="25"/>
  <c r="M64" i="25"/>
  <c r="T480" i="36" s="1"/>
  <c r="CJ64" i="25"/>
  <c r="CK64" i="25"/>
  <c r="CL64" i="25"/>
  <c r="CM64" i="25"/>
  <c r="B65" i="25"/>
  <c r="E65" i="25"/>
  <c r="L65" i="25"/>
  <c r="M65" i="25"/>
  <c r="T481" i="36" s="1"/>
  <c r="T512" i="36"/>
  <c r="CJ65" i="25"/>
  <c r="CK65" i="25"/>
  <c r="CL65" i="25"/>
  <c r="CM65" i="25"/>
  <c r="B66" i="25"/>
  <c r="E66" i="25"/>
  <c r="U450" i="36" s="1"/>
  <c r="R450" i="36" s="1"/>
  <c r="L66" i="25"/>
  <c r="M66" i="25"/>
  <c r="T482" i="36" s="1"/>
  <c r="T513" i="36"/>
  <c r="CJ66" i="25"/>
  <c r="CK66" i="25"/>
  <c r="CL66" i="25"/>
  <c r="CM66" i="25"/>
  <c r="B67" i="25"/>
  <c r="E67" i="25"/>
  <c r="L67" i="25"/>
  <c r="M67" i="25"/>
  <c r="T483" i="36" s="1"/>
  <c r="T514" i="36"/>
  <c r="CJ67" i="25"/>
  <c r="CK67" i="25"/>
  <c r="CL67" i="25"/>
  <c r="CM67" i="25"/>
  <c r="B68" i="25"/>
  <c r="E68" i="25"/>
  <c r="U452" i="36" s="1"/>
  <c r="L68" i="25"/>
  <c r="M68" i="25"/>
  <c r="T484" i="36" s="1"/>
  <c r="T515" i="36"/>
  <c r="CJ68" i="25"/>
  <c r="CK68" i="25"/>
  <c r="CL68" i="25"/>
  <c r="CM68" i="25"/>
  <c r="B69" i="25"/>
  <c r="B70" i="25" s="1"/>
  <c r="B73" i="25"/>
  <c r="G73" i="25"/>
  <c r="M73" i="25"/>
  <c r="N73" i="25"/>
  <c r="B74" i="25"/>
  <c r="M74" i="25"/>
  <c r="I7" i="26"/>
  <c r="J7" i="26"/>
  <c r="K7" i="26"/>
  <c r="N7" i="26"/>
  <c r="O7" i="26"/>
  <c r="P7" i="26"/>
  <c r="Q7" i="26"/>
  <c r="S7" i="26"/>
  <c r="T7" i="26"/>
  <c r="U7" i="26"/>
  <c r="V7" i="26"/>
  <c r="AJ7" i="26"/>
  <c r="AK7" i="26"/>
  <c r="AL7" i="26"/>
  <c r="AN7" i="26"/>
  <c r="AO7" i="26"/>
  <c r="AP7" i="26"/>
  <c r="AQ7" i="26"/>
  <c r="AS7" i="26"/>
  <c r="AT7" i="26"/>
  <c r="AU7" i="26"/>
  <c r="AX7" i="26"/>
  <c r="AY7" i="26"/>
  <c r="AZ7" i="26"/>
  <c r="BB7" i="26"/>
  <c r="BC7" i="26"/>
  <c r="BD7" i="26"/>
  <c r="BF7" i="26"/>
  <c r="BG7" i="26"/>
  <c r="BH7" i="26"/>
  <c r="AJ10" i="26"/>
  <c r="AK10" i="26"/>
  <c r="AL10" i="26"/>
  <c r="BB10" i="26"/>
  <c r="BC10" i="26"/>
  <c r="BD10" i="26"/>
  <c r="B11" i="26"/>
  <c r="AJ11" i="26"/>
  <c r="AK11" i="26"/>
  <c r="AO11" i="26" s="1"/>
  <c r="AL11" i="26"/>
  <c r="AN11" i="26"/>
  <c r="AQ11" i="26" s="1"/>
  <c r="AP11" i="26"/>
  <c r="AX11" i="26"/>
  <c r="AY11" i="26"/>
  <c r="AZ11" i="26"/>
  <c r="BB11" i="26"/>
  <c r="BF11" i="26" s="1"/>
  <c r="BC11" i="26"/>
  <c r="BD11" i="26"/>
  <c r="BH11" i="26" s="1"/>
  <c r="BG11" i="26"/>
  <c r="BJ11" i="26"/>
  <c r="BK11" i="26" s="1"/>
  <c r="BN11" i="26"/>
  <c r="BO11" i="26" s="1"/>
  <c r="B12" i="26"/>
  <c r="AJ12" i="26"/>
  <c r="AK12" i="26"/>
  <c r="AO12" i="26" s="1"/>
  <c r="AL12" i="26"/>
  <c r="AN12" i="26"/>
  <c r="AQ12" i="26" s="1"/>
  <c r="AP12" i="26"/>
  <c r="AX12" i="26"/>
  <c r="AY12" i="26"/>
  <c r="AZ12" i="26"/>
  <c r="BB12" i="26"/>
  <c r="BF12" i="26" s="1"/>
  <c r="BC12" i="26"/>
  <c r="BD12" i="26"/>
  <c r="BH12" i="26" s="1"/>
  <c r="BG12" i="26"/>
  <c r="BJ12" i="26"/>
  <c r="BK12" i="26" s="1"/>
  <c r="BN12" i="26"/>
  <c r="BO12" i="26" s="1"/>
  <c r="B13" i="26"/>
  <c r="AJ13" i="26"/>
  <c r="AK13" i="26"/>
  <c r="AO13" i="26" s="1"/>
  <c r="AL13" i="26"/>
  <c r="AN13" i="26"/>
  <c r="AQ13" i="26" s="1"/>
  <c r="AP13" i="26"/>
  <c r="AX13" i="26"/>
  <c r="AY13" i="26"/>
  <c r="AZ13" i="26"/>
  <c r="BB13" i="26"/>
  <c r="BF13" i="26" s="1"/>
  <c r="BC13" i="26"/>
  <c r="BD13" i="26"/>
  <c r="BH13" i="26" s="1"/>
  <c r="BG13" i="26"/>
  <c r="BJ13" i="26"/>
  <c r="BK13" i="26" s="1"/>
  <c r="BN13" i="26"/>
  <c r="BO13" i="26" s="1"/>
  <c r="B14" i="26"/>
  <c r="AJ14" i="26"/>
  <c r="AK14" i="26"/>
  <c r="AO14" i="26" s="1"/>
  <c r="AL14" i="26"/>
  <c r="AN14" i="26"/>
  <c r="AQ14" i="26" s="1"/>
  <c r="AP14" i="26"/>
  <c r="AX14" i="26"/>
  <c r="AY14" i="26"/>
  <c r="AZ14" i="26"/>
  <c r="BB14" i="26"/>
  <c r="BF14" i="26" s="1"/>
  <c r="BC14" i="26"/>
  <c r="BD14" i="26"/>
  <c r="BH14" i="26" s="1"/>
  <c r="BG14" i="26"/>
  <c r="BJ14" i="26"/>
  <c r="BK14" i="26" s="1"/>
  <c r="BN14" i="26"/>
  <c r="BO14" i="26" s="1"/>
  <c r="B15" i="26"/>
  <c r="AJ15" i="26"/>
  <c r="AK15" i="26"/>
  <c r="AO15" i="26" s="1"/>
  <c r="AL15" i="26"/>
  <c r="AN15" i="26"/>
  <c r="AP15" i="26"/>
  <c r="AX15" i="26"/>
  <c r="AY15" i="26"/>
  <c r="AZ15" i="26"/>
  <c r="BB15" i="26"/>
  <c r="BF15" i="26" s="1"/>
  <c r="BC15" i="26"/>
  <c r="BD15" i="26"/>
  <c r="BH15" i="26" s="1"/>
  <c r="BG15" i="26"/>
  <c r="BJ15" i="26"/>
  <c r="BK15" i="26" s="1"/>
  <c r="BN15" i="26"/>
  <c r="BO15" i="26" s="1"/>
  <c r="B16" i="26"/>
  <c r="AJ16" i="26"/>
  <c r="AK16" i="26"/>
  <c r="AO16" i="26" s="1"/>
  <c r="AL16" i="26"/>
  <c r="AN16" i="26"/>
  <c r="AQ16" i="26" s="1"/>
  <c r="AU16" i="26" s="1"/>
  <c r="AP16" i="26"/>
  <c r="AS16" i="26"/>
  <c r="AX16" i="26"/>
  <c r="AY16" i="26"/>
  <c r="AZ16" i="26"/>
  <c r="BB16" i="26"/>
  <c r="BF16" i="26" s="1"/>
  <c r="BC16" i="26"/>
  <c r="BD16" i="26"/>
  <c r="BH16" i="26" s="1"/>
  <c r="BG16" i="26"/>
  <c r="BJ16" i="26"/>
  <c r="BK16" i="26" s="1"/>
  <c r="BN16" i="26"/>
  <c r="BO16" i="26" s="1"/>
  <c r="B17" i="26"/>
  <c r="AJ17" i="26"/>
  <c r="AK17" i="26"/>
  <c r="AO17" i="26" s="1"/>
  <c r="AL17" i="26"/>
  <c r="AN17" i="26"/>
  <c r="AQ17" i="26" s="1"/>
  <c r="AU17" i="26" s="1"/>
  <c r="AP17" i="26"/>
  <c r="AS17" i="26"/>
  <c r="AX17" i="26"/>
  <c r="AY17" i="26"/>
  <c r="AZ17" i="26"/>
  <c r="BB17" i="26"/>
  <c r="BF17" i="26" s="1"/>
  <c r="BC17" i="26"/>
  <c r="BD17" i="26"/>
  <c r="BH17" i="26" s="1"/>
  <c r="BG17" i="26"/>
  <c r="BJ17" i="26"/>
  <c r="BK17" i="26" s="1"/>
  <c r="BN17" i="26"/>
  <c r="BO17" i="26" s="1"/>
  <c r="B18" i="26"/>
  <c r="AJ18" i="26"/>
  <c r="AK18" i="26"/>
  <c r="AO18" i="26" s="1"/>
  <c r="AL18" i="26"/>
  <c r="AN18" i="26"/>
  <c r="AQ18" i="26" s="1"/>
  <c r="AU18" i="26" s="1"/>
  <c r="AP18" i="26"/>
  <c r="AS18" i="26"/>
  <c r="AX18" i="26"/>
  <c r="AY18" i="26"/>
  <c r="AZ18" i="26"/>
  <c r="BB18" i="26"/>
  <c r="BF18" i="26" s="1"/>
  <c r="BC18" i="26"/>
  <c r="BD18" i="26"/>
  <c r="BH18" i="26" s="1"/>
  <c r="BG18" i="26"/>
  <c r="BJ18" i="26"/>
  <c r="BK18" i="26" s="1"/>
  <c r="BN18" i="26"/>
  <c r="BO18" i="26" s="1"/>
  <c r="B19" i="26"/>
  <c r="AJ19" i="26"/>
  <c r="AK19" i="26"/>
  <c r="AO19" i="26" s="1"/>
  <c r="AL19" i="26"/>
  <c r="AN19" i="26"/>
  <c r="AQ19" i="26" s="1"/>
  <c r="AU19" i="26" s="1"/>
  <c r="AP19" i="26"/>
  <c r="AS19" i="26"/>
  <c r="AX19" i="26"/>
  <c r="AY19" i="26"/>
  <c r="AZ19" i="26"/>
  <c r="BB19" i="26"/>
  <c r="BF19" i="26" s="1"/>
  <c r="BC19" i="26"/>
  <c r="BD19" i="26"/>
  <c r="BH19" i="26" s="1"/>
  <c r="BG19" i="26"/>
  <c r="BJ19" i="26"/>
  <c r="BK19" i="26" s="1"/>
  <c r="BN19" i="26"/>
  <c r="BO19" i="26" s="1"/>
  <c r="B20" i="26"/>
  <c r="AJ20" i="26"/>
  <c r="AK20" i="26"/>
  <c r="AO20" i="26" s="1"/>
  <c r="AL20" i="26"/>
  <c r="AN20" i="26"/>
  <c r="AQ20" i="26" s="1"/>
  <c r="AU20" i="26" s="1"/>
  <c r="AP20" i="26"/>
  <c r="AS20" i="26"/>
  <c r="AX20" i="26"/>
  <c r="AY20" i="26"/>
  <c r="AZ20" i="26"/>
  <c r="BB20" i="26"/>
  <c r="BF20" i="26" s="1"/>
  <c r="BC20" i="26"/>
  <c r="BD20" i="26"/>
  <c r="BH20" i="26" s="1"/>
  <c r="BG20" i="26"/>
  <c r="BJ20" i="26"/>
  <c r="BK20" i="26" s="1"/>
  <c r="BN20" i="26"/>
  <c r="BO20" i="26" s="1"/>
  <c r="B21" i="26"/>
  <c r="AJ21" i="26"/>
  <c r="AK21" i="26"/>
  <c r="AO21" i="26" s="1"/>
  <c r="AL21" i="26"/>
  <c r="AN21" i="26"/>
  <c r="AQ21" i="26" s="1"/>
  <c r="AU21" i="26" s="1"/>
  <c r="AP21" i="26"/>
  <c r="AS21" i="26"/>
  <c r="AX21" i="26"/>
  <c r="AY21" i="26"/>
  <c r="AZ21" i="26"/>
  <c r="BB21" i="26"/>
  <c r="BF21" i="26" s="1"/>
  <c r="BC21" i="26"/>
  <c r="BD21" i="26"/>
  <c r="BH21" i="26" s="1"/>
  <c r="BG21" i="26"/>
  <c r="BJ21" i="26"/>
  <c r="BK21" i="26" s="1"/>
  <c r="BN21" i="26"/>
  <c r="BO21" i="26" s="1"/>
  <c r="B22" i="26"/>
  <c r="AJ22" i="26"/>
  <c r="AK22" i="26"/>
  <c r="AO22" i="26" s="1"/>
  <c r="AL22" i="26"/>
  <c r="AN22" i="26"/>
  <c r="AQ22" i="26" s="1"/>
  <c r="AU22" i="26" s="1"/>
  <c r="AP22" i="26"/>
  <c r="AS22" i="26"/>
  <c r="AX22" i="26"/>
  <c r="AY22" i="26"/>
  <c r="AZ22" i="26"/>
  <c r="BB22" i="26"/>
  <c r="BF22" i="26" s="1"/>
  <c r="BC22" i="26"/>
  <c r="BD22" i="26"/>
  <c r="BH22" i="26" s="1"/>
  <c r="BG22" i="26"/>
  <c r="BJ22" i="26"/>
  <c r="BK22" i="26" s="1"/>
  <c r="BN22" i="26"/>
  <c r="BO22" i="26" s="1"/>
  <c r="B23" i="26"/>
  <c r="AJ23" i="26"/>
  <c r="AK23" i="26"/>
  <c r="AO23" i="26" s="1"/>
  <c r="AL23" i="26"/>
  <c r="AN23" i="26"/>
  <c r="AP23" i="26"/>
  <c r="AQ23" i="26"/>
  <c r="AS23" i="26" s="1"/>
  <c r="AT23" i="26"/>
  <c r="AU23" i="26"/>
  <c r="AX23" i="26"/>
  <c r="AY23" i="26"/>
  <c r="AZ23" i="26"/>
  <c r="BB23" i="26"/>
  <c r="BC23" i="26"/>
  <c r="BG23" i="26" s="1"/>
  <c r="BD23" i="26"/>
  <c r="BF23" i="26"/>
  <c r="BH23" i="26"/>
  <c r="BJ23" i="26"/>
  <c r="BK23" i="26" s="1"/>
  <c r="BN23" i="26"/>
  <c r="BO23" i="26" s="1"/>
  <c r="B24" i="26"/>
  <c r="AJ24" i="26"/>
  <c r="AK24" i="26"/>
  <c r="AO24" i="26" s="1"/>
  <c r="AL24" i="26"/>
  <c r="AN24" i="26"/>
  <c r="AQ24" i="26" s="1"/>
  <c r="AP24" i="26"/>
  <c r="AX24" i="26"/>
  <c r="AY24" i="26"/>
  <c r="AZ24" i="26"/>
  <c r="BB24" i="26"/>
  <c r="BF24" i="26" s="1"/>
  <c r="BC24" i="26"/>
  <c r="BD24" i="26"/>
  <c r="BH24" i="26" s="1"/>
  <c r="BG24" i="26"/>
  <c r="BJ24" i="26"/>
  <c r="BK24" i="26" s="1"/>
  <c r="BN24" i="26"/>
  <c r="BO24" i="26" s="1"/>
  <c r="B25" i="26"/>
  <c r="AJ25" i="26"/>
  <c r="AK25" i="26"/>
  <c r="AO25" i="26" s="1"/>
  <c r="AL25" i="26"/>
  <c r="AN25" i="26"/>
  <c r="AQ25" i="26" s="1"/>
  <c r="AP25" i="26"/>
  <c r="AX25" i="26"/>
  <c r="AY25" i="26"/>
  <c r="AZ25" i="26"/>
  <c r="BB25" i="26"/>
  <c r="BF25" i="26" s="1"/>
  <c r="BC25" i="26"/>
  <c r="BD25" i="26"/>
  <c r="BH25" i="26" s="1"/>
  <c r="BG25" i="26"/>
  <c r="BJ25" i="26"/>
  <c r="BK25" i="26" s="1"/>
  <c r="BN25" i="26"/>
  <c r="BO25" i="26" s="1"/>
  <c r="B26" i="26"/>
  <c r="AJ26" i="26"/>
  <c r="AK26" i="26"/>
  <c r="AO26" i="26" s="1"/>
  <c r="AL26" i="26"/>
  <c r="AN26" i="26"/>
  <c r="AQ26" i="26" s="1"/>
  <c r="AP26" i="26"/>
  <c r="AX26" i="26"/>
  <c r="AY26" i="26"/>
  <c r="AZ26" i="26"/>
  <c r="BB26" i="26"/>
  <c r="BF26" i="26" s="1"/>
  <c r="BC26" i="26"/>
  <c r="BD26" i="26"/>
  <c r="BH26" i="26" s="1"/>
  <c r="BG26" i="26"/>
  <c r="BJ26" i="26"/>
  <c r="BK26" i="26" s="1"/>
  <c r="BN26" i="26"/>
  <c r="BO26" i="26" s="1"/>
  <c r="B27" i="26"/>
  <c r="AJ27" i="26"/>
  <c r="AK27" i="26"/>
  <c r="AO27" i="26" s="1"/>
  <c r="AL27" i="26"/>
  <c r="AN27" i="26"/>
  <c r="AQ27" i="26" s="1"/>
  <c r="AP27" i="26"/>
  <c r="AX27" i="26"/>
  <c r="AY27" i="26"/>
  <c r="AZ27" i="26"/>
  <c r="BB27" i="26"/>
  <c r="BF27" i="26" s="1"/>
  <c r="BC27" i="26"/>
  <c r="BD27" i="26"/>
  <c r="BH27" i="26" s="1"/>
  <c r="BG27" i="26"/>
  <c r="BJ27" i="26"/>
  <c r="BK27" i="26" s="1"/>
  <c r="BN27" i="26"/>
  <c r="BO27" i="26" s="1"/>
  <c r="B28" i="26"/>
  <c r="AJ28" i="26"/>
  <c r="AK28" i="26"/>
  <c r="AO28" i="26" s="1"/>
  <c r="AL28" i="26"/>
  <c r="AN28" i="26"/>
  <c r="AQ28" i="26" s="1"/>
  <c r="AP28" i="26"/>
  <c r="AX28" i="26"/>
  <c r="AY28" i="26"/>
  <c r="AZ28" i="26"/>
  <c r="BB28" i="26"/>
  <c r="BF28" i="26" s="1"/>
  <c r="BC28" i="26"/>
  <c r="BD28" i="26"/>
  <c r="BH28" i="26" s="1"/>
  <c r="BG28" i="26"/>
  <c r="BJ28" i="26"/>
  <c r="BK28" i="26" s="1"/>
  <c r="BN28" i="26"/>
  <c r="BO28" i="26" s="1"/>
  <c r="B29" i="26"/>
  <c r="AJ29" i="26"/>
  <c r="AK29" i="26"/>
  <c r="AO29" i="26" s="1"/>
  <c r="AL29" i="26"/>
  <c r="AN29" i="26"/>
  <c r="AQ29" i="26" s="1"/>
  <c r="AP29" i="26"/>
  <c r="AX29" i="26"/>
  <c r="AY29" i="26"/>
  <c r="AZ29" i="26"/>
  <c r="BB29" i="26"/>
  <c r="BF29" i="26" s="1"/>
  <c r="BC29" i="26"/>
  <c r="BD29" i="26"/>
  <c r="BH29" i="26" s="1"/>
  <c r="BG29" i="26"/>
  <c r="BJ29" i="26"/>
  <c r="BK29" i="26" s="1"/>
  <c r="BN29" i="26"/>
  <c r="BO29" i="26" s="1"/>
  <c r="B30" i="26"/>
  <c r="AJ30" i="26"/>
  <c r="AK30" i="26"/>
  <c r="AO30" i="26" s="1"/>
  <c r="AL30" i="26"/>
  <c r="AN30" i="26"/>
  <c r="AQ30" i="26" s="1"/>
  <c r="AP30" i="26"/>
  <c r="AX30" i="26"/>
  <c r="AY30" i="26"/>
  <c r="AZ30" i="26"/>
  <c r="BB30" i="26"/>
  <c r="BF30" i="26" s="1"/>
  <c r="BC30" i="26"/>
  <c r="BD30" i="26"/>
  <c r="BH30" i="26" s="1"/>
  <c r="BG30" i="26"/>
  <c r="BJ30" i="26"/>
  <c r="BK30" i="26" s="1"/>
  <c r="BN30" i="26"/>
  <c r="BO30" i="26" s="1"/>
  <c r="B31" i="26"/>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D31" i="26"/>
  <c r="E31" i="26"/>
  <c r="F31" i="26"/>
  <c r="I31" i="26"/>
  <c r="E32" i="26"/>
  <c r="I32" i="26"/>
  <c r="N32" i="26" s="1"/>
  <c r="I33" i="26"/>
  <c r="F34" i="26"/>
  <c r="D35" i="26"/>
  <c r="E35" i="26"/>
  <c r="F35" i="26"/>
  <c r="D36" i="26"/>
  <c r="I36" i="26"/>
  <c r="I37" i="26"/>
  <c r="N37" i="26" s="1"/>
  <c r="I38" i="26"/>
  <c r="J38" i="26"/>
  <c r="K38" i="26"/>
  <c r="I39" i="26"/>
  <c r="J39" i="26"/>
  <c r="K39" i="26"/>
  <c r="I40" i="26"/>
  <c r="J40" i="26"/>
  <c r="K40" i="26"/>
  <c r="I41" i="26"/>
  <c r="J41" i="26"/>
  <c r="K41" i="26"/>
  <c r="D42" i="26"/>
  <c r="I42" i="26"/>
  <c r="J42" i="26"/>
  <c r="K42" i="26"/>
  <c r="I43" i="26"/>
  <c r="J43" i="26"/>
  <c r="K43" i="26"/>
  <c r="I44" i="26"/>
  <c r="N44" i="26" s="1"/>
  <c r="J44" i="26"/>
  <c r="K44" i="26"/>
  <c r="I45" i="26"/>
  <c r="J45" i="26"/>
  <c r="K45" i="26"/>
  <c r="I46" i="26"/>
  <c r="J46" i="26"/>
  <c r="K46" i="26"/>
  <c r="I47" i="26"/>
  <c r="J47" i="26"/>
  <c r="K47" i="26"/>
  <c r="I48" i="26"/>
  <c r="J48" i="26"/>
  <c r="K48" i="26"/>
  <c r="E49" i="26"/>
  <c r="I49" i="26"/>
  <c r="J49" i="26"/>
  <c r="K49" i="26"/>
  <c r="E50" i="26"/>
  <c r="I50" i="26"/>
  <c r="J50" i="26"/>
  <c r="K50" i="26"/>
  <c r="D51" i="26"/>
  <c r="F51" i="26"/>
  <c r="I51" i="26"/>
  <c r="N51" i="26" s="1"/>
  <c r="J51" i="26"/>
  <c r="K51" i="26"/>
  <c r="D52" i="26"/>
  <c r="G52" i="26" s="1"/>
  <c r="F52" i="26"/>
  <c r="I52" i="26"/>
  <c r="J52" i="26"/>
  <c r="K52" i="26"/>
  <c r="D53" i="26"/>
  <c r="E53" i="26"/>
  <c r="F53" i="26"/>
  <c r="I53" i="26"/>
  <c r="J53" i="26"/>
  <c r="K53" i="26"/>
  <c r="I54" i="26"/>
  <c r="J54" i="26"/>
  <c r="K54" i="26"/>
  <c r="D55" i="26"/>
  <c r="F55" i="26"/>
  <c r="I55" i="26"/>
  <c r="J55" i="26"/>
  <c r="K55" i="26"/>
  <c r="D56" i="26"/>
  <c r="F56" i="26"/>
  <c r="I56" i="26"/>
  <c r="J56" i="26"/>
  <c r="K56" i="26"/>
  <c r="D57" i="26"/>
  <c r="F57" i="26"/>
  <c r="I57" i="26"/>
  <c r="J57" i="26"/>
  <c r="K57" i="26"/>
  <c r="I58" i="26"/>
  <c r="J58" i="26"/>
  <c r="K58" i="26"/>
  <c r="I59" i="26"/>
  <c r="J59" i="26"/>
  <c r="K59" i="26"/>
  <c r="I60" i="26"/>
  <c r="J60" i="26"/>
  <c r="K60" i="26"/>
  <c r="I61" i="26"/>
  <c r="N61" i="26" s="1"/>
  <c r="J61" i="26"/>
  <c r="K61" i="26"/>
  <c r="I62" i="26"/>
  <c r="J62" i="26"/>
  <c r="K62" i="26"/>
  <c r="F63" i="26"/>
  <c r="I63" i="26"/>
  <c r="J63" i="26"/>
  <c r="K63" i="26"/>
  <c r="E64" i="26"/>
  <c r="I64" i="26"/>
  <c r="J64" i="26"/>
  <c r="K64" i="26"/>
  <c r="D65" i="26"/>
  <c r="I65" i="26"/>
  <c r="J65" i="26"/>
  <c r="K65" i="26"/>
  <c r="I66" i="26"/>
  <c r="J66" i="26"/>
  <c r="K66" i="26"/>
  <c r="I67" i="26"/>
  <c r="N67" i="26" s="1"/>
  <c r="J67" i="26"/>
  <c r="K67" i="26"/>
  <c r="I68" i="26"/>
  <c r="J68" i="26"/>
  <c r="K68" i="26"/>
  <c r="I69" i="26"/>
  <c r="J69" i="26"/>
  <c r="K69" i="26"/>
  <c r="B74" i="26"/>
  <c r="B75" i="26"/>
  <c r="H7" i="29"/>
  <c r="I7" i="29"/>
  <c r="L7" i="29"/>
  <c r="M7" i="29"/>
  <c r="N7" i="29"/>
  <c r="P7" i="29"/>
  <c r="Q7" i="29"/>
  <c r="AH7" i="29"/>
  <c r="AI7" i="29"/>
  <c r="AK7" i="29"/>
  <c r="AL7" i="29"/>
  <c r="AM7" i="29"/>
  <c r="AO7" i="29"/>
  <c r="AP7" i="29"/>
  <c r="AS7" i="29"/>
  <c r="AT7" i="29"/>
  <c r="AV7" i="29"/>
  <c r="AW7" i="29"/>
  <c r="AY7" i="29"/>
  <c r="AZ7" i="29"/>
  <c r="BC7" i="29"/>
  <c r="BD7" i="29"/>
  <c r="AH10" i="29"/>
  <c r="AI10" i="29"/>
  <c r="AV10" i="29"/>
  <c r="AW10" i="29"/>
  <c r="B11" i="29"/>
  <c r="AH11" i="29"/>
  <c r="AI11" i="29"/>
  <c r="AK11" i="29"/>
  <c r="AL11" i="29"/>
  <c r="AM11" i="29" s="1"/>
  <c r="AS11" i="29"/>
  <c r="AT11" i="29"/>
  <c r="AV11" i="29"/>
  <c r="AW11" i="29"/>
  <c r="AY11" i="29"/>
  <c r="AZ11" i="29"/>
  <c r="BC11" i="29"/>
  <c r="BD11" i="29"/>
  <c r="B12" i="29"/>
  <c r="AH12" i="29"/>
  <c r="AI12" i="29"/>
  <c r="AK12" i="29"/>
  <c r="AL12" i="29"/>
  <c r="AM12" i="29" s="1"/>
  <c r="AO12" i="29" s="1"/>
  <c r="AS12" i="29"/>
  <c r="AT12" i="29"/>
  <c r="AV12" i="29"/>
  <c r="AW12" i="29"/>
  <c r="AY12" i="29"/>
  <c r="AZ12" i="29"/>
  <c r="BC12" i="29"/>
  <c r="BD12" i="29"/>
  <c r="B13" i="29"/>
  <c r="AH13" i="29"/>
  <c r="AI13" i="29"/>
  <c r="AK13" i="29"/>
  <c r="AL13" i="29"/>
  <c r="AM13" i="29" s="1"/>
  <c r="AO13" i="29" s="1"/>
  <c r="AS13" i="29"/>
  <c r="AT13" i="29"/>
  <c r="AV13" i="29"/>
  <c r="AW13" i="29"/>
  <c r="AY13" i="29"/>
  <c r="AZ13" i="29"/>
  <c r="BC13" i="29"/>
  <c r="BD13" i="29"/>
  <c r="B14" i="29"/>
  <c r="AH14" i="29"/>
  <c r="AI14" i="29"/>
  <c r="AK14" i="29"/>
  <c r="AL14" i="29"/>
  <c r="AM14" i="29" s="1"/>
  <c r="AO14" i="29" s="1"/>
  <c r="AS14" i="29"/>
  <c r="AT14" i="29"/>
  <c r="AV14" i="29"/>
  <c r="AW14" i="29"/>
  <c r="AY14" i="29"/>
  <c r="AZ14" i="29"/>
  <c r="BC14" i="29"/>
  <c r="BD14" i="29"/>
  <c r="B15" i="29"/>
  <c r="AH15" i="29"/>
  <c r="AI15" i="29"/>
  <c r="AK15" i="29"/>
  <c r="AL15" i="29"/>
  <c r="AM15" i="29" s="1"/>
  <c r="AO15" i="29" s="1"/>
  <c r="AS15" i="29"/>
  <c r="AT15" i="29"/>
  <c r="AV15" i="29"/>
  <c r="AW15" i="29"/>
  <c r="AY15" i="29"/>
  <c r="AZ15" i="29"/>
  <c r="BC15" i="29"/>
  <c r="BD15" i="29"/>
  <c r="B16" i="29"/>
  <c r="AH16" i="29"/>
  <c r="AI16" i="29"/>
  <c r="AK16" i="29"/>
  <c r="AL16" i="29"/>
  <c r="AM16" i="29" s="1"/>
  <c r="AO16" i="29" s="1"/>
  <c r="AS16" i="29"/>
  <c r="AT16" i="29"/>
  <c r="AV16" i="29"/>
  <c r="AW16" i="29"/>
  <c r="AY16" i="29"/>
  <c r="AZ16" i="29"/>
  <c r="BC16" i="29"/>
  <c r="BD16" i="29"/>
  <c r="B17" i="29"/>
  <c r="AH17" i="29"/>
  <c r="AI17" i="29"/>
  <c r="AK17" i="29"/>
  <c r="AL17" i="29"/>
  <c r="AM17" i="29" s="1"/>
  <c r="AO17" i="29" s="1"/>
  <c r="AS17" i="29"/>
  <c r="AT17" i="29"/>
  <c r="AV17" i="29"/>
  <c r="AW17" i="29"/>
  <c r="AY17" i="29"/>
  <c r="AZ17" i="29"/>
  <c r="BC17" i="29"/>
  <c r="BD17" i="29"/>
  <c r="B18" i="29"/>
  <c r="AH18" i="29"/>
  <c r="AI18" i="29"/>
  <c r="AK18" i="29"/>
  <c r="AL18" i="29"/>
  <c r="AM18" i="29" s="1"/>
  <c r="AO18" i="29" s="1"/>
  <c r="AS18" i="29"/>
  <c r="AT18" i="29"/>
  <c r="AV18" i="29"/>
  <c r="AW18" i="29"/>
  <c r="AY18" i="29"/>
  <c r="AZ18" i="29"/>
  <c r="BC18" i="29"/>
  <c r="BD18" i="29"/>
  <c r="B19" i="29"/>
  <c r="AH19" i="29"/>
  <c r="AI19" i="29"/>
  <c r="AK19" i="29"/>
  <c r="AL19" i="29"/>
  <c r="AM19" i="29" s="1"/>
  <c r="AO19" i="29" s="1"/>
  <c r="AS19" i="29"/>
  <c r="AT19" i="29"/>
  <c r="AV19" i="29"/>
  <c r="AW19" i="29"/>
  <c r="AY19" i="29"/>
  <c r="AZ19" i="29"/>
  <c r="BC19" i="29"/>
  <c r="BD19" i="29"/>
  <c r="B20" i="29"/>
  <c r="AH20" i="29"/>
  <c r="AI20" i="29"/>
  <c r="AK20" i="29"/>
  <c r="AL20" i="29"/>
  <c r="AM20" i="29" s="1"/>
  <c r="AO20" i="29" s="1"/>
  <c r="AS20" i="29"/>
  <c r="AT20" i="29"/>
  <c r="AV20" i="29"/>
  <c r="AW20" i="29"/>
  <c r="AY20" i="29"/>
  <c r="AZ20" i="29"/>
  <c r="BC20" i="29"/>
  <c r="BD20" i="29"/>
  <c r="B21" i="29"/>
  <c r="AH21" i="29"/>
  <c r="AI21" i="29"/>
  <c r="AK21" i="29"/>
  <c r="AL21" i="29"/>
  <c r="AM21" i="29" s="1"/>
  <c r="AO21" i="29" s="1"/>
  <c r="AS21" i="29"/>
  <c r="AT21" i="29"/>
  <c r="AV21" i="29"/>
  <c r="AW21" i="29"/>
  <c r="AY21" i="29"/>
  <c r="AZ21" i="29"/>
  <c r="BC21" i="29"/>
  <c r="BD21" i="29"/>
  <c r="B22" i="29"/>
  <c r="AH22" i="29"/>
  <c r="AI22" i="29"/>
  <c r="AK22" i="29"/>
  <c r="AL22" i="29"/>
  <c r="AM22" i="29" s="1"/>
  <c r="AO22" i="29" s="1"/>
  <c r="AS22" i="29"/>
  <c r="AT22" i="29"/>
  <c r="AV22" i="29"/>
  <c r="AW22" i="29"/>
  <c r="AY22" i="29"/>
  <c r="AZ22" i="29"/>
  <c r="BC22" i="29"/>
  <c r="BD22" i="29"/>
  <c r="B23" i="29"/>
  <c r="AH23" i="29"/>
  <c r="AI23" i="29"/>
  <c r="AK23" i="29"/>
  <c r="AL23" i="29"/>
  <c r="AM23" i="29" s="1"/>
  <c r="AO23" i="29" s="1"/>
  <c r="AS23" i="29"/>
  <c r="AT23" i="29"/>
  <c r="AV23" i="29"/>
  <c r="AW23" i="29"/>
  <c r="AY23" i="29"/>
  <c r="AZ23" i="29"/>
  <c r="BC23" i="29"/>
  <c r="BD23" i="29"/>
  <c r="B24" i="29"/>
  <c r="AH24" i="29"/>
  <c r="AI24" i="29"/>
  <c r="AK24" i="29"/>
  <c r="AL24" i="29"/>
  <c r="AM24" i="29" s="1"/>
  <c r="AO24" i="29" s="1"/>
  <c r="AS24" i="29"/>
  <c r="AT24" i="29"/>
  <c r="AV24" i="29"/>
  <c r="AW24" i="29"/>
  <c r="AY24" i="29"/>
  <c r="AZ24" i="29"/>
  <c r="BC24" i="29"/>
  <c r="BD24" i="29"/>
  <c r="B25" i="29"/>
  <c r="AH25" i="29"/>
  <c r="AI25" i="29"/>
  <c r="AK25" i="29"/>
  <c r="AL25" i="29"/>
  <c r="AS25" i="29"/>
  <c r="AT25" i="29"/>
  <c r="AV25" i="29"/>
  <c r="AW25" i="29"/>
  <c r="AY25" i="29"/>
  <c r="AZ25" i="29"/>
  <c r="BC25" i="29"/>
  <c r="BD25" i="29"/>
  <c r="B26" i="29"/>
  <c r="AH26" i="29"/>
  <c r="AI26" i="29"/>
  <c r="AK26" i="29"/>
  <c r="AL26" i="29"/>
  <c r="AS26" i="29"/>
  <c r="AT26" i="29"/>
  <c r="AV26" i="29"/>
  <c r="AW26" i="29"/>
  <c r="AY26" i="29"/>
  <c r="AZ26" i="29"/>
  <c r="BC26" i="29"/>
  <c r="BD26" i="29"/>
  <c r="B27" i="29"/>
  <c r="AH27" i="29"/>
  <c r="AI27" i="29"/>
  <c r="AK27" i="29"/>
  <c r="AL27" i="29"/>
  <c r="AS27" i="29"/>
  <c r="AT27" i="29"/>
  <c r="AV27" i="29"/>
  <c r="AW27" i="29"/>
  <c r="AY27" i="29"/>
  <c r="AZ27" i="29"/>
  <c r="BC27" i="29"/>
  <c r="BD27" i="29"/>
  <c r="B28" i="29"/>
  <c r="AH28" i="29"/>
  <c r="AI28" i="29"/>
  <c r="AK28" i="29"/>
  <c r="AO28" i="29" s="1"/>
  <c r="AL28" i="29"/>
  <c r="AM28" i="29"/>
  <c r="AP28" i="29"/>
  <c r="AS28" i="29"/>
  <c r="AT28" i="29"/>
  <c r="AV28" i="29"/>
  <c r="AW28" i="29"/>
  <c r="AY28" i="29"/>
  <c r="AZ28" i="29"/>
  <c r="BC28" i="29"/>
  <c r="BD28" i="29"/>
  <c r="B29" i="29"/>
  <c r="AH29" i="29"/>
  <c r="AI29" i="29"/>
  <c r="AK29" i="29"/>
  <c r="AL29" i="29"/>
  <c r="AM29" i="29" s="1"/>
  <c r="AO29" i="29" s="1"/>
  <c r="AS29" i="29"/>
  <c r="AT29" i="29"/>
  <c r="AV29" i="29"/>
  <c r="AW29" i="29"/>
  <c r="AY29" i="29"/>
  <c r="AZ29" i="29"/>
  <c r="BC29" i="29"/>
  <c r="BD29" i="29"/>
  <c r="B30" i="29"/>
  <c r="AH30" i="29"/>
  <c r="AI30" i="29"/>
  <c r="AK30" i="29"/>
  <c r="AL30" i="29"/>
  <c r="AM30" i="29" s="1"/>
  <c r="AO30" i="29" s="1"/>
  <c r="AS30" i="29"/>
  <c r="AT30" i="29"/>
  <c r="AV30" i="29"/>
  <c r="AW30" i="29"/>
  <c r="AY30" i="29"/>
  <c r="AZ30" i="29"/>
  <c r="BC30" i="29"/>
  <c r="BD30" i="29"/>
  <c r="B31" i="29"/>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I31" i="29"/>
  <c r="BD31" i="29"/>
  <c r="I32" i="29"/>
  <c r="BD32" i="29"/>
  <c r="I33" i="29"/>
  <c r="BD33" i="29"/>
  <c r="I34" i="29"/>
  <c r="BD34" i="29"/>
  <c r="I35" i="29"/>
  <c r="BD35" i="29"/>
  <c r="I36" i="29"/>
  <c r="BD36" i="29"/>
  <c r="I37" i="29"/>
  <c r="BD37" i="29"/>
  <c r="I38" i="29"/>
  <c r="BD38" i="29"/>
  <c r="I39" i="29"/>
  <c r="BD39" i="29"/>
  <c r="I40" i="29"/>
  <c r="BD40" i="29"/>
  <c r="I41" i="29"/>
  <c r="BD41" i="29"/>
  <c r="I42" i="29"/>
  <c r="BD42" i="29"/>
  <c r="I43" i="29"/>
  <c r="BD43" i="29"/>
  <c r="I44" i="29"/>
  <c r="BD44" i="29"/>
  <c r="I45" i="29"/>
  <c r="BD45" i="29"/>
  <c r="I46" i="29"/>
  <c r="BD46" i="29"/>
  <c r="I47" i="29"/>
  <c r="T524" i="36" s="1"/>
  <c r="BD47" i="29"/>
  <c r="I48" i="29"/>
  <c r="T525" i="36" s="1"/>
  <c r="BD48" i="29"/>
  <c r="I49" i="29"/>
  <c r="T526" i="36" s="1"/>
  <c r="BD49" i="29"/>
  <c r="I50" i="29"/>
  <c r="T527" i="36" s="1"/>
  <c r="BD50" i="29"/>
  <c r="I51" i="29"/>
  <c r="T528" i="36" s="1"/>
  <c r="BD51" i="29"/>
  <c r="I52" i="29"/>
  <c r="BD52" i="29"/>
  <c r="I53" i="29"/>
  <c r="T530" i="36" s="1"/>
  <c r="BD53" i="29"/>
  <c r="E54" i="29"/>
  <c r="I54" i="29"/>
  <c r="T531" i="36" s="1"/>
  <c r="BD54" i="29"/>
  <c r="I55" i="29"/>
  <c r="T532" i="36" s="1"/>
  <c r="BD55" i="29"/>
  <c r="I56" i="29"/>
  <c r="T533" i="36" s="1"/>
  <c r="BD56" i="29"/>
  <c r="I57" i="29"/>
  <c r="T534" i="36" s="1"/>
  <c r="BD57" i="29"/>
  <c r="E58" i="29"/>
  <c r="U535" i="36" s="1"/>
  <c r="I58" i="29"/>
  <c r="T535" i="36" s="1"/>
  <c r="BD58" i="29"/>
  <c r="I59" i="29"/>
  <c r="T536" i="36" s="1"/>
  <c r="BD59" i="29"/>
  <c r="I60" i="29"/>
  <c r="T537" i="36" s="1"/>
  <c r="BD60" i="29"/>
  <c r="I61" i="29"/>
  <c r="T538" i="36" s="1"/>
  <c r="BD61" i="29"/>
  <c r="I62" i="29"/>
  <c r="T539" i="36" s="1"/>
  <c r="BD62" i="29"/>
  <c r="I63" i="29"/>
  <c r="T540" i="36" s="1"/>
  <c r="BD63" i="29"/>
  <c r="E64" i="29"/>
  <c r="U541" i="36" s="1"/>
  <c r="I64" i="29"/>
  <c r="T541" i="36" s="1"/>
  <c r="BD64" i="29"/>
  <c r="E65" i="29"/>
  <c r="I65" i="29"/>
  <c r="T542" i="36" s="1"/>
  <c r="BD65" i="29"/>
  <c r="I66" i="29"/>
  <c r="T543" i="36" s="1"/>
  <c r="BD66" i="29"/>
  <c r="I67" i="29"/>
  <c r="T544" i="36" s="1"/>
  <c r="BD67" i="29"/>
  <c r="I68" i="29"/>
  <c r="T545" i="36" s="1"/>
  <c r="BD68" i="29"/>
  <c r="I69" i="29"/>
  <c r="T546" i="36" s="1"/>
  <c r="BD69" i="29"/>
  <c r="B74" i="29"/>
  <c r="B75" i="29"/>
  <c r="M5" i="33"/>
  <c r="N5" i="33"/>
  <c r="Q5" i="33"/>
  <c r="R5" i="33"/>
  <c r="AE5" i="33"/>
  <c r="AF5" i="33"/>
  <c r="AH5" i="33"/>
  <c r="AI5" i="33"/>
  <c r="AJ5" i="33"/>
  <c r="AL5" i="33"/>
  <c r="AM5" i="33"/>
  <c r="AP5" i="33"/>
  <c r="AQ5" i="33"/>
  <c r="AS5" i="33"/>
  <c r="AT5" i="33"/>
  <c r="AV5" i="33"/>
  <c r="AW5" i="33"/>
  <c r="I8" i="33"/>
  <c r="J8" i="33" s="1"/>
  <c r="AE8" i="33"/>
  <c r="AF8" i="33"/>
  <c r="B9" i="33"/>
  <c r="I9" i="33"/>
  <c r="J9" i="33" s="1"/>
  <c r="K11" i="32" s="1"/>
  <c r="AE9" i="33"/>
  <c r="AF9" i="33"/>
  <c r="AH9" i="33"/>
  <c r="AI9" i="33"/>
  <c r="AJ9" i="33"/>
  <c r="AL9" i="33" s="1"/>
  <c r="AZ9" i="33" s="1"/>
  <c r="BA9" i="33" s="1"/>
  <c r="AM9" i="33"/>
  <c r="AP9" i="33"/>
  <c r="AQ9" i="33"/>
  <c r="B10" i="33"/>
  <c r="B11" i="33" s="1"/>
  <c r="B12" i="33" s="1"/>
  <c r="B13" i="33" s="1"/>
  <c r="B14" i="33" s="1"/>
  <c r="B15" i="33" s="1"/>
  <c r="B16" i="33" s="1"/>
  <c r="B17" i="33" s="1"/>
  <c r="B18" i="33" s="1"/>
  <c r="B19" i="33" s="1"/>
  <c r="B20" i="33" s="1"/>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I10" i="33"/>
  <c r="J10" i="33" s="1"/>
  <c r="AS10" i="33" s="1"/>
  <c r="AE10" i="33"/>
  <c r="AH11" i="33" s="1"/>
  <c r="AF10" i="33"/>
  <c r="AH10" i="33"/>
  <c r="AL10" i="33" s="1"/>
  <c r="AZ10" i="33" s="1"/>
  <c r="BA10" i="33" s="1"/>
  <c r="AI10" i="33"/>
  <c r="AJ10" i="33"/>
  <c r="AM10" i="33"/>
  <c r="AP10" i="33"/>
  <c r="AQ10" i="33"/>
  <c r="I11" i="33"/>
  <c r="J11" i="33" s="1"/>
  <c r="AE11" i="33"/>
  <c r="AF11" i="33"/>
  <c r="AI12" i="33" s="1"/>
  <c r="AI11" i="33"/>
  <c r="AP11" i="33"/>
  <c r="AQ11" i="33"/>
  <c r="I12" i="33"/>
  <c r="J12" i="33" s="1"/>
  <c r="AE12" i="33"/>
  <c r="AH13" i="33" s="1"/>
  <c r="AF12" i="33"/>
  <c r="AH12" i="33"/>
  <c r="AP12" i="33"/>
  <c r="AQ12" i="33"/>
  <c r="I13" i="33"/>
  <c r="J13" i="33" s="1"/>
  <c r="AE13" i="33"/>
  <c r="AF13" i="33"/>
  <c r="AI14" i="33" s="1"/>
  <c r="AI13" i="33"/>
  <c r="AP13" i="33"/>
  <c r="AQ13" i="33"/>
  <c r="I14" i="33"/>
  <c r="J14" i="33" s="1"/>
  <c r="AE14" i="33"/>
  <c r="AH15" i="33" s="1"/>
  <c r="AF14" i="33"/>
  <c r="AH14" i="33"/>
  <c r="AP14" i="33"/>
  <c r="AQ14" i="33"/>
  <c r="I15" i="33"/>
  <c r="J15" i="33" s="1"/>
  <c r="AS15" i="33" s="1"/>
  <c r="AE15" i="33"/>
  <c r="AF15" i="33"/>
  <c r="AI16" i="33" s="1"/>
  <c r="AI15" i="33"/>
  <c r="AP15" i="33"/>
  <c r="AQ15" i="33"/>
  <c r="I16" i="33"/>
  <c r="J16" i="33" s="1"/>
  <c r="AE16" i="33"/>
  <c r="AH17" i="33" s="1"/>
  <c r="AF16" i="33"/>
  <c r="AH16" i="33"/>
  <c r="AP16" i="33"/>
  <c r="AQ16" i="33"/>
  <c r="I17" i="33"/>
  <c r="J17" i="33" s="1"/>
  <c r="AS17" i="33" s="1"/>
  <c r="AE17" i="33"/>
  <c r="AF17" i="33"/>
  <c r="AI18" i="33" s="1"/>
  <c r="AI17" i="33"/>
  <c r="AP17" i="33"/>
  <c r="AQ17" i="33"/>
  <c r="I18" i="33"/>
  <c r="J18" i="33" s="1"/>
  <c r="AE18" i="33"/>
  <c r="AH19" i="33" s="1"/>
  <c r="AF18" i="33"/>
  <c r="AH18" i="33"/>
  <c r="AP18" i="33"/>
  <c r="AQ18" i="33"/>
  <c r="I19" i="33"/>
  <c r="J19" i="33" s="1"/>
  <c r="AS19" i="33" s="1"/>
  <c r="AE19" i="33"/>
  <c r="AF19" i="33"/>
  <c r="AI20" i="33" s="1"/>
  <c r="AI19" i="33"/>
  <c r="AP19" i="33"/>
  <c r="AQ19" i="33"/>
  <c r="I20" i="33"/>
  <c r="J20" i="33" s="1"/>
  <c r="AS20" i="33" s="1"/>
  <c r="AE20" i="33"/>
  <c r="AF20" i="33"/>
  <c r="AH20" i="33"/>
  <c r="AP20" i="33"/>
  <c r="AQ20" i="33"/>
  <c r="E21" i="33"/>
  <c r="F21" i="33" s="1"/>
  <c r="I21" i="33"/>
  <c r="J21" i="33" s="1"/>
  <c r="AP21" i="33"/>
  <c r="AQ21" i="33"/>
  <c r="I22" i="33"/>
  <c r="J22" i="33" s="1"/>
  <c r="AP22" i="33"/>
  <c r="AQ22" i="33"/>
  <c r="E23" i="33"/>
  <c r="F23" i="33" s="1"/>
  <c r="I23" i="33"/>
  <c r="J23" i="33" s="1"/>
  <c r="AP23" i="33"/>
  <c r="AQ23" i="33"/>
  <c r="I24" i="33"/>
  <c r="J24" i="33" s="1"/>
  <c r="AS24" i="33" s="1"/>
  <c r="AP24" i="33"/>
  <c r="AQ24" i="33"/>
  <c r="E25" i="33"/>
  <c r="F25" i="33" s="1"/>
  <c r="I25" i="33"/>
  <c r="J25" i="33" s="1"/>
  <c r="AP25" i="33"/>
  <c r="AQ25" i="33"/>
  <c r="I26" i="33"/>
  <c r="J26" i="33" s="1"/>
  <c r="AP26" i="33"/>
  <c r="AQ26" i="33"/>
  <c r="E27" i="33"/>
  <c r="F27" i="33" s="1"/>
  <c r="I27" i="33"/>
  <c r="J27" i="33" s="1"/>
  <c r="AS27" i="33" s="1"/>
  <c r="AP27" i="33"/>
  <c r="AQ27" i="33"/>
  <c r="I28" i="33"/>
  <c r="J28" i="33" s="1"/>
  <c r="AT28" i="33" s="1"/>
  <c r="AP28" i="33"/>
  <c r="AQ28" i="33"/>
  <c r="H29" i="33"/>
  <c r="I29" i="33"/>
  <c r="E30" i="33"/>
  <c r="H30" i="33"/>
  <c r="I30" i="33"/>
  <c r="H31" i="33"/>
  <c r="I31" i="33"/>
  <c r="E32" i="33"/>
  <c r="H32" i="33"/>
  <c r="I32" i="33"/>
  <c r="H33" i="33"/>
  <c r="I33" i="33"/>
  <c r="E34" i="33"/>
  <c r="H34" i="33"/>
  <c r="I34" i="33"/>
  <c r="E35" i="33"/>
  <c r="H35" i="33"/>
  <c r="I35" i="33"/>
  <c r="M35" i="33" s="1"/>
  <c r="E36" i="33"/>
  <c r="H36" i="33"/>
  <c r="I36" i="33"/>
  <c r="M36" i="33" s="1"/>
  <c r="E37" i="33"/>
  <c r="H37" i="33"/>
  <c r="I37" i="33"/>
  <c r="E38" i="33"/>
  <c r="H38" i="33"/>
  <c r="I38" i="33"/>
  <c r="J38" i="33" s="1"/>
  <c r="E39" i="33"/>
  <c r="H39" i="33"/>
  <c r="I39" i="33"/>
  <c r="M39" i="33" s="1"/>
  <c r="E40" i="33"/>
  <c r="H40" i="33"/>
  <c r="I40" i="33"/>
  <c r="M40" i="33" s="1"/>
  <c r="E41" i="33"/>
  <c r="H41" i="33"/>
  <c r="I41" i="33"/>
  <c r="M41" i="33" s="1"/>
  <c r="E42" i="33"/>
  <c r="H42" i="33"/>
  <c r="I42" i="33"/>
  <c r="M42" i="33" s="1"/>
  <c r="E43" i="33"/>
  <c r="H43" i="33"/>
  <c r="I43" i="33"/>
  <c r="M43" i="33" s="1"/>
  <c r="E44" i="33"/>
  <c r="H44" i="33"/>
  <c r="T554" i="36" s="1"/>
  <c r="I44" i="33"/>
  <c r="T586" i="36" s="1"/>
  <c r="H45" i="33"/>
  <c r="T555" i="36" s="1"/>
  <c r="I45" i="33"/>
  <c r="T587" i="36" s="1"/>
  <c r="E46" i="33"/>
  <c r="H46" i="33"/>
  <c r="T556" i="36" s="1"/>
  <c r="I46" i="33"/>
  <c r="T588" i="36" s="1"/>
  <c r="E47" i="33"/>
  <c r="U589" i="36" s="1"/>
  <c r="H47" i="33"/>
  <c r="T557" i="36" s="1"/>
  <c r="P557" i="36" s="1"/>
  <c r="I47" i="33"/>
  <c r="E48" i="33"/>
  <c r="U590" i="36" s="1"/>
  <c r="H48" i="33"/>
  <c r="T558" i="36" s="1"/>
  <c r="I48" i="33"/>
  <c r="T590" i="36" s="1"/>
  <c r="H49" i="33"/>
  <c r="T559" i="36" s="1"/>
  <c r="I49" i="33"/>
  <c r="T591" i="36" s="1"/>
  <c r="E50" i="33"/>
  <c r="H50" i="33"/>
  <c r="T560" i="36" s="1"/>
  <c r="I50" i="33"/>
  <c r="T592" i="36" s="1"/>
  <c r="E51" i="33"/>
  <c r="U593" i="36" s="1"/>
  <c r="H51" i="33"/>
  <c r="T561" i="36" s="1"/>
  <c r="I51" i="33"/>
  <c r="T593" i="36" s="1"/>
  <c r="E52" i="33"/>
  <c r="U594" i="36" s="1"/>
  <c r="H52" i="33"/>
  <c r="I52" i="33"/>
  <c r="T594" i="36" s="1"/>
  <c r="E53" i="33"/>
  <c r="U595" i="36" s="1"/>
  <c r="H53" i="33"/>
  <c r="T563" i="36" s="1"/>
  <c r="I53" i="33"/>
  <c r="U596" i="36"/>
  <c r="H54" i="33"/>
  <c r="T564" i="36" s="1"/>
  <c r="I54" i="33"/>
  <c r="T596" i="36" s="1"/>
  <c r="H55" i="33"/>
  <c r="T565" i="36" s="1"/>
  <c r="I55" i="33"/>
  <c r="T597" i="36" s="1"/>
  <c r="E56" i="33"/>
  <c r="U598" i="36" s="1"/>
  <c r="H56" i="33"/>
  <c r="T566" i="36" s="1"/>
  <c r="P566" i="36" s="1"/>
  <c r="I56" i="33"/>
  <c r="E57" i="33"/>
  <c r="U599" i="36" s="1"/>
  <c r="H57" i="33"/>
  <c r="T567" i="36" s="1"/>
  <c r="I57" i="33"/>
  <c r="E58" i="33"/>
  <c r="U600" i="36" s="1"/>
  <c r="H58" i="33"/>
  <c r="T568" i="36" s="1"/>
  <c r="I58" i="33"/>
  <c r="E59" i="33"/>
  <c r="U601" i="36" s="1"/>
  <c r="H59" i="33"/>
  <c r="I59" i="33"/>
  <c r="T601" i="36" s="1"/>
  <c r="E60" i="33"/>
  <c r="H60" i="33"/>
  <c r="I60" i="33"/>
  <c r="E61" i="33"/>
  <c r="U603" i="36" s="1"/>
  <c r="H61" i="33"/>
  <c r="B62" i="33"/>
  <c r="B63" i="33" s="1"/>
  <c r="B64" i="33" s="1"/>
  <c r="B65" i="33" s="1"/>
  <c r="B66" i="33" s="1"/>
  <c r="B67" i="33" s="1"/>
  <c r="B68" i="33" s="1"/>
  <c r="B69" i="33" s="1"/>
  <c r="H62" i="33"/>
  <c r="T572" i="36" s="1"/>
  <c r="P572" i="36" s="1"/>
  <c r="E63" i="33"/>
  <c r="U605" i="36" s="1"/>
  <c r="H63" i="33"/>
  <c r="T573" i="36" s="1"/>
  <c r="H64" i="33"/>
  <c r="T574" i="36" s="1"/>
  <c r="E65" i="33"/>
  <c r="U607" i="36" s="1"/>
  <c r="H65" i="33"/>
  <c r="T575" i="36" s="1"/>
  <c r="H66" i="33"/>
  <c r="T576" i="36" s="1"/>
  <c r="H67" i="33"/>
  <c r="T577" i="36" s="1"/>
  <c r="B72" i="33"/>
  <c r="I72" i="33"/>
  <c r="B73" i="33"/>
  <c r="I7" i="1"/>
  <c r="J7" i="1"/>
  <c r="K7" i="1"/>
  <c r="N7" i="1"/>
  <c r="O7" i="1"/>
  <c r="P7" i="1"/>
  <c r="Q7" i="1"/>
  <c r="S7" i="1"/>
  <c r="T7" i="1"/>
  <c r="U7" i="1"/>
  <c r="V7" i="1"/>
  <c r="AJ7" i="1"/>
  <c r="AK7" i="1"/>
  <c r="AL7" i="1"/>
  <c r="AN7" i="1"/>
  <c r="AO7" i="1"/>
  <c r="AP7" i="1"/>
  <c r="AQ7" i="1"/>
  <c r="AS7" i="1"/>
  <c r="AT7" i="1"/>
  <c r="AU7" i="1"/>
  <c r="AX7" i="1"/>
  <c r="AY7" i="1"/>
  <c r="AZ7" i="1"/>
  <c r="BB7" i="1"/>
  <c r="BC7" i="1"/>
  <c r="BD7" i="1"/>
  <c r="BF7" i="1"/>
  <c r="BG7" i="1"/>
  <c r="BH7" i="1"/>
  <c r="BD10" i="1"/>
  <c r="B11" i="1"/>
  <c r="B12" i="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AJ25" i="1"/>
  <c r="AK25" i="1"/>
  <c r="AO25" i="1" s="1"/>
  <c r="AL25" i="1"/>
  <c r="AN25" i="1"/>
  <c r="AP25" i="1"/>
  <c r="AX25" i="1"/>
  <c r="AY25" i="1"/>
  <c r="AZ25" i="1"/>
  <c r="AX26" i="1"/>
  <c r="AY26" i="1"/>
  <c r="AZ26" i="1"/>
  <c r="BC27" i="1"/>
  <c r="AX27" i="1"/>
  <c r="AY27" i="1"/>
  <c r="AZ27" i="1"/>
  <c r="AX28" i="1"/>
  <c r="AY28" i="1"/>
  <c r="AZ28" i="1"/>
  <c r="AX29" i="1"/>
  <c r="AY29" i="1"/>
  <c r="AZ29" i="1"/>
  <c r="AX30" i="1"/>
  <c r="AY30" i="1"/>
  <c r="AZ30" i="1"/>
  <c r="F31" i="1"/>
  <c r="I31" i="1"/>
  <c r="J31" i="1"/>
  <c r="E32" i="1"/>
  <c r="F32" i="1"/>
  <c r="I32" i="1"/>
  <c r="J32" i="1"/>
  <c r="F33" i="1"/>
  <c r="I33" i="1"/>
  <c r="J33" i="1"/>
  <c r="E34" i="1"/>
  <c r="F34" i="1"/>
  <c r="I34" i="1"/>
  <c r="J34" i="1"/>
  <c r="K34" i="1"/>
  <c r="E35" i="1"/>
  <c r="F35" i="1"/>
  <c r="I35" i="1"/>
  <c r="J35" i="1"/>
  <c r="E36" i="1"/>
  <c r="F36" i="1"/>
  <c r="I36" i="1"/>
  <c r="J36" i="1"/>
  <c r="E37" i="1"/>
  <c r="F37" i="1"/>
  <c r="I37" i="1"/>
  <c r="J37" i="1"/>
  <c r="F38" i="1"/>
  <c r="I38" i="1"/>
  <c r="J38" i="1"/>
  <c r="F39" i="1"/>
  <c r="I39" i="1"/>
  <c r="J39" i="1"/>
  <c r="F40" i="1"/>
  <c r="I40" i="1"/>
  <c r="J40" i="1"/>
  <c r="O40" i="1" s="1"/>
  <c r="F41" i="1"/>
  <c r="I41" i="1"/>
  <c r="J41" i="1"/>
  <c r="K41" i="1"/>
  <c r="E42" i="1"/>
  <c r="F42" i="1"/>
  <c r="I42" i="1"/>
  <c r="J42" i="1"/>
  <c r="K42" i="1"/>
  <c r="F43" i="1"/>
  <c r="I43" i="1"/>
  <c r="J43" i="1"/>
  <c r="K43" i="1"/>
  <c r="F44" i="1"/>
  <c r="I44" i="1"/>
  <c r="J44" i="1"/>
  <c r="O44" i="1" s="1"/>
  <c r="K44" i="1"/>
  <c r="F45" i="1"/>
  <c r="I45" i="1"/>
  <c r="J45" i="1"/>
  <c r="O45" i="1" s="1"/>
  <c r="K45" i="1"/>
  <c r="F46" i="1"/>
  <c r="I46" i="1"/>
  <c r="J46" i="1"/>
  <c r="O46" i="1" s="1"/>
  <c r="K46" i="1"/>
  <c r="F47" i="1"/>
  <c r="I47" i="1"/>
  <c r="J47" i="1"/>
  <c r="O47" i="1" s="1"/>
  <c r="K47" i="1"/>
  <c r="F48" i="1"/>
  <c r="I48" i="1"/>
  <c r="J48" i="1"/>
  <c r="O48" i="1" s="1"/>
  <c r="K48" i="1"/>
  <c r="F49" i="1"/>
  <c r="I49" i="1"/>
  <c r="J49" i="1"/>
  <c r="O49" i="1" s="1"/>
  <c r="K49" i="1"/>
  <c r="F50" i="1"/>
  <c r="I50" i="1"/>
  <c r="J50" i="1"/>
  <c r="O50" i="1" s="1"/>
  <c r="K50" i="1"/>
  <c r="E51" i="1"/>
  <c r="I51" i="1"/>
  <c r="J51" i="1"/>
  <c r="K51" i="1"/>
  <c r="E52" i="1"/>
  <c r="F52" i="1"/>
  <c r="I52" i="1"/>
  <c r="J52" i="1"/>
  <c r="K52" i="1"/>
  <c r="F53" i="1"/>
  <c r="I53" i="1"/>
  <c r="J53" i="1"/>
  <c r="O53" i="1" s="1"/>
  <c r="K53" i="1"/>
  <c r="E54" i="1"/>
  <c r="I54" i="1"/>
  <c r="J54" i="1"/>
  <c r="K54" i="1"/>
  <c r="E55" i="1"/>
  <c r="F55" i="1"/>
  <c r="I55" i="1"/>
  <c r="J55" i="1"/>
  <c r="K55" i="1"/>
  <c r="E56" i="1"/>
  <c r="I56" i="1"/>
  <c r="J56" i="1"/>
  <c r="K56" i="1"/>
  <c r="I57" i="1"/>
  <c r="J57" i="1"/>
  <c r="O57" i="1" s="1"/>
  <c r="K57" i="1"/>
  <c r="F58" i="1"/>
  <c r="I58" i="1"/>
  <c r="J58" i="1"/>
  <c r="K58" i="1"/>
  <c r="F59" i="1"/>
  <c r="I59" i="1"/>
  <c r="J59" i="1"/>
  <c r="O59" i="1" s="1"/>
  <c r="E60" i="1"/>
  <c r="I60" i="1"/>
  <c r="J60" i="1"/>
  <c r="E61" i="1"/>
  <c r="F61" i="1"/>
  <c r="I61" i="1"/>
  <c r="J61" i="1"/>
  <c r="I62" i="1"/>
  <c r="J62" i="1"/>
  <c r="I63" i="1"/>
  <c r="J63" i="1"/>
  <c r="I64" i="1"/>
  <c r="I65" i="1"/>
  <c r="I66" i="1"/>
  <c r="I67" i="1"/>
  <c r="I68" i="1"/>
  <c r="I69" i="1"/>
  <c r="B74" i="1"/>
  <c r="B75" i="1"/>
  <c r="D7" i="34"/>
  <c r="N7" i="34" s="1"/>
  <c r="E7" i="34"/>
  <c r="AY7" i="34" s="1"/>
  <c r="Q7" i="34"/>
  <c r="V7" i="34"/>
  <c r="AQ7" i="34"/>
  <c r="AJ10" i="34"/>
  <c r="AK10" i="34"/>
  <c r="AL10" i="34"/>
  <c r="BB10" i="34"/>
  <c r="BC10" i="34"/>
  <c r="BD10" i="34"/>
  <c r="B11" i="34"/>
  <c r="AJ11" i="34"/>
  <c r="AK11" i="34"/>
  <c r="AL11" i="34"/>
  <c r="AN11" i="34"/>
  <c r="AO11" i="34"/>
  <c r="AP11" i="34"/>
  <c r="AQ11" i="34"/>
  <c r="AS11" i="34"/>
  <c r="AT11" i="34"/>
  <c r="AU11" i="34"/>
  <c r="AX11" i="34"/>
  <c r="AY11" i="34"/>
  <c r="AZ11" i="34"/>
  <c r="BB11" i="34"/>
  <c r="BC11" i="34"/>
  <c r="BD11" i="34"/>
  <c r="BF11" i="34"/>
  <c r="BG11" i="34"/>
  <c r="BH11" i="34"/>
  <c r="BJ11" i="34"/>
  <c r="BK11" i="34" s="1"/>
  <c r="BN11" i="34"/>
  <c r="BO11" i="34" s="1"/>
  <c r="B12" i="34"/>
  <c r="AJ12" i="34"/>
  <c r="AK12" i="34"/>
  <c r="AO12" i="34" s="1"/>
  <c r="AL12" i="34"/>
  <c r="AN12" i="34"/>
  <c r="AQ12" i="34" s="1"/>
  <c r="AP12" i="34"/>
  <c r="AX12" i="34"/>
  <c r="AY12" i="34"/>
  <c r="AZ12" i="34"/>
  <c r="BB12" i="34"/>
  <c r="BF12" i="34" s="1"/>
  <c r="BC12" i="34"/>
  <c r="BD12" i="34"/>
  <c r="BH12" i="34" s="1"/>
  <c r="BG12" i="34"/>
  <c r="B13" i="34"/>
  <c r="AJ13" i="34"/>
  <c r="AK13" i="34"/>
  <c r="AO13" i="34" s="1"/>
  <c r="AL13" i="34"/>
  <c r="AN13" i="34"/>
  <c r="AQ13" i="34" s="1"/>
  <c r="AP13" i="34"/>
  <c r="AX13" i="34"/>
  <c r="AY13" i="34"/>
  <c r="AZ13" i="34"/>
  <c r="BB13" i="34"/>
  <c r="BF13" i="34" s="1"/>
  <c r="BC13" i="34"/>
  <c r="BD13" i="34"/>
  <c r="BH13" i="34" s="1"/>
  <c r="BG13" i="34"/>
  <c r="B14" i="34"/>
  <c r="AJ14" i="34"/>
  <c r="AK14" i="34"/>
  <c r="AO14" i="34" s="1"/>
  <c r="AL14" i="34"/>
  <c r="AN14" i="34"/>
  <c r="AQ14" i="34" s="1"/>
  <c r="AP14" i="34"/>
  <c r="AX14" i="34"/>
  <c r="AY14" i="34"/>
  <c r="AZ14" i="34"/>
  <c r="BB14" i="34"/>
  <c r="BF14" i="34" s="1"/>
  <c r="BC14" i="34"/>
  <c r="BD14" i="34"/>
  <c r="BH14" i="34" s="1"/>
  <c r="BG14" i="34"/>
  <c r="B15" i="34"/>
  <c r="AJ15" i="34"/>
  <c r="AK15" i="34"/>
  <c r="AO15" i="34" s="1"/>
  <c r="AL15" i="34"/>
  <c r="AN15" i="34"/>
  <c r="AQ15" i="34" s="1"/>
  <c r="AP15" i="34"/>
  <c r="AX15" i="34"/>
  <c r="AY15" i="34"/>
  <c r="AZ15" i="34"/>
  <c r="BB15" i="34"/>
  <c r="BF15" i="34" s="1"/>
  <c r="BC15" i="34"/>
  <c r="BD15" i="34"/>
  <c r="BH15" i="34" s="1"/>
  <c r="BG15" i="34"/>
  <c r="B16" i="34"/>
  <c r="AJ16" i="34"/>
  <c r="AK16" i="34"/>
  <c r="AO16" i="34" s="1"/>
  <c r="AL16" i="34"/>
  <c r="AN16" i="34"/>
  <c r="AQ16" i="34" s="1"/>
  <c r="AP16" i="34"/>
  <c r="AX16" i="34"/>
  <c r="AY16" i="34"/>
  <c r="AZ16" i="34"/>
  <c r="BB16" i="34"/>
  <c r="BF16" i="34" s="1"/>
  <c r="BC16" i="34"/>
  <c r="BD16" i="34"/>
  <c r="BH16" i="34" s="1"/>
  <c r="BG16" i="34"/>
  <c r="B17" i="34"/>
  <c r="AJ17" i="34"/>
  <c r="AK17" i="34"/>
  <c r="AO17" i="34" s="1"/>
  <c r="AL17" i="34"/>
  <c r="AN17" i="34"/>
  <c r="AQ17" i="34" s="1"/>
  <c r="AP17" i="34"/>
  <c r="AX17" i="34"/>
  <c r="AY17" i="34"/>
  <c r="AZ17" i="34"/>
  <c r="BB17" i="34"/>
  <c r="BF17" i="34" s="1"/>
  <c r="BC17" i="34"/>
  <c r="BD17" i="34"/>
  <c r="BH17" i="34" s="1"/>
  <c r="BG17" i="34"/>
  <c r="B18" i="34"/>
  <c r="AJ18" i="34"/>
  <c r="AK18" i="34"/>
  <c r="AO18" i="34" s="1"/>
  <c r="AL18" i="34"/>
  <c r="AN18" i="34"/>
  <c r="AQ18" i="34" s="1"/>
  <c r="AP18" i="34"/>
  <c r="AS18" i="34"/>
  <c r="AU18" i="34"/>
  <c r="AX18" i="34"/>
  <c r="AY18" i="34"/>
  <c r="AZ18" i="34"/>
  <c r="BB18" i="34"/>
  <c r="BF18" i="34" s="1"/>
  <c r="BC18" i="34"/>
  <c r="BD18" i="34"/>
  <c r="BH18" i="34" s="1"/>
  <c r="BG18" i="34"/>
  <c r="BJ18" i="34"/>
  <c r="BN18" i="34"/>
  <c r="B19" i="34"/>
  <c r="AJ19" i="34"/>
  <c r="AK19" i="34"/>
  <c r="AO19" i="34" s="1"/>
  <c r="AL19" i="34"/>
  <c r="AN19" i="34"/>
  <c r="AQ19" i="34" s="1"/>
  <c r="AU19" i="34" s="1"/>
  <c r="AP19" i="34"/>
  <c r="AS19" i="34"/>
  <c r="BJ19" i="34" s="1"/>
  <c r="AX19" i="34"/>
  <c r="AY19" i="34"/>
  <c r="AZ19" i="34"/>
  <c r="BB19" i="34"/>
  <c r="BF19" i="34" s="1"/>
  <c r="BC19" i="34"/>
  <c r="BD19" i="34"/>
  <c r="BH19" i="34" s="1"/>
  <c r="BG19" i="34"/>
  <c r="BN19" i="34"/>
  <c r="B20" i="34"/>
  <c r="AJ20" i="34"/>
  <c r="AK20" i="34"/>
  <c r="AO20" i="34" s="1"/>
  <c r="AL20" i="34"/>
  <c r="AN20" i="34"/>
  <c r="AQ20" i="34" s="1"/>
  <c r="AP20" i="34"/>
  <c r="AS20" i="34"/>
  <c r="AU20" i="34"/>
  <c r="AX20" i="34"/>
  <c r="AY20" i="34"/>
  <c r="AZ20" i="34"/>
  <c r="BB20" i="34"/>
  <c r="BF20" i="34" s="1"/>
  <c r="BC20" i="34"/>
  <c r="BD20" i="34"/>
  <c r="BH20" i="34" s="1"/>
  <c r="BG20" i="34"/>
  <c r="BJ20" i="34"/>
  <c r="BN20" i="34"/>
  <c r="B21" i="34"/>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AJ21" i="34"/>
  <c r="AK21" i="34"/>
  <c r="AO21" i="34" s="1"/>
  <c r="AL21" i="34"/>
  <c r="AN21" i="34"/>
  <c r="AQ21" i="34" s="1"/>
  <c r="AU21" i="34" s="1"/>
  <c r="AP21" i="34"/>
  <c r="AS21" i="34"/>
  <c r="BJ21" i="34" s="1"/>
  <c r="AX21" i="34"/>
  <c r="AY21" i="34"/>
  <c r="AZ21" i="34"/>
  <c r="BB21" i="34"/>
  <c r="BF21" i="34" s="1"/>
  <c r="BC21" i="34"/>
  <c r="BD21" i="34"/>
  <c r="BH21" i="34" s="1"/>
  <c r="BG21" i="34"/>
  <c r="BN21" i="34"/>
  <c r="AJ22" i="34"/>
  <c r="AK22" i="34"/>
  <c r="AL22" i="34"/>
  <c r="AN22" i="34"/>
  <c r="AQ22" i="34" s="1"/>
  <c r="AP22" i="34"/>
  <c r="AS22" i="34"/>
  <c r="AU22" i="34"/>
  <c r="AX22" i="34"/>
  <c r="AY22" i="34"/>
  <c r="AZ22" i="34"/>
  <c r="BB22" i="34"/>
  <c r="BF22" i="34" s="1"/>
  <c r="BC22" i="34"/>
  <c r="BD22" i="34"/>
  <c r="BH22" i="34" s="1"/>
  <c r="BG22" i="34"/>
  <c r="BJ22" i="34"/>
  <c r="BN22" i="34"/>
  <c r="AJ23" i="34"/>
  <c r="AK23" i="34"/>
  <c r="AO23" i="34" s="1"/>
  <c r="AL23" i="34"/>
  <c r="AN23" i="34"/>
  <c r="AQ23" i="34" s="1"/>
  <c r="AU23" i="34" s="1"/>
  <c r="AP23" i="34"/>
  <c r="AS23" i="34"/>
  <c r="BJ23" i="34" s="1"/>
  <c r="AX23" i="34"/>
  <c r="AY23" i="34"/>
  <c r="AZ23" i="34"/>
  <c r="BB23" i="34"/>
  <c r="BC23" i="34"/>
  <c r="BD23" i="34"/>
  <c r="BG23" i="34"/>
  <c r="BN23" i="34"/>
  <c r="AJ24" i="34"/>
  <c r="AK24" i="34"/>
  <c r="AO24" i="34" s="1"/>
  <c r="AL24" i="34"/>
  <c r="AN24" i="34"/>
  <c r="AQ24" i="34" s="1"/>
  <c r="AP24" i="34"/>
  <c r="AX24" i="34"/>
  <c r="AY24" i="34"/>
  <c r="AZ24" i="34"/>
  <c r="BB24" i="34"/>
  <c r="BF24" i="34" s="1"/>
  <c r="BC24" i="34"/>
  <c r="BD24" i="34"/>
  <c r="BH24" i="34" s="1"/>
  <c r="BG24" i="34"/>
  <c r="AJ25" i="34"/>
  <c r="AK25" i="34"/>
  <c r="AO25" i="34" s="1"/>
  <c r="AL25" i="34"/>
  <c r="AN25" i="34"/>
  <c r="AQ25" i="34" s="1"/>
  <c r="AP25" i="34"/>
  <c r="AX25" i="34"/>
  <c r="AY25" i="34"/>
  <c r="AZ25" i="34"/>
  <c r="BB25" i="34"/>
  <c r="BF25" i="34" s="1"/>
  <c r="BC25" i="34"/>
  <c r="BD25" i="34"/>
  <c r="BH25" i="34" s="1"/>
  <c r="BG25" i="34"/>
  <c r="AJ26" i="34"/>
  <c r="AK26" i="34"/>
  <c r="AO26" i="34" s="1"/>
  <c r="AL26" i="34"/>
  <c r="AN26" i="34"/>
  <c r="AQ26" i="34" s="1"/>
  <c r="AP26" i="34"/>
  <c r="AX26" i="34"/>
  <c r="AY26" i="34"/>
  <c r="AZ26" i="34"/>
  <c r="BB26" i="34"/>
  <c r="BF26" i="34" s="1"/>
  <c r="BC26" i="34"/>
  <c r="BD26" i="34"/>
  <c r="BH26" i="34" s="1"/>
  <c r="BG26" i="34"/>
  <c r="J27" i="34"/>
  <c r="AJ27" i="34"/>
  <c r="AN27" i="34" s="1"/>
  <c r="AK27" i="34"/>
  <c r="AL27" i="34"/>
  <c r="AP27" i="34" s="1"/>
  <c r="AO27" i="34"/>
  <c r="AX27" i="34"/>
  <c r="AY27" i="34"/>
  <c r="AZ27" i="34"/>
  <c r="J28" i="34"/>
  <c r="AJ28" i="34"/>
  <c r="AK28" i="34"/>
  <c r="AO28" i="34" s="1"/>
  <c r="AL28" i="34"/>
  <c r="AN28" i="34"/>
  <c r="AQ28" i="34" s="1"/>
  <c r="AP28" i="34"/>
  <c r="AX28" i="34"/>
  <c r="AY28" i="34"/>
  <c r="AZ28" i="34"/>
  <c r="J29" i="34"/>
  <c r="AJ29" i="34"/>
  <c r="AN29" i="34" s="1"/>
  <c r="AK29" i="34"/>
  <c r="AL29" i="34"/>
  <c r="AP29" i="34" s="1"/>
  <c r="AO29" i="34"/>
  <c r="AX29" i="34"/>
  <c r="AY29" i="34"/>
  <c r="AZ29" i="34"/>
  <c r="J30" i="34"/>
  <c r="AJ30" i="34"/>
  <c r="AK30" i="34"/>
  <c r="AO30" i="34" s="1"/>
  <c r="AL30" i="34"/>
  <c r="AN30" i="34"/>
  <c r="AQ30" i="34" s="1"/>
  <c r="AP30" i="34"/>
  <c r="AX30" i="34"/>
  <c r="AY30" i="34"/>
  <c r="AZ30" i="34"/>
  <c r="F31" i="34"/>
  <c r="J31" i="34"/>
  <c r="D45" i="53" s="1"/>
  <c r="L45" i="53" s="1"/>
  <c r="K31" i="34"/>
  <c r="P31" i="34" s="1"/>
  <c r="J32" i="34"/>
  <c r="J34" i="34"/>
  <c r="J35" i="34"/>
  <c r="K36" i="34"/>
  <c r="P36" i="34" s="1"/>
  <c r="J37" i="34"/>
  <c r="J38" i="34"/>
  <c r="F41" i="34"/>
  <c r="K41" i="34"/>
  <c r="F46" i="34"/>
  <c r="K46" i="34"/>
  <c r="K74" i="34" s="1"/>
  <c r="E49" i="34"/>
  <c r="J51" i="34"/>
  <c r="K51" i="34"/>
  <c r="P51" i="34" s="1"/>
  <c r="K52" i="34"/>
  <c r="F53" i="34"/>
  <c r="K53" i="34"/>
  <c r="F54" i="34"/>
  <c r="K54" i="34"/>
  <c r="K55" i="34"/>
  <c r="P55" i="34" s="1"/>
  <c r="K56" i="34"/>
  <c r="K57" i="34"/>
  <c r="K58" i="34"/>
  <c r="P58" i="34" s="1"/>
  <c r="F59" i="34"/>
  <c r="K59" i="34"/>
  <c r="K60" i="34"/>
  <c r="P60" i="34" s="1"/>
  <c r="F61" i="34"/>
  <c r="K61" i="34"/>
  <c r="J62" i="34"/>
  <c r="K62" i="34"/>
  <c r="J63" i="34"/>
  <c r="K63" i="34"/>
  <c r="F64" i="34"/>
  <c r="J64" i="34"/>
  <c r="K64" i="34"/>
  <c r="P64" i="34" s="1"/>
  <c r="J65" i="34"/>
  <c r="K65" i="34"/>
  <c r="J66" i="34"/>
  <c r="K66" i="34"/>
  <c r="P66" i="34" s="1"/>
  <c r="J67" i="34"/>
  <c r="K67" i="34"/>
  <c r="P67" i="34" s="1"/>
  <c r="J68" i="34"/>
  <c r="K68" i="34"/>
  <c r="P68" i="34" s="1"/>
  <c r="F69" i="34"/>
  <c r="J69" i="34"/>
  <c r="K69" i="34"/>
  <c r="B74" i="34"/>
  <c r="B75" i="34"/>
  <c r="I7" i="24"/>
  <c r="J7" i="24"/>
  <c r="N7" i="24"/>
  <c r="O7" i="24"/>
  <c r="Q7" i="24"/>
  <c r="R7" i="24"/>
  <c r="S7" i="24"/>
  <c r="V7" i="24"/>
  <c r="W7" i="24"/>
  <c r="AM7" i="24"/>
  <c r="AN7" i="24"/>
  <c r="AQ7" i="24"/>
  <c r="AR7" i="24"/>
  <c r="AT7" i="24"/>
  <c r="AV7" i="24"/>
  <c r="AW7" i="24"/>
  <c r="BA7" i="24"/>
  <c r="BB7" i="24"/>
  <c r="BE7" i="24"/>
  <c r="BF7" i="24"/>
  <c r="BI7" i="24"/>
  <c r="BJ7" i="24"/>
  <c r="BM7" i="24"/>
  <c r="BN7" i="24"/>
  <c r="D10" i="24"/>
  <c r="E10" i="24"/>
  <c r="I10" i="24"/>
  <c r="R10" i="24"/>
  <c r="S10" i="24"/>
  <c r="V10" i="24"/>
  <c r="W10" i="24"/>
  <c r="B11" i="24"/>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D11" i="24"/>
  <c r="E11" i="24"/>
  <c r="G11" i="24" s="1"/>
  <c r="I11" i="24"/>
  <c r="R11" i="24"/>
  <c r="S11" i="24"/>
  <c r="V11" i="24"/>
  <c r="W11" i="24"/>
  <c r="BA11" i="24"/>
  <c r="D12" i="24"/>
  <c r="E12" i="24"/>
  <c r="I12" i="24"/>
  <c r="R12" i="24"/>
  <c r="S12" i="24"/>
  <c r="BB12" i="24" s="1"/>
  <c r="V12" i="24"/>
  <c r="BM12" i="24" s="1"/>
  <c r="W12" i="24"/>
  <c r="BN12" i="24" s="1"/>
  <c r="BA12" i="24"/>
  <c r="D13" i="24"/>
  <c r="E13" i="24"/>
  <c r="I13" i="24"/>
  <c r="R13" i="24"/>
  <c r="S13" i="24"/>
  <c r="V13" i="24"/>
  <c r="W13" i="24"/>
  <c r="BB13" i="24"/>
  <c r="BN13" i="24"/>
  <c r="D14" i="24"/>
  <c r="E14" i="24"/>
  <c r="I14" i="24"/>
  <c r="R14" i="24"/>
  <c r="S14" i="24"/>
  <c r="BB14" i="24" s="1"/>
  <c r="V14" i="24"/>
  <c r="W14" i="24"/>
  <c r="BN14" i="24" s="1"/>
  <c r="D15" i="24"/>
  <c r="E15" i="24"/>
  <c r="I15" i="24"/>
  <c r="R15" i="24"/>
  <c r="S15" i="24"/>
  <c r="V15" i="24"/>
  <c r="W15" i="24"/>
  <c r="BM15" i="24"/>
  <c r="D16" i="24"/>
  <c r="E16" i="24"/>
  <c r="I16" i="24"/>
  <c r="R16" i="24"/>
  <c r="S16" i="24"/>
  <c r="BB16" i="24" s="1"/>
  <c r="V16" i="24"/>
  <c r="BM16" i="24" s="1"/>
  <c r="W16" i="24"/>
  <c r="BN16" i="24" s="1"/>
  <c r="BA16" i="24"/>
  <c r="D17" i="24"/>
  <c r="E17" i="24"/>
  <c r="I17" i="24"/>
  <c r="R17" i="24"/>
  <c r="S17" i="24"/>
  <c r="BB17" i="24" s="1"/>
  <c r="V17" i="24"/>
  <c r="BM17" i="24" s="1"/>
  <c r="W17" i="24"/>
  <c r="BN17" i="24" s="1"/>
  <c r="BA17" i="24"/>
  <c r="D18" i="24"/>
  <c r="E18" i="24"/>
  <c r="I18" i="24"/>
  <c r="R18" i="24"/>
  <c r="S18" i="24"/>
  <c r="V18" i="24"/>
  <c r="BM19" i="24" s="1"/>
  <c r="W18" i="24"/>
  <c r="D19" i="24"/>
  <c r="E19" i="24"/>
  <c r="I19" i="24"/>
  <c r="R19" i="24"/>
  <c r="S19" i="24"/>
  <c r="BB19" i="24" s="1"/>
  <c r="V19" i="24"/>
  <c r="W19" i="24"/>
  <c r="BN19" i="24" s="1"/>
  <c r="D20" i="24"/>
  <c r="E20" i="24"/>
  <c r="I20" i="24"/>
  <c r="R20" i="24"/>
  <c r="S20" i="24"/>
  <c r="V20" i="24"/>
  <c r="BM20" i="24" s="1"/>
  <c r="W20" i="24"/>
  <c r="BA20" i="24"/>
  <c r="D21" i="24"/>
  <c r="E21" i="24"/>
  <c r="I21" i="24"/>
  <c r="R21" i="24"/>
  <c r="S21" i="24"/>
  <c r="BB21" i="24" s="1"/>
  <c r="V21" i="24"/>
  <c r="W21" i="24"/>
  <c r="BN21" i="24" s="1"/>
  <c r="BM21" i="24"/>
  <c r="D22" i="24"/>
  <c r="E22" i="24"/>
  <c r="I22" i="24"/>
  <c r="R22" i="24"/>
  <c r="S22" i="24"/>
  <c r="V22" i="24"/>
  <c r="BM22" i="24" s="1"/>
  <c r="W22" i="24"/>
  <c r="BA22" i="24"/>
  <c r="D23" i="24"/>
  <c r="E23" i="24"/>
  <c r="I23" i="24"/>
  <c r="R23" i="24"/>
  <c r="S23" i="24"/>
  <c r="BB23" i="24" s="1"/>
  <c r="V23" i="24"/>
  <c r="BM23" i="24" s="1"/>
  <c r="W23" i="24"/>
  <c r="BN23" i="24" s="1"/>
  <c r="BA23" i="24"/>
  <c r="D24" i="24"/>
  <c r="E24" i="24"/>
  <c r="I24" i="24"/>
  <c r="R24" i="24"/>
  <c r="S24" i="24"/>
  <c r="BB24" i="24" s="1"/>
  <c r="V24" i="24"/>
  <c r="BM24" i="24" s="1"/>
  <c r="W24" i="24"/>
  <c r="BN24" i="24" s="1"/>
  <c r="BA24" i="24"/>
  <c r="D25" i="24"/>
  <c r="E25" i="24"/>
  <c r="I25" i="24"/>
  <c r="R25" i="24"/>
  <c r="S25" i="24"/>
  <c r="BB25" i="24" s="1"/>
  <c r="V25" i="24"/>
  <c r="BM25" i="24" s="1"/>
  <c r="W25" i="24"/>
  <c r="BN25" i="24" s="1"/>
  <c r="BA25" i="24"/>
  <c r="D26" i="24"/>
  <c r="I26" i="24"/>
  <c r="R26" i="24"/>
  <c r="S26" i="24"/>
  <c r="V26" i="24"/>
  <c r="W26" i="24"/>
  <c r="D27" i="24"/>
  <c r="R27" i="24"/>
  <c r="BA28" i="24" s="1"/>
  <c r="S27" i="24"/>
  <c r="V27" i="24"/>
  <c r="BM28" i="24" s="1"/>
  <c r="W27" i="24"/>
  <c r="BA27" i="24"/>
  <c r="BM27" i="24"/>
  <c r="D28" i="24"/>
  <c r="R28" i="24"/>
  <c r="S28" i="24"/>
  <c r="BB29" i="24" s="1"/>
  <c r="V28" i="24"/>
  <c r="W28" i="24"/>
  <c r="BN29" i="24" s="1"/>
  <c r="BB28" i="24"/>
  <c r="BN28" i="24"/>
  <c r="D29" i="24"/>
  <c r="R29" i="24"/>
  <c r="BA30" i="24" s="1"/>
  <c r="S29" i="24"/>
  <c r="V29" i="24"/>
  <c r="BM30" i="24" s="1"/>
  <c r="W29" i="24"/>
  <c r="BA29" i="24"/>
  <c r="BM29" i="24"/>
  <c r="D30" i="24"/>
  <c r="R30" i="24"/>
  <c r="S30" i="24"/>
  <c r="V30" i="24"/>
  <c r="W30" i="24"/>
  <c r="BB30" i="24"/>
  <c r="BN30" i="24"/>
  <c r="K45" i="24"/>
  <c r="K46" i="24"/>
  <c r="K47" i="24"/>
  <c r="BO47" i="24"/>
  <c r="K48" i="24"/>
  <c r="BO48" i="24"/>
  <c r="K49" i="24"/>
  <c r="BO49" i="24"/>
  <c r="K50" i="24"/>
  <c r="BO50" i="24"/>
  <c r="K51" i="24"/>
  <c r="BO51" i="24"/>
  <c r="K52" i="24"/>
  <c r="BO52" i="24"/>
  <c r="K53" i="24"/>
  <c r="BO53" i="24"/>
  <c r="K54" i="24"/>
  <c r="BO54" i="24"/>
  <c r="K55" i="24"/>
  <c r="BO55" i="24"/>
  <c r="K56" i="24"/>
  <c r="BO56" i="24"/>
  <c r="F57" i="24"/>
  <c r="K57" i="24"/>
  <c r="BO57" i="24"/>
  <c r="K58" i="24"/>
  <c r="BO58" i="24"/>
  <c r="K59" i="24"/>
  <c r="BO59" i="24"/>
  <c r="K60" i="24"/>
  <c r="BO60" i="24"/>
  <c r="K61" i="24"/>
  <c r="BO61" i="24"/>
  <c r="K62" i="24"/>
  <c r="BO62" i="24"/>
  <c r="K63" i="24"/>
  <c r="BO63" i="24"/>
  <c r="K64" i="24"/>
  <c r="BO64" i="24"/>
  <c r="K65" i="24"/>
  <c r="BO65" i="24"/>
  <c r="K66" i="24"/>
  <c r="BO66" i="24"/>
  <c r="K67" i="24"/>
  <c r="BO67" i="24"/>
  <c r="K68" i="24"/>
  <c r="BO68" i="24"/>
  <c r="K69" i="24"/>
  <c r="BO69" i="24"/>
  <c r="B74" i="24"/>
  <c r="B75" i="24"/>
  <c r="I7" i="32"/>
  <c r="J7" i="32"/>
  <c r="K7" i="32"/>
  <c r="N7" i="32"/>
  <c r="O7" i="32"/>
  <c r="P7" i="32"/>
  <c r="S7" i="32"/>
  <c r="T7" i="32"/>
  <c r="W7" i="32"/>
  <c r="X7" i="32"/>
  <c r="AN7" i="32"/>
  <c r="AO7" i="32"/>
  <c r="AR7" i="32"/>
  <c r="AS7" i="32"/>
  <c r="AT7" i="32"/>
  <c r="AW7" i="32"/>
  <c r="AX7" i="32"/>
  <c r="AY7" i="32"/>
  <c r="BB7" i="32"/>
  <c r="BC7" i="32"/>
  <c r="BF7" i="32"/>
  <c r="BG7" i="32"/>
  <c r="BJ7" i="32"/>
  <c r="BK7" i="32"/>
  <c r="BN7" i="32"/>
  <c r="BO7" i="32"/>
  <c r="E10" i="32"/>
  <c r="F10" i="32"/>
  <c r="J10" i="32"/>
  <c r="B11" i="32"/>
  <c r="E11" i="32"/>
  <c r="F11" i="32"/>
  <c r="J11" i="32"/>
  <c r="BB11" i="32"/>
  <c r="BC11" i="32"/>
  <c r="BD11" i="32"/>
  <c r="BN11" i="32"/>
  <c r="BO11" i="32"/>
  <c r="BP11" i="32"/>
  <c r="B12" i="32"/>
  <c r="E12" i="32"/>
  <c r="F12" i="32"/>
  <c r="J12" i="32"/>
  <c r="BB12" i="32"/>
  <c r="BC12" i="32"/>
  <c r="BD12" i="32"/>
  <c r="BN12" i="32"/>
  <c r="BO12" i="32"/>
  <c r="BP12" i="32"/>
  <c r="B13" i="32"/>
  <c r="E13" i="32"/>
  <c r="F13" i="32"/>
  <c r="J13" i="32"/>
  <c r="BB13" i="32"/>
  <c r="BC13" i="32"/>
  <c r="BD13" i="32"/>
  <c r="BN13" i="32"/>
  <c r="BO13" i="32"/>
  <c r="BP13" i="32"/>
  <c r="B14" i="32"/>
  <c r="E14" i="32"/>
  <c r="F14" i="32"/>
  <c r="J14" i="32"/>
  <c r="BB14" i="32"/>
  <c r="BC14" i="32"/>
  <c r="BD14" i="32"/>
  <c r="BN14" i="32"/>
  <c r="BO14" i="32"/>
  <c r="BP14" i="32"/>
  <c r="B15" i="32"/>
  <c r="E15" i="32"/>
  <c r="F15" i="32"/>
  <c r="J15" i="32"/>
  <c r="BB15" i="32"/>
  <c r="BC15" i="32"/>
  <c r="BD15" i="32"/>
  <c r="BN15" i="32"/>
  <c r="BO15" i="32"/>
  <c r="BP15" i="32"/>
  <c r="B16" i="32"/>
  <c r="E16" i="32"/>
  <c r="F16" i="32"/>
  <c r="J16" i="32"/>
  <c r="BB16" i="32"/>
  <c r="BC16" i="32"/>
  <c r="BD16" i="32"/>
  <c r="BN16" i="32"/>
  <c r="BO16" i="32"/>
  <c r="BP16" i="32"/>
  <c r="B17" i="32"/>
  <c r="E17" i="32"/>
  <c r="F17" i="32"/>
  <c r="J17" i="32"/>
  <c r="BB17" i="32"/>
  <c r="BC17" i="32"/>
  <c r="BD17" i="32"/>
  <c r="BN17" i="32"/>
  <c r="BO17" i="32"/>
  <c r="BP17" i="32"/>
  <c r="B18" i="32"/>
  <c r="E18" i="32"/>
  <c r="F18" i="32"/>
  <c r="J18" i="32"/>
  <c r="BB18" i="32"/>
  <c r="BC18" i="32"/>
  <c r="BD18" i="32"/>
  <c r="BN18" i="32"/>
  <c r="BO18" i="32"/>
  <c r="BP18" i="32"/>
  <c r="B19" i="32"/>
  <c r="E19" i="32"/>
  <c r="F19" i="32"/>
  <c r="J19" i="32"/>
  <c r="BB19" i="32"/>
  <c r="BC19" i="32"/>
  <c r="BD19" i="32"/>
  <c r="BN19" i="32"/>
  <c r="BO19" i="32"/>
  <c r="BP19" i="32"/>
  <c r="B20" i="32"/>
  <c r="E20" i="32"/>
  <c r="F20" i="32"/>
  <c r="J20" i="32"/>
  <c r="BB20" i="32"/>
  <c r="BC20" i="32"/>
  <c r="BD20" i="32"/>
  <c r="BN20" i="32"/>
  <c r="BO20" i="32"/>
  <c r="BP20" i="32"/>
  <c r="B21" i="32"/>
  <c r="E21" i="32"/>
  <c r="F21" i="32"/>
  <c r="J21" i="32"/>
  <c r="BB21" i="32"/>
  <c r="BC21" i="32"/>
  <c r="BD21" i="32"/>
  <c r="BN21" i="32"/>
  <c r="BO21" i="32"/>
  <c r="BP21" i="32"/>
  <c r="B22" i="32"/>
  <c r="E22" i="32"/>
  <c r="F22" i="32"/>
  <c r="J22" i="32"/>
  <c r="BB22" i="32"/>
  <c r="BC22" i="32"/>
  <c r="BD22" i="32"/>
  <c r="BN22" i="32"/>
  <c r="BO22" i="32"/>
  <c r="BP22" i="32"/>
  <c r="B23" i="32"/>
  <c r="E23" i="32"/>
  <c r="J23" i="32"/>
  <c r="BB23" i="32"/>
  <c r="BC23" i="32"/>
  <c r="BD23" i="32"/>
  <c r="BN23" i="32"/>
  <c r="BO23" i="32"/>
  <c r="BP23" i="32"/>
  <c r="B24" i="32"/>
  <c r="E24" i="32"/>
  <c r="J24" i="32"/>
  <c r="BB24" i="32"/>
  <c r="BC24" i="32"/>
  <c r="BD24" i="32"/>
  <c r="BN24" i="32"/>
  <c r="BO24" i="32"/>
  <c r="BP24" i="32"/>
  <c r="B25" i="32"/>
  <c r="E25" i="32"/>
  <c r="J25" i="32"/>
  <c r="BB25" i="32"/>
  <c r="BC25" i="32"/>
  <c r="BD25" i="32"/>
  <c r="BN25" i="32"/>
  <c r="BO25" i="32"/>
  <c r="BP25" i="32"/>
  <c r="B26" i="32"/>
  <c r="E26" i="32"/>
  <c r="J26" i="32"/>
  <c r="K26" i="32"/>
  <c r="BB26" i="32"/>
  <c r="BC26" i="32"/>
  <c r="BD26" i="32"/>
  <c r="BN26" i="32"/>
  <c r="BO26" i="32"/>
  <c r="BP26" i="32"/>
  <c r="B27" i="32"/>
  <c r="E27" i="32"/>
  <c r="J27" i="32"/>
  <c r="BB27" i="32"/>
  <c r="BC27" i="32"/>
  <c r="BD27" i="32"/>
  <c r="BN27" i="32"/>
  <c r="BO27" i="32"/>
  <c r="BP27" i="32"/>
  <c r="B28" i="32"/>
  <c r="E28" i="32"/>
  <c r="J28" i="32"/>
  <c r="BB28" i="32"/>
  <c r="BC28" i="32"/>
  <c r="BD28" i="32"/>
  <c r="BN28" i="32"/>
  <c r="BO28" i="32"/>
  <c r="BP28" i="32"/>
  <c r="B29" i="32"/>
  <c r="E29" i="32"/>
  <c r="J29" i="32"/>
  <c r="BB29" i="32"/>
  <c r="BC29" i="32"/>
  <c r="BD29" i="32"/>
  <c r="BN29" i="32"/>
  <c r="BO29" i="32"/>
  <c r="BP29" i="32"/>
  <c r="B30" i="32"/>
  <c r="E30" i="32"/>
  <c r="J30" i="32"/>
  <c r="BB30" i="32"/>
  <c r="BC30" i="32"/>
  <c r="BD30" i="32"/>
  <c r="BN30" i="32"/>
  <c r="BO30" i="32"/>
  <c r="BP30" i="32"/>
  <c r="B31" i="32"/>
  <c r="B32" i="32" s="1"/>
  <c r="B33" i="32" s="1"/>
  <c r="B34" i="32" s="1"/>
  <c r="B35" i="32" s="1"/>
  <c r="B36" i="32" s="1"/>
  <c r="B37" i="32" s="1"/>
  <c r="B38" i="32" s="1"/>
  <c r="B39" i="32" s="1"/>
  <c r="B40" i="32" s="1"/>
  <c r="B41" i="32" s="1"/>
  <c r="B74" i="32"/>
  <c r="B75" i="32"/>
  <c r="H7" i="30"/>
  <c r="I7" i="30"/>
  <c r="L7" i="30"/>
  <c r="M7" i="30"/>
  <c r="N7" i="30"/>
  <c r="P7" i="30"/>
  <c r="Q7" i="30"/>
  <c r="S7" i="30"/>
  <c r="T7" i="30"/>
  <c r="AI7" i="30"/>
  <c r="AJ7" i="30"/>
  <c r="AL7" i="30"/>
  <c r="AM7" i="30"/>
  <c r="AN7" i="30"/>
  <c r="AP7" i="30"/>
  <c r="AQ7" i="30"/>
  <c r="AT7" i="30"/>
  <c r="AU7" i="30"/>
  <c r="AW7" i="30"/>
  <c r="AX7" i="30"/>
  <c r="AZ7" i="30"/>
  <c r="BA7" i="30"/>
  <c r="BD7" i="30"/>
  <c r="BE7" i="30"/>
  <c r="E10" i="30"/>
  <c r="B11" i="30"/>
  <c r="AT11" i="30"/>
  <c r="AU11" i="30"/>
  <c r="BD11" i="30"/>
  <c r="BE11" i="30"/>
  <c r="B12" i="30"/>
  <c r="AT12" i="30"/>
  <c r="AU12" i="30"/>
  <c r="BD12" i="30"/>
  <c r="BE12" i="30"/>
  <c r="B13" i="30"/>
  <c r="AT13" i="30"/>
  <c r="AU13" i="30"/>
  <c r="BD13" i="30"/>
  <c r="BE13" i="30"/>
  <c r="B14" i="30"/>
  <c r="AT14" i="30"/>
  <c r="AU14" i="30"/>
  <c r="BD14" i="30"/>
  <c r="BE14" i="30"/>
  <c r="B15" i="30"/>
  <c r="AT15" i="30"/>
  <c r="AU15" i="30"/>
  <c r="BD15" i="30"/>
  <c r="BE15" i="30"/>
  <c r="B16" i="30"/>
  <c r="AT16" i="30"/>
  <c r="AU16" i="30"/>
  <c r="BD16" i="30"/>
  <c r="BE16" i="30"/>
  <c r="B17" i="30"/>
  <c r="AT17" i="30"/>
  <c r="AU17" i="30"/>
  <c r="BD17" i="30"/>
  <c r="BE17" i="30"/>
  <c r="B18" i="30"/>
  <c r="AT18" i="30"/>
  <c r="AU18" i="30"/>
  <c r="BD18" i="30"/>
  <c r="BE18" i="30"/>
  <c r="B19" i="30"/>
  <c r="AT19" i="30"/>
  <c r="AU19" i="30"/>
  <c r="BD19" i="30"/>
  <c r="BE19" i="30"/>
  <c r="B20" i="30"/>
  <c r="AT20" i="30"/>
  <c r="AU20" i="30"/>
  <c r="BD20" i="30"/>
  <c r="BE20" i="30"/>
  <c r="B21" i="30"/>
  <c r="AT21" i="30"/>
  <c r="AU21" i="30"/>
  <c r="BD21" i="30"/>
  <c r="BE21" i="30"/>
  <c r="B22" i="30"/>
  <c r="AT22" i="30"/>
  <c r="AU22" i="30"/>
  <c r="BD22" i="30"/>
  <c r="BE22" i="30"/>
  <c r="B23" i="30"/>
  <c r="AT23" i="30"/>
  <c r="AU23" i="30"/>
  <c r="BD23" i="30"/>
  <c r="BE23" i="30"/>
  <c r="B24" i="30"/>
  <c r="AT24" i="30"/>
  <c r="AU24" i="30"/>
  <c r="BD24" i="30"/>
  <c r="BE24" i="30"/>
  <c r="B25" i="30"/>
  <c r="AT25" i="30"/>
  <c r="AU25" i="30"/>
  <c r="BD25" i="30"/>
  <c r="BE25" i="30"/>
  <c r="B26" i="30"/>
  <c r="AT26" i="30"/>
  <c r="AU26" i="30"/>
  <c r="BD26" i="30"/>
  <c r="BE26" i="30"/>
  <c r="B27" i="30"/>
  <c r="AT27" i="30"/>
  <c r="AU27" i="30"/>
  <c r="BD27" i="30"/>
  <c r="BE27" i="30"/>
  <c r="B28" i="30"/>
  <c r="AT28" i="30"/>
  <c r="AU28" i="30"/>
  <c r="BD28" i="30"/>
  <c r="BE28" i="30"/>
  <c r="B29" i="30"/>
  <c r="AT29" i="30"/>
  <c r="AU29" i="30"/>
  <c r="BD29" i="30"/>
  <c r="BE29" i="30"/>
  <c r="B30" i="30"/>
  <c r="AT30" i="30"/>
  <c r="AU30" i="30"/>
  <c r="BD30" i="30"/>
  <c r="BE30" i="30"/>
  <c r="B31" i="30"/>
  <c r="B32" i="30"/>
  <c r="B33" i="30"/>
  <c r="BW33" i="30"/>
  <c r="B34" i="30"/>
  <c r="BW34" i="30"/>
  <c r="B35" i="30"/>
  <c r="BW35" i="30"/>
  <c r="B36" i="30"/>
  <c r="BW36" i="30"/>
  <c r="B37" i="30"/>
  <c r="BW37" i="30"/>
  <c r="B38" i="30"/>
  <c r="BW38" i="30"/>
  <c r="B39" i="30"/>
  <c r="BW39" i="30"/>
  <c r="B40" i="30"/>
  <c r="BW40" i="30"/>
  <c r="B41" i="30"/>
  <c r="BW41" i="30"/>
  <c r="B42" i="30"/>
  <c r="BW42" i="30"/>
  <c r="B43" i="30"/>
  <c r="BW43" i="30"/>
  <c r="B44" i="30"/>
  <c r="BW44" i="30"/>
  <c r="B45" i="30"/>
  <c r="BW45" i="30"/>
  <c r="B46" i="30"/>
  <c r="BW46" i="30"/>
  <c r="B47" i="30"/>
  <c r="B48" i="30"/>
  <c r="B49" i="30"/>
  <c r="B50" i="30"/>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4" i="30"/>
  <c r="B75" i="30"/>
  <c r="M6" i="31"/>
  <c r="M7" i="31"/>
  <c r="L29" i="10"/>
  <c r="F29" i="10"/>
  <c r="L18" i="10"/>
  <c r="U52" i="25"/>
  <c r="U108" i="25" s="1"/>
  <c r="J36" i="10"/>
  <c r="O35" i="25" s="1"/>
  <c r="D13" i="10"/>
  <c r="L13" i="10" s="1"/>
  <c r="J66" i="7"/>
  <c r="K65" i="25" s="1"/>
  <c r="J55" i="7"/>
  <c r="AT55" i="7" s="1"/>
  <c r="J46" i="7"/>
  <c r="J44" i="7"/>
  <c r="K43" i="25" s="1"/>
  <c r="J36" i="7"/>
  <c r="K35" i="25" s="1"/>
  <c r="J31" i="7"/>
  <c r="AU31" i="7" s="1"/>
  <c r="J27" i="7"/>
  <c r="M40" i="10"/>
  <c r="U60" i="25"/>
  <c r="U116" i="25" s="1"/>
  <c r="U50" i="25"/>
  <c r="U106" i="25" s="1"/>
  <c r="U47" i="25"/>
  <c r="U103" i="25" s="1"/>
  <c r="J57" i="7"/>
  <c r="AU57" i="7" s="1"/>
  <c r="J52" i="7"/>
  <c r="K51" i="25" s="1"/>
  <c r="J47" i="7"/>
  <c r="J37" i="7"/>
  <c r="K36" i="25" s="1"/>
  <c r="J58" i="10"/>
  <c r="O57" i="25" s="1"/>
  <c r="D22" i="10"/>
  <c r="U58" i="25"/>
  <c r="U114" i="25" s="1"/>
  <c r="J40" i="7"/>
  <c r="K39" i="25" s="1"/>
  <c r="J28" i="7"/>
  <c r="K27" i="25" s="1"/>
  <c r="J16" i="7"/>
  <c r="AT16" i="7" s="1"/>
  <c r="J65" i="10"/>
  <c r="O64" i="25" s="1"/>
  <c r="D65" i="10"/>
  <c r="L65" i="10" s="1"/>
  <c r="F39" i="10"/>
  <c r="AF39" i="10" s="1"/>
  <c r="J33" i="10"/>
  <c r="J32" i="10"/>
  <c r="J24" i="10"/>
  <c r="O23" i="25" s="1"/>
  <c r="P23" i="25" s="1"/>
  <c r="J40" i="10"/>
  <c r="M52" i="10"/>
  <c r="M43" i="10"/>
  <c r="J29" i="10"/>
  <c r="J61" i="10"/>
  <c r="O60" i="25" s="1"/>
  <c r="J55" i="10"/>
  <c r="U54" i="25"/>
  <c r="U110" i="25" s="1"/>
  <c r="T464" i="36"/>
  <c r="S42" i="25"/>
  <c r="S98" i="25" s="1"/>
  <c r="S46" i="25"/>
  <c r="S102" i="25" s="1"/>
  <c r="T492" i="36"/>
  <c r="P492" i="36" s="1"/>
  <c r="U45" i="25"/>
  <c r="AU66" i="7"/>
  <c r="U36" i="25"/>
  <c r="AT57" i="7"/>
  <c r="AU52" i="7"/>
  <c r="AU37" i="7"/>
  <c r="AU40" i="7"/>
  <c r="AU28" i="7"/>
  <c r="U35" i="25"/>
  <c r="U91" i="25" s="1"/>
  <c r="S29" i="25"/>
  <c r="J61" i="7"/>
  <c r="AU46" i="7"/>
  <c r="AU27" i="7"/>
  <c r="U48" i="25"/>
  <c r="U104" i="25" s="1"/>
  <c r="J59" i="7"/>
  <c r="AU59" i="7" s="1"/>
  <c r="AT44" i="7"/>
  <c r="AU36" i="7"/>
  <c r="AW22" i="7"/>
  <c r="AW15" i="7"/>
  <c r="J53" i="7"/>
  <c r="K52" i="25" s="1"/>
  <c r="J51" i="7"/>
  <c r="AT46" i="7"/>
  <c r="J35" i="7"/>
  <c r="J29" i="7"/>
  <c r="AU23" i="7"/>
  <c r="AU22" i="7"/>
  <c r="AU21" i="7"/>
  <c r="AU14" i="7"/>
  <c r="J12" i="7"/>
  <c r="AT12" i="7" s="1"/>
  <c r="D64" i="10"/>
  <c r="L64" i="10" s="1"/>
  <c r="J64" i="10"/>
  <c r="AU15" i="7"/>
  <c r="AX15" i="7" s="1"/>
  <c r="AU13" i="7"/>
  <c r="D69" i="10"/>
  <c r="L69" i="10" s="1"/>
  <c r="AT47" i="7"/>
  <c r="J41" i="7"/>
  <c r="D66" i="10"/>
  <c r="L66" i="10" s="1"/>
  <c r="J66" i="10"/>
  <c r="L57" i="10"/>
  <c r="L74" i="10"/>
  <c r="P72" i="10" s="1"/>
  <c r="AT36" i="10"/>
  <c r="AU17" i="7"/>
  <c r="AU11" i="7"/>
  <c r="AX11" i="7" s="1"/>
  <c r="J67" i="10"/>
  <c r="AT67" i="10" s="1"/>
  <c r="D63" i="10"/>
  <c r="F53" i="10"/>
  <c r="L53" i="10"/>
  <c r="F52" i="10"/>
  <c r="L52" i="10"/>
  <c r="F43" i="10"/>
  <c r="H42" i="25" s="1"/>
  <c r="L43" i="10"/>
  <c r="D51" i="10"/>
  <c r="J49" i="10"/>
  <c r="D47" i="10"/>
  <c r="J45" i="10"/>
  <c r="L23" i="10"/>
  <c r="AU61" i="10"/>
  <c r="F41" i="10"/>
  <c r="AF41" i="10" s="1"/>
  <c r="L41" i="10"/>
  <c r="P21" i="10"/>
  <c r="AT61" i="10"/>
  <c r="L61" i="10"/>
  <c r="J57" i="10"/>
  <c r="J52" i="10"/>
  <c r="J50" i="10"/>
  <c r="AT50" i="10" s="1"/>
  <c r="J42" i="10"/>
  <c r="AT42" i="10" s="1"/>
  <c r="J37" i="10"/>
  <c r="AU37" i="10" s="1"/>
  <c r="J35" i="10"/>
  <c r="AT35" i="10" s="1"/>
  <c r="D35" i="10"/>
  <c r="D34" i="10"/>
  <c r="AU32" i="10"/>
  <c r="J31" i="10"/>
  <c r="AT31" i="10" s="1"/>
  <c r="F20" i="10"/>
  <c r="H19" i="25" s="1"/>
  <c r="L20" i="10"/>
  <c r="M67" i="10"/>
  <c r="L56" i="10"/>
  <c r="J48" i="10"/>
  <c r="AT48" i="10" s="1"/>
  <c r="L45" i="10"/>
  <c r="P45" i="10" s="1"/>
  <c r="L44" i="10"/>
  <c r="D38" i="10"/>
  <c r="L38" i="10" s="1"/>
  <c r="P38" i="10" s="1"/>
  <c r="AU36" i="10"/>
  <c r="D30" i="10"/>
  <c r="J30" i="10"/>
  <c r="P29" i="10"/>
  <c r="F26" i="10"/>
  <c r="H25" i="25" s="1"/>
  <c r="L26" i="10"/>
  <c r="P26" i="10" s="1"/>
  <c r="AT24" i="10"/>
  <c r="AU24" i="10"/>
  <c r="L27" i="10"/>
  <c r="L24" i="10"/>
  <c r="J23" i="10"/>
  <c r="AT23" i="10" s="1"/>
  <c r="L22" i="10"/>
  <c r="L11" i="10"/>
  <c r="J11" i="10"/>
  <c r="AU11" i="10" s="1"/>
  <c r="M11" i="10"/>
  <c r="AU29" i="10"/>
  <c r="L28" i="10"/>
  <c r="J16" i="10"/>
  <c r="AU16" i="10" s="1"/>
  <c r="D16" i="10"/>
  <c r="F11" i="10"/>
  <c r="AF11" i="10" s="1"/>
  <c r="J15" i="10"/>
  <c r="AF58" i="13"/>
  <c r="AE28" i="13"/>
  <c r="AD28" i="13" s="1"/>
  <c r="J34" i="13"/>
  <c r="I68" i="34"/>
  <c r="AE27" i="13"/>
  <c r="AD27" i="13" s="1"/>
  <c r="D27" i="13" s="1"/>
  <c r="AW62" i="19"/>
  <c r="AW60" i="19"/>
  <c r="AY60" i="19" s="1"/>
  <c r="M60" i="14" s="1"/>
  <c r="E63" i="29" s="1"/>
  <c r="U540" i="36" s="1"/>
  <c r="P573" i="36"/>
  <c r="I69" i="34"/>
  <c r="AS9" i="33"/>
  <c r="AF59" i="13"/>
  <c r="AE36" i="13"/>
  <c r="AD36" i="13" s="1"/>
  <c r="D36" i="13" s="1"/>
  <c r="BA35" i="13"/>
  <c r="BA32" i="13"/>
  <c r="AW59" i="19"/>
  <c r="AY59" i="19" s="1"/>
  <c r="M59" i="14" s="1"/>
  <c r="E62" i="29" s="1"/>
  <c r="P560" i="36"/>
  <c r="L29" i="13"/>
  <c r="P564" i="36"/>
  <c r="J44" i="33"/>
  <c r="AF65" i="13"/>
  <c r="AF62" i="13"/>
  <c r="AF60" i="13"/>
  <c r="T602" i="36"/>
  <c r="AE46" i="13"/>
  <c r="AD46" i="13" s="1"/>
  <c r="D46" i="13" s="1"/>
  <c r="AE47" i="13"/>
  <c r="AD47" i="13" s="1"/>
  <c r="D47" i="13" s="1"/>
  <c r="AE48" i="13"/>
  <c r="AD48" i="13" s="1"/>
  <c r="D48" i="13" s="1"/>
  <c r="AE45" i="13"/>
  <c r="AD45" i="13" s="1"/>
  <c r="D45" i="13" s="1"/>
  <c r="L41" i="1"/>
  <c r="BC41" i="1" s="1"/>
  <c r="AE41" i="13"/>
  <c r="AD41" i="13" s="1"/>
  <c r="D41" i="13" s="1"/>
  <c r="AE43" i="13"/>
  <c r="AD43" i="13" s="1"/>
  <c r="D43" i="13" s="1"/>
  <c r="L35" i="13"/>
  <c r="J33" i="13"/>
  <c r="AW65" i="19"/>
  <c r="AY65" i="19" s="1"/>
  <c r="M65" i="14" s="1"/>
  <c r="E68" i="29" s="1"/>
  <c r="C49" i="14"/>
  <c r="F52" i="34" s="1"/>
  <c r="G49" i="19"/>
  <c r="W39" i="13"/>
  <c r="AE40" i="13"/>
  <c r="AD40" i="13" s="1"/>
  <c r="D40" i="13" s="1"/>
  <c r="BA30" i="13"/>
  <c r="J30" i="13"/>
  <c r="L30" i="13" s="1"/>
  <c r="C53" i="14"/>
  <c r="F56" i="34" s="1"/>
  <c r="G53" i="19"/>
  <c r="AE38" i="13"/>
  <c r="AD38" i="13" s="1"/>
  <c r="D38" i="13" s="1"/>
  <c r="AE37" i="13"/>
  <c r="AD37" i="13" s="1"/>
  <c r="D37" i="13" s="1"/>
  <c r="BA29" i="13"/>
  <c r="AW67" i="19"/>
  <c r="AY67" i="19" s="1"/>
  <c r="AW58" i="19"/>
  <c r="AY58" i="19" s="1"/>
  <c r="M58" i="14" s="1"/>
  <c r="E61" i="29" s="1"/>
  <c r="AE32" i="13"/>
  <c r="AD32" i="13"/>
  <c r="D32" i="13" s="1"/>
  <c r="AE31" i="13"/>
  <c r="AD31" i="13"/>
  <c r="D31" i="13" s="1"/>
  <c r="AW66" i="19"/>
  <c r="AY66" i="19" s="1"/>
  <c r="M66" i="14" s="1"/>
  <c r="E69" i="29" s="1"/>
  <c r="AW63" i="19"/>
  <c r="AY63" i="19" s="1"/>
  <c r="M63" i="14" s="1"/>
  <c r="E66" i="29" s="1"/>
  <c r="AE33" i="13"/>
  <c r="AD33" i="13"/>
  <c r="D33" i="13" s="1"/>
  <c r="AE26" i="13"/>
  <c r="AD26" i="13"/>
  <c r="D26" i="13" s="1"/>
  <c r="AE25" i="13"/>
  <c r="AD25" i="13"/>
  <c r="D25" i="13" s="1"/>
  <c r="AE24" i="13"/>
  <c r="AD24" i="13"/>
  <c r="AE23" i="13"/>
  <c r="AD23" i="13"/>
  <c r="AE22" i="13"/>
  <c r="AD22" i="13"/>
  <c r="AE21" i="13"/>
  <c r="AD21" i="13"/>
  <c r="AE20" i="13"/>
  <c r="AD20" i="13"/>
  <c r="AE19" i="13"/>
  <c r="AD19" i="13"/>
  <c r="AE18" i="13"/>
  <c r="AD18" i="13"/>
  <c r="AE17" i="13"/>
  <c r="AD17" i="13"/>
  <c r="AE16" i="13"/>
  <c r="AD16" i="13"/>
  <c r="AE15" i="13"/>
  <c r="AD15" i="13"/>
  <c r="AE14" i="13"/>
  <c r="AD14" i="13"/>
  <c r="AE13" i="13"/>
  <c r="AD13" i="13"/>
  <c r="AE12" i="13"/>
  <c r="AD12" i="13"/>
  <c r="AE11" i="13"/>
  <c r="AD11" i="13"/>
  <c r="AE10" i="13"/>
  <c r="AD10" i="13"/>
  <c r="AE9" i="13"/>
  <c r="AD9" i="13"/>
  <c r="BB10" i="1"/>
  <c r="AT27" i="33"/>
  <c r="AW64" i="19"/>
  <c r="AY64" i="19" s="1"/>
  <c r="M64" i="14" s="1"/>
  <c r="E67" i="29" s="1"/>
  <c r="U544" i="36" s="1"/>
  <c r="AW61" i="19"/>
  <c r="M52" i="33"/>
  <c r="BB26" i="1"/>
  <c r="M48" i="33"/>
  <c r="AT19" i="33"/>
  <c r="AT11" i="33"/>
  <c r="AT9" i="33"/>
  <c r="J58" i="33"/>
  <c r="AS58" i="33" s="1"/>
  <c r="M51" i="33"/>
  <c r="J49" i="33"/>
  <c r="AS49" i="33" s="1"/>
  <c r="AT24" i="33"/>
  <c r="M64" i="29"/>
  <c r="K36" i="26"/>
  <c r="J36" i="26" s="1"/>
  <c r="I7" i="34"/>
  <c r="AJ7" i="34"/>
  <c r="S7" i="34"/>
  <c r="AS7" i="34"/>
  <c r="BB7" i="34"/>
  <c r="AX7" i="34"/>
  <c r="BF7" i="34"/>
  <c r="AN7" i="34"/>
  <c r="AK7" i="34"/>
  <c r="J7" i="34"/>
  <c r="BG7" i="34"/>
  <c r="AF27" i="33"/>
  <c r="AF23" i="33"/>
  <c r="AF28" i="33"/>
  <c r="M55" i="29"/>
  <c r="G51" i="26"/>
  <c r="AJ51" i="26" s="1"/>
  <c r="M28" i="57" s="1"/>
  <c r="P61" i="26"/>
  <c r="S66" i="25"/>
  <c r="S122" i="25" s="1"/>
  <c r="U451" i="36"/>
  <c r="R451" i="36" s="1"/>
  <c r="S67" i="25"/>
  <c r="S123" i="25" s="1"/>
  <c r="U449" i="36"/>
  <c r="R449" i="36" s="1"/>
  <c r="S65" i="25"/>
  <c r="S121" i="25" s="1"/>
  <c r="S57" i="25"/>
  <c r="S113" i="25" s="1"/>
  <c r="S68" i="25"/>
  <c r="S124" i="25" s="1"/>
  <c r="U448" i="36"/>
  <c r="R448" i="36" s="1"/>
  <c r="S64" i="25"/>
  <c r="S120" i="25" s="1"/>
  <c r="S55" i="25"/>
  <c r="S111" i="25" s="1"/>
  <c r="E73" i="25"/>
  <c r="M45" i="7"/>
  <c r="AG28" i="7"/>
  <c r="F54" i="10"/>
  <c r="M58" i="10"/>
  <c r="F58" i="10"/>
  <c r="H57" i="25" s="1"/>
  <c r="V57" i="25" s="1"/>
  <c r="AG43" i="10"/>
  <c r="M42" i="10"/>
  <c r="F42" i="10"/>
  <c r="AG42" i="10" s="1"/>
  <c r="AG20" i="10"/>
  <c r="F46" i="10"/>
  <c r="M32" i="10"/>
  <c r="AF23" i="10"/>
  <c r="N23" i="10"/>
  <c r="M50" i="10"/>
  <c r="F38" i="10"/>
  <c r="M30" i="10"/>
  <c r="M25" i="10"/>
  <c r="F25" i="10"/>
  <c r="AG25" i="10" s="1"/>
  <c r="AG23" i="10"/>
  <c r="M36" i="10"/>
  <c r="F21" i="10"/>
  <c r="F19" i="10"/>
  <c r="AG19" i="10" s="1"/>
  <c r="F15" i="10"/>
  <c r="AG15" i="10" s="1"/>
  <c r="M15" i="10"/>
  <c r="F13" i="10"/>
  <c r="M13" i="10"/>
  <c r="M66" i="10"/>
  <c r="M65" i="10"/>
  <c r="F67" i="10"/>
  <c r="K56" i="25"/>
  <c r="T440" i="36" s="1"/>
  <c r="AT27" i="7"/>
  <c r="K26" i="25"/>
  <c r="K45" i="25"/>
  <c r="F16" i="53" s="1"/>
  <c r="N16" i="53" s="1"/>
  <c r="J74" i="7"/>
  <c r="T57" i="7" s="1"/>
  <c r="P347" i="36" s="1"/>
  <c r="AU47" i="7"/>
  <c r="AX47" i="7" s="1"/>
  <c r="K46" i="25"/>
  <c r="T430" i="36" s="1"/>
  <c r="AT31" i="7"/>
  <c r="K30" i="25"/>
  <c r="D16" i="53" s="1"/>
  <c r="L16" i="53" s="1"/>
  <c r="AU55" i="7"/>
  <c r="K54" i="25"/>
  <c r="T438" i="36" s="1"/>
  <c r="O31" i="25"/>
  <c r="AT32" i="10"/>
  <c r="AT65" i="10"/>
  <c r="AF29" i="10"/>
  <c r="AF43" i="10"/>
  <c r="AT33" i="10"/>
  <c r="AU33" i="10"/>
  <c r="O32" i="25"/>
  <c r="AU16" i="7"/>
  <c r="AX17" i="7" s="1"/>
  <c r="AT55" i="10"/>
  <c r="AU55" i="10"/>
  <c r="O54" i="25"/>
  <c r="AT29" i="10"/>
  <c r="O28" i="25"/>
  <c r="AT40" i="10"/>
  <c r="O39" i="25"/>
  <c r="AU40" i="10"/>
  <c r="AT15" i="10"/>
  <c r="O14" i="25"/>
  <c r="F16" i="10"/>
  <c r="AF16" i="10" s="1"/>
  <c r="L16" i="10"/>
  <c r="P16" i="10" s="1"/>
  <c r="AU15" i="10"/>
  <c r="L30" i="10"/>
  <c r="P30" i="10" s="1"/>
  <c r="F30" i="10"/>
  <c r="O47" i="25"/>
  <c r="L34" i="10"/>
  <c r="F34" i="10"/>
  <c r="AF34" i="10" s="1"/>
  <c r="O36" i="25"/>
  <c r="AU50" i="10"/>
  <c r="O48" i="25"/>
  <c r="P57" i="10"/>
  <c r="L75" i="10"/>
  <c r="AU41" i="7"/>
  <c r="K40" i="25"/>
  <c r="AU64" i="10"/>
  <c r="O63" i="25"/>
  <c r="AT29" i="7"/>
  <c r="K28" i="25"/>
  <c r="AT35" i="7"/>
  <c r="K34" i="25"/>
  <c r="AT51" i="7"/>
  <c r="K50" i="25"/>
  <c r="AX28" i="7"/>
  <c r="AU12" i="7"/>
  <c r="AX12" i="7" s="1"/>
  <c r="P510" i="36"/>
  <c r="P498" i="36"/>
  <c r="P513" i="36"/>
  <c r="P515" i="36"/>
  <c r="P497" i="36"/>
  <c r="P512" i="36"/>
  <c r="P514" i="36"/>
  <c r="N11" i="10"/>
  <c r="AT16" i="10"/>
  <c r="O15" i="25"/>
  <c r="AU31" i="10"/>
  <c r="O30" i="25"/>
  <c r="D20" i="53" s="1"/>
  <c r="L20" i="53" s="1"/>
  <c r="AU52" i="10"/>
  <c r="AT52" i="10"/>
  <c r="O51" i="25"/>
  <c r="AT45" i="10"/>
  <c r="O44" i="25"/>
  <c r="F51" i="10"/>
  <c r="AF51" i="10" s="1"/>
  <c r="L51" i="10"/>
  <c r="P51" i="10" s="1"/>
  <c r="AG53" i="10"/>
  <c r="AT66" i="10"/>
  <c r="AU66" i="10"/>
  <c r="O65" i="25"/>
  <c r="AX13" i="7"/>
  <c r="AT49" i="10"/>
  <c r="AX22" i="7"/>
  <c r="AU29" i="7"/>
  <c r="AT53" i="7"/>
  <c r="AT41" i="7"/>
  <c r="P495" i="36"/>
  <c r="P499" i="36"/>
  <c r="P507" i="36"/>
  <c r="AU23" i="10"/>
  <c r="O22" i="25"/>
  <c r="AT37" i="10"/>
  <c r="AW37" i="10" s="1"/>
  <c r="F35" i="10"/>
  <c r="L35" i="10"/>
  <c r="P35" i="10" s="1"/>
  <c r="AU45" i="10"/>
  <c r="AG41" i="10"/>
  <c r="F47" i="10"/>
  <c r="H46" i="25" s="1"/>
  <c r="L47" i="10"/>
  <c r="P47" i="10" s="1"/>
  <c r="AF47" i="10"/>
  <c r="AF52" i="10"/>
  <c r="H51" i="25"/>
  <c r="F63" i="10"/>
  <c r="AF63" i="10" s="1"/>
  <c r="L63" i="10"/>
  <c r="O66" i="25"/>
  <c r="P58" i="10"/>
  <c r="AQ58" i="10" s="1"/>
  <c r="AU67" i="10"/>
  <c r="AX14" i="7"/>
  <c r="AX23" i="7"/>
  <c r="AX16" i="7"/>
  <c r="AU53" i="7"/>
  <c r="AX53" i="7" s="1"/>
  <c r="AT61" i="7"/>
  <c r="AU61" i="7"/>
  <c r="K60" i="25"/>
  <c r="T444" i="36" s="1"/>
  <c r="AU35" i="7"/>
  <c r="AX36" i="7" s="1"/>
  <c r="P502" i="36"/>
  <c r="P504" i="36"/>
  <c r="P508" i="36"/>
  <c r="AT11" i="10"/>
  <c r="O10" i="25"/>
  <c r="AT30" i="10"/>
  <c r="AW30" i="10" s="1"/>
  <c r="AU30" i="10"/>
  <c r="AX30" i="10" s="1"/>
  <c r="O29" i="25"/>
  <c r="AX32" i="10"/>
  <c r="AU35" i="10"/>
  <c r="AX36" i="10" s="1"/>
  <c r="O34" i="25"/>
  <c r="AU42" i="10"/>
  <c r="O41" i="25"/>
  <c r="AU49" i="10"/>
  <c r="AT57" i="10"/>
  <c r="AU57" i="10"/>
  <c r="J75" i="10"/>
  <c r="O56" i="25"/>
  <c r="P56" i="25" s="1"/>
  <c r="P23" i="10"/>
  <c r="AT64" i="10"/>
  <c r="AW65" i="10" s="1"/>
  <c r="AT59" i="7"/>
  <c r="K58" i="25"/>
  <c r="T442" i="36" s="1"/>
  <c r="AU51" i="7"/>
  <c r="AX37" i="7"/>
  <c r="P503" i="36"/>
  <c r="P509" i="36"/>
  <c r="P505" i="36"/>
  <c r="P501" i="36"/>
  <c r="P496" i="36"/>
  <c r="P506" i="36"/>
  <c r="F8" i="19"/>
  <c r="B8" i="19" s="1"/>
  <c r="AF9" i="13"/>
  <c r="AF13" i="13"/>
  <c r="F12" i="19"/>
  <c r="G12" i="19" s="1"/>
  <c r="F16" i="19"/>
  <c r="B16" i="19" s="1"/>
  <c r="AF17" i="13"/>
  <c r="AF21" i="13"/>
  <c r="F20" i="19"/>
  <c r="G20" i="19" s="1"/>
  <c r="K27" i="34"/>
  <c r="AF25" i="13"/>
  <c r="F24" i="19"/>
  <c r="G24" i="19" s="1"/>
  <c r="G35" i="19"/>
  <c r="C35" i="14"/>
  <c r="F38" i="34" s="1"/>
  <c r="AF12" i="13"/>
  <c r="F11" i="19"/>
  <c r="G11" i="19" s="1"/>
  <c r="F15" i="19"/>
  <c r="G15" i="19" s="1"/>
  <c r="AF16" i="13"/>
  <c r="AF20" i="13"/>
  <c r="F19" i="19"/>
  <c r="G19" i="19" s="1"/>
  <c r="F23" i="19"/>
  <c r="B23" i="19" s="1"/>
  <c r="AF24" i="13"/>
  <c r="AF10" i="13"/>
  <c r="F9" i="19"/>
  <c r="B9" i="19" s="1"/>
  <c r="F13" i="19"/>
  <c r="G13" i="19" s="1"/>
  <c r="AF14" i="13"/>
  <c r="AF18" i="13"/>
  <c r="F17" i="19"/>
  <c r="B17" i="19" s="1"/>
  <c r="F21" i="19"/>
  <c r="G21" i="19" s="1"/>
  <c r="AF22" i="13"/>
  <c r="F25" i="19"/>
  <c r="B25" i="19" s="1"/>
  <c r="K28" i="34"/>
  <c r="AF26" i="13"/>
  <c r="K33" i="34"/>
  <c r="AF31" i="13"/>
  <c r="G41" i="19"/>
  <c r="C41" i="14"/>
  <c r="F44" i="34" s="1"/>
  <c r="G34" i="19"/>
  <c r="C34" i="14"/>
  <c r="F37" i="34" s="1"/>
  <c r="F10" i="19"/>
  <c r="B10" i="19" s="1"/>
  <c r="AF11" i="13"/>
  <c r="AF15" i="13"/>
  <c r="F14" i="19"/>
  <c r="F18" i="19"/>
  <c r="B18" i="19" s="1"/>
  <c r="AF19" i="13"/>
  <c r="F22" i="19"/>
  <c r="B22" i="19" s="1"/>
  <c r="AF23" i="13"/>
  <c r="K35" i="34"/>
  <c r="AF33" i="13"/>
  <c r="K34" i="34"/>
  <c r="AF32" i="13"/>
  <c r="G29" i="19"/>
  <c r="C29" i="14"/>
  <c r="F32" i="34" s="1"/>
  <c r="J64" i="1"/>
  <c r="AT58" i="33"/>
  <c r="BC28" i="1"/>
  <c r="AL52" i="26"/>
  <c r="D52" i="29"/>
  <c r="AK52" i="26"/>
  <c r="AL51" i="26"/>
  <c r="M30" i="57" s="1"/>
  <c r="D51" i="29"/>
  <c r="AJ52" i="26"/>
  <c r="AF58" i="10"/>
  <c r="AF28" i="7"/>
  <c r="D27" i="25"/>
  <c r="AF15" i="10"/>
  <c r="D25" i="25"/>
  <c r="I25" i="25" s="1"/>
  <c r="AW25" i="25" s="1"/>
  <c r="AF38" i="10"/>
  <c r="AG27" i="7"/>
  <c r="D26" i="25"/>
  <c r="R26" i="25" s="1"/>
  <c r="AF13" i="10"/>
  <c r="AG13" i="10"/>
  <c r="H12" i="25"/>
  <c r="I12" i="25" s="1"/>
  <c r="AF21" i="10"/>
  <c r="AG21" i="10"/>
  <c r="H20" i="25"/>
  <c r="I20" i="25" s="1"/>
  <c r="AF42" i="10"/>
  <c r="AI43" i="10" s="1"/>
  <c r="N42" i="10"/>
  <c r="H41" i="25"/>
  <c r="V41" i="25" s="1"/>
  <c r="V97" i="25" s="1"/>
  <c r="AF27" i="7"/>
  <c r="T31" i="7"/>
  <c r="T44" i="7"/>
  <c r="T51" i="7"/>
  <c r="P341" i="36" s="1"/>
  <c r="T27" i="7"/>
  <c r="T47" i="7"/>
  <c r="P337" i="36" s="1"/>
  <c r="T61" i="7"/>
  <c r="P351" i="36" s="1"/>
  <c r="T59" i="7"/>
  <c r="P349" i="36" s="1"/>
  <c r="T55" i="7"/>
  <c r="P345" i="36" s="1"/>
  <c r="T74" i="7"/>
  <c r="T41" i="7"/>
  <c r="T29" i="7"/>
  <c r="T53" i="7"/>
  <c r="P343" i="36" s="1"/>
  <c r="BW23" i="25"/>
  <c r="I24" i="30"/>
  <c r="BX23" i="25"/>
  <c r="BY23" i="25"/>
  <c r="BZ23" i="25"/>
  <c r="CA23" i="25"/>
  <c r="T429" i="36"/>
  <c r="P429" i="36" s="1"/>
  <c r="AX52" i="7"/>
  <c r="P14" i="25"/>
  <c r="BW14" i="25" s="1"/>
  <c r="AW16" i="10"/>
  <c r="T434" i="36"/>
  <c r="P434" i="36" s="1"/>
  <c r="P28" i="25"/>
  <c r="BW28" i="25" s="1"/>
  <c r="AX41" i="7"/>
  <c r="H29" i="25"/>
  <c r="AF30" i="10"/>
  <c r="N30" i="10"/>
  <c r="AG30" i="10"/>
  <c r="P10" i="25"/>
  <c r="N35" i="10"/>
  <c r="AX29" i="7"/>
  <c r="P30" i="25"/>
  <c r="I31" i="30" s="1"/>
  <c r="AG63" i="10"/>
  <c r="AX24" i="10"/>
  <c r="P22" i="25"/>
  <c r="BW22" i="25" s="1"/>
  <c r="H50" i="25"/>
  <c r="AX31" i="10"/>
  <c r="P15" i="25"/>
  <c r="BY15" i="25" s="1"/>
  <c r="P34" i="25"/>
  <c r="BY34" i="25" s="1"/>
  <c r="P36" i="25"/>
  <c r="CA36" i="25" s="1"/>
  <c r="H15" i="25"/>
  <c r="V15" i="25" s="1"/>
  <c r="N16" i="10"/>
  <c r="AG16" i="10"/>
  <c r="AW31" i="10"/>
  <c r="G42" i="19"/>
  <c r="C42" i="14"/>
  <c r="F45" i="34" s="1"/>
  <c r="G46" i="19"/>
  <c r="C46" i="14"/>
  <c r="F49" i="34" s="1"/>
  <c r="G40" i="19"/>
  <c r="C40" i="14"/>
  <c r="F43" i="34" s="1"/>
  <c r="G39" i="19"/>
  <c r="C39" i="14"/>
  <c r="F42" i="34" s="1"/>
  <c r="G30" i="19"/>
  <c r="C30" i="14"/>
  <c r="F33" i="34" s="1"/>
  <c r="G25" i="19"/>
  <c r="G45" i="19"/>
  <c r="C45" i="14"/>
  <c r="F48" i="34" s="1"/>
  <c r="B19" i="19"/>
  <c r="B11" i="19"/>
  <c r="G44" i="19"/>
  <c r="C44" i="14"/>
  <c r="F47" i="34" s="1"/>
  <c r="G32" i="19"/>
  <c r="C32" i="14"/>
  <c r="F35" i="34" s="1"/>
  <c r="G36" i="19"/>
  <c r="C36" i="14"/>
  <c r="F39" i="34" s="1"/>
  <c r="G31" i="19"/>
  <c r="C31" i="14"/>
  <c r="F34" i="34" s="1"/>
  <c r="G10" i="19"/>
  <c r="G47" i="19"/>
  <c r="C47" i="14"/>
  <c r="F50" i="34" s="1"/>
  <c r="B21" i="19"/>
  <c r="B13" i="19"/>
  <c r="B20" i="19"/>
  <c r="G16" i="19"/>
  <c r="G37" i="19"/>
  <c r="C37" i="14"/>
  <c r="F40" i="34" s="1"/>
  <c r="B24" i="19"/>
  <c r="AJ28" i="7"/>
  <c r="R27" i="25"/>
  <c r="BX22" i="25"/>
  <c r="I23" i="30"/>
  <c r="BW10" i="25"/>
  <c r="BY10" i="25"/>
  <c r="BZ10" i="25"/>
  <c r="I11" i="30"/>
  <c r="BX10" i="25"/>
  <c r="BX14" i="25"/>
  <c r="BY14" i="25"/>
  <c r="BZ34" i="25"/>
  <c r="BX34" i="25"/>
  <c r="BW15" i="25"/>
  <c r="BZ15" i="25"/>
  <c r="BX15" i="25"/>
  <c r="CD15" i="25" s="1"/>
  <c r="BZ30" i="25"/>
  <c r="BY30" i="25"/>
  <c r="CA10" i="25"/>
  <c r="CA14" i="25"/>
  <c r="BW34" i="25"/>
  <c r="CA15" i="25"/>
  <c r="CG15" i="25" s="1"/>
  <c r="CA28" i="25"/>
  <c r="BZ28" i="25"/>
  <c r="BX28" i="25"/>
  <c r="AX25" i="25"/>
  <c r="M70" i="10"/>
  <c r="P67" i="10"/>
  <c r="P56" i="10"/>
  <c r="P19" i="10"/>
  <c r="P18" i="10"/>
  <c r="P52" i="10"/>
  <c r="BC7" i="34"/>
  <c r="N39" i="26"/>
  <c r="G34" i="26"/>
  <c r="D34" i="29" s="1"/>
  <c r="N65" i="26"/>
  <c r="N42" i="26"/>
  <c r="AQ52" i="10"/>
  <c r="AQ57" i="10"/>
  <c r="D24" i="25"/>
  <c r="AG25" i="7"/>
  <c r="M37" i="10"/>
  <c r="M38" i="7"/>
  <c r="AQ30" i="10"/>
  <c r="P35" i="25"/>
  <c r="CA35" i="25" s="1"/>
  <c r="T511" i="36"/>
  <c r="P511" i="36" s="1"/>
  <c r="T493" i="36"/>
  <c r="P493" i="36" s="1"/>
  <c r="L14" i="10"/>
  <c r="P14" i="10" s="1"/>
  <c r="F14" i="10"/>
  <c r="AF14" i="10" s="1"/>
  <c r="J70" i="10"/>
  <c r="J39" i="7"/>
  <c r="AT39" i="7" s="1"/>
  <c r="U56" i="25"/>
  <c r="U112" i="25" s="1"/>
  <c r="U55" i="25"/>
  <c r="J34" i="7"/>
  <c r="K33" i="25" s="1"/>
  <c r="AW23" i="7"/>
  <c r="F68" i="10"/>
  <c r="L68" i="10"/>
  <c r="J58" i="7"/>
  <c r="AT58" i="7" s="1"/>
  <c r="J71" i="10"/>
  <c r="J30" i="7"/>
  <c r="AU30" i="7" s="1"/>
  <c r="AX30" i="7" s="1"/>
  <c r="D60" i="10"/>
  <c r="L60" i="10" s="1"/>
  <c r="J41" i="10"/>
  <c r="O40" i="25" s="1"/>
  <c r="J28" i="10"/>
  <c r="AU28" i="10" s="1"/>
  <c r="AX29" i="10" s="1"/>
  <c r="M27" i="10"/>
  <c r="D12" i="10"/>
  <c r="L12" i="10" s="1"/>
  <c r="D70" i="10"/>
  <c r="F70" i="10" s="1"/>
  <c r="J14" i="10"/>
  <c r="AU14" i="10" s="1"/>
  <c r="AX15" i="10" s="1"/>
  <c r="O69" i="25"/>
  <c r="BZ35" i="25"/>
  <c r="AU58" i="7"/>
  <c r="AX59" i="7" s="1"/>
  <c r="AT34" i="7"/>
  <c r="AU34" i="7"/>
  <c r="AX35" i="7" s="1"/>
  <c r="AU39" i="7"/>
  <c r="AX40" i="7" s="1"/>
  <c r="K38" i="25"/>
  <c r="T39" i="7"/>
  <c r="L71" i="10"/>
  <c r="P71" i="10" s="1"/>
  <c r="S70" i="25"/>
  <c r="S126" i="25" s="1"/>
  <c r="P56" i="34"/>
  <c r="G50" i="26"/>
  <c r="M46" i="7"/>
  <c r="M74" i="7" s="1"/>
  <c r="Q72" i="7" s="1"/>
  <c r="M39" i="7"/>
  <c r="L60" i="14"/>
  <c r="L44" i="14"/>
  <c r="G35" i="26"/>
  <c r="AK35" i="26" s="1"/>
  <c r="U62" i="25"/>
  <c r="S48" i="25"/>
  <c r="S104" i="25" s="1"/>
  <c r="L50" i="14"/>
  <c r="P52" i="34"/>
  <c r="G58" i="26"/>
  <c r="D58" i="29" s="1"/>
  <c r="F58" i="29" s="1"/>
  <c r="G49" i="26"/>
  <c r="AK49" i="26" s="1"/>
  <c r="G32" i="26"/>
  <c r="S52" i="25"/>
  <c r="S108" i="25" s="1"/>
  <c r="L63" i="14"/>
  <c r="L57" i="14"/>
  <c r="L56" i="14"/>
  <c r="L51" i="14"/>
  <c r="L48" i="14"/>
  <c r="L47" i="14"/>
  <c r="L32" i="14"/>
  <c r="L28" i="14"/>
  <c r="G65" i="26"/>
  <c r="AL65" i="26" s="1"/>
  <c r="G57" i="26"/>
  <c r="AL57" i="26" s="1"/>
  <c r="N50" i="26"/>
  <c r="S58" i="25"/>
  <c r="S114" i="25" s="1"/>
  <c r="L66" i="14"/>
  <c r="L65" i="14"/>
  <c r="L62" i="14"/>
  <c r="L59" i="14"/>
  <c r="L58" i="14"/>
  <c r="L55" i="14"/>
  <c r="L54" i="14"/>
  <c r="L52" i="14"/>
  <c r="L46" i="14"/>
  <c r="L31" i="14"/>
  <c r="L67" i="14"/>
  <c r="AJ42" i="10"/>
  <c r="AJ43" i="10"/>
  <c r="AK43" i="10" s="1"/>
  <c r="AM43" i="10" s="1"/>
  <c r="R492" i="36"/>
  <c r="R499" i="36"/>
  <c r="N57" i="26"/>
  <c r="N75" i="26" s="1"/>
  <c r="M24" i="10"/>
  <c r="F24" i="10"/>
  <c r="H23" i="25" s="1"/>
  <c r="V23" i="25" s="1"/>
  <c r="AY49" i="19"/>
  <c r="N71" i="26"/>
  <c r="AW38" i="19"/>
  <c r="D70" i="26"/>
  <c r="E69" i="33"/>
  <c r="AJ57" i="26"/>
  <c r="AJ32" i="26"/>
  <c r="AR24" i="7"/>
  <c r="BN26" i="24" l="1"/>
  <c r="BB26" i="24"/>
  <c r="P51" i="26"/>
  <c r="F60" i="1"/>
  <c r="F60" i="60"/>
  <c r="X55" i="60"/>
  <c r="X52" i="60"/>
  <c r="X47" i="60"/>
  <c r="F41" i="60"/>
  <c r="AT7" i="34"/>
  <c r="AO7" i="34"/>
  <c r="T7" i="34"/>
  <c r="O7" i="34"/>
  <c r="F57" i="1"/>
  <c r="F57" i="60"/>
  <c r="F56" i="1"/>
  <c r="F56" i="60"/>
  <c r="X56" i="60" s="1"/>
  <c r="F54" i="1"/>
  <c r="F54" i="60"/>
  <c r="X53" i="60"/>
  <c r="F51" i="1"/>
  <c r="F51" i="60"/>
  <c r="X50" i="60"/>
  <c r="X49" i="60"/>
  <c r="X48" i="60"/>
  <c r="X46" i="60"/>
  <c r="X45" i="60"/>
  <c r="X43" i="60"/>
  <c r="X42" i="60"/>
  <c r="I34" i="26"/>
  <c r="I33" i="13"/>
  <c r="I35" i="26" s="1"/>
  <c r="N35" i="26" s="1"/>
  <c r="AM55" i="13"/>
  <c r="N57" i="60"/>
  <c r="L32" i="13"/>
  <c r="N70" i="26"/>
  <c r="G9" i="19"/>
  <c r="G18" i="19"/>
  <c r="G8" i="19"/>
  <c r="M58" i="29"/>
  <c r="AT15" i="33"/>
  <c r="BC10" i="1"/>
  <c r="BC25" i="1"/>
  <c r="M45" i="33"/>
  <c r="K22" i="32"/>
  <c r="K21" i="32"/>
  <c r="J10" i="24"/>
  <c r="K35" i="1"/>
  <c r="P35" i="1" s="1"/>
  <c r="N35" i="60"/>
  <c r="AM56" i="13"/>
  <c r="N58" i="60"/>
  <c r="K40" i="1"/>
  <c r="L40" i="1" s="1"/>
  <c r="N40" i="60"/>
  <c r="K39" i="1"/>
  <c r="L39" i="1" s="1"/>
  <c r="N39" i="60"/>
  <c r="K37" i="1"/>
  <c r="P37" i="1" s="1"/>
  <c r="N37" i="60"/>
  <c r="X34" i="60"/>
  <c r="O34" i="60"/>
  <c r="BO34" i="60" s="1"/>
  <c r="K31" i="1"/>
  <c r="N31" i="60"/>
  <c r="E63" i="1"/>
  <c r="E63" i="60"/>
  <c r="N59" i="60"/>
  <c r="E62" i="1"/>
  <c r="E62" i="60"/>
  <c r="BN27" i="24"/>
  <c r="BB27" i="24"/>
  <c r="BA18" i="24"/>
  <c r="G25" i="24"/>
  <c r="D25" i="32" s="1"/>
  <c r="G24" i="24"/>
  <c r="D24" i="32" s="1"/>
  <c r="G23" i="24"/>
  <c r="D23" i="32" s="1"/>
  <c r="BA21" i="24"/>
  <c r="BM18" i="24"/>
  <c r="BA19" i="24"/>
  <c r="BN22" i="24"/>
  <c r="BN20" i="24"/>
  <c r="BB20" i="24"/>
  <c r="BN18" i="24"/>
  <c r="BB18" i="24"/>
  <c r="BN15" i="24"/>
  <c r="BB15" i="24"/>
  <c r="BM14" i="24"/>
  <c r="BA14" i="24"/>
  <c r="G14" i="24"/>
  <c r="AT30" i="7"/>
  <c r="AW31" i="7" s="1"/>
  <c r="K29" i="25"/>
  <c r="P29" i="25" s="1"/>
  <c r="BY29" i="25" s="1"/>
  <c r="BZ36" i="25"/>
  <c r="I16" i="30"/>
  <c r="BW36" i="25"/>
  <c r="CC23" i="25"/>
  <c r="AX67" i="10"/>
  <c r="T461" i="36"/>
  <c r="P464" i="36" s="1"/>
  <c r="P53" i="10"/>
  <c r="P12" i="10"/>
  <c r="P60" i="10"/>
  <c r="P68" i="10"/>
  <c r="P43" i="10"/>
  <c r="P41" i="10"/>
  <c r="P20" i="10"/>
  <c r="AQ21" i="10" s="1"/>
  <c r="P10" i="10"/>
  <c r="P63" i="10"/>
  <c r="P34" i="10"/>
  <c r="AQ35" i="10" s="1"/>
  <c r="P46" i="10"/>
  <c r="P28" i="10"/>
  <c r="P11" i="10"/>
  <c r="P27" i="10"/>
  <c r="AQ27" i="10" s="1"/>
  <c r="P22" i="10"/>
  <c r="P24" i="10"/>
  <c r="AQ24" i="10" s="1"/>
  <c r="P25" i="10"/>
  <c r="P44" i="10"/>
  <c r="AQ44" i="10" s="1"/>
  <c r="P442" i="36"/>
  <c r="S31" i="25"/>
  <c r="S87" i="25" s="1"/>
  <c r="CE15" i="25"/>
  <c r="CD23" i="25"/>
  <c r="AX16" i="10"/>
  <c r="AX37" i="10"/>
  <c r="AW50" i="10"/>
  <c r="AX58" i="7"/>
  <c r="AQ53" i="10"/>
  <c r="AW30" i="7"/>
  <c r="U74" i="25"/>
  <c r="T30" i="7"/>
  <c r="T58" i="7"/>
  <c r="P348" i="36" s="1"/>
  <c r="BX30" i="25"/>
  <c r="CA22" i="25"/>
  <c r="CG23" i="25" s="1"/>
  <c r="BZ14" i="25"/>
  <c r="CF15" i="25" s="1"/>
  <c r="I15" i="30"/>
  <c r="BZ22" i="25"/>
  <c r="CF23" i="25" s="1"/>
  <c r="BY22" i="25"/>
  <c r="CE23" i="25" s="1"/>
  <c r="BY36" i="25"/>
  <c r="V29" i="25"/>
  <c r="AQ47" i="10"/>
  <c r="AW66" i="10"/>
  <c r="H10" i="25"/>
  <c r="O49" i="25"/>
  <c r="AU48" i="10"/>
  <c r="AX33" i="10"/>
  <c r="J75" i="7"/>
  <c r="AJ20" i="10"/>
  <c r="F64" i="10"/>
  <c r="AU44" i="7"/>
  <c r="AT28" i="7"/>
  <c r="AW28" i="7" s="1"/>
  <c r="AU65" i="10"/>
  <c r="AX65" i="10" s="1"/>
  <c r="AT58" i="10"/>
  <c r="AW58" i="10" s="1"/>
  <c r="AU58" i="10"/>
  <c r="AX58" i="10" s="1"/>
  <c r="AX49" i="10"/>
  <c r="AX66" i="10"/>
  <c r="AT28" i="10"/>
  <c r="AW29" i="10" s="1"/>
  <c r="V51" i="25"/>
  <c r="V107" i="25" s="1"/>
  <c r="J39" i="10"/>
  <c r="AX31" i="7"/>
  <c r="O27" i="25"/>
  <c r="P27" i="25" s="1"/>
  <c r="F60" i="10"/>
  <c r="AF60" i="10" s="1"/>
  <c r="J38" i="10"/>
  <c r="M38" i="10"/>
  <c r="AU38" i="10"/>
  <c r="F12" i="10"/>
  <c r="M40" i="7"/>
  <c r="F57" i="10"/>
  <c r="L31" i="13"/>
  <c r="K33" i="26"/>
  <c r="J33" i="26" s="1"/>
  <c r="O33" i="26" s="1"/>
  <c r="AM57" i="13"/>
  <c r="K59" i="1"/>
  <c r="L59" i="1" s="1"/>
  <c r="N60" i="60"/>
  <c r="AE42" i="13"/>
  <c r="AD42" i="13" s="1"/>
  <c r="D42" i="13" s="1"/>
  <c r="L34" i="13"/>
  <c r="BA33" i="13"/>
  <c r="BA31" i="13"/>
  <c r="L33" i="13"/>
  <c r="L43" i="1"/>
  <c r="J43" i="24" s="1"/>
  <c r="BB59" i="1"/>
  <c r="AV20" i="33"/>
  <c r="L58" i="26"/>
  <c r="Q58" i="26" s="1"/>
  <c r="L43" i="26"/>
  <c r="K35" i="26"/>
  <c r="P35" i="26" s="1"/>
  <c r="L36" i="26"/>
  <c r="H36" i="29" s="1"/>
  <c r="BD43" i="1"/>
  <c r="P35" i="34"/>
  <c r="G22" i="19"/>
  <c r="AT49" i="33"/>
  <c r="K51" i="32"/>
  <c r="P33" i="26"/>
  <c r="K37" i="26"/>
  <c r="J37" i="26" s="1"/>
  <c r="K34" i="26"/>
  <c r="K32" i="26"/>
  <c r="AT12" i="33"/>
  <c r="AW12" i="33" s="1"/>
  <c r="AT17" i="33"/>
  <c r="AT20" i="33"/>
  <c r="AW20" i="33" s="1"/>
  <c r="AT26" i="33"/>
  <c r="J46" i="33"/>
  <c r="K31" i="26"/>
  <c r="K19" i="32"/>
  <c r="K29" i="32"/>
  <c r="K17" i="32"/>
  <c r="D28" i="13"/>
  <c r="K30" i="34" s="1"/>
  <c r="F27" i="19"/>
  <c r="G27" i="19" s="1"/>
  <c r="AF28" i="13"/>
  <c r="Z37" i="13"/>
  <c r="Z38" i="13" s="1"/>
  <c r="Z39" i="13" s="1"/>
  <c r="Z40" i="13" s="1"/>
  <c r="Z41" i="13" s="1"/>
  <c r="X43" i="13"/>
  <c r="X44" i="13" s="1"/>
  <c r="X45" i="13" s="1"/>
  <c r="X46" i="13" s="1"/>
  <c r="X47" i="13" s="1"/>
  <c r="X48" i="13" s="1"/>
  <c r="X49" i="13" s="1"/>
  <c r="AC37" i="13"/>
  <c r="AG15" i="13"/>
  <c r="C10" i="58"/>
  <c r="E10" i="58" s="1"/>
  <c r="AG31" i="13"/>
  <c r="C26" i="58"/>
  <c r="E26" i="58" s="1"/>
  <c r="H26" i="58" s="1"/>
  <c r="AG26" i="13"/>
  <c r="B26" i="13" s="1"/>
  <c r="I28" i="34" s="1"/>
  <c r="L28" i="34" s="1"/>
  <c r="BB28" i="34" s="1"/>
  <c r="C21" i="58"/>
  <c r="E21" i="58" s="1"/>
  <c r="H21" i="58" s="1"/>
  <c r="AG18" i="13"/>
  <c r="C13" i="58"/>
  <c r="E13" i="58" s="1"/>
  <c r="AG10" i="13"/>
  <c r="C5" i="58"/>
  <c r="E5" i="58" s="1"/>
  <c r="AG20" i="13"/>
  <c r="C15" i="58"/>
  <c r="E15" i="58" s="1"/>
  <c r="AG12" i="13"/>
  <c r="C7" i="58"/>
  <c r="E7" i="58" s="1"/>
  <c r="AG21" i="13"/>
  <c r="C16" i="58"/>
  <c r="E16" i="58" s="1"/>
  <c r="AG13" i="13"/>
  <c r="C8" i="58"/>
  <c r="E8" i="58" s="1"/>
  <c r="AG62" i="13"/>
  <c r="C57" i="58"/>
  <c r="E57" i="58" s="1"/>
  <c r="H57" i="58" s="1"/>
  <c r="AG65" i="13"/>
  <c r="C60" i="58"/>
  <c r="E60" i="58" s="1"/>
  <c r="H60" i="58" s="1"/>
  <c r="AG58" i="13"/>
  <c r="C53" i="58"/>
  <c r="E53" i="58" s="1"/>
  <c r="H53" i="58" s="1"/>
  <c r="T66" i="13"/>
  <c r="K65" i="18" s="1"/>
  <c r="E65" i="18" s="1"/>
  <c r="F67" i="25" s="1"/>
  <c r="P66" i="13"/>
  <c r="Q66" i="13" s="1"/>
  <c r="R66" i="13" s="1"/>
  <c r="S66" i="13" s="1"/>
  <c r="T65" i="13"/>
  <c r="K64" i="18" s="1"/>
  <c r="E64" i="18" s="1"/>
  <c r="F66" i="25" s="1"/>
  <c r="P65" i="13"/>
  <c r="Q65" i="13" s="1"/>
  <c r="AG64" i="13"/>
  <c r="C59" i="58"/>
  <c r="E59" i="58" s="1"/>
  <c r="H59" i="58" s="1"/>
  <c r="T64" i="13"/>
  <c r="K63" i="18" s="1"/>
  <c r="E63" i="18" s="1"/>
  <c r="F65" i="25" s="1"/>
  <c r="P64" i="13"/>
  <c r="Q64" i="13" s="1"/>
  <c r="R64" i="13" s="1"/>
  <c r="S64" i="13" s="1"/>
  <c r="AG63" i="13"/>
  <c r="C58" i="58"/>
  <c r="E58" i="58" s="1"/>
  <c r="H58" i="58" s="1"/>
  <c r="AG55" i="13"/>
  <c r="C50" i="58"/>
  <c r="E50" i="58" s="1"/>
  <c r="H50" i="58" s="1"/>
  <c r="AG54" i="13"/>
  <c r="C49" i="58"/>
  <c r="E49" i="58" s="1"/>
  <c r="H49" i="58" s="1"/>
  <c r="AG44" i="13"/>
  <c r="C39" i="58"/>
  <c r="E39" i="58" s="1"/>
  <c r="H39" i="58" s="1"/>
  <c r="AG39" i="13"/>
  <c r="C34" i="58"/>
  <c r="E34" i="58" s="1"/>
  <c r="H34" i="58" s="1"/>
  <c r="AG34" i="13"/>
  <c r="C29" i="58"/>
  <c r="E29" i="58" s="1"/>
  <c r="H29" i="58" s="1"/>
  <c r="T30" i="13"/>
  <c r="K29" i="18" s="1"/>
  <c r="T67" i="13"/>
  <c r="K66" i="18" s="1"/>
  <c r="P67" i="13"/>
  <c r="Q67" i="13" s="1"/>
  <c r="R67" i="13" s="1"/>
  <c r="S67" i="13" s="1"/>
  <c r="T69" i="13"/>
  <c r="K68" i="18" s="1"/>
  <c r="P69" i="13"/>
  <c r="Q69" i="13" s="1"/>
  <c r="H69" i="33"/>
  <c r="AG32" i="13"/>
  <c r="C27" i="58"/>
  <c r="E27" i="58" s="1"/>
  <c r="H27" i="58" s="1"/>
  <c r="AG33" i="13"/>
  <c r="C28" i="58"/>
  <c r="E28" i="58" s="1"/>
  <c r="H28" i="58" s="1"/>
  <c r="AG23" i="13"/>
  <c r="C18" i="58"/>
  <c r="E18" i="58" s="1"/>
  <c r="AG19" i="13"/>
  <c r="C14" i="58"/>
  <c r="E14" i="58" s="1"/>
  <c r="AG11" i="13"/>
  <c r="C6" i="58"/>
  <c r="E6" i="58" s="1"/>
  <c r="AG22" i="13"/>
  <c r="C17" i="58"/>
  <c r="E17" i="58" s="1"/>
  <c r="AG14" i="13"/>
  <c r="C9" i="58"/>
  <c r="E9" i="58" s="1"/>
  <c r="AG24" i="13"/>
  <c r="C19" i="58"/>
  <c r="E19" i="58" s="1"/>
  <c r="AG16" i="13"/>
  <c r="C11" i="58"/>
  <c r="E11" i="58" s="1"/>
  <c r="AG25" i="13"/>
  <c r="B25" i="13" s="1"/>
  <c r="I27" i="34" s="1"/>
  <c r="L27" i="34" s="1"/>
  <c r="BB27" i="34" s="1"/>
  <c r="BF27" i="34" s="1"/>
  <c r="BN27" i="34" s="1"/>
  <c r="C20" i="58"/>
  <c r="E20" i="58" s="1"/>
  <c r="H20" i="58" s="1"/>
  <c r="AG17" i="13"/>
  <c r="C12" i="58"/>
  <c r="E12" i="58" s="1"/>
  <c r="AG9" i="13"/>
  <c r="C4" i="58"/>
  <c r="E4" i="58" s="1"/>
  <c r="AW27" i="33"/>
  <c r="AG60" i="13"/>
  <c r="C55" i="58"/>
  <c r="E55" i="58" s="1"/>
  <c r="H55" i="58" s="1"/>
  <c r="AG59" i="13"/>
  <c r="C54" i="58"/>
  <c r="E54" i="58" s="1"/>
  <c r="H54" i="58" s="1"/>
  <c r="AG61" i="13"/>
  <c r="C56" i="58"/>
  <c r="E56" i="58" s="1"/>
  <c r="H56" i="58" s="1"/>
  <c r="AG57" i="13"/>
  <c r="C52" i="58"/>
  <c r="E52" i="58" s="1"/>
  <c r="H52" i="58" s="1"/>
  <c r="AG56" i="13"/>
  <c r="C51" i="58"/>
  <c r="E51" i="58" s="1"/>
  <c r="H51" i="58" s="1"/>
  <c r="AG53" i="13"/>
  <c r="C48" i="58"/>
  <c r="E48" i="58" s="1"/>
  <c r="H48" i="58" s="1"/>
  <c r="AG52" i="13"/>
  <c r="C47" i="58"/>
  <c r="E47" i="58" s="1"/>
  <c r="H47" i="58" s="1"/>
  <c r="AG51" i="13"/>
  <c r="C46" i="58"/>
  <c r="E46" i="58" s="1"/>
  <c r="H46" i="58" s="1"/>
  <c r="AG50" i="13"/>
  <c r="C45" i="58"/>
  <c r="E45" i="58" s="1"/>
  <c r="H45" i="58" s="1"/>
  <c r="AG49" i="13"/>
  <c r="C44" i="58"/>
  <c r="E44" i="58" s="1"/>
  <c r="H44" i="58" s="1"/>
  <c r="T31" i="13"/>
  <c r="K30" i="18" s="1"/>
  <c r="AG29" i="13"/>
  <c r="C24" i="58"/>
  <c r="E24" i="58" s="1"/>
  <c r="H24" i="58" s="1"/>
  <c r="T29" i="13"/>
  <c r="K28" i="18" s="1"/>
  <c r="P29" i="13"/>
  <c r="T68" i="13"/>
  <c r="K67" i="18" s="1"/>
  <c r="N67" i="14" s="1"/>
  <c r="D68" i="33" s="1"/>
  <c r="P68" i="13"/>
  <c r="Q68" i="13" s="1"/>
  <c r="H68" i="33"/>
  <c r="L56" i="1"/>
  <c r="J56" i="33"/>
  <c r="AT56" i="33" s="1"/>
  <c r="P558" i="36"/>
  <c r="J40" i="33"/>
  <c r="AT40" i="33" s="1"/>
  <c r="J36" i="33"/>
  <c r="AT36" i="33" s="1"/>
  <c r="J31" i="33"/>
  <c r="AS31" i="33" s="1"/>
  <c r="L53" i="1"/>
  <c r="BC53" i="1" s="1"/>
  <c r="BC43" i="1"/>
  <c r="BD41" i="1"/>
  <c r="J30" i="33"/>
  <c r="K32" i="32" s="1"/>
  <c r="BB28" i="1"/>
  <c r="BD28" i="1"/>
  <c r="J28" i="24"/>
  <c r="B12" i="19"/>
  <c r="K60" i="32"/>
  <c r="AS46" i="33"/>
  <c r="AT21" i="33"/>
  <c r="J48" i="33"/>
  <c r="J50" i="33"/>
  <c r="J47" i="33"/>
  <c r="J55" i="33"/>
  <c r="AT10" i="33"/>
  <c r="AW11" i="33" s="1"/>
  <c r="L49" i="1"/>
  <c r="J51" i="33"/>
  <c r="J54" i="33"/>
  <c r="L48" i="1"/>
  <c r="BD48" i="1" s="1"/>
  <c r="J45" i="33"/>
  <c r="H72" i="33"/>
  <c r="K12" i="32"/>
  <c r="P61" i="34"/>
  <c r="P575" i="36"/>
  <c r="P574" i="36"/>
  <c r="P563" i="36"/>
  <c r="P561" i="36"/>
  <c r="P559" i="36"/>
  <c r="P556" i="36"/>
  <c r="P59" i="34"/>
  <c r="P588" i="36"/>
  <c r="O66" i="26"/>
  <c r="P65" i="26"/>
  <c r="O47" i="26"/>
  <c r="G69" i="26"/>
  <c r="D69" i="29" s="1"/>
  <c r="AG14" i="10"/>
  <c r="AJ14" i="10" s="1"/>
  <c r="AY25" i="25"/>
  <c r="AF20" i="10"/>
  <c r="AI21" i="10" s="1"/>
  <c r="U542" i="36"/>
  <c r="M65" i="29"/>
  <c r="G56" i="26"/>
  <c r="U447" i="36"/>
  <c r="S63" i="25"/>
  <c r="S119" i="25" s="1"/>
  <c r="U592" i="36"/>
  <c r="M50" i="33"/>
  <c r="U586" i="36"/>
  <c r="M44" i="33"/>
  <c r="M72" i="33" s="1"/>
  <c r="Q43" i="33" s="1"/>
  <c r="U531" i="36"/>
  <c r="M54" i="29"/>
  <c r="U437" i="36"/>
  <c r="S53" i="25"/>
  <c r="S109" i="25" s="1"/>
  <c r="U597" i="36"/>
  <c r="M55" i="33"/>
  <c r="M73" i="33" s="1"/>
  <c r="U591" i="36"/>
  <c r="M49" i="33"/>
  <c r="Q49" i="33" s="1"/>
  <c r="AE28" i="33"/>
  <c r="F30" i="32"/>
  <c r="F26" i="33"/>
  <c r="AF26" i="33"/>
  <c r="AI27" i="33" s="1"/>
  <c r="F24" i="33"/>
  <c r="AF24" i="33"/>
  <c r="F22" i="33"/>
  <c r="AF22" i="33"/>
  <c r="AI23" i="33" s="1"/>
  <c r="S50" i="14"/>
  <c r="F53" i="24"/>
  <c r="F22" i="10"/>
  <c r="O39" i="1"/>
  <c r="M48" i="7"/>
  <c r="M43" i="7"/>
  <c r="AJ58" i="26"/>
  <c r="AN58" i="26" s="1"/>
  <c r="AZ25" i="25"/>
  <c r="B15" i="19"/>
  <c r="AG51" i="10"/>
  <c r="AJ21" i="10"/>
  <c r="AF19" i="10"/>
  <c r="AK51" i="26"/>
  <c r="H40" i="25"/>
  <c r="AG11" i="10"/>
  <c r="BP90" i="19"/>
  <c r="I55" i="19"/>
  <c r="D55" i="14" s="1"/>
  <c r="E58" i="34" s="1"/>
  <c r="I45" i="19"/>
  <c r="D45" i="14" s="1"/>
  <c r="E48" i="34" s="1"/>
  <c r="AW34" i="19"/>
  <c r="I24" i="19"/>
  <c r="CW51" i="19"/>
  <c r="CZ64" i="19"/>
  <c r="DA64" i="19" s="1"/>
  <c r="BP88" i="19"/>
  <c r="J57" i="19"/>
  <c r="G35" i="59"/>
  <c r="I35" i="59" s="1"/>
  <c r="J54" i="19"/>
  <c r="G32" i="59"/>
  <c r="I32" i="59" s="1"/>
  <c r="E28" i="19"/>
  <c r="D6" i="59"/>
  <c r="J56" i="19"/>
  <c r="G34" i="59"/>
  <c r="I34" i="59" s="1"/>
  <c r="K54" i="19"/>
  <c r="I53" i="19"/>
  <c r="D53" i="14" s="1"/>
  <c r="E56" i="34" s="1"/>
  <c r="O56" i="34" s="1"/>
  <c r="CW39" i="19"/>
  <c r="CW38" i="19"/>
  <c r="BC33" i="19"/>
  <c r="CW65" i="19"/>
  <c r="CW63" i="19"/>
  <c r="CZ53" i="19"/>
  <c r="CW55" i="19"/>
  <c r="CW30" i="19"/>
  <c r="U546" i="36"/>
  <c r="M69" i="29"/>
  <c r="U543" i="36"/>
  <c r="M66" i="29"/>
  <c r="U538" i="36"/>
  <c r="M61" i="29"/>
  <c r="U545" i="36"/>
  <c r="M68" i="29"/>
  <c r="U536" i="36"/>
  <c r="M59" i="29"/>
  <c r="U533" i="36"/>
  <c r="M56" i="29"/>
  <c r="O60" i="1"/>
  <c r="P58" i="1"/>
  <c r="O56" i="1"/>
  <c r="O54" i="1"/>
  <c r="P52" i="1"/>
  <c r="P50" i="1"/>
  <c r="P48" i="1"/>
  <c r="P46" i="1"/>
  <c r="P44" i="1"/>
  <c r="O42" i="1"/>
  <c r="O36" i="1"/>
  <c r="P34" i="1"/>
  <c r="CW61" i="19"/>
  <c r="D61" i="19"/>
  <c r="D39" i="59"/>
  <c r="D57" i="19"/>
  <c r="D35" i="59"/>
  <c r="D54" i="19"/>
  <c r="D32" i="59"/>
  <c r="CW52" i="19"/>
  <c r="D50" i="19"/>
  <c r="D28" i="59"/>
  <c r="CZ49" i="19"/>
  <c r="D49" i="19"/>
  <c r="D27" i="59"/>
  <c r="CW48" i="19"/>
  <c r="D45" i="19"/>
  <c r="D23" i="59"/>
  <c r="D43" i="19"/>
  <c r="D21" i="59"/>
  <c r="D42" i="19"/>
  <c r="D20" i="59"/>
  <c r="D41" i="19"/>
  <c r="D19" i="59"/>
  <c r="D36" i="19"/>
  <c r="D14" i="59"/>
  <c r="CW34" i="19"/>
  <c r="CW33" i="19"/>
  <c r="E30" i="19"/>
  <c r="D8" i="59"/>
  <c r="D29" i="19"/>
  <c r="D7" i="59"/>
  <c r="I26" i="19"/>
  <c r="F72" i="24"/>
  <c r="P72" i="24" s="1"/>
  <c r="S69" i="14"/>
  <c r="CZ65" i="19"/>
  <c r="DA65" i="19" s="1"/>
  <c r="D65" i="19"/>
  <c r="D43" i="59"/>
  <c r="F43" i="59" s="1"/>
  <c r="D64" i="19"/>
  <c r="D42" i="59"/>
  <c r="D63" i="19"/>
  <c r="D41" i="59"/>
  <c r="D62" i="19"/>
  <c r="D40" i="59"/>
  <c r="D60" i="19"/>
  <c r="D38" i="59"/>
  <c r="D59" i="19"/>
  <c r="D37" i="59"/>
  <c r="D58" i="19"/>
  <c r="D36" i="59"/>
  <c r="D56" i="19"/>
  <c r="D34" i="59"/>
  <c r="D55" i="19"/>
  <c r="D33" i="59"/>
  <c r="D53" i="19"/>
  <c r="D31" i="59"/>
  <c r="D52" i="19"/>
  <c r="D30" i="59"/>
  <c r="D48" i="19"/>
  <c r="D26" i="59"/>
  <c r="D47" i="19"/>
  <c r="D25" i="59"/>
  <c r="D46" i="19"/>
  <c r="D24" i="59"/>
  <c r="D44" i="19"/>
  <c r="D22" i="59"/>
  <c r="D40" i="19"/>
  <c r="D18" i="59"/>
  <c r="D39" i="19"/>
  <c r="D17" i="59"/>
  <c r="D37" i="19"/>
  <c r="D15" i="59"/>
  <c r="D35" i="19"/>
  <c r="D13" i="59"/>
  <c r="D34" i="19"/>
  <c r="C34" i="19" s="1"/>
  <c r="B34" i="14" s="1"/>
  <c r="D37" i="34" s="1"/>
  <c r="D12" i="59"/>
  <c r="D33" i="19"/>
  <c r="D11" i="59"/>
  <c r="D32" i="19"/>
  <c r="D10" i="59"/>
  <c r="D31" i="19"/>
  <c r="D9" i="59"/>
  <c r="E29" i="19"/>
  <c r="CW28" i="19"/>
  <c r="R49" i="19"/>
  <c r="N65" i="19"/>
  <c r="R66" i="19"/>
  <c r="C66" i="18" s="1"/>
  <c r="R65" i="19"/>
  <c r="C65" i="18" s="1"/>
  <c r="AJ69" i="26"/>
  <c r="D57" i="29"/>
  <c r="H13" i="25"/>
  <c r="I13" i="25" s="1"/>
  <c r="BA13" i="25" s="1"/>
  <c r="AJ34" i="26"/>
  <c r="P57" i="24"/>
  <c r="P75" i="24" s="1"/>
  <c r="P53" i="34"/>
  <c r="P57" i="1"/>
  <c r="P75" i="1" s="1"/>
  <c r="O55" i="1"/>
  <c r="P51" i="1"/>
  <c r="O43" i="1"/>
  <c r="O41" i="1"/>
  <c r="O33" i="1"/>
  <c r="N31" i="26"/>
  <c r="R447" i="36"/>
  <c r="R436" i="36"/>
  <c r="L33" i="26"/>
  <c r="BB33" i="26" s="1"/>
  <c r="BC36" i="26"/>
  <c r="BB36" i="26"/>
  <c r="G23" i="19"/>
  <c r="G17" i="19"/>
  <c r="AT30" i="33"/>
  <c r="P593" i="36"/>
  <c r="P591" i="36"/>
  <c r="AS30" i="33"/>
  <c r="B27" i="19"/>
  <c r="P54" i="34"/>
  <c r="P555" i="36"/>
  <c r="F37" i="10"/>
  <c r="AF37" i="10" s="1"/>
  <c r="AI38" i="10" s="1"/>
  <c r="L37" i="10"/>
  <c r="J69" i="10"/>
  <c r="AU69" i="10" s="1"/>
  <c r="AN43" i="10"/>
  <c r="AW33" i="10"/>
  <c r="P33" i="10"/>
  <c r="AQ34" i="10" s="1"/>
  <c r="L49" i="10"/>
  <c r="P49" i="10" s="1"/>
  <c r="F49" i="10"/>
  <c r="AF49" i="10" s="1"/>
  <c r="M56" i="10"/>
  <c r="J56" i="10"/>
  <c r="AU56" i="10" s="1"/>
  <c r="J59" i="10"/>
  <c r="AU59" i="10" s="1"/>
  <c r="AX59" i="10" s="1"/>
  <c r="J51" i="10"/>
  <c r="AU51" i="10" s="1"/>
  <c r="M51" i="10"/>
  <c r="P54" i="10"/>
  <c r="AQ54" i="10" s="1"/>
  <c r="P61" i="10"/>
  <c r="AQ61" i="10" s="1"/>
  <c r="P15" i="10"/>
  <c r="AQ16" i="10" s="1"/>
  <c r="P37" i="10"/>
  <c r="AQ38" i="10" s="1"/>
  <c r="AU25" i="7"/>
  <c r="AT25" i="7"/>
  <c r="AU19" i="7"/>
  <c r="AT19" i="7"/>
  <c r="F40" i="10"/>
  <c r="L40" i="10"/>
  <c r="P40" i="10" s="1"/>
  <c r="AF40" i="10"/>
  <c r="L32" i="10"/>
  <c r="P32" i="10" s="1"/>
  <c r="F32" i="10"/>
  <c r="N32" i="10" s="1"/>
  <c r="M62" i="10"/>
  <c r="J10" i="10"/>
  <c r="AT20" i="7"/>
  <c r="AW20" i="7" s="1"/>
  <c r="AU20" i="7"/>
  <c r="AU18" i="7"/>
  <c r="AX18" i="7" s="1"/>
  <c r="AT18" i="7"/>
  <c r="AW18" i="7" s="1"/>
  <c r="L50" i="10"/>
  <c r="P50" i="10" s="1"/>
  <c r="F50" i="10"/>
  <c r="AF50" i="10" s="1"/>
  <c r="F36" i="10"/>
  <c r="AF36" i="10" s="1"/>
  <c r="L36" i="10"/>
  <c r="P36" i="10" s="1"/>
  <c r="N24" i="10"/>
  <c r="AQ20" i="10"/>
  <c r="CC15" i="25"/>
  <c r="P19" i="53"/>
  <c r="AQ72" i="10"/>
  <c r="J62" i="10"/>
  <c r="O394" i="36"/>
  <c r="B42" i="32"/>
  <c r="AM11" i="24"/>
  <c r="D11" i="32"/>
  <c r="AN14" i="24"/>
  <c r="AM14" i="24"/>
  <c r="D14" i="32"/>
  <c r="G14" i="32" s="1"/>
  <c r="AO14" i="32" s="1"/>
  <c r="BA26" i="24"/>
  <c r="BM11" i="24"/>
  <c r="G22" i="24"/>
  <c r="D22" i="32" s="1"/>
  <c r="G22" i="32" s="1"/>
  <c r="BA13" i="24"/>
  <c r="G12" i="24"/>
  <c r="D12" i="32" s="1"/>
  <c r="AN11" i="24"/>
  <c r="AS30" i="34"/>
  <c r="BJ30" i="34" s="1"/>
  <c r="AU30" i="34"/>
  <c r="AT30" i="34"/>
  <c r="AS27" i="34"/>
  <c r="BJ27" i="34" s="1"/>
  <c r="AQ27" i="34"/>
  <c r="AT27" i="34" s="1"/>
  <c r="AS26" i="34"/>
  <c r="AU26" i="34"/>
  <c r="AT26" i="34"/>
  <c r="AS25" i="34"/>
  <c r="AU25" i="34"/>
  <c r="AT25" i="34"/>
  <c r="AS24" i="34"/>
  <c r="AU24" i="34"/>
  <c r="AT24" i="34"/>
  <c r="BM26" i="24"/>
  <c r="G21" i="24"/>
  <c r="G20" i="24"/>
  <c r="D20" i="32" s="1"/>
  <c r="G20" i="32" s="1"/>
  <c r="G19" i="24"/>
  <c r="D19" i="32" s="1"/>
  <c r="G18" i="24"/>
  <c r="D18" i="32" s="1"/>
  <c r="G17" i="24"/>
  <c r="D17" i="32" s="1"/>
  <c r="G17" i="32" s="1"/>
  <c r="G16" i="24"/>
  <c r="D16" i="32" s="1"/>
  <c r="BA15" i="24"/>
  <c r="G15" i="24"/>
  <c r="AM15" i="24" s="1"/>
  <c r="AQ15" i="24" s="1"/>
  <c r="BM13" i="24"/>
  <c r="G13" i="24"/>
  <c r="D13" i="32" s="1"/>
  <c r="AQ29" i="34"/>
  <c r="AT29" i="34" s="1"/>
  <c r="AS28" i="34"/>
  <c r="BJ28" i="34" s="1"/>
  <c r="AU28" i="34"/>
  <c r="AT28" i="34"/>
  <c r="AT23" i="34"/>
  <c r="AT21" i="34"/>
  <c r="AT19" i="34"/>
  <c r="AS17" i="34"/>
  <c r="AU17" i="34"/>
  <c r="AT17" i="34"/>
  <c r="AS15" i="34"/>
  <c r="AU15" i="34"/>
  <c r="AT15" i="34"/>
  <c r="AS13" i="34"/>
  <c r="AU13" i="34"/>
  <c r="AT13" i="34"/>
  <c r="L10" i="24"/>
  <c r="I10" i="32" s="1"/>
  <c r="G10" i="24"/>
  <c r="D10" i="32" s="1"/>
  <c r="BH23" i="34"/>
  <c r="BF23" i="34"/>
  <c r="AO22" i="34"/>
  <c r="AT22" i="34" s="1"/>
  <c r="AT20" i="34"/>
  <c r="AT18" i="34"/>
  <c r="AS16" i="34"/>
  <c r="AU16" i="34"/>
  <c r="AT16" i="34"/>
  <c r="AS14" i="34"/>
  <c r="AU14" i="34"/>
  <c r="AT14" i="34"/>
  <c r="AS12" i="34"/>
  <c r="AU12" i="34"/>
  <c r="AT12" i="34"/>
  <c r="BB22" i="24"/>
  <c r="AN15" i="24"/>
  <c r="AR15" i="24" s="1"/>
  <c r="BN11" i="24"/>
  <c r="BB11" i="24"/>
  <c r="AQ25" i="1"/>
  <c r="AJ19" i="33"/>
  <c r="AM19" i="33" s="1"/>
  <c r="AJ17" i="33"/>
  <c r="AM17" i="33" s="1"/>
  <c r="AJ15" i="33"/>
  <c r="AM15" i="33" s="1"/>
  <c r="AJ13" i="33"/>
  <c r="AM13" i="33" s="1"/>
  <c r="G12" i="32"/>
  <c r="D12" i="30" s="1"/>
  <c r="AJ20" i="33"/>
  <c r="AL20" i="33" s="1"/>
  <c r="AM20" i="33"/>
  <c r="AJ18" i="33"/>
  <c r="AL18" i="33" s="1"/>
  <c r="AZ18" i="33" s="1"/>
  <c r="AM18" i="33"/>
  <c r="AJ16" i="33"/>
  <c r="AL16" i="33" s="1"/>
  <c r="AZ16" i="33" s="1"/>
  <c r="AM16" i="33"/>
  <c r="AJ14" i="33"/>
  <c r="AL14" i="33" s="1"/>
  <c r="AZ14" i="33" s="1"/>
  <c r="AM14" i="33"/>
  <c r="AJ12" i="33"/>
  <c r="AL12" i="33" s="1"/>
  <c r="AZ12" i="33" s="1"/>
  <c r="BA12" i="33" s="1"/>
  <c r="AM12" i="33"/>
  <c r="AJ11" i="33"/>
  <c r="AM11" i="33" s="1"/>
  <c r="AL11" i="33"/>
  <c r="AZ11" i="33" s="1"/>
  <c r="BA11" i="33" s="1"/>
  <c r="J43" i="33"/>
  <c r="AS43" i="33" s="1"/>
  <c r="J42" i="33"/>
  <c r="J41" i="33"/>
  <c r="K43" i="32" s="1"/>
  <c r="J35" i="33"/>
  <c r="J34" i="33"/>
  <c r="BG29" i="29"/>
  <c r="BK29" i="29"/>
  <c r="BO29" i="29"/>
  <c r="BG28" i="29"/>
  <c r="BK28" i="29"/>
  <c r="BO28" i="29"/>
  <c r="BG30" i="29"/>
  <c r="BK30" i="29"/>
  <c r="BO30" i="29"/>
  <c r="G11" i="32"/>
  <c r="D11" i="30" s="1"/>
  <c r="AP30" i="29"/>
  <c r="AP29" i="29"/>
  <c r="AM27" i="29"/>
  <c r="AO27" i="29" s="1"/>
  <c r="AM25" i="29"/>
  <c r="AO25" i="29" s="1"/>
  <c r="BG23" i="29"/>
  <c r="BK23" i="29"/>
  <c r="BO23" i="29"/>
  <c r="BG21" i="29"/>
  <c r="BK21" i="29"/>
  <c r="BO21" i="29"/>
  <c r="BG19" i="29"/>
  <c r="BK19" i="29"/>
  <c r="BO19" i="29"/>
  <c r="BG17" i="29"/>
  <c r="BK17" i="29"/>
  <c r="BO17" i="29"/>
  <c r="BG15" i="29"/>
  <c r="BK15" i="29"/>
  <c r="BO15" i="29"/>
  <c r="BG13" i="29"/>
  <c r="BK13" i="29"/>
  <c r="BO13" i="29"/>
  <c r="AP11" i="29"/>
  <c r="AO11" i="29"/>
  <c r="AP14" i="32"/>
  <c r="AM26" i="29"/>
  <c r="AO26" i="29" s="1"/>
  <c r="AP26" i="29"/>
  <c r="BG24" i="29"/>
  <c r="BK24" i="29"/>
  <c r="BO24" i="29"/>
  <c r="BG22" i="29"/>
  <c r="BK22" i="29"/>
  <c r="BO22" i="29"/>
  <c r="BG20" i="29"/>
  <c r="BK20" i="29"/>
  <c r="BO20" i="29"/>
  <c r="BG18" i="29"/>
  <c r="BK18" i="29"/>
  <c r="BO18" i="29"/>
  <c r="BG16" i="29"/>
  <c r="BK16" i="29"/>
  <c r="BO16" i="29"/>
  <c r="BG14" i="29"/>
  <c r="BK14" i="29"/>
  <c r="BO14" i="29"/>
  <c r="BG12" i="29"/>
  <c r="BK12" i="29"/>
  <c r="BO12" i="29"/>
  <c r="AP24" i="29"/>
  <c r="AP23" i="29"/>
  <c r="AP22" i="29"/>
  <c r="AP21" i="29"/>
  <c r="AP20" i="29"/>
  <c r="AP19" i="29"/>
  <c r="AP18" i="29"/>
  <c r="AP17" i="29"/>
  <c r="AP16" i="29"/>
  <c r="AP15" i="29"/>
  <c r="AP14" i="29"/>
  <c r="AP13" i="29"/>
  <c r="AP12" i="29"/>
  <c r="AS30" i="26"/>
  <c r="AU30" i="26"/>
  <c r="AT30" i="26"/>
  <c r="AS28" i="26"/>
  <c r="AU28" i="26"/>
  <c r="AT28" i="26"/>
  <c r="AS26" i="26"/>
  <c r="AU26" i="26"/>
  <c r="AT26" i="26"/>
  <c r="AS24" i="26"/>
  <c r="AU24" i="26"/>
  <c r="AT24" i="26"/>
  <c r="AS29" i="26"/>
  <c r="AU29" i="26"/>
  <c r="AT29" i="26"/>
  <c r="AS27" i="26"/>
  <c r="AU27" i="26"/>
  <c r="AT27" i="26"/>
  <c r="AS25" i="26"/>
  <c r="AU25" i="26"/>
  <c r="AT25" i="26"/>
  <c r="AT21" i="26"/>
  <c r="AT19" i="26"/>
  <c r="AT17" i="26"/>
  <c r="AQ15" i="26"/>
  <c r="AT15" i="26" s="1"/>
  <c r="AS13" i="26"/>
  <c r="AU13" i="26"/>
  <c r="AT13" i="26"/>
  <c r="AS11" i="26"/>
  <c r="AU11" i="26"/>
  <c r="AT11" i="26"/>
  <c r="AT22" i="26"/>
  <c r="AT20" i="26"/>
  <c r="AT18" i="26"/>
  <c r="AT16" i="26"/>
  <c r="AS14" i="26"/>
  <c r="AU14" i="26"/>
  <c r="AT14" i="26"/>
  <c r="AS12" i="26"/>
  <c r="AU12" i="26"/>
  <c r="AT12" i="26"/>
  <c r="J54" i="7"/>
  <c r="T72" i="7"/>
  <c r="P71" i="25"/>
  <c r="I72" i="30" s="1"/>
  <c r="R71" i="25"/>
  <c r="R127" i="25" s="1"/>
  <c r="DE34" i="25"/>
  <c r="DA35" i="25"/>
  <c r="BX35" i="25"/>
  <c r="CD35" i="25" s="1"/>
  <c r="AK22" i="7"/>
  <c r="AN22" i="7" s="1"/>
  <c r="AK21" i="7"/>
  <c r="AM21" i="7" s="1"/>
  <c r="BA21" i="7" s="1"/>
  <c r="AN21" i="7"/>
  <c r="AK17" i="7"/>
  <c r="AN17" i="7" s="1"/>
  <c r="AK15" i="7"/>
  <c r="AN15" i="7" s="1"/>
  <c r="AK13" i="7"/>
  <c r="AN13" i="7" s="1"/>
  <c r="AK23" i="7"/>
  <c r="AM23" i="7" s="1"/>
  <c r="AN23" i="7"/>
  <c r="AK16" i="7"/>
  <c r="AM16" i="7" s="1"/>
  <c r="BA16" i="7" s="1"/>
  <c r="AN16" i="7"/>
  <c r="AK14" i="7"/>
  <c r="AM14" i="7" s="1"/>
  <c r="BA14" i="7" s="1"/>
  <c r="AN14" i="7"/>
  <c r="AK12" i="7"/>
  <c r="AM12" i="7" s="1"/>
  <c r="BA12" i="7" s="1"/>
  <c r="BB12" i="7" s="1"/>
  <c r="AN12" i="7"/>
  <c r="AN20" i="7"/>
  <c r="AN19" i="7"/>
  <c r="AN18" i="7"/>
  <c r="AN11" i="7"/>
  <c r="BE20" i="7"/>
  <c r="BE18" i="7"/>
  <c r="BE11" i="7"/>
  <c r="BF11" i="7" s="1"/>
  <c r="CF35" i="25"/>
  <c r="CF36" i="25"/>
  <c r="AT71" i="10"/>
  <c r="AW72" i="10" s="1"/>
  <c r="O70" i="25"/>
  <c r="P20" i="53" s="1"/>
  <c r="AU70" i="10"/>
  <c r="AT70" i="10"/>
  <c r="AW71" i="10" s="1"/>
  <c r="L17" i="10"/>
  <c r="P17" i="10" s="1"/>
  <c r="F17" i="10"/>
  <c r="N49" i="10"/>
  <c r="I28" i="30"/>
  <c r="AU71" i="10"/>
  <c r="AX72" i="10" s="1"/>
  <c r="L70" i="10"/>
  <c r="P70" i="10" s="1"/>
  <c r="BW56" i="25"/>
  <c r="I57" i="30"/>
  <c r="BX56" i="25"/>
  <c r="BY56" i="25"/>
  <c r="CA56" i="25"/>
  <c r="I29" i="30"/>
  <c r="BY28" i="25"/>
  <c r="I15" i="25"/>
  <c r="W15" i="25" s="1"/>
  <c r="CA34" i="25"/>
  <c r="I35" i="30"/>
  <c r="I37" i="30"/>
  <c r="BX36" i="25"/>
  <c r="CD36" i="25" s="1"/>
  <c r="AX50" i="10"/>
  <c r="AG47" i="10"/>
  <c r="H62" i="25"/>
  <c r="AX38" i="10"/>
  <c r="AQ18" i="10"/>
  <c r="M60" i="10"/>
  <c r="M28" i="10"/>
  <c r="M22" i="10"/>
  <c r="J68" i="10"/>
  <c r="N68" i="10" s="1"/>
  <c r="M68" i="10"/>
  <c r="AU68" i="10"/>
  <c r="J63" i="10"/>
  <c r="AU63" i="10" s="1"/>
  <c r="J54" i="10"/>
  <c r="M54" i="10"/>
  <c r="M46" i="10"/>
  <c r="M74" i="10" s="1"/>
  <c r="Q72" i="10" s="1"/>
  <c r="J46" i="10"/>
  <c r="AU46" i="10" s="1"/>
  <c r="AX46" i="10" s="1"/>
  <c r="J34" i="10"/>
  <c r="M34" i="10"/>
  <c r="AU34" i="10"/>
  <c r="AX35" i="10" s="1"/>
  <c r="J21" i="10"/>
  <c r="M21" i="10"/>
  <c r="AU21" i="10"/>
  <c r="J19" i="10"/>
  <c r="M19" i="10"/>
  <c r="J17" i="10"/>
  <c r="M17" i="10"/>
  <c r="J53" i="10"/>
  <c r="J44" i="10"/>
  <c r="J26" i="10"/>
  <c r="M26" i="10"/>
  <c r="J20" i="10"/>
  <c r="AU20" i="10" s="1"/>
  <c r="M18" i="10"/>
  <c r="J18" i="10"/>
  <c r="M44" i="10"/>
  <c r="R68" i="19"/>
  <c r="C68" i="18" s="1"/>
  <c r="G70" i="26"/>
  <c r="D70" i="29" s="1"/>
  <c r="R67" i="19"/>
  <c r="C67" i="18" s="1"/>
  <c r="CW67" i="19"/>
  <c r="AH58" i="29"/>
  <c r="E58" i="32"/>
  <c r="C58" i="19"/>
  <c r="B58" i="14" s="1"/>
  <c r="D61" i="34" s="1"/>
  <c r="CW56" i="19"/>
  <c r="I41" i="19"/>
  <c r="D41" i="14" s="1"/>
  <c r="E44" i="34" s="1"/>
  <c r="CW40" i="19"/>
  <c r="AW39" i="19"/>
  <c r="AK69" i="26"/>
  <c r="AK58" i="26"/>
  <c r="AL58" i="26"/>
  <c r="AK57" i="26"/>
  <c r="H59" i="25"/>
  <c r="N14" i="10"/>
  <c r="AK34" i="26"/>
  <c r="AO35" i="26" s="1"/>
  <c r="H18" i="25"/>
  <c r="N15" i="10"/>
  <c r="AF25" i="10"/>
  <c r="AP52" i="26"/>
  <c r="O61" i="1"/>
  <c r="P59" i="1"/>
  <c r="O58" i="1"/>
  <c r="P56" i="1"/>
  <c r="P55" i="1"/>
  <c r="P54" i="1"/>
  <c r="P53" i="1"/>
  <c r="O52" i="1"/>
  <c r="O51" i="1"/>
  <c r="P49" i="1"/>
  <c r="P47" i="1"/>
  <c r="P45" i="1"/>
  <c r="P43" i="1"/>
  <c r="P42" i="1"/>
  <c r="P41" i="1"/>
  <c r="O38" i="1"/>
  <c r="O37" i="1"/>
  <c r="O35" i="1"/>
  <c r="O34" i="1"/>
  <c r="O32" i="1"/>
  <c r="P39" i="1"/>
  <c r="E54" i="19"/>
  <c r="E53" i="19"/>
  <c r="CZ51" i="19"/>
  <c r="CZ50" i="19"/>
  <c r="CW46" i="19"/>
  <c r="CW44" i="19"/>
  <c r="CW43" i="19"/>
  <c r="CW42" i="19"/>
  <c r="C37" i="19"/>
  <c r="B37" i="14" s="1"/>
  <c r="D40" i="34" s="1"/>
  <c r="C35" i="19"/>
  <c r="B35" i="14" s="1"/>
  <c r="D38" i="34" s="1"/>
  <c r="R51" i="19"/>
  <c r="R53" i="19"/>
  <c r="R55" i="19"/>
  <c r="R57" i="19"/>
  <c r="R28" i="19"/>
  <c r="R34" i="19"/>
  <c r="R39" i="19"/>
  <c r="AF70" i="10"/>
  <c r="N70" i="10"/>
  <c r="H69" i="25"/>
  <c r="V69" i="25" s="1"/>
  <c r="AG70" i="10"/>
  <c r="AW67" i="10"/>
  <c r="P494" i="36"/>
  <c r="P467" i="36"/>
  <c r="P465" i="36"/>
  <c r="P462" i="36"/>
  <c r="N41" i="10"/>
  <c r="AU41" i="10"/>
  <c r="P440" i="36"/>
  <c r="S43" i="25"/>
  <c r="S99" i="25" s="1"/>
  <c r="V40" i="25"/>
  <c r="P40" i="25"/>
  <c r="S38" i="25"/>
  <c r="S94" i="25" s="1"/>
  <c r="S37" i="25"/>
  <c r="S93" i="25" s="1"/>
  <c r="S36" i="25"/>
  <c r="S92" i="25" s="1"/>
  <c r="BW29" i="25"/>
  <c r="BX29" i="25"/>
  <c r="AT41" i="10"/>
  <c r="AQ19" i="10"/>
  <c r="AI30" i="10"/>
  <c r="S32" i="25"/>
  <c r="S88" i="25" s="1"/>
  <c r="F66" i="10"/>
  <c r="F65" i="10"/>
  <c r="M64" i="10"/>
  <c r="J22" i="10"/>
  <c r="M20" i="10"/>
  <c r="F18" i="10"/>
  <c r="M63" i="10"/>
  <c r="M57" i="10"/>
  <c r="M75" i="10" s="1"/>
  <c r="T58" i="19"/>
  <c r="S58" i="19"/>
  <c r="T64" i="19"/>
  <c r="S64" i="19"/>
  <c r="T63" i="19"/>
  <c r="S63" i="19"/>
  <c r="T60" i="19"/>
  <c r="S60" i="19"/>
  <c r="T59" i="19"/>
  <c r="S59" i="19"/>
  <c r="J65" i="1"/>
  <c r="M66" i="60"/>
  <c r="AJ61" i="19"/>
  <c r="AW28" i="33"/>
  <c r="BG28" i="1"/>
  <c r="O63" i="1"/>
  <c r="BC23" i="1"/>
  <c r="BC22" i="1"/>
  <c r="BC21" i="1"/>
  <c r="BC20" i="1"/>
  <c r="BC19" i="1"/>
  <c r="BC17" i="1"/>
  <c r="BC16" i="1"/>
  <c r="BC15" i="1"/>
  <c r="BC14" i="1"/>
  <c r="BC13" i="1"/>
  <c r="BC12" i="1"/>
  <c r="BC11" i="1"/>
  <c r="P577" i="36"/>
  <c r="P567" i="36"/>
  <c r="P565" i="36"/>
  <c r="J37" i="33"/>
  <c r="AS37" i="33" s="1"/>
  <c r="J32" i="33"/>
  <c r="L44" i="26"/>
  <c r="BC44" i="26" s="1"/>
  <c r="N65" i="14"/>
  <c r="D66" i="33" s="1"/>
  <c r="N63" i="14"/>
  <c r="D64" i="33" s="1"/>
  <c r="N60" i="14"/>
  <c r="D61" i="33" s="1"/>
  <c r="E60" i="18"/>
  <c r="F62" i="25" s="1"/>
  <c r="N59" i="14"/>
  <c r="D60" i="33" s="1"/>
  <c r="F60" i="33" s="1"/>
  <c r="E59" i="18"/>
  <c r="F61" i="25" s="1"/>
  <c r="O62" i="1"/>
  <c r="M54" i="33"/>
  <c r="O54" i="26"/>
  <c r="N57" i="14"/>
  <c r="E57" i="18"/>
  <c r="F59" i="25" s="1"/>
  <c r="N56" i="14"/>
  <c r="D57" i="33" s="1"/>
  <c r="E56" i="18"/>
  <c r="F58" i="25" s="1"/>
  <c r="N53" i="14"/>
  <c r="D54" i="33" s="1"/>
  <c r="L54" i="33" s="1"/>
  <c r="E53" i="18"/>
  <c r="F55" i="25" s="1"/>
  <c r="N52" i="14"/>
  <c r="E52" i="18"/>
  <c r="F54" i="25" s="1"/>
  <c r="N51" i="14"/>
  <c r="D52" i="33" s="1"/>
  <c r="F52" i="33" s="1"/>
  <c r="E51" i="18"/>
  <c r="F53" i="25" s="1"/>
  <c r="N50" i="14"/>
  <c r="D51" i="33" s="1"/>
  <c r="E50" i="18"/>
  <c r="F52" i="25" s="1"/>
  <c r="N49" i="14"/>
  <c r="D50" i="33" s="1"/>
  <c r="E49" i="18"/>
  <c r="F51" i="25" s="1"/>
  <c r="N48" i="14"/>
  <c r="D49" i="33" s="1"/>
  <c r="E48" i="18"/>
  <c r="F50" i="25" s="1"/>
  <c r="N47" i="14"/>
  <c r="E47" i="18"/>
  <c r="F49" i="25" s="1"/>
  <c r="N46" i="14"/>
  <c r="D47" i="33" s="1"/>
  <c r="E46" i="18"/>
  <c r="N45" i="14"/>
  <c r="D46" i="33" s="1"/>
  <c r="E45" i="18"/>
  <c r="F47" i="25" s="1"/>
  <c r="N44" i="14"/>
  <c r="D45" i="33" s="1"/>
  <c r="E44" i="18"/>
  <c r="F46" i="25" s="1"/>
  <c r="U462" i="36" s="1"/>
  <c r="N43" i="14"/>
  <c r="D44" i="33" s="1"/>
  <c r="F44" i="33" s="1"/>
  <c r="N44" i="33" s="1"/>
  <c r="N72" i="33" s="1"/>
  <c r="E43" i="18"/>
  <c r="F45" i="25" s="1"/>
  <c r="N42" i="14"/>
  <c r="D43" i="33" s="1"/>
  <c r="E42" i="18"/>
  <c r="F44" i="25" s="1"/>
  <c r="T44" i="25" s="1"/>
  <c r="N41" i="14"/>
  <c r="D42" i="33" s="1"/>
  <c r="E41" i="18"/>
  <c r="F43" i="25" s="1"/>
  <c r="T43" i="25" s="1"/>
  <c r="N40" i="14"/>
  <c r="E40" i="18"/>
  <c r="F42" i="25" s="1"/>
  <c r="T42" i="25" s="1"/>
  <c r="N39" i="14"/>
  <c r="E39" i="18"/>
  <c r="F41" i="25" s="1"/>
  <c r="T41" i="25" s="1"/>
  <c r="N38" i="14"/>
  <c r="D39" i="33" s="1"/>
  <c r="E38" i="18"/>
  <c r="N37" i="14"/>
  <c r="D38" i="33" s="1"/>
  <c r="E37" i="18"/>
  <c r="F39" i="25" s="1"/>
  <c r="T39" i="25" s="1"/>
  <c r="N36" i="14"/>
  <c r="D37" i="33" s="1"/>
  <c r="E36" i="18"/>
  <c r="F38" i="25" s="1"/>
  <c r="T38" i="25" s="1"/>
  <c r="N35" i="14"/>
  <c r="D36" i="33" s="1"/>
  <c r="L36" i="33" s="1"/>
  <c r="E35" i="18"/>
  <c r="F37" i="25" s="1"/>
  <c r="T37" i="25" s="1"/>
  <c r="N33" i="14"/>
  <c r="D34" i="33" s="1"/>
  <c r="L34" i="33" s="1"/>
  <c r="E33" i="18"/>
  <c r="F35" i="25" s="1"/>
  <c r="T35" i="25" s="1"/>
  <c r="N32" i="14"/>
  <c r="D33" i="33" s="1"/>
  <c r="E32" i="18"/>
  <c r="F34" i="25" s="1"/>
  <c r="T34" i="25" s="1"/>
  <c r="BB43" i="1"/>
  <c r="BB14" i="1"/>
  <c r="BD14" i="1"/>
  <c r="J41" i="24"/>
  <c r="L57" i="1"/>
  <c r="N66" i="14"/>
  <c r="E66" i="18"/>
  <c r="F68" i="25" s="1"/>
  <c r="N64" i="14"/>
  <c r="D65" i="33" s="1"/>
  <c r="N62" i="14"/>
  <c r="D63" i="33" s="1"/>
  <c r="F63" i="33" s="1"/>
  <c r="E62" i="18"/>
  <c r="F64" i="25" s="1"/>
  <c r="U480" i="36" s="1"/>
  <c r="N61" i="14"/>
  <c r="D62" i="33" s="1"/>
  <c r="E61" i="18"/>
  <c r="F63" i="25" s="1"/>
  <c r="O75" i="1"/>
  <c r="N58" i="14"/>
  <c r="D59" i="33" s="1"/>
  <c r="L59" i="33" s="1"/>
  <c r="E58" i="18"/>
  <c r="F60" i="25" s="1"/>
  <c r="N55" i="14"/>
  <c r="D56" i="33" s="1"/>
  <c r="F56" i="33" s="1"/>
  <c r="E55" i="18"/>
  <c r="F57" i="25" s="1"/>
  <c r="N54" i="14"/>
  <c r="D55" i="33" s="1"/>
  <c r="E54" i="18"/>
  <c r="E67" i="18"/>
  <c r="F69" i="25" s="1"/>
  <c r="T69" i="25" s="1"/>
  <c r="G18" i="32"/>
  <c r="AN18" i="32" s="1"/>
  <c r="AO12" i="32"/>
  <c r="AN12" i="32"/>
  <c r="AP12" i="32"/>
  <c r="AO11" i="32"/>
  <c r="AN25" i="24"/>
  <c r="AM25" i="24"/>
  <c r="AN24" i="24"/>
  <c r="AM24" i="24"/>
  <c r="AN23" i="24"/>
  <c r="AM23" i="24"/>
  <c r="AN22" i="24"/>
  <c r="AM22" i="24"/>
  <c r="AN20" i="24"/>
  <c r="AM20" i="24"/>
  <c r="AN19" i="24"/>
  <c r="AM19" i="24"/>
  <c r="AN18" i="24"/>
  <c r="AM18" i="24"/>
  <c r="AN17" i="24"/>
  <c r="AM17" i="24"/>
  <c r="AN16" i="24"/>
  <c r="AR16" i="24" s="1"/>
  <c r="AM16" i="24"/>
  <c r="AM13" i="24"/>
  <c r="AN13" i="24"/>
  <c r="AN12" i="24"/>
  <c r="AR12" i="24" s="1"/>
  <c r="AM12" i="24"/>
  <c r="AQ12" i="24" s="1"/>
  <c r="AN10" i="24"/>
  <c r="AR11" i="24" s="1"/>
  <c r="AM10" i="24"/>
  <c r="AQ11" i="24" s="1"/>
  <c r="AN11" i="32"/>
  <c r="AS25" i="1"/>
  <c r="BJ25" i="1" s="1"/>
  <c r="BK25" i="1" s="1"/>
  <c r="AU25" i="1"/>
  <c r="AT25" i="1"/>
  <c r="H33" i="25"/>
  <c r="N34" i="10"/>
  <c r="AI39" i="10"/>
  <c r="AG67" i="10"/>
  <c r="AF67" i="10"/>
  <c r="H66" i="25"/>
  <c r="V66" i="25" s="1"/>
  <c r="V122" i="25" s="1"/>
  <c r="AG38" i="10"/>
  <c r="N38" i="10"/>
  <c r="AG50" i="10"/>
  <c r="N50" i="10"/>
  <c r="AF32" i="10"/>
  <c r="H31" i="25"/>
  <c r="V31" i="25" s="1"/>
  <c r="AG32" i="10"/>
  <c r="AG46" i="10"/>
  <c r="AJ47" i="10" s="1"/>
  <c r="F74" i="10"/>
  <c r="Y34" i="10" s="1"/>
  <c r="H45" i="25"/>
  <c r="H38" i="25"/>
  <c r="AG39" i="10"/>
  <c r="N22" i="10"/>
  <c r="H28" i="25"/>
  <c r="V28" i="25" s="1"/>
  <c r="N29" i="10"/>
  <c r="U564" i="36"/>
  <c r="AI42" i="10"/>
  <c r="AK42" i="10" s="1"/>
  <c r="AM42" i="10" s="1"/>
  <c r="AG34" i="10"/>
  <c r="N67" i="10"/>
  <c r="H37" i="25"/>
  <c r="H49" i="25"/>
  <c r="V49" i="25" s="1"/>
  <c r="V105" i="25" s="1"/>
  <c r="AF46" i="10"/>
  <c r="AI47" i="10" s="1"/>
  <c r="F46" i="32"/>
  <c r="F34" i="53" s="1"/>
  <c r="AF35" i="10"/>
  <c r="AG35" i="10"/>
  <c r="H34" i="25"/>
  <c r="V34" i="25" s="1"/>
  <c r="V90" i="25" s="1"/>
  <c r="N39" i="10"/>
  <c r="AG58" i="10"/>
  <c r="N58" i="10"/>
  <c r="AG22" i="10"/>
  <c r="AJ22" i="10" s="1"/>
  <c r="AG54" i="10"/>
  <c r="AJ54" i="10" s="1"/>
  <c r="AF54" i="10"/>
  <c r="H53" i="25"/>
  <c r="AF26" i="7"/>
  <c r="AI27" i="7" s="1"/>
  <c r="AG26" i="7"/>
  <c r="AJ27" i="7" s="1"/>
  <c r="N52" i="10"/>
  <c r="AG52" i="10"/>
  <c r="N53" i="10"/>
  <c r="H52" i="25"/>
  <c r="AF53" i="10"/>
  <c r="U92" i="25"/>
  <c r="U101" i="25"/>
  <c r="U73" i="25"/>
  <c r="AB71" i="25" s="1"/>
  <c r="AB127" i="25" s="1"/>
  <c r="AI41" i="10"/>
  <c r="S33" i="25"/>
  <c r="S89" i="25" s="1"/>
  <c r="AX38" i="50"/>
  <c r="AY38" i="50" s="1"/>
  <c r="K53" i="25"/>
  <c r="AU54" i="7"/>
  <c r="AX54" i="7" s="1"/>
  <c r="AT54" i="7"/>
  <c r="AW54" i="7" s="1"/>
  <c r="AX55" i="7"/>
  <c r="AW55" i="7"/>
  <c r="AI28" i="7"/>
  <c r="AI28" i="33"/>
  <c r="R446" i="36"/>
  <c r="AO58" i="26"/>
  <c r="D65" i="29"/>
  <c r="AJ65" i="26"/>
  <c r="AL49" i="26"/>
  <c r="D49" i="29"/>
  <c r="AJ50" i="26"/>
  <c r="D50" i="29"/>
  <c r="AK50" i="26"/>
  <c r="AG12" i="10"/>
  <c r="AF12" i="10"/>
  <c r="AI13" i="10" s="1"/>
  <c r="BA20" i="25"/>
  <c r="AZ20" i="25"/>
  <c r="AX20" i="25"/>
  <c r="E21" i="30"/>
  <c r="AW20" i="25"/>
  <c r="AY20" i="25"/>
  <c r="AW12" i="25"/>
  <c r="AZ12" i="25"/>
  <c r="AY12" i="25"/>
  <c r="AX12" i="25"/>
  <c r="E13" i="30"/>
  <c r="BA12" i="25"/>
  <c r="BG13" i="25" s="1"/>
  <c r="AK28" i="7"/>
  <c r="AN28" i="7" s="1"/>
  <c r="V113" i="25"/>
  <c r="D32" i="29"/>
  <c r="AL32" i="26"/>
  <c r="AL35" i="26"/>
  <c r="AJ35" i="26"/>
  <c r="AN35" i="26" s="1"/>
  <c r="AP58" i="26"/>
  <c r="AK65" i="26"/>
  <c r="AJ49" i="26"/>
  <c r="AK32" i="26"/>
  <c r="D35" i="29"/>
  <c r="AG24" i="10"/>
  <c r="AF24" i="10"/>
  <c r="AL50" i="26"/>
  <c r="E26" i="30"/>
  <c r="BA25" i="25"/>
  <c r="AJ16" i="10"/>
  <c r="H14" i="25"/>
  <c r="H24" i="25"/>
  <c r="I24" i="25" s="1"/>
  <c r="AG26" i="10"/>
  <c r="AJ26" i="10" s="1"/>
  <c r="AF26" i="10"/>
  <c r="AI26" i="10" s="1"/>
  <c r="F74" i="34"/>
  <c r="P46" i="34"/>
  <c r="U602" i="36"/>
  <c r="R602" i="36" s="1"/>
  <c r="M60" i="33"/>
  <c r="U445" i="36"/>
  <c r="R445" i="36" s="1"/>
  <c r="S61" i="25"/>
  <c r="S117" i="25" s="1"/>
  <c r="S53" i="14"/>
  <c r="F56" i="24"/>
  <c r="P56" i="24" s="1"/>
  <c r="U562" i="36"/>
  <c r="U588" i="36"/>
  <c r="M46" i="33"/>
  <c r="Q46" i="33" s="1"/>
  <c r="U440" i="36"/>
  <c r="R440" i="36" s="1"/>
  <c r="S56" i="25"/>
  <c r="P63" i="34"/>
  <c r="P53" i="26"/>
  <c r="N46" i="26"/>
  <c r="N74" i="26" s="1"/>
  <c r="S31" i="26" s="1"/>
  <c r="AX31" i="26" s="1"/>
  <c r="N38" i="26"/>
  <c r="N36" i="26"/>
  <c r="Y58" i="10"/>
  <c r="S378" i="36" s="1"/>
  <c r="Y49" i="10"/>
  <c r="S369" i="36" s="1"/>
  <c r="Y29" i="10"/>
  <c r="Y36" i="10"/>
  <c r="E14" i="30"/>
  <c r="H11" i="25"/>
  <c r="I11" i="25" s="1"/>
  <c r="BA11" i="25" s="1"/>
  <c r="F71" i="10"/>
  <c r="M71" i="10"/>
  <c r="AI58" i="29"/>
  <c r="AW13" i="25"/>
  <c r="BC13" i="25" s="1"/>
  <c r="AL34" i="26"/>
  <c r="O44" i="34"/>
  <c r="C53" i="18"/>
  <c r="E56" i="7" s="1"/>
  <c r="C52" i="18"/>
  <c r="E55" i="7" s="1"/>
  <c r="C50" i="18"/>
  <c r="E53" i="7" s="1"/>
  <c r="M53" i="7" s="1"/>
  <c r="C48" i="18"/>
  <c r="E51" i="7" s="1"/>
  <c r="M51" i="7" s="1"/>
  <c r="C47" i="18"/>
  <c r="E50" i="7" s="1"/>
  <c r="C46" i="18"/>
  <c r="E49" i="7" s="1"/>
  <c r="M49" i="7" s="1"/>
  <c r="C33" i="18"/>
  <c r="E36" i="7" s="1"/>
  <c r="M36" i="7" s="1"/>
  <c r="Q36" i="7" s="1"/>
  <c r="C32" i="18"/>
  <c r="E35" i="7" s="1"/>
  <c r="M35" i="7" s="1"/>
  <c r="C30" i="18"/>
  <c r="E33" i="7" s="1"/>
  <c r="M33" i="7" s="1"/>
  <c r="C29" i="18"/>
  <c r="E32" i="7" s="1"/>
  <c r="M32" i="7" s="1"/>
  <c r="Q32" i="7" s="1"/>
  <c r="C28" i="18"/>
  <c r="E31" i="7" s="1"/>
  <c r="M31" i="7" s="1"/>
  <c r="F27" i="10"/>
  <c r="U61" i="13"/>
  <c r="I61" i="33" s="1"/>
  <c r="T603" i="36" s="1"/>
  <c r="F34" i="33"/>
  <c r="AD23" i="54"/>
  <c r="M45" i="18"/>
  <c r="AF68" i="10"/>
  <c r="AI68" i="10" s="1"/>
  <c r="N23" i="54"/>
  <c r="G23" i="54"/>
  <c r="N11" i="54"/>
  <c r="G11" i="54"/>
  <c r="N22" i="54"/>
  <c r="G22" i="54"/>
  <c r="N26" i="54"/>
  <c r="G26" i="54"/>
  <c r="N18" i="54"/>
  <c r="G18" i="54"/>
  <c r="N16" i="54"/>
  <c r="G16" i="54"/>
  <c r="S41" i="25"/>
  <c r="S97" i="25" s="1"/>
  <c r="U37" i="25"/>
  <c r="N6" i="54"/>
  <c r="G6" i="54"/>
  <c r="N31" i="54"/>
  <c r="G31" i="54"/>
  <c r="N10" i="54"/>
  <c r="G10" i="54"/>
  <c r="N20" i="54"/>
  <c r="G20" i="54"/>
  <c r="N29" i="54"/>
  <c r="G29" i="54"/>
  <c r="N25" i="54"/>
  <c r="G25" i="54"/>
  <c r="N27" i="54"/>
  <c r="G27" i="54"/>
  <c r="S62" i="25"/>
  <c r="S118" i="25" s="1"/>
  <c r="S60" i="25"/>
  <c r="S116" i="25" s="1"/>
  <c r="N17" i="54"/>
  <c r="G17" i="54"/>
  <c r="N13" i="54"/>
  <c r="G13" i="54"/>
  <c r="N7" i="54"/>
  <c r="G7" i="54"/>
  <c r="N5" i="54"/>
  <c r="G5" i="54"/>
  <c r="L68" i="26"/>
  <c r="H68" i="29" s="1"/>
  <c r="J68" i="29" s="1"/>
  <c r="L61" i="26"/>
  <c r="L57" i="26"/>
  <c r="L75" i="26" s="1"/>
  <c r="L46" i="26"/>
  <c r="H46" i="29" s="1"/>
  <c r="BC43" i="26"/>
  <c r="L37" i="26"/>
  <c r="BD37" i="26" s="1"/>
  <c r="BD33" i="26"/>
  <c r="B14" i="19"/>
  <c r="G14" i="19"/>
  <c r="H37" i="29"/>
  <c r="J37" i="29" s="1"/>
  <c r="H33" i="29"/>
  <c r="J33" i="29" s="1"/>
  <c r="J33" i="32" s="1"/>
  <c r="BG44" i="26"/>
  <c r="H43" i="29"/>
  <c r="BD43" i="26"/>
  <c r="BB43" i="26"/>
  <c r="AS38" i="33"/>
  <c r="AV38" i="33" s="1"/>
  <c r="K40" i="32"/>
  <c r="K33" i="32"/>
  <c r="BC59" i="1"/>
  <c r="J59" i="24"/>
  <c r="AT44" i="33"/>
  <c r="AS44" i="33"/>
  <c r="J72" i="33"/>
  <c r="K46" i="32"/>
  <c r="P46" i="32" s="1"/>
  <c r="BC58" i="26"/>
  <c r="K44" i="32"/>
  <c r="AT42" i="33"/>
  <c r="AS40" i="33"/>
  <c r="M38" i="33"/>
  <c r="AT38" i="33"/>
  <c r="T529" i="36"/>
  <c r="T523" i="36"/>
  <c r="P538" i="36" s="1"/>
  <c r="I74" i="29"/>
  <c r="L69" i="26"/>
  <c r="BC69" i="26" s="1"/>
  <c r="L67" i="26"/>
  <c r="L66" i="26"/>
  <c r="L65" i="26"/>
  <c r="O64" i="26"/>
  <c r="L64" i="26"/>
  <c r="L63" i="26"/>
  <c r="BD63" i="26" s="1"/>
  <c r="N63" i="26"/>
  <c r="S63" i="26" s="1"/>
  <c r="L62" i="26"/>
  <c r="BC61" i="26"/>
  <c r="BD61" i="26"/>
  <c r="L60" i="26"/>
  <c r="L59" i="26"/>
  <c r="N59" i="26"/>
  <c r="S59" i="26" s="1"/>
  <c r="BB59" i="26"/>
  <c r="BD58" i="26"/>
  <c r="BC57" i="26"/>
  <c r="L56" i="26"/>
  <c r="L55" i="26"/>
  <c r="BC55" i="26" s="1"/>
  <c r="L54" i="26"/>
  <c r="L53" i="26"/>
  <c r="BC53" i="26" s="1"/>
  <c r="P52" i="26"/>
  <c r="L52" i="26"/>
  <c r="L51" i="26"/>
  <c r="L50" i="26"/>
  <c r="L49" i="26"/>
  <c r="O49" i="26"/>
  <c r="BC49" i="26"/>
  <c r="L48" i="26"/>
  <c r="N48" i="26"/>
  <c r="BB48" i="26"/>
  <c r="L47" i="26"/>
  <c r="BC46" i="26"/>
  <c r="L74" i="26"/>
  <c r="X43" i="26" s="1"/>
  <c r="L45" i="26"/>
  <c r="BD45" i="26" s="1"/>
  <c r="N45" i="26"/>
  <c r="BB45" i="26"/>
  <c r="H44" i="29"/>
  <c r="BB44" i="26"/>
  <c r="BF44" i="26" s="1"/>
  <c r="BD44" i="26"/>
  <c r="L42" i="26"/>
  <c r="BC42" i="26" s="1"/>
  <c r="L41" i="26"/>
  <c r="L40" i="26"/>
  <c r="L39" i="26"/>
  <c r="L38" i="26"/>
  <c r="BC38" i="26" s="1"/>
  <c r="D67" i="33"/>
  <c r="U577" i="36" s="1"/>
  <c r="U569" i="36"/>
  <c r="L56" i="33"/>
  <c r="O53" i="26"/>
  <c r="BB37" i="26"/>
  <c r="BF37" i="26" s="1"/>
  <c r="BD46" i="26"/>
  <c r="BB61" i="26"/>
  <c r="H57" i="29"/>
  <c r="BB46" i="26"/>
  <c r="H61" i="29"/>
  <c r="J14" i="24"/>
  <c r="L14" i="24" s="1"/>
  <c r="AS42" i="33"/>
  <c r="BD26" i="1"/>
  <c r="J26" i="24"/>
  <c r="L26" i="24" s="1"/>
  <c r="BC26" i="1"/>
  <c r="AT31" i="33"/>
  <c r="AW31" i="33" s="1"/>
  <c r="J56" i="24"/>
  <c r="BD56" i="1"/>
  <c r="BC48" i="1"/>
  <c r="L58" i="1"/>
  <c r="J58" i="24" s="1"/>
  <c r="BB56" i="1"/>
  <c r="L55" i="1"/>
  <c r="L54" i="1"/>
  <c r="L52" i="1"/>
  <c r="J52" i="24" s="1"/>
  <c r="L51" i="1"/>
  <c r="L50" i="1"/>
  <c r="L47" i="1"/>
  <c r="BC47" i="1" s="1"/>
  <c r="L46" i="1"/>
  <c r="L45" i="1"/>
  <c r="L44" i="1"/>
  <c r="L42" i="1"/>
  <c r="BB41" i="1"/>
  <c r="L37" i="1"/>
  <c r="L34" i="1"/>
  <c r="L31" i="1"/>
  <c r="BD29" i="1"/>
  <c r="BH29" i="1" s="1"/>
  <c r="J27" i="24"/>
  <c r="BB27" i="1"/>
  <c r="BF27" i="1" s="1"/>
  <c r="BD27" i="1"/>
  <c r="BH27" i="1" s="1"/>
  <c r="J24" i="24"/>
  <c r="J18" i="24"/>
  <c r="T571" i="36"/>
  <c r="P571" i="36" s="1"/>
  <c r="J61" i="33"/>
  <c r="T61" i="33" s="1"/>
  <c r="P268" i="36" s="1"/>
  <c r="T570" i="36"/>
  <c r="P570" i="36" s="1"/>
  <c r="J60" i="33"/>
  <c r="T569" i="36"/>
  <c r="P569" i="36" s="1"/>
  <c r="J59" i="33"/>
  <c r="T600" i="36"/>
  <c r="P600" i="36" s="1"/>
  <c r="M58" i="33"/>
  <c r="Q58" i="33" s="1"/>
  <c r="Q600" i="36" s="1"/>
  <c r="T599" i="36"/>
  <c r="M57" i="33"/>
  <c r="J57" i="33"/>
  <c r="T598" i="36"/>
  <c r="P598" i="36" s="1"/>
  <c r="M56" i="33"/>
  <c r="F56" i="25"/>
  <c r="U472" i="36" s="1"/>
  <c r="D53" i="33"/>
  <c r="F48" i="25"/>
  <c r="U464" i="36" s="1"/>
  <c r="D41" i="33"/>
  <c r="F40" i="25"/>
  <c r="T40" i="25" s="1"/>
  <c r="T595" i="36"/>
  <c r="J53" i="33"/>
  <c r="T53" i="33" s="1"/>
  <c r="P260" i="36" s="1"/>
  <c r="M53" i="33"/>
  <c r="T562" i="36"/>
  <c r="P562" i="36" s="1"/>
  <c r="J52" i="33"/>
  <c r="T589" i="36"/>
  <c r="P589" i="36" s="1"/>
  <c r="M47" i="33"/>
  <c r="M29" i="33"/>
  <c r="Q29" i="33" s="1"/>
  <c r="AQ29" i="33" s="1"/>
  <c r="J29" i="33"/>
  <c r="K30" i="32"/>
  <c r="AS28" i="33"/>
  <c r="AV28" i="33" s="1"/>
  <c r="AS21" i="33"/>
  <c r="AV21" i="33" s="1"/>
  <c r="K23" i="32"/>
  <c r="AS12" i="33"/>
  <c r="K14" i="32"/>
  <c r="AV10" i="33"/>
  <c r="BD10" i="33" s="1"/>
  <c r="U554" i="36"/>
  <c r="P536" i="36"/>
  <c r="N34" i="26"/>
  <c r="BC56" i="1"/>
  <c r="J33" i="33"/>
  <c r="AS33" i="33" s="1"/>
  <c r="M33" i="33"/>
  <c r="Q33" i="33" s="1"/>
  <c r="S42" i="14"/>
  <c r="F45" i="24"/>
  <c r="P45" i="24" s="1"/>
  <c r="F62" i="24"/>
  <c r="P62" i="24" s="1"/>
  <c r="P53" i="24"/>
  <c r="F52" i="24"/>
  <c r="P52" i="24" s="1"/>
  <c r="F49" i="24"/>
  <c r="F48" i="24"/>
  <c r="P48" i="24" s="1"/>
  <c r="F47" i="24"/>
  <c r="F46" i="24"/>
  <c r="P46" i="24" s="1"/>
  <c r="F66" i="14"/>
  <c r="F65" i="14"/>
  <c r="F64" i="14"/>
  <c r="F63" i="14"/>
  <c r="F62" i="14"/>
  <c r="F61" i="14"/>
  <c r="F60" i="14"/>
  <c r="F58" i="14"/>
  <c r="F57" i="14"/>
  <c r="F56" i="14"/>
  <c r="F55" i="14"/>
  <c r="F52" i="14"/>
  <c r="F51" i="14"/>
  <c r="F48" i="14"/>
  <c r="F47" i="14"/>
  <c r="E28" i="14"/>
  <c r="E30" i="14"/>
  <c r="E32" i="14"/>
  <c r="E34" i="14"/>
  <c r="E36" i="14"/>
  <c r="E38" i="14"/>
  <c r="E40" i="14"/>
  <c r="E42" i="14"/>
  <c r="E44" i="14"/>
  <c r="E46" i="14"/>
  <c r="E48" i="14"/>
  <c r="E50" i="14"/>
  <c r="E52" i="14"/>
  <c r="E54" i="14"/>
  <c r="E56" i="14"/>
  <c r="E58" i="14"/>
  <c r="E60" i="14"/>
  <c r="E62" i="14"/>
  <c r="E24" i="14"/>
  <c r="E26" i="14"/>
  <c r="E64" i="14"/>
  <c r="E66" i="14"/>
  <c r="E68" i="14"/>
  <c r="E27" i="14"/>
  <c r="E29" i="14"/>
  <c r="E31" i="14"/>
  <c r="E33" i="14"/>
  <c r="E35" i="14"/>
  <c r="E37" i="14"/>
  <c r="E39" i="14"/>
  <c r="E41" i="14"/>
  <c r="E43" i="14"/>
  <c r="E45" i="14"/>
  <c r="E47" i="14"/>
  <c r="E49" i="14"/>
  <c r="E51" i="14"/>
  <c r="E53" i="14"/>
  <c r="E55" i="14"/>
  <c r="E57" i="14"/>
  <c r="E59" i="14"/>
  <c r="E61" i="14"/>
  <c r="E63" i="14"/>
  <c r="E25" i="14"/>
  <c r="E23" i="14"/>
  <c r="E65" i="14"/>
  <c r="E67" i="14"/>
  <c r="D70" i="60" s="1"/>
  <c r="V70" i="60" s="1"/>
  <c r="Y79" i="19"/>
  <c r="F67" i="14"/>
  <c r="H19" i="20"/>
  <c r="F68" i="14"/>
  <c r="P33" i="34"/>
  <c r="P47" i="24"/>
  <c r="P31" i="1"/>
  <c r="G33" i="26"/>
  <c r="D33" i="29" s="1"/>
  <c r="K45" i="34"/>
  <c r="P45" i="34" s="1"/>
  <c r="AF43" i="13"/>
  <c r="K50" i="34"/>
  <c r="AF48" i="13"/>
  <c r="K48" i="34"/>
  <c r="AF46" i="13"/>
  <c r="K47" i="34"/>
  <c r="AF45" i="13"/>
  <c r="K49" i="34"/>
  <c r="AF47" i="13"/>
  <c r="P48" i="34"/>
  <c r="K42" i="34"/>
  <c r="P42" i="34" s="1"/>
  <c r="AF40" i="13"/>
  <c r="AF41" i="13"/>
  <c r="K43" i="34"/>
  <c r="P43" i="34" s="1"/>
  <c r="K44" i="34"/>
  <c r="AF42" i="13"/>
  <c r="AF37" i="13"/>
  <c r="K39" i="34"/>
  <c r="P39" i="34" s="1"/>
  <c r="K37" i="34"/>
  <c r="P37" i="34" s="1"/>
  <c r="AF35" i="13"/>
  <c r="AF38" i="13"/>
  <c r="K40" i="34"/>
  <c r="P40" i="34" s="1"/>
  <c r="K38" i="34"/>
  <c r="P38" i="34" s="1"/>
  <c r="AF36" i="13"/>
  <c r="F26" i="19"/>
  <c r="K29" i="34"/>
  <c r="AF27" i="13"/>
  <c r="AF8" i="13"/>
  <c r="F7" i="19"/>
  <c r="K32" i="34"/>
  <c r="P32" i="34" s="1"/>
  <c r="AF30" i="13"/>
  <c r="AS23" i="33"/>
  <c r="AV24" i="33" s="1"/>
  <c r="K25" i="32"/>
  <c r="AT23" i="33"/>
  <c r="AW24" i="33" s="1"/>
  <c r="AS18" i="33"/>
  <c r="AT18" i="33"/>
  <c r="AW19" i="33" s="1"/>
  <c r="K20" i="32"/>
  <c r="O74" i="1"/>
  <c r="BD30" i="1"/>
  <c r="BH30" i="1" s="1"/>
  <c r="BC30" i="1"/>
  <c r="J30" i="24"/>
  <c r="BB30" i="1"/>
  <c r="K35" i="32"/>
  <c r="AS22" i="33"/>
  <c r="K24" i="32"/>
  <c r="AT22" i="33"/>
  <c r="AW22" i="33" s="1"/>
  <c r="P68" i="26"/>
  <c r="N43" i="26"/>
  <c r="D58" i="33"/>
  <c r="D48" i="33"/>
  <c r="D40" i="33"/>
  <c r="J37" i="32"/>
  <c r="K74" i="32"/>
  <c r="J25" i="24"/>
  <c r="L25" i="24" s="1"/>
  <c r="BB25" i="1"/>
  <c r="BF26" i="1" s="1"/>
  <c r="BD25" i="1"/>
  <c r="J23" i="24"/>
  <c r="J17" i="24"/>
  <c r="K28" i="32"/>
  <c r="AS26" i="33"/>
  <c r="AS16" i="33"/>
  <c r="K18" i="32"/>
  <c r="AT16" i="33"/>
  <c r="J29" i="24"/>
  <c r="BB29" i="1"/>
  <c r="J22" i="24"/>
  <c r="L22" i="24" s="1"/>
  <c r="I22" i="32" s="1"/>
  <c r="J20" i="24"/>
  <c r="J16" i="24"/>
  <c r="K27" i="32"/>
  <c r="AS25" i="33"/>
  <c r="AV25" i="33" s="1"/>
  <c r="AT25" i="33"/>
  <c r="AW25" i="33" s="1"/>
  <c r="K10" i="32"/>
  <c r="L10" i="32" s="1"/>
  <c r="BF10" i="32" s="1"/>
  <c r="AT8" i="33"/>
  <c r="AW9" i="33" s="1"/>
  <c r="AS8" i="33"/>
  <c r="AV9" i="33" s="1"/>
  <c r="BD9" i="33" s="1"/>
  <c r="BE9" i="33" s="1"/>
  <c r="P69" i="34"/>
  <c r="M32" i="33"/>
  <c r="Q32" i="33" s="1"/>
  <c r="M31" i="33"/>
  <c r="M30" i="33"/>
  <c r="Q30" i="33" s="1"/>
  <c r="AQ30" i="33" s="1"/>
  <c r="N58" i="26"/>
  <c r="P54" i="26"/>
  <c r="N49" i="26"/>
  <c r="M63" i="29"/>
  <c r="P62" i="34"/>
  <c r="P57" i="34"/>
  <c r="P568" i="36"/>
  <c r="M34" i="33"/>
  <c r="Q34" i="33" s="1"/>
  <c r="G66" i="26"/>
  <c r="AL66" i="26" s="1"/>
  <c r="AP66" i="26" s="1"/>
  <c r="N66" i="26"/>
  <c r="N64" i="26"/>
  <c r="S64" i="26" s="1"/>
  <c r="AX64" i="26" s="1"/>
  <c r="G64" i="26"/>
  <c r="AJ64" i="26" s="1"/>
  <c r="O63" i="26"/>
  <c r="G63" i="26"/>
  <c r="G61" i="26"/>
  <c r="G59" i="26"/>
  <c r="O59" i="26"/>
  <c r="G55" i="26"/>
  <c r="O55" i="26"/>
  <c r="N54" i="26"/>
  <c r="G54" i="26"/>
  <c r="O48" i="26"/>
  <c r="G48" i="26"/>
  <c r="N47" i="26"/>
  <c r="G47" i="26"/>
  <c r="M69" i="10"/>
  <c r="F69" i="10"/>
  <c r="U117" i="25"/>
  <c r="AB61" i="25"/>
  <c r="DD59" i="25"/>
  <c r="U59" i="25"/>
  <c r="AE21" i="33"/>
  <c r="AH21" i="33" s="1"/>
  <c r="F23" i="32"/>
  <c r="AF21" i="33"/>
  <c r="R441" i="36"/>
  <c r="R439" i="36"/>
  <c r="R435" i="36"/>
  <c r="R433" i="36"/>
  <c r="C51" i="18"/>
  <c r="E54" i="7" s="1"/>
  <c r="M54" i="7" s="1"/>
  <c r="Q54" i="7" s="1"/>
  <c r="C49" i="18"/>
  <c r="E52" i="7" s="1"/>
  <c r="C41" i="18"/>
  <c r="E44" i="7" s="1"/>
  <c r="C39" i="18"/>
  <c r="E42" i="7" s="1"/>
  <c r="M42" i="7" s="1"/>
  <c r="C38" i="18"/>
  <c r="E41" i="7" s="1"/>
  <c r="M41" i="7" s="1"/>
  <c r="Q41" i="7" s="1"/>
  <c r="C34" i="18"/>
  <c r="E37" i="7" s="1"/>
  <c r="M37" i="7" s="1"/>
  <c r="AI53" i="10"/>
  <c r="AI40" i="10"/>
  <c r="AG29" i="10"/>
  <c r="AJ30" i="10" s="1"/>
  <c r="AK30" i="10" s="1"/>
  <c r="AM30" i="10" s="1"/>
  <c r="P49" i="24"/>
  <c r="E72" i="33"/>
  <c r="R600" i="36"/>
  <c r="P69" i="26"/>
  <c r="N69" i="26"/>
  <c r="S69" i="26" s="1"/>
  <c r="O68" i="26"/>
  <c r="P67" i="26"/>
  <c r="O62" i="26"/>
  <c r="O58" i="26"/>
  <c r="P57" i="26"/>
  <c r="P75" i="26" s="1"/>
  <c r="O56" i="26"/>
  <c r="P55" i="26"/>
  <c r="N55" i="26"/>
  <c r="S55" i="26" s="1"/>
  <c r="G53" i="26"/>
  <c r="N52" i="26"/>
  <c r="S52" i="26" s="1"/>
  <c r="O51" i="26"/>
  <c r="P50" i="26"/>
  <c r="P48" i="26"/>
  <c r="N33" i="26"/>
  <c r="S33" i="26" s="1"/>
  <c r="R452" i="36"/>
  <c r="R444" i="36"/>
  <c r="R442" i="36"/>
  <c r="R437" i="36"/>
  <c r="R431" i="36"/>
  <c r="S30" i="25"/>
  <c r="S86" i="25" s="1"/>
  <c r="R438" i="36"/>
  <c r="R432" i="36"/>
  <c r="DD46" i="25"/>
  <c r="U46" i="25"/>
  <c r="S51" i="25"/>
  <c r="S107" i="25" s="1"/>
  <c r="S47" i="25"/>
  <c r="S103" i="25" s="1"/>
  <c r="S40" i="25"/>
  <c r="S96" i="25" s="1"/>
  <c r="S34" i="25"/>
  <c r="S90" i="25" s="1"/>
  <c r="CZ61" i="19"/>
  <c r="DA61" i="19" s="1"/>
  <c r="G61" i="18" s="1"/>
  <c r="U510" i="36" s="1"/>
  <c r="R510" i="36" s="1"/>
  <c r="I61" i="19"/>
  <c r="D61" i="14" s="1"/>
  <c r="E64" i="34" s="1"/>
  <c r="O64" i="34" s="1"/>
  <c r="CW60" i="19"/>
  <c r="CW47" i="19"/>
  <c r="CW41" i="19"/>
  <c r="CW37" i="19"/>
  <c r="I36" i="19"/>
  <c r="D36" i="14" s="1"/>
  <c r="E39" i="34" s="1"/>
  <c r="AW35" i="19"/>
  <c r="I32" i="19"/>
  <c r="D32" i="14" s="1"/>
  <c r="E35" i="34" s="1"/>
  <c r="O35" i="34" s="1"/>
  <c r="I28" i="19"/>
  <c r="D28" i="14" s="1"/>
  <c r="E31" i="34" s="1"/>
  <c r="O31" i="34" s="1"/>
  <c r="CW66" i="19"/>
  <c r="BP91" i="19"/>
  <c r="CW59" i="19"/>
  <c r="I59" i="19"/>
  <c r="D59" i="14" s="1"/>
  <c r="E62" i="34" s="1"/>
  <c r="O62" i="34" s="1"/>
  <c r="CW58" i="19"/>
  <c r="L57" i="19"/>
  <c r="CZ56" i="19"/>
  <c r="CW54" i="19"/>
  <c r="L54" i="19"/>
  <c r="CZ52" i="19"/>
  <c r="CW29" i="19"/>
  <c r="U496" i="36"/>
  <c r="R496" i="36" s="1"/>
  <c r="CZ66" i="19"/>
  <c r="DA66" i="19" s="1"/>
  <c r="C66" i="19"/>
  <c r="B66" i="14" s="1"/>
  <c r="D69" i="34" s="1"/>
  <c r="I65" i="19"/>
  <c r="D65" i="14" s="1"/>
  <c r="E68" i="34" s="1"/>
  <c r="O68" i="34" s="1"/>
  <c r="CZ63" i="19"/>
  <c r="DA63" i="19" s="1"/>
  <c r="CZ62" i="19"/>
  <c r="DA62" i="19" s="1"/>
  <c r="G62" i="18" s="1"/>
  <c r="I62" i="19"/>
  <c r="D62" i="14" s="1"/>
  <c r="E65" i="34" s="1"/>
  <c r="O65" i="34" s="1"/>
  <c r="AT39" i="50"/>
  <c r="AC39" i="50"/>
  <c r="E61" i="19"/>
  <c r="CZ60" i="19"/>
  <c r="CZ59" i="19"/>
  <c r="CZ58" i="19"/>
  <c r="I58" i="19"/>
  <c r="D58" i="14" s="1"/>
  <c r="E61" i="34" s="1"/>
  <c r="CW57" i="19"/>
  <c r="BP80" i="19"/>
  <c r="E56" i="19"/>
  <c r="C56" i="19" s="1"/>
  <c r="B56" i="14" s="1"/>
  <c r="D59" i="34" s="1"/>
  <c r="CZ55" i="19"/>
  <c r="E55" i="19"/>
  <c r="CZ54" i="19"/>
  <c r="I54" i="19"/>
  <c r="D54" i="14" s="1"/>
  <c r="E57" i="34" s="1"/>
  <c r="CW53" i="19"/>
  <c r="I52" i="19"/>
  <c r="D52" i="14" s="1"/>
  <c r="E55" i="34" s="1"/>
  <c r="I51" i="19"/>
  <c r="D51" i="14" s="1"/>
  <c r="E54" i="34" s="1"/>
  <c r="CW50" i="19"/>
  <c r="I50" i="19"/>
  <c r="D50" i="14" s="1"/>
  <c r="E53" i="34" s="1"/>
  <c r="CW49" i="19"/>
  <c r="I49" i="19"/>
  <c r="D49" i="14" s="1"/>
  <c r="E52" i="34" s="1"/>
  <c r="E49" i="19"/>
  <c r="CZ48" i="19"/>
  <c r="CZ47" i="19"/>
  <c r="I44" i="19"/>
  <c r="D44" i="14" s="1"/>
  <c r="E47" i="34" s="1"/>
  <c r="I42" i="19"/>
  <c r="D42" i="14" s="1"/>
  <c r="E45" i="34" s="1"/>
  <c r="E39" i="19"/>
  <c r="I38" i="19"/>
  <c r="D38" i="14" s="1"/>
  <c r="E41" i="34" s="1"/>
  <c r="I37" i="19"/>
  <c r="D37" i="14" s="1"/>
  <c r="E40" i="34" s="1"/>
  <c r="E36" i="19"/>
  <c r="C36" i="19" s="1"/>
  <c r="B36" i="14" s="1"/>
  <c r="D39" i="34" s="1"/>
  <c r="I35" i="19"/>
  <c r="D35" i="14" s="1"/>
  <c r="E38" i="34" s="1"/>
  <c r="O38" i="34" s="1"/>
  <c r="AQ34" i="19"/>
  <c r="E34" i="18" s="1"/>
  <c r="F36" i="25" s="1"/>
  <c r="T36" i="25" s="1"/>
  <c r="I34" i="19"/>
  <c r="D34" i="14" s="1"/>
  <c r="E37" i="34" s="1"/>
  <c r="AW33" i="19"/>
  <c r="I33" i="19"/>
  <c r="D33" i="14" s="1"/>
  <c r="E36" i="34" s="1"/>
  <c r="O36" i="34" s="1"/>
  <c r="I64" i="19"/>
  <c r="D64" i="14" s="1"/>
  <c r="E67" i="34" s="1"/>
  <c r="O67" i="34" s="1"/>
  <c r="I63" i="19"/>
  <c r="D63" i="14" s="1"/>
  <c r="E66" i="34" s="1"/>
  <c r="O66" i="34" s="1"/>
  <c r="AT40" i="50"/>
  <c r="AC40" i="50"/>
  <c r="I60" i="19"/>
  <c r="D60" i="14" s="1"/>
  <c r="E63" i="34" s="1"/>
  <c r="O63" i="34" s="1"/>
  <c r="I48" i="19"/>
  <c r="D48" i="14" s="1"/>
  <c r="E51" i="34" s="1"/>
  <c r="O51" i="34" s="1"/>
  <c r="I43" i="19"/>
  <c r="D43" i="14" s="1"/>
  <c r="E46" i="34" s="1"/>
  <c r="N33" i="53" s="1"/>
  <c r="I40" i="19"/>
  <c r="D40" i="14" s="1"/>
  <c r="E43" i="34" s="1"/>
  <c r="I39" i="19"/>
  <c r="D39" i="14" s="1"/>
  <c r="E42" i="34" s="1"/>
  <c r="E32" i="19"/>
  <c r="AQ31" i="19"/>
  <c r="E31" i="18" s="1"/>
  <c r="I31" i="19"/>
  <c r="D31" i="14" s="1"/>
  <c r="E34" i="34" s="1"/>
  <c r="AQ30" i="19"/>
  <c r="I30" i="19"/>
  <c r="D30" i="14" s="1"/>
  <c r="E33" i="34" s="1"/>
  <c r="O33" i="34" s="1"/>
  <c r="AQ29" i="19"/>
  <c r="I29" i="19"/>
  <c r="D29" i="14" s="1"/>
  <c r="E32" i="34" s="1"/>
  <c r="O32" i="34" s="1"/>
  <c r="AQ28" i="19"/>
  <c r="D28" i="19"/>
  <c r="C28" i="19" s="1"/>
  <c r="B28" i="14" s="1"/>
  <c r="D31" i="34" s="1"/>
  <c r="I27" i="19"/>
  <c r="I25" i="19"/>
  <c r="V125" i="25"/>
  <c r="V96" i="25"/>
  <c r="AJ15" i="10"/>
  <c r="AB55" i="25"/>
  <c r="AB111" i="25" s="1"/>
  <c r="U111" i="25"/>
  <c r="N34" i="53"/>
  <c r="L7" i="53"/>
  <c r="D7" i="53"/>
  <c r="AB62" i="25"/>
  <c r="AB118" i="25" s="1"/>
  <c r="U118" i="25"/>
  <c r="N10" i="53"/>
  <c r="F10" i="53"/>
  <c r="DD45" i="25"/>
  <c r="N8" i="53"/>
  <c r="F8" i="53"/>
  <c r="N7" i="53"/>
  <c r="F7" i="53"/>
  <c r="DD30" i="25"/>
  <c r="DF30" i="25" s="1"/>
  <c r="L8" i="53"/>
  <c r="D8" i="53"/>
  <c r="P444" i="36"/>
  <c r="AW35" i="7"/>
  <c r="P438" i="36"/>
  <c r="P430" i="36"/>
  <c r="Q39" i="7"/>
  <c r="Q37" i="7"/>
  <c r="Q35" i="7"/>
  <c r="Q48" i="7"/>
  <c r="Q40" i="7"/>
  <c r="Q43" i="7"/>
  <c r="Q53" i="7"/>
  <c r="Q51" i="7"/>
  <c r="Q49" i="7"/>
  <c r="Q45" i="7"/>
  <c r="Q38" i="7"/>
  <c r="D21" i="53"/>
  <c r="AX40" i="50"/>
  <c r="AY40" i="50" s="1"/>
  <c r="Q46" i="7"/>
  <c r="T34" i="7"/>
  <c r="K57" i="25"/>
  <c r="BY35" i="25"/>
  <c r="CE35" i="25" s="1"/>
  <c r="I36" i="30"/>
  <c r="CA30" i="25"/>
  <c r="BZ56" i="25"/>
  <c r="P74" i="25"/>
  <c r="BW30" i="25"/>
  <c r="CC30" i="25" s="1"/>
  <c r="P54" i="25"/>
  <c r="T75" i="7"/>
  <c r="T28" i="7"/>
  <c r="T52" i="7"/>
  <c r="P342" i="36" s="1"/>
  <c r="AU74" i="7"/>
  <c r="AX74" i="7" s="1"/>
  <c r="T54" i="7"/>
  <c r="P344" i="36" s="1"/>
  <c r="T37" i="7"/>
  <c r="T46" i="7"/>
  <c r="P336" i="36" s="1"/>
  <c r="T36" i="7"/>
  <c r="AT74" i="7"/>
  <c r="AW74" i="7" s="1"/>
  <c r="T40" i="7"/>
  <c r="T35" i="7"/>
  <c r="T66" i="7"/>
  <c r="P356" i="36" s="1"/>
  <c r="AW47" i="7"/>
  <c r="AT36" i="7"/>
  <c r="AW36" i="7" s="1"/>
  <c r="AT40" i="7"/>
  <c r="AW41" i="7" s="1"/>
  <c r="AT37" i="7"/>
  <c r="AW37" i="7" s="1"/>
  <c r="AT52" i="7"/>
  <c r="AW52" i="7" s="1"/>
  <c r="AT66" i="7"/>
  <c r="AX41" i="50"/>
  <c r="AY41" i="50" s="1"/>
  <c r="AX39" i="50"/>
  <c r="AY39" i="50" s="1"/>
  <c r="AO42" i="50"/>
  <c r="Q42" i="7"/>
  <c r="AR43" i="7" s="1"/>
  <c r="P39" i="25"/>
  <c r="BW39" i="25" s="1"/>
  <c r="AR29" i="7"/>
  <c r="AR27" i="7"/>
  <c r="Q31" i="7"/>
  <c r="Q33" i="7"/>
  <c r="I68" i="7"/>
  <c r="CC29" i="25"/>
  <c r="P60" i="25"/>
  <c r="E68" i="7"/>
  <c r="Q68" i="10"/>
  <c r="Q32" i="10"/>
  <c r="Q42" i="10"/>
  <c r="Q44" i="10"/>
  <c r="Q34" i="10"/>
  <c r="Q14" i="10"/>
  <c r="Q50" i="10"/>
  <c r="Q58" i="10"/>
  <c r="Q25" i="10"/>
  <c r="Q62" i="10"/>
  <c r="Q48" i="10"/>
  <c r="Q63" i="10"/>
  <c r="AR63" i="10" s="1"/>
  <c r="Q36" i="10"/>
  <c r="Q43" i="10"/>
  <c r="Q11" i="10"/>
  <c r="Q69" i="10"/>
  <c r="Q65" i="10"/>
  <c r="Q56" i="10"/>
  <c r="Q28" i="10"/>
  <c r="Q15" i="10"/>
  <c r="AR15" i="10" s="1"/>
  <c r="Q13" i="10"/>
  <c r="Q22" i="10"/>
  <c r="Q66" i="10"/>
  <c r="AR66" i="10" s="1"/>
  <c r="Q55" i="10"/>
  <c r="Q19" i="10"/>
  <c r="Q67" i="10"/>
  <c r="Q54" i="10"/>
  <c r="Q60" i="10"/>
  <c r="Q26" i="10"/>
  <c r="AR26" i="10" s="1"/>
  <c r="Q40" i="10"/>
  <c r="Q18" i="10"/>
  <c r="Q64" i="10"/>
  <c r="AR64" i="10" s="1"/>
  <c r="Q52" i="10"/>
  <c r="Q21" i="10"/>
  <c r="Q17" i="10"/>
  <c r="Q46" i="10"/>
  <c r="Q38" i="10"/>
  <c r="Q30" i="10"/>
  <c r="Q10" i="10"/>
  <c r="Q27" i="10"/>
  <c r="Q37" i="10"/>
  <c r="AR37" i="10" s="1"/>
  <c r="Q70" i="10"/>
  <c r="AR70" i="10" s="1"/>
  <c r="Q24" i="10"/>
  <c r="Q51" i="10"/>
  <c r="Q71" i="10"/>
  <c r="AW41" i="19"/>
  <c r="BO79" i="19"/>
  <c r="BP79" i="19" s="1"/>
  <c r="BW56" i="19" s="1"/>
  <c r="W34" i="50" s="1"/>
  <c r="Y34" i="50" s="1"/>
  <c r="DD63" i="25"/>
  <c r="DG63" i="25" s="1"/>
  <c r="U63" i="25"/>
  <c r="F58" i="18"/>
  <c r="F59" i="18" s="1"/>
  <c r="F60" i="18" s="1"/>
  <c r="F61" i="18" s="1"/>
  <c r="C65" i="19"/>
  <c r="B65" i="14" s="1"/>
  <c r="D68" i="34" s="1"/>
  <c r="C61" i="19"/>
  <c r="B61" i="14" s="1"/>
  <c r="D64" i="34" s="1"/>
  <c r="C57" i="19"/>
  <c r="B57" i="14" s="1"/>
  <c r="D60" i="34" s="1"/>
  <c r="C55" i="19"/>
  <c r="B55" i="14" s="1"/>
  <c r="D58" i="34" s="1"/>
  <c r="C53" i="19"/>
  <c r="B53" i="14" s="1"/>
  <c r="D56" i="34" s="1"/>
  <c r="C49" i="19"/>
  <c r="B49" i="14" s="1"/>
  <c r="D52" i="34" s="1"/>
  <c r="I47" i="19"/>
  <c r="D47" i="14" s="1"/>
  <c r="E50" i="34" s="1"/>
  <c r="AW29" i="19"/>
  <c r="AV30" i="19"/>
  <c r="E69" i="7"/>
  <c r="I66" i="19"/>
  <c r="D66" i="14" s="1"/>
  <c r="E69" i="34" s="1"/>
  <c r="C64" i="19"/>
  <c r="B64" i="14" s="1"/>
  <c r="D67" i="34" s="1"/>
  <c r="C63" i="19"/>
  <c r="B63" i="14" s="1"/>
  <c r="D66" i="34" s="1"/>
  <c r="K57" i="19"/>
  <c r="I57" i="19" s="1"/>
  <c r="D57" i="14" s="1"/>
  <c r="E60" i="34" s="1"/>
  <c r="K56" i="19"/>
  <c r="I56" i="19" s="1"/>
  <c r="D56" i="14" s="1"/>
  <c r="E59" i="34" s="1"/>
  <c r="C55" i="18"/>
  <c r="E58" i="7" s="1"/>
  <c r="C54" i="18"/>
  <c r="E57" i="7" s="1"/>
  <c r="C54" i="19"/>
  <c r="B54" i="14" s="1"/>
  <c r="D57" i="34" s="1"/>
  <c r="C51" i="19"/>
  <c r="B51" i="14" s="1"/>
  <c r="D54" i="34" s="1"/>
  <c r="CZ46" i="19"/>
  <c r="C39" i="19"/>
  <c r="B39" i="14" s="1"/>
  <c r="D42" i="34" s="1"/>
  <c r="C33" i="19"/>
  <c r="B33" i="14" s="1"/>
  <c r="D36" i="34" s="1"/>
  <c r="C32" i="19"/>
  <c r="B32" i="14" s="1"/>
  <c r="D35" i="34" s="1"/>
  <c r="C45" i="19"/>
  <c r="B45" i="14" s="1"/>
  <c r="D48" i="34" s="1"/>
  <c r="C42" i="19"/>
  <c r="B42" i="14" s="1"/>
  <c r="D45" i="34" s="1"/>
  <c r="C38" i="19"/>
  <c r="B38" i="14" s="1"/>
  <c r="D41" i="34" s="1"/>
  <c r="AW32" i="19"/>
  <c r="C31" i="19"/>
  <c r="B31" i="14" s="1"/>
  <c r="D34" i="34" s="1"/>
  <c r="D30" i="19"/>
  <c r="C30" i="19" s="1"/>
  <c r="B30" i="14" s="1"/>
  <c r="D33" i="34" s="1"/>
  <c r="C29" i="19"/>
  <c r="B29" i="14" s="1"/>
  <c r="D32" i="34" s="1"/>
  <c r="G32" i="34" s="1"/>
  <c r="U498" i="36"/>
  <c r="R498" i="36" s="1"/>
  <c r="U40" i="25"/>
  <c r="U39" i="25"/>
  <c r="U33" i="25"/>
  <c r="S28" i="25"/>
  <c r="AX11" i="25"/>
  <c r="BD12" i="25" s="1"/>
  <c r="P41" i="34"/>
  <c r="AZ11" i="25"/>
  <c r="E12" i="30"/>
  <c r="F12" i="30" s="1"/>
  <c r="AR25" i="7"/>
  <c r="AF24" i="7"/>
  <c r="AI24" i="7" s="1"/>
  <c r="AG24" i="7"/>
  <c r="AJ24" i="7" s="1"/>
  <c r="D23" i="25"/>
  <c r="O37" i="34"/>
  <c r="G31" i="26"/>
  <c r="AL31" i="26" s="1"/>
  <c r="Q20" i="10"/>
  <c r="AR21" i="10" s="1"/>
  <c r="AX13" i="25"/>
  <c r="AZ13" i="25"/>
  <c r="AY13" i="25"/>
  <c r="H67" i="25"/>
  <c r="L29" i="14"/>
  <c r="AJ70" i="26"/>
  <c r="AN70" i="26" s="1"/>
  <c r="AN30" i="10"/>
  <c r="AF25" i="7"/>
  <c r="AY11" i="25"/>
  <c r="AW11" i="25"/>
  <c r="AG68" i="10"/>
  <c r="R606" i="36"/>
  <c r="R605" i="36"/>
  <c r="R599" i="36"/>
  <c r="R596" i="36"/>
  <c r="R595" i="36"/>
  <c r="R593" i="36"/>
  <c r="R591" i="36"/>
  <c r="R590" i="36"/>
  <c r="R589" i="36"/>
  <c r="R588" i="36"/>
  <c r="N68" i="26"/>
  <c r="P62" i="26"/>
  <c r="N62" i="26"/>
  <c r="S62" i="26" s="1"/>
  <c r="U511" i="36"/>
  <c r="R511" i="36" s="1"/>
  <c r="DD64" i="25"/>
  <c r="U506" i="36"/>
  <c r="R506" i="36" s="1"/>
  <c r="DF58" i="25"/>
  <c r="DG58" i="25"/>
  <c r="U502" i="36"/>
  <c r="R502" i="36" s="1"/>
  <c r="DD55" i="25"/>
  <c r="DG53" i="25"/>
  <c r="DF53" i="25"/>
  <c r="DF52" i="25"/>
  <c r="DG52" i="25"/>
  <c r="DG51" i="25"/>
  <c r="DF51" i="25"/>
  <c r="DG49" i="25"/>
  <c r="DF49" i="25"/>
  <c r="U495" i="36"/>
  <c r="R495" i="36" s="1"/>
  <c r="DD48" i="25"/>
  <c r="DF38" i="25"/>
  <c r="DG38" i="25"/>
  <c r="DG35" i="25"/>
  <c r="DF35" i="25"/>
  <c r="DF34" i="25"/>
  <c r="DG34" i="25"/>
  <c r="DF32" i="25"/>
  <c r="DG32" i="25"/>
  <c r="AV42" i="19"/>
  <c r="AW42" i="19" s="1"/>
  <c r="AW40" i="19"/>
  <c r="I37" i="14"/>
  <c r="P70" i="34"/>
  <c r="AN52" i="26"/>
  <c r="Q57" i="10"/>
  <c r="O34" i="34"/>
  <c r="R604" i="36"/>
  <c r="R601" i="36"/>
  <c r="R597" i="36"/>
  <c r="R594" i="36"/>
  <c r="R592" i="36"/>
  <c r="G62" i="26"/>
  <c r="N41" i="26"/>
  <c r="S41" i="26" s="1"/>
  <c r="U64" i="25"/>
  <c r="DF63" i="25"/>
  <c r="U509" i="36"/>
  <c r="R509" i="36" s="1"/>
  <c r="DD62" i="25"/>
  <c r="U508" i="36"/>
  <c r="R508" i="36" s="1"/>
  <c r="DD61" i="25"/>
  <c r="DF60" i="25"/>
  <c r="DG60" i="25"/>
  <c r="DG59" i="25"/>
  <c r="DF59" i="25"/>
  <c r="U504" i="36"/>
  <c r="R504" i="36" s="1"/>
  <c r="DD57" i="25"/>
  <c r="U503" i="36"/>
  <c r="R503" i="36" s="1"/>
  <c r="DD56" i="25"/>
  <c r="U501" i="36"/>
  <c r="R501" i="36" s="1"/>
  <c r="DD54" i="25"/>
  <c r="U497" i="36"/>
  <c r="R497" i="36" s="1"/>
  <c r="DD50" i="25"/>
  <c r="DG47" i="25"/>
  <c r="DF47" i="25"/>
  <c r="DF46" i="25"/>
  <c r="DG46" i="25"/>
  <c r="DG45" i="25"/>
  <c r="DF45" i="25"/>
  <c r="DF44" i="25"/>
  <c r="DG44" i="25"/>
  <c r="DG43" i="25"/>
  <c r="DI43" i="25" s="1"/>
  <c r="DF43" i="25"/>
  <c r="DH43" i="25" s="1"/>
  <c r="DF42" i="25"/>
  <c r="DG42" i="25"/>
  <c r="DG41" i="25"/>
  <c r="DI41" i="25" s="1"/>
  <c r="DF41" i="25"/>
  <c r="DH41" i="25" s="1"/>
  <c r="DF40" i="25"/>
  <c r="DG40" i="25"/>
  <c r="DG39" i="25"/>
  <c r="DI39" i="25" s="1"/>
  <c r="DF39" i="25"/>
  <c r="DH39" i="25" s="1"/>
  <c r="DG37" i="25"/>
  <c r="DI37" i="25" s="1"/>
  <c r="DF37" i="25"/>
  <c r="DH37" i="25" s="1"/>
  <c r="DF36" i="25"/>
  <c r="DG36" i="25"/>
  <c r="U34" i="25"/>
  <c r="DG33" i="25"/>
  <c r="DF33" i="25"/>
  <c r="DF31" i="25"/>
  <c r="DH31" i="25" s="1"/>
  <c r="DG31" i="25"/>
  <c r="DI31" i="25" s="1"/>
  <c r="DG30" i="25"/>
  <c r="M49" i="10"/>
  <c r="Q49" i="10" s="1"/>
  <c r="M35" i="10"/>
  <c r="Q35" i="10" s="1"/>
  <c r="M33" i="10"/>
  <c r="Q33" i="10" s="1"/>
  <c r="M31" i="10"/>
  <c r="Q31" i="10" s="1"/>
  <c r="M29" i="10"/>
  <c r="Q29" i="10" s="1"/>
  <c r="AR29" i="10" s="1"/>
  <c r="M23" i="10"/>
  <c r="Q23" i="10" s="1"/>
  <c r="AR23" i="10" s="1"/>
  <c r="M16" i="10"/>
  <c r="Q16" i="10" s="1"/>
  <c r="P70" i="26"/>
  <c r="AL70" i="26"/>
  <c r="O70" i="26"/>
  <c r="AK70" i="26"/>
  <c r="AO70" i="26" s="1"/>
  <c r="AR28" i="7"/>
  <c r="CA29" i="25"/>
  <c r="I30" i="30"/>
  <c r="CE29" i="25"/>
  <c r="CE30" i="25"/>
  <c r="BZ29" i="25"/>
  <c r="G63" i="18"/>
  <c r="DD65" i="25" s="1"/>
  <c r="T58" i="33"/>
  <c r="P265" i="36" s="1"/>
  <c r="T54" i="33"/>
  <c r="P261" i="36" s="1"/>
  <c r="T30" i="33"/>
  <c r="T34" i="33"/>
  <c r="T44" i="33"/>
  <c r="P251" i="36" s="1"/>
  <c r="T49" i="33"/>
  <c r="P256" i="36" s="1"/>
  <c r="T36" i="33"/>
  <c r="T42" i="33"/>
  <c r="T35" i="33"/>
  <c r="T38" i="33"/>
  <c r="T56" i="33"/>
  <c r="P263" i="36" s="1"/>
  <c r="T50" i="33"/>
  <c r="P257" i="36" s="1"/>
  <c r="T37" i="33"/>
  <c r="T57" i="33"/>
  <c r="P264" i="36" s="1"/>
  <c r="Q35" i="33"/>
  <c r="M61" i="33"/>
  <c r="Q61" i="33" s="1"/>
  <c r="Q603" i="36" s="1"/>
  <c r="M59" i="33"/>
  <c r="CZ67" i="19"/>
  <c r="DA67" i="19" s="1"/>
  <c r="M49" i="14"/>
  <c r="E52" i="29" s="1"/>
  <c r="AY48" i="19"/>
  <c r="U539" i="36"/>
  <c r="M62" i="29"/>
  <c r="U530" i="36"/>
  <c r="M53" i="29"/>
  <c r="F65" i="29"/>
  <c r="F57" i="29"/>
  <c r="M60" i="29"/>
  <c r="M57" i="29"/>
  <c r="M75" i="29" s="1"/>
  <c r="P39" i="10"/>
  <c r="AQ39" i="10" s="1"/>
  <c r="P13" i="10"/>
  <c r="AQ14" i="10" s="1"/>
  <c r="L68" i="14"/>
  <c r="S57" i="26"/>
  <c r="S44" i="26"/>
  <c r="S47" i="26"/>
  <c r="S38" i="26"/>
  <c r="S32" i="26"/>
  <c r="G71" i="26"/>
  <c r="AJ71" i="26" s="1"/>
  <c r="Q52" i="33"/>
  <c r="Q42" i="33"/>
  <c r="Q57" i="33"/>
  <c r="Q51" i="33"/>
  <c r="Q45" i="33"/>
  <c r="Q56" i="33"/>
  <c r="Q41" i="33"/>
  <c r="M67" i="29"/>
  <c r="O60" i="26"/>
  <c r="Q40" i="33"/>
  <c r="AR30" i="7"/>
  <c r="BZ60" i="25"/>
  <c r="BX60" i="25"/>
  <c r="T435" i="36"/>
  <c r="P435" i="36" s="1"/>
  <c r="P51" i="25"/>
  <c r="P65" i="25"/>
  <c r="T449" i="36"/>
  <c r="P449" i="36" s="1"/>
  <c r="AT26" i="7"/>
  <c r="AW26" i="7" s="1"/>
  <c r="AU26" i="7"/>
  <c r="AX26" i="7" s="1"/>
  <c r="AT24" i="7"/>
  <c r="AW24" i="7" s="1"/>
  <c r="AU24" i="7"/>
  <c r="AQ71" i="10"/>
  <c r="AT14" i="10"/>
  <c r="AW15" i="10" s="1"/>
  <c r="L59" i="10"/>
  <c r="P59" i="10" s="1"/>
  <c r="F59" i="10"/>
  <c r="AF59" i="10" s="1"/>
  <c r="L48" i="10"/>
  <c r="P48" i="10" s="1"/>
  <c r="AQ48" i="10" s="1"/>
  <c r="F48" i="10"/>
  <c r="AF48" i="10" s="1"/>
  <c r="L31" i="10"/>
  <c r="P31" i="10" s="1"/>
  <c r="AQ31" i="10" s="1"/>
  <c r="F31" i="10"/>
  <c r="AQ40" i="10"/>
  <c r="AW49" i="10"/>
  <c r="AW32" i="10"/>
  <c r="P65" i="10"/>
  <c r="J63" i="7"/>
  <c r="AT63" i="7" s="1"/>
  <c r="J62" i="7"/>
  <c r="J49" i="7"/>
  <c r="AW14" i="7"/>
  <c r="P42" i="10"/>
  <c r="J43" i="10"/>
  <c r="J25" i="10"/>
  <c r="AW58" i="7"/>
  <c r="AW59" i="7"/>
  <c r="AQ15" i="10"/>
  <c r="AW36" i="10"/>
  <c r="AW12" i="7"/>
  <c r="AW13" i="7"/>
  <c r="AW24" i="10"/>
  <c r="AW16" i="7"/>
  <c r="AW17" i="7"/>
  <c r="AI52" i="10"/>
  <c r="P66" i="10"/>
  <c r="P64" i="10"/>
  <c r="AQ64" i="10" s="1"/>
  <c r="D72" i="33"/>
  <c r="T500" i="36"/>
  <c r="P500" i="36" s="1"/>
  <c r="U53" i="25"/>
  <c r="J64" i="7"/>
  <c r="J56" i="7"/>
  <c r="AT56" i="7" s="1"/>
  <c r="AW56" i="7" s="1"/>
  <c r="M56" i="7"/>
  <c r="Q56" i="7" s="1"/>
  <c r="J60" i="10"/>
  <c r="P69" i="10"/>
  <c r="AQ70" i="10" s="1"/>
  <c r="S45" i="25"/>
  <c r="L73" i="25"/>
  <c r="J42" i="7"/>
  <c r="D62" i="10"/>
  <c r="P463" i="36"/>
  <c r="J65" i="7"/>
  <c r="K64" i="25" s="1"/>
  <c r="J60" i="7"/>
  <c r="AU60" i="7" s="1"/>
  <c r="J45" i="7"/>
  <c r="J43" i="7"/>
  <c r="K42" i="25" s="1"/>
  <c r="J38" i="7"/>
  <c r="K37" i="25" s="1"/>
  <c r="J33" i="7"/>
  <c r="AU33" i="7" s="1"/>
  <c r="J32" i="7"/>
  <c r="AW21" i="7"/>
  <c r="J27" i="10"/>
  <c r="J13" i="10"/>
  <c r="Q509" i="36"/>
  <c r="BT62" i="25"/>
  <c r="BG12" i="25"/>
  <c r="AQ68" i="10"/>
  <c r="CG36" i="25"/>
  <c r="CG35" i="25"/>
  <c r="BW35" i="25"/>
  <c r="AQ17" i="10"/>
  <c r="T436" i="36"/>
  <c r="P436" i="36" s="1"/>
  <c r="O13" i="25"/>
  <c r="AI16" i="10"/>
  <c r="AQ22" i="10"/>
  <c r="AQ23" i="10"/>
  <c r="AQ45" i="10"/>
  <c r="AQ46" i="10"/>
  <c r="AW25" i="7"/>
  <c r="AU65" i="7"/>
  <c r="AT43" i="7"/>
  <c r="AT38" i="7"/>
  <c r="L55" i="10"/>
  <c r="P55" i="10" s="1"/>
  <c r="F55" i="10"/>
  <c r="S44" i="25"/>
  <c r="S100" i="25" s="1"/>
  <c r="J48" i="7"/>
  <c r="M44" i="7"/>
  <c r="Q44" i="7" s="1"/>
  <c r="AR44" i="7" s="1"/>
  <c r="M34" i="7"/>
  <c r="Q34" i="7" s="1"/>
  <c r="AR34" i="7" s="1"/>
  <c r="F61" i="10"/>
  <c r="F56" i="10"/>
  <c r="U49" i="25"/>
  <c r="U44" i="25"/>
  <c r="S39" i="25"/>
  <c r="S95" i="25" s="1"/>
  <c r="S35" i="25"/>
  <c r="S91" i="25" s="1"/>
  <c r="M52" i="7"/>
  <c r="Q52" i="7" s="1"/>
  <c r="M47" i="7"/>
  <c r="Q47" i="7" s="1"/>
  <c r="AR47" i="7" s="1"/>
  <c r="M59" i="10"/>
  <c r="Q59" i="10" s="1"/>
  <c r="J47" i="10"/>
  <c r="M47" i="10"/>
  <c r="Q47" i="10" s="1"/>
  <c r="M12" i="10"/>
  <c r="Q12" i="10" s="1"/>
  <c r="J12" i="10"/>
  <c r="M53" i="10"/>
  <c r="Q53" i="10" s="1"/>
  <c r="F45" i="10"/>
  <c r="Y45" i="10" s="1"/>
  <c r="F44" i="10"/>
  <c r="M41" i="10"/>
  <c r="Q41" i="10" s="1"/>
  <c r="M39" i="10"/>
  <c r="Q39" i="10" s="1"/>
  <c r="F33" i="10"/>
  <c r="F28" i="10"/>
  <c r="M68" i="7"/>
  <c r="Q68" i="7" s="1"/>
  <c r="U443" i="36"/>
  <c r="R443" i="36" s="1"/>
  <c r="S59" i="25"/>
  <c r="S50" i="25"/>
  <c r="P71" i="26"/>
  <c r="O71" i="26"/>
  <c r="K15" i="32"/>
  <c r="AS13" i="33"/>
  <c r="AT13" i="33"/>
  <c r="P537" i="36"/>
  <c r="AS14" i="33"/>
  <c r="AT14" i="33"/>
  <c r="K16" i="32"/>
  <c r="J39" i="33"/>
  <c r="P58" i="26"/>
  <c r="G54" i="34"/>
  <c r="G41" i="34"/>
  <c r="L71" i="26"/>
  <c r="BB71" i="26" s="1"/>
  <c r="BF72" i="26" s="1"/>
  <c r="AW18" i="33"/>
  <c r="O31" i="1"/>
  <c r="P545" i="36"/>
  <c r="P528" i="36"/>
  <c r="O65" i="26"/>
  <c r="L70" i="26"/>
  <c r="BD70" i="26" s="1"/>
  <c r="O69" i="34"/>
  <c r="L35" i="1"/>
  <c r="AJ25" i="7"/>
  <c r="I19" i="25"/>
  <c r="BA19" i="25" s="1"/>
  <c r="I22" i="25"/>
  <c r="V22" i="25"/>
  <c r="BA22" i="25"/>
  <c r="AI24" i="33"/>
  <c r="G67" i="26"/>
  <c r="P63" i="26"/>
  <c r="O61" i="26"/>
  <c r="E52" i="19"/>
  <c r="C52" i="19" s="1"/>
  <c r="B52" i="14" s="1"/>
  <c r="D55" i="34" s="1"/>
  <c r="E50" i="19"/>
  <c r="C50" i="19" s="1"/>
  <c r="B50" i="14" s="1"/>
  <c r="D53" i="34" s="1"/>
  <c r="E48" i="19"/>
  <c r="C48" i="19" s="1"/>
  <c r="B48" i="14" s="1"/>
  <c r="D51" i="34" s="1"/>
  <c r="E47" i="19"/>
  <c r="C47" i="19" s="1"/>
  <c r="B47" i="14" s="1"/>
  <c r="D50" i="34" s="1"/>
  <c r="E46" i="19"/>
  <c r="C46" i="19" s="1"/>
  <c r="B46" i="14" s="1"/>
  <c r="D49" i="34" s="1"/>
  <c r="E44" i="19"/>
  <c r="C44" i="19" s="1"/>
  <c r="B44" i="14" s="1"/>
  <c r="D47" i="34" s="1"/>
  <c r="E43" i="19"/>
  <c r="C43" i="19" s="1"/>
  <c r="B43" i="14" s="1"/>
  <c r="D46" i="34" s="1"/>
  <c r="E41" i="19"/>
  <c r="C41" i="19" s="1"/>
  <c r="B41" i="14" s="1"/>
  <c r="D44" i="34" s="1"/>
  <c r="E40" i="19"/>
  <c r="C40" i="19" s="1"/>
  <c r="B40" i="14" s="1"/>
  <c r="D43" i="34" s="1"/>
  <c r="U57" i="25"/>
  <c r="S54" i="25"/>
  <c r="M55" i="7"/>
  <c r="Q55" i="7" s="1"/>
  <c r="L64" i="14"/>
  <c r="L49" i="14"/>
  <c r="E62" i="19"/>
  <c r="C62" i="19" s="1"/>
  <c r="B62" i="14" s="1"/>
  <c r="D65" i="34" s="1"/>
  <c r="E60" i="19"/>
  <c r="C60" i="19" s="1"/>
  <c r="B60" i="14" s="1"/>
  <c r="D63" i="34" s="1"/>
  <c r="E59" i="19"/>
  <c r="C59" i="19" s="1"/>
  <c r="B59" i="14" s="1"/>
  <c r="D62" i="34" s="1"/>
  <c r="AW37" i="19"/>
  <c r="BH13" i="25"/>
  <c r="BE30" i="10"/>
  <c r="AI12" i="10"/>
  <c r="G38" i="34"/>
  <c r="AE25" i="33"/>
  <c r="F27" i="32"/>
  <c r="AF25" i="33"/>
  <c r="H44" i="25"/>
  <c r="G68" i="26"/>
  <c r="O67" i="26"/>
  <c r="P66" i="26"/>
  <c r="N60" i="26"/>
  <c r="G60" i="26"/>
  <c r="L61" i="14"/>
  <c r="M45" i="10"/>
  <c r="Q45" i="10" s="1"/>
  <c r="L53" i="14"/>
  <c r="L45" i="14"/>
  <c r="L30" i="14"/>
  <c r="C67" i="19"/>
  <c r="G69" i="34"/>
  <c r="AJ69" i="34" s="1"/>
  <c r="Q502" i="36"/>
  <c r="AI12" i="30"/>
  <c r="AJ12" i="30"/>
  <c r="AI14" i="10"/>
  <c r="AI15" i="10"/>
  <c r="E25" i="30"/>
  <c r="BA24" i="25"/>
  <c r="AR71" i="10"/>
  <c r="G34" i="34"/>
  <c r="P34" i="34"/>
  <c r="AK16" i="10"/>
  <c r="AM16" i="10" s="1"/>
  <c r="AJ39" i="10"/>
  <c r="AE27" i="33"/>
  <c r="F29" i="32"/>
  <c r="F26" i="32"/>
  <c r="AE24" i="33"/>
  <c r="AE23" i="33"/>
  <c r="F25" i="32"/>
  <c r="AE22" i="33"/>
  <c r="AH22" i="33" s="1"/>
  <c r="F24" i="32"/>
  <c r="P65" i="34"/>
  <c r="M37" i="33"/>
  <c r="O69" i="26"/>
  <c r="P64" i="26"/>
  <c r="P60" i="26"/>
  <c r="P59" i="26"/>
  <c r="O57" i="26"/>
  <c r="P56" i="26"/>
  <c r="N56" i="26"/>
  <c r="N53" i="26"/>
  <c r="S53" i="26" s="1"/>
  <c r="O52" i="26"/>
  <c r="O50" i="26"/>
  <c r="P49" i="26"/>
  <c r="P47" i="26"/>
  <c r="E69" i="25"/>
  <c r="M61" i="10"/>
  <c r="Q61" i="10" s="1"/>
  <c r="R44" i="33"/>
  <c r="U44" i="33" s="1"/>
  <c r="AS11" i="33"/>
  <c r="K13" i="32"/>
  <c r="AW10" i="33"/>
  <c r="P586" i="36"/>
  <c r="P587" i="36"/>
  <c r="P603" i="36"/>
  <c r="P599" i="36"/>
  <c r="P597" i="36"/>
  <c r="P596" i="36"/>
  <c r="P592" i="36"/>
  <c r="P590" i="36"/>
  <c r="P602" i="36"/>
  <c r="P601" i="36"/>
  <c r="P595" i="36"/>
  <c r="P594" i="36"/>
  <c r="N69" i="34"/>
  <c r="L69" i="34"/>
  <c r="BB69" i="34" s="1"/>
  <c r="N68" i="34"/>
  <c r="L68" i="34"/>
  <c r="BB68" i="34" s="1"/>
  <c r="J47" i="24"/>
  <c r="BD53" i="1"/>
  <c r="BF25" i="24"/>
  <c r="I25" i="32"/>
  <c r="BE25" i="24"/>
  <c r="BF10" i="24"/>
  <c r="K39" i="32"/>
  <c r="AT37" i="33"/>
  <c r="P576" i="36"/>
  <c r="P554" i="36"/>
  <c r="P71" i="34"/>
  <c r="D26" i="1" l="1"/>
  <c r="G26" i="1" s="1"/>
  <c r="D26" i="60"/>
  <c r="D66" i="1"/>
  <c r="N66" i="1" s="1"/>
  <c r="D66" i="60"/>
  <c r="V66" i="60" s="1"/>
  <c r="D62" i="1"/>
  <c r="N62" i="1" s="1"/>
  <c r="D62" i="60"/>
  <c r="V62" i="60" s="1"/>
  <c r="D58" i="1"/>
  <c r="N58" i="1" s="1"/>
  <c r="D58" i="60"/>
  <c r="D54" i="1"/>
  <c r="N54" i="1" s="1"/>
  <c r="D54" i="60"/>
  <c r="D50" i="1"/>
  <c r="N50" i="1" s="1"/>
  <c r="D50" i="60"/>
  <c r="D46" i="1"/>
  <c r="N46" i="1" s="1"/>
  <c r="D46" i="60"/>
  <c r="D42" i="1"/>
  <c r="N42" i="1" s="1"/>
  <c r="D42" i="60"/>
  <c r="D38" i="1"/>
  <c r="N38" i="1" s="1"/>
  <c r="D38" i="60"/>
  <c r="D34" i="1"/>
  <c r="D34" i="60"/>
  <c r="D30" i="1"/>
  <c r="D30" i="60"/>
  <c r="D71" i="1"/>
  <c r="N71" i="1" s="1"/>
  <c r="D71" i="60"/>
  <c r="V71" i="60" s="1"/>
  <c r="D67" i="1"/>
  <c r="N67" i="1" s="1"/>
  <c r="D67" i="60"/>
  <c r="V67" i="60" s="1"/>
  <c r="D27" i="1"/>
  <c r="D27" i="60"/>
  <c r="D63" i="1"/>
  <c r="N63" i="1" s="1"/>
  <c r="D63" i="60"/>
  <c r="V63" i="60" s="1"/>
  <c r="D59" i="1"/>
  <c r="D59" i="60"/>
  <c r="D55" i="1"/>
  <c r="D55" i="60"/>
  <c r="D51" i="1"/>
  <c r="N51" i="1" s="1"/>
  <c r="D51" i="60"/>
  <c r="D47" i="1"/>
  <c r="D47" i="60"/>
  <c r="D43" i="1"/>
  <c r="D43" i="60"/>
  <c r="D39" i="1"/>
  <c r="D39" i="60"/>
  <c r="D35" i="1"/>
  <c r="D35" i="60"/>
  <c r="D31" i="1"/>
  <c r="D31" i="60"/>
  <c r="X51" i="60"/>
  <c r="X54" i="60"/>
  <c r="D68" i="1"/>
  <c r="N68" i="1" s="1"/>
  <c r="D68" i="60"/>
  <c r="V68" i="60" s="1"/>
  <c r="D28" i="1"/>
  <c r="D28" i="60"/>
  <c r="D64" i="1"/>
  <c r="N64" i="1" s="1"/>
  <c r="D64" i="60"/>
  <c r="V64" i="60" s="1"/>
  <c r="D60" i="1"/>
  <c r="D60" i="60"/>
  <c r="D56" i="1"/>
  <c r="D56" i="60"/>
  <c r="D52" i="1"/>
  <c r="D52" i="60"/>
  <c r="D48" i="1"/>
  <c r="D48" i="60"/>
  <c r="D44" i="1"/>
  <c r="D44" i="60"/>
  <c r="D40" i="1"/>
  <c r="D40" i="60"/>
  <c r="D36" i="1"/>
  <c r="D36" i="60"/>
  <c r="D32" i="1"/>
  <c r="D32" i="60"/>
  <c r="D69" i="1"/>
  <c r="N69" i="1" s="1"/>
  <c r="D69" i="60"/>
  <c r="V69" i="60" s="1"/>
  <c r="D29" i="1"/>
  <c r="G29" i="1" s="1"/>
  <c r="D29" i="60"/>
  <c r="D65" i="1"/>
  <c r="N65" i="1" s="1"/>
  <c r="D65" i="60"/>
  <c r="V65" i="60" s="1"/>
  <c r="D61" i="1"/>
  <c r="D61" i="60"/>
  <c r="D57" i="1"/>
  <c r="D57" i="60"/>
  <c r="D53" i="1"/>
  <c r="D53" i="60"/>
  <c r="D49" i="1"/>
  <c r="D49" i="60"/>
  <c r="D45" i="1"/>
  <c r="D45" i="60"/>
  <c r="D41" i="1"/>
  <c r="D41" i="60"/>
  <c r="D37" i="1"/>
  <c r="D37" i="60"/>
  <c r="D33" i="1"/>
  <c r="D33" i="60"/>
  <c r="X74" i="60"/>
  <c r="AF44" i="60" s="1"/>
  <c r="X41" i="60"/>
  <c r="Q50" i="33"/>
  <c r="T51" i="33"/>
  <c r="P258" i="36" s="1"/>
  <c r="T47" i="33"/>
  <c r="P254" i="36" s="1"/>
  <c r="X57" i="60"/>
  <c r="O57" i="60"/>
  <c r="T46" i="33"/>
  <c r="P253" i="36" s="1"/>
  <c r="T37" i="1"/>
  <c r="T44" i="1"/>
  <c r="T47" i="1"/>
  <c r="AS60" i="33"/>
  <c r="T60" i="33"/>
  <c r="P267" i="36" s="1"/>
  <c r="BD40" i="1"/>
  <c r="J40" i="24"/>
  <c r="BC40" i="1"/>
  <c r="BD52" i="1"/>
  <c r="T58" i="1"/>
  <c r="AV13" i="33"/>
  <c r="BF22" i="24"/>
  <c r="BB40" i="1"/>
  <c r="T32" i="1"/>
  <c r="BH41" i="1"/>
  <c r="BE10" i="24"/>
  <c r="BB53" i="1"/>
  <c r="J53" i="24"/>
  <c r="F67" i="33"/>
  <c r="AE67" i="33" s="1"/>
  <c r="Q37" i="33"/>
  <c r="P540" i="36"/>
  <c r="P546" i="36"/>
  <c r="P527" i="36"/>
  <c r="AW13" i="33"/>
  <c r="Q48" i="33"/>
  <c r="AQ49" i="33" s="1"/>
  <c r="Q47" i="33"/>
  <c r="Q38" i="33"/>
  <c r="AQ38" i="33" s="1"/>
  <c r="Q44" i="33"/>
  <c r="Q39" i="33"/>
  <c r="AQ40" i="33" s="1"/>
  <c r="Q55" i="33"/>
  <c r="Q54" i="33"/>
  <c r="AQ55" i="33" s="1"/>
  <c r="Q59" i="33"/>
  <c r="Q36" i="33"/>
  <c r="T40" i="33"/>
  <c r="T31" i="33"/>
  <c r="E28" i="18"/>
  <c r="E29" i="18"/>
  <c r="F31" i="25" s="1"/>
  <c r="T31" i="25" s="1"/>
  <c r="Q31" i="33"/>
  <c r="J19" i="24"/>
  <c r="L19" i="24" s="1"/>
  <c r="L33" i="29"/>
  <c r="Q53" i="33"/>
  <c r="Q595" i="36" s="1"/>
  <c r="BB48" i="1"/>
  <c r="U573" i="36"/>
  <c r="J48" i="24"/>
  <c r="BG43" i="26"/>
  <c r="BD57" i="26"/>
  <c r="BB58" i="26"/>
  <c r="BF59" i="26" s="1"/>
  <c r="BB68" i="26"/>
  <c r="K45" i="32"/>
  <c r="H58" i="29"/>
  <c r="BD59" i="1"/>
  <c r="F74" i="32"/>
  <c r="BC33" i="26"/>
  <c r="Q60" i="33"/>
  <c r="BG11" i="1"/>
  <c r="P40" i="1"/>
  <c r="AW21" i="33"/>
  <c r="K42" i="32"/>
  <c r="J35" i="26"/>
  <c r="AJ31" i="26"/>
  <c r="AN31" i="26" s="1"/>
  <c r="AP31" i="26"/>
  <c r="AK31" i="26"/>
  <c r="AS36" i="33"/>
  <c r="AV37" i="33" s="1"/>
  <c r="K38" i="32"/>
  <c r="AW37" i="33"/>
  <c r="K36" i="1"/>
  <c r="N36" i="60"/>
  <c r="K32" i="1"/>
  <c r="P32" i="1" s="1"/>
  <c r="N32" i="60"/>
  <c r="X60" i="60"/>
  <c r="AF60" i="60" s="1"/>
  <c r="O60" i="60"/>
  <c r="BO60" i="60" s="1"/>
  <c r="W62" i="60"/>
  <c r="AE62" i="60" s="1"/>
  <c r="BJ62" i="60" s="1"/>
  <c r="O59" i="60"/>
  <c r="X59" i="60"/>
  <c r="AF59" i="60" s="1"/>
  <c r="BO59" i="60"/>
  <c r="BN34" i="60"/>
  <c r="BM34" i="60"/>
  <c r="AI34" i="60"/>
  <c r="X37" i="60"/>
  <c r="AF37" i="60" s="1"/>
  <c r="O37" i="60"/>
  <c r="O39" i="60"/>
  <c r="X39" i="60"/>
  <c r="AF39" i="60" s="1"/>
  <c r="O40" i="60"/>
  <c r="X40" i="60"/>
  <c r="AF40" i="60" s="1"/>
  <c r="BO40" i="60"/>
  <c r="X58" i="60"/>
  <c r="AF58" i="60" s="1"/>
  <c r="O58" i="60"/>
  <c r="BO58" i="60" s="1"/>
  <c r="X35" i="60"/>
  <c r="AF35" i="60" s="1"/>
  <c r="O35" i="60"/>
  <c r="BD44" i="1"/>
  <c r="BH44" i="1" s="1"/>
  <c r="J44" i="24"/>
  <c r="K33" i="1"/>
  <c r="P33" i="1" s="1"/>
  <c r="N33" i="60"/>
  <c r="K38" i="1"/>
  <c r="N38" i="60"/>
  <c r="W63" i="60"/>
  <c r="AE63" i="60" s="1"/>
  <c r="BJ63" i="60" s="1"/>
  <c r="O31" i="60"/>
  <c r="BO31" i="60" s="1"/>
  <c r="BS31" i="60" s="1"/>
  <c r="X31" i="60"/>
  <c r="AF31" i="60" s="1"/>
  <c r="BK31" i="60" s="1"/>
  <c r="AT15" i="24"/>
  <c r="AW15" i="24" s="1"/>
  <c r="D15" i="32"/>
  <c r="G15" i="32" s="1"/>
  <c r="AP15" i="32" s="1"/>
  <c r="AT15" i="32" s="1"/>
  <c r="AN14" i="32"/>
  <c r="AO15" i="32"/>
  <c r="AS15" i="32" s="1"/>
  <c r="AQ16" i="24"/>
  <c r="AN15" i="32"/>
  <c r="AR15" i="32" s="1"/>
  <c r="D14" i="30"/>
  <c r="F14" i="30" s="1"/>
  <c r="AQ66" i="10"/>
  <c r="AR54" i="7"/>
  <c r="P468" i="36"/>
  <c r="P480" i="36"/>
  <c r="P483" i="36"/>
  <c r="P473" i="36"/>
  <c r="P475" i="36"/>
  <c r="P477" i="36"/>
  <c r="P482" i="36"/>
  <c r="P461" i="36"/>
  <c r="P469" i="36"/>
  <c r="P466" i="36"/>
  <c r="P470" i="36"/>
  <c r="P479" i="36"/>
  <c r="P481" i="36"/>
  <c r="P471" i="36"/>
  <c r="P474" i="36"/>
  <c r="P476" i="36"/>
  <c r="P478" i="36"/>
  <c r="P484" i="36"/>
  <c r="P472" i="36"/>
  <c r="K55" i="25"/>
  <c r="AQ28" i="10"/>
  <c r="AQ41" i="10"/>
  <c r="AQ12" i="10"/>
  <c r="AX71" i="10"/>
  <c r="AQ29" i="10"/>
  <c r="AQ42" i="10"/>
  <c r="AQ13" i="10"/>
  <c r="Y68" i="10"/>
  <c r="S388" i="36" s="1"/>
  <c r="Y67" i="10"/>
  <c r="S387" i="36" s="1"/>
  <c r="Y37" i="10"/>
  <c r="Y11" i="10"/>
  <c r="Y21" i="10"/>
  <c r="Y60" i="10"/>
  <c r="S380" i="36" s="1"/>
  <c r="AQ33" i="10"/>
  <c r="AQ26" i="10"/>
  <c r="AQ25" i="10"/>
  <c r="AI20" i="10"/>
  <c r="AK20" i="10" s="1"/>
  <c r="AW29" i="7"/>
  <c r="N64" i="10"/>
  <c r="AF64" i="10"/>
  <c r="AI64" i="10" s="1"/>
  <c r="AG64" i="10"/>
  <c r="AJ64" i="10" s="1"/>
  <c r="H63" i="25"/>
  <c r="V63" i="25" s="1"/>
  <c r="V119" i="25" s="1"/>
  <c r="AU75" i="7"/>
  <c r="AT75" i="7"/>
  <c r="I10" i="25"/>
  <c r="V10" i="25"/>
  <c r="K32" i="25"/>
  <c r="K59" i="25"/>
  <c r="AW27" i="7"/>
  <c r="Y19" i="10"/>
  <c r="Y16" i="10"/>
  <c r="Y66" i="10"/>
  <c r="S386" i="36" s="1"/>
  <c r="Y15" i="10"/>
  <c r="Y52" i="10"/>
  <c r="S372" i="36" s="1"/>
  <c r="Y35" i="10"/>
  <c r="Y13" i="10"/>
  <c r="Y26" i="10"/>
  <c r="Y41" i="10"/>
  <c r="AN42" i="10"/>
  <c r="AX34" i="10"/>
  <c r="AG60" i="10"/>
  <c r="CA27" i="25"/>
  <c r="CG28" i="25" s="1"/>
  <c r="BY27" i="25"/>
  <c r="CE28" i="25" s="1"/>
  <c r="BW27" i="25"/>
  <c r="CC28" i="25" s="1"/>
  <c r="BX27" i="25"/>
  <c r="CD28" i="25" s="1"/>
  <c r="BZ27" i="25"/>
  <c r="CF28" i="25" s="1"/>
  <c r="AT39" i="10"/>
  <c r="AW40" i="10" s="1"/>
  <c r="O38" i="25"/>
  <c r="V38" i="25" s="1"/>
  <c r="V94" i="25" s="1"/>
  <c r="AU39" i="10"/>
  <c r="AX40" i="10" s="1"/>
  <c r="O37" i="25"/>
  <c r="V37" i="25" s="1"/>
  <c r="V93" i="25" s="1"/>
  <c r="AT38" i="10"/>
  <c r="AX70" i="10"/>
  <c r="N57" i="10"/>
  <c r="N75" i="10" s="1"/>
  <c r="H56" i="25"/>
  <c r="V56" i="25" s="1"/>
  <c r="AF57" i="10"/>
  <c r="AI58" i="10" s="1"/>
  <c r="AG57" i="10"/>
  <c r="AJ58" i="10" s="1"/>
  <c r="BD36" i="26"/>
  <c r="AM58" i="13"/>
  <c r="N61" i="60"/>
  <c r="K60" i="1"/>
  <c r="J36" i="29"/>
  <c r="AV36" i="29" s="1"/>
  <c r="J31" i="26"/>
  <c r="P31" i="26"/>
  <c r="AT46" i="33"/>
  <c r="K48" i="32"/>
  <c r="J34" i="26"/>
  <c r="P34" i="26"/>
  <c r="J32" i="26"/>
  <c r="P32" i="26"/>
  <c r="AG8" i="13"/>
  <c r="C3" i="58"/>
  <c r="E3" i="58" s="1"/>
  <c r="AG36" i="13"/>
  <c r="C31" i="58"/>
  <c r="E31" i="58" s="1"/>
  <c r="H31" i="58" s="1"/>
  <c r="AG35" i="13"/>
  <c r="C30" i="58"/>
  <c r="E30" i="58" s="1"/>
  <c r="H30" i="58" s="1"/>
  <c r="AG42" i="13"/>
  <c r="C37" i="58"/>
  <c r="E37" i="58" s="1"/>
  <c r="H37" i="58" s="1"/>
  <c r="AG40" i="13"/>
  <c r="C35" i="58"/>
  <c r="E35" i="58" s="1"/>
  <c r="H35" i="58" s="1"/>
  <c r="E6" i="59"/>
  <c r="F6" i="59" s="1"/>
  <c r="B29" i="13"/>
  <c r="I31" i="34" s="1"/>
  <c r="E26" i="59"/>
  <c r="F26" i="59" s="1"/>
  <c r="B49" i="13"/>
  <c r="I51" i="34" s="1"/>
  <c r="L51" i="34" s="1"/>
  <c r="E36" i="59"/>
  <c r="F36" i="59" s="1"/>
  <c r="E37" i="59"/>
  <c r="F37" i="59" s="1"/>
  <c r="B60" i="13"/>
  <c r="I62" i="34" s="1"/>
  <c r="L62" i="34" s="1"/>
  <c r="BD62" i="34" s="1"/>
  <c r="E10" i="59"/>
  <c r="F10" i="59" s="1"/>
  <c r="B33" i="13"/>
  <c r="I35" i="34" s="1"/>
  <c r="L35" i="34" s="1"/>
  <c r="BD35" i="34" s="1"/>
  <c r="E32" i="59"/>
  <c r="E40" i="59"/>
  <c r="F40" i="59" s="1"/>
  <c r="B63" i="13"/>
  <c r="I65" i="34" s="1"/>
  <c r="E39" i="59"/>
  <c r="B62" i="13"/>
  <c r="I64" i="34" s="1"/>
  <c r="L64" i="34" s="1"/>
  <c r="E8" i="59"/>
  <c r="F8" i="59" s="1"/>
  <c r="B31" i="13"/>
  <c r="I33" i="34" s="1"/>
  <c r="L33" i="34" s="1"/>
  <c r="BB33" i="34" s="1"/>
  <c r="C37" i="13"/>
  <c r="J39" i="34" s="1"/>
  <c r="O39" i="34" s="1"/>
  <c r="AC38" i="13"/>
  <c r="N35" i="34"/>
  <c r="AG30" i="13"/>
  <c r="C25" i="58"/>
  <c r="E25" i="58" s="1"/>
  <c r="H25" i="58" s="1"/>
  <c r="I29" i="34"/>
  <c r="AG27" i="13"/>
  <c r="B27" i="13" s="1"/>
  <c r="C22" i="58"/>
  <c r="E22" i="58" s="1"/>
  <c r="H22" i="58" s="1"/>
  <c r="AG38" i="13"/>
  <c r="C33" i="58"/>
  <c r="E33" i="58" s="1"/>
  <c r="H33" i="58" s="1"/>
  <c r="AG37" i="13"/>
  <c r="C32" i="58"/>
  <c r="E32" i="58" s="1"/>
  <c r="H32" i="58" s="1"/>
  <c r="AG41" i="13"/>
  <c r="C36" i="58"/>
  <c r="E36" i="58" s="1"/>
  <c r="H36" i="58" s="1"/>
  <c r="AG47" i="13"/>
  <c r="C42" i="58"/>
  <c r="E42" i="58" s="1"/>
  <c r="H42" i="58" s="1"/>
  <c r="AG45" i="13"/>
  <c r="C40" i="58"/>
  <c r="E40" i="58" s="1"/>
  <c r="H40" i="58" s="1"/>
  <c r="AG46" i="13"/>
  <c r="C41" i="58"/>
  <c r="E41" i="58" s="1"/>
  <c r="H41" i="58" s="1"/>
  <c r="AG48" i="13"/>
  <c r="C43" i="58"/>
  <c r="E43" i="58" s="1"/>
  <c r="H43" i="58" s="1"/>
  <c r="AG43" i="13"/>
  <c r="C38" i="58"/>
  <c r="E38" i="58" s="1"/>
  <c r="H38" i="58" s="1"/>
  <c r="BC37" i="26"/>
  <c r="BG37" i="26" s="1"/>
  <c r="F32" i="59"/>
  <c r="F39" i="59"/>
  <c r="R68" i="13"/>
  <c r="S68" i="13" s="1"/>
  <c r="Q29" i="13"/>
  <c r="R29" i="13" s="1"/>
  <c r="S29" i="13" s="1"/>
  <c r="P30" i="13"/>
  <c r="Q30" i="13" s="1"/>
  <c r="R30" i="13" s="1"/>
  <c r="S30" i="13" s="1"/>
  <c r="P32" i="13"/>
  <c r="Q32" i="13" s="1"/>
  <c r="R32" i="13" s="1"/>
  <c r="S32" i="13" s="1"/>
  <c r="P31" i="13"/>
  <c r="Q31" i="13" s="1"/>
  <c r="R31" i="13" s="1"/>
  <c r="S31" i="13" s="1"/>
  <c r="P33" i="13"/>
  <c r="Q33" i="13" s="1"/>
  <c r="R33" i="13" s="1"/>
  <c r="S33" i="13" s="1"/>
  <c r="E27" i="59"/>
  <c r="F27" i="59" s="1"/>
  <c r="E28" i="59"/>
  <c r="F28" i="59" s="1"/>
  <c r="E29" i="59"/>
  <c r="F29" i="59" s="1"/>
  <c r="E30" i="59"/>
  <c r="F30" i="59" s="1"/>
  <c r="E33" i="59"/>
  <c r="F33" i="59" s="1"/>
  <c r="E34" i="59"/>
  <c r="F34" i="59" s="1"/>
  <c r="E38" i="59"/>
  <c r="F38" i="59" s="1"/>
  <c r="B61" i="13"/>
  <c r="I63" i="34" s="1"/>
  <c r="L63" i="34" s="1"/>
  <c r="BD63" i="34" s="1"/>
  <c r="E9" i="59"/>
  <c r="F9" i="59" s="1"/>
  <c r="B32" i="13"/>
  <c r="I34" i="34" s="1"/>
  <c r="R69" i="13"/>
  <c r="S69" i="13" s="1"/>
  <c r="N68" i="14"/>
  <c r="D69" i="33" s="1"/>
  <c r="L69" i="33" s="1"/>
  <c r="V42" i="14"/>
  <c r="E68" i="18"/>
  <c r="N73" i="14" s="1"/>
  <c r="N74" i="14" s="1"/>
  <c r="E11" i="59"/>
  <c r="F11" i="59" s="1"/>
  <c r="B34" i="13"/>
  <c r="I36" i="34" s="1"/>
  <c r="E16" i="59"/>
  <c r="F16" i="59" s="1"/>
  <c r="B39" i="13"/>
  <c r="I41" i="34" s="1"/>
  <c r="E21" i="59"/>
  <c r="F21" i="59" s="1"/>
  <c r="F49" i="59" s="1"/>
  <c r="E31" i="59"/>
  <c r="F31" i="59" s="1"/>
  <c r="B54" i="13"/>
  <c r="I56" i="34" s="1"/>
  <c r="E41" i="59"/>
  <c r="F41" i="59" s="1"/>
  <c r="B64" i="13"/>
  <c r="I66" i="34" s="1"/>
  <c r="L66" i="34" s="1"/>
  <c r="R65" i="13"/>
  <c r="S65" i="13" s="1"/>
  <c r="E35" i="59"/>
  <c r="F35" i="59" s="1"/>
  <c r="E42" i="59"/>
  <c r="F42" i="59" s="1"/>
  <c r="B65" i="13"/>
  <c r="I67" i="34" s="1"/>
  <c r="L67" i="34" s="1"/>
  <c r="BB67" i="34" s="1"/>
  <c r="X50" i="13"/>
  <c r="X51" i="13" s="1"/>
  <c r="X52" i="13" s="1"/>
  <c r="X53" i="13" s="1"/>
  <c r="X54" i="13" s="1"/>
  <c r="Z43" i="13"/>
  <c r="Z44" i="13" s="1"/>
  <c r="B44" i="13" s="1"/>
  <c r="I46" i="34" s="1"/>
  <c r="N46" i="34" s="1"/>
  <c r="N77" i="34" s="1"/>
  <c r="AC43" i="13"/>
  <c r="AG28" i="13"/>
  <c r="B28" i="13" s="1"/>
  <c r="I30" i="34" s="1"/>
  <c r="C23" i="58"/>
  <c r="E23" i="58" s="1"/>
  <c r="H23" i="58" s="1"/>
  <c r="AS56" i="33"/>
  <c r="K58" i="32"/>
  <c r="T32" i="33"/>
  <c r="T51" i="1"/>
  <c r="BG58" i="26"/>
  <c r="AT45" i="33"/>
  <c r="AW46" i="33" s="1"/>
  <c r="AS45" i="33"/>
  <c r="K47" i="32"/>
  <c r="AT54" i="33"/>
  <c r="K56" i="32"/>
  <c r="BD49" i="1"/>
  <c r="BH49" i="1" s="1"/>
  <c r="J49" i="24"/>
  <c r="BC49" i="1"/>
  <c r="BG49" i="1" s="1"/>
  <c r="AT55" i="33"/>
  <c r="K57" i="32"/>
  <c r="K75" i="32" s="1"/>
  <c r="AS55" i="33"/>
  <c r="K52" i="32"/>
  <c r="AT50" i="33"/>
  <c r="AW50" i="33" s="1"/>
  <c r="AS54" i="33"/>
  <c r="AS50" i="33"/>
  <c r="AV50" i="33" s="1"/>
  <c r="J12" i="24"/>
  <c r="L12" i="24" s="1"/>
  <c r="BF12" i="24" s="1"/>
  <c r="S56" i="26"/>
  <c r="AX57" i="26" s="1"/>
  <c r="S60" i="26"/>
  <c r="P534" i="36"/>
  <c r="P542" i="36"/>
  <c r="P530" i="36"/>
  <c r="P523" i="36"/>
  <c r="BF19" i="24"/>
  <c r="S65" i="26"/>
  <c r="AX65" i="26" s="1"/>
  <c r="S46" i="26"/>
  <c r="S43" i="26"/>
  <c r="AX44" i="26" s="1"/>
  <c r="S37" i="26"/>
  <c r="S71" i="26"/>
  <c r="T55" i="33"/>
  <c r="P262" i="36" s="1"/>
  <c r="T43" i="33"/>
  <c r="T45" i="33"/>
  <c r="P252" i="36" s="1"/>
  <c r="S68" i="26"/>
  <c r="S54" i="26"/>
  <c r="AX54" i="26" s="1"/>
  <c r="S66" i="26"/>
  <c r="S49" i="26"/>
  <c r="S58" i="26"/>
  <c r="AX59" i="26" s="1"/>
  <c r="J21" i="24"/>
  <c r="L21" i="24" s="1"/>
  <c r="S35" i="26"/>
  <c r="S34" i="26"/>
  <c r="AX34" i="26" s="1"/>
  <c r="P544" i="36"/>
  <c r="L32" i="1"/>
  <c r="BC68" i="26"/>
  <c r="AS41" i="33"/>
  <c r="AV41" i="33" s="1"/>
  <c r="AT41" i="33"/>
  <c r="Q57" i="26"/>
  <c r="Q75" i="26" s="1"/>
  <c r="U566" i="36"/>
  <c r="S45" i="26"/>
  <c r="AX45" i="26" s="1"/>
  <c r="S48" i="26"/>
  <c r="AX48" i="26" s="1"/>
  <c r="BB57" i="26"/>
  <c r="BD68" i="26"/>
  <c r="AT43" i="33"/>
  <c r="AW43" i="33" s="1"/>
  <c r="BB49" i="1"/>
  <c r="BF49" i="1" s="1"/>
  <c r="J73" i="33"/>
  <c r="AT51" i="33"/>
  <c r="K53" i="32"/>
  <c r="AS51" i="33"/>
  <c r="AT47" i="33"/>
  <c r="K49" i="32"/>
  <c r="AT48" i="33"/>
  <c r="AS48" i="33"/>
  <c r="K50" i="32"/>
  <c r="AS47" i="33"/>
  <c r="AV47" i="33" s="1"/>
  <c r="D33" i="53"/>
  <c r="AW15" i="25"/>
  <c r="AL69" i="26"/>
  <c r="AP70" i="26" s="1"/>
  <c r="AQ70" i="26" s="1"/>
  <c r="AS70" i="26" s="1"/>
  <c r="F69" i="29"/>
  <c r="AH69" i="29" s="1"/>
  <c r="AK21" i="10"/>
  <c r="AM21" i="10" s="1"/>
  <c r="AQ58" i="26"/>
  <c r="AJ56" i="26"/>
  <c r="AN57" i="26" s="1"/>
  <c r="D56" i="29"/>
  <c r="F56" i="29" s="1"/>
  <c r="AL56" i="26"/>
  <c r="AP57" i="26" s="1"/>
  <c r="AK56" i="26"/>
  <c r="AO57" i="26" s="1"/>
  <c r="H21" i="25"/>
  <c r="AF22" i="10"/>
  <c r="AE26" i="33"/>
  <c r="AH27" i="33" s="1"/>
  <c r="AJ27" i="33" s="1"/>
  <c r="AM27" i="33" s="1"/>
  <c r="F28" i="32"/>
  <c r="R609" i="36"/>
  <c r="R586" i="36"/>
  <c r="R607" i="36"/>
  <c r="R603" i="36"/>
  <c r="R598" i="36"/>
  <c r="R587" i="36"/>
  <c r="R608" i="36"/>
  <c r="L33" i="53"/>
  <c r="F72" i="33"/>
  <c r="Y70" i="33" s="1"/>
  <c r="M29" i="57"/>
  <c r="AO52" i="26"/>
  <c r="N29" i="14"/>
  <c r="D30" i="33" s="1"/>
  <c r="L30" i="33" s="1"/>
  <c r="N30" i="14"/>
  <c r="D31" i="33" s="1"/>
  <c r="N31" i="14"/>
  <c r="D32" i="33" s="1"/>
  <c r="L32" i="33" s="1"/>
  <c r="N34" i="14"/>
  <c r="D35" i="33" s="1"/>
  <c r="AK33" i="26"/>
  <c r="N28" i="14"/>
  <c r="D29" i="33" s="1"/>
  <c r="E30" i="18"/>
  <c r="F32" i="25" s="1"/>
  <c r="T32" i="25" s="1"/>
  <c r="BB33" i="19"/>
  <c r="J33" i="14" s="1"/>
  <c r="K33" i="14"/>
  <c r="F36" i="26" s="1"/>
  <c r="BC34" i="19"/>
  <c r="AX32" i="26"/>
  <c r="BJ31" i="26"/>
  <c r="BK31" i="26" s="1"/>
  <c r="E26" i="24"/>
  <c r="AP35" i="26"/>
  <c r="Y64" i="10"/>
  <c r="S384" i="36" s="1"/>
  <c r="Y18" i="10"/>
  <c r="Y54" i="10"/>
  <c r="S374" i="36" s="1"/>
  <c r="Y23" i="10"/>
  <c r="Y46" i="10"/>
  <c r="S366" i="36" s="1"/>
  <c r="Y25" i="10"/>
  <c r="Y30" i="10"/>
  <c r="Y53" i="10"/>
  <c r="S373" i="36" s="1"/>
  <c r="Y38" i="10"/>
  <c r="Y12" i="10"/>
  <c r="Y24" i="10"/>
  <c r="Y47" i="10"/>
  <c r="S367" i="36" s="1"/>
  <c r="Y42" i="10"/>
  <c r="Y17" i="10"/>
  <c r="Y20" i="10"/>
  <c r="Y14" i="10"/>
  <c r="Y70" i="10"/>
  <c r="R59" i="19"/>
  <c r="R60" i="19"/>
  <c r="C60" i="18" s="1"/>
  <c r="E63" i="7" s="1"/>
  <c r="R63" i="19"/>
  <c r="AI50" i="10"/>
  <c r="AI51" i="10"/>
  <c r="R564" i="36"/>
  <c r="Y56" i="33"/>
  <c r="S263" i="36" s="1"/>
  <c r="T48" i="25"/>
  <c r="F59" i="33"/>
  <c r="AE59" i="33" s="1"/>
  <c r="F33" i="25"/>
  <c r="T33" i="25" s="1"/>
  <c r="AE56" i="33"/>
  <c r="R577" i="36"/>
  <c r="T64" i="25"/>
  <c r="L33" i="33"/>
  <c r="F33" i="33"/>
  <c r="N33" i="33" s="1"/>
  <c r="R33" i="33" s="1"/>
  <c r="U33" i="33" s="1"/>
  <c r="L37" i="33"/>
  <c r="F37" i="33"/>
  <c r="N37" i="33" s="1"/>
  <c r="R37" i="33" s="1"/>
  <c r="U37" i="33" s="1"/>
  <c r="T46" i="25"/>
  <c r="L67" i="33"/>
  <c r="T56" i="25"/>
  <c r="T74" i="25" s="1"/>
  <c r="AE52" i="33"/>
  <c r="L44" i="33"/>
  <c r="L72" i="33" s="1"/>
  <c r="P70" i="33" s="1"/>
  <c r="L63" i="33"/>
  <c r="L52" i="33"/>
  <c r="AE44" i="33"/>
  <c r="F54" i="33"/>
  <c r="AF54" i="33" s="1"/>
  <c r="AF44" i="33"/>
  <c r="R28" i="57"/>
  <c r="AN72" i="26"/>
  <c r="F71" i="24"/>
  <c r="P71" i="24" s="1"/>
  <c r="S68" i="14"/>
  <c r="D70" i="1"/>
  <c r="N70" i="1" s="1"/>
  <c r="BG15" i="1"/>
  <c r="L29" i="34"/>
  <c r="BC29" i="34" s="1"/>
  <c r="BF46" i="26"/>
  <c r="X72" i="26"/>
  <c r="S70" i="26"/>
  <c r="AX70" i="26" s="1"/>
  <c r="S72" i="26"/>
  <c r="AT69" i="10"/>
  <c r="O68" i="25"/>
  <c r="AW70" i="10"/>
  <c r="AI37" i="10"/>
  <c r="H36" i="25"/>
  <c r="V36" i="25" s="1"/>
  <c r="V92" i="25" s="1"/>
  <c r="N37" i="10"/>
  <c r="AG37" i="10"/>
  <c r="AJ38" i="10" s="1"/>
  <c r="AX51" i="10"/>
  <c r="AX52" i="10"/>
  <c r="AX56" i="10"/>
  <c r="AX57" i="10"/>
  <c r="AG49" i="10"/>
  <c r="H48" i="25"/>
  <c r="V48" i="25" s="1"/>
  <c r="V104" i="25" s="1"/>
  <c r="AJ50" i="10"/>
  <c r="N51" i="10"/>
  <c r="O50" i="25"/>
  <c r="AT51" i="10"/>
  <c r="O58" i="25"/>
  <c r="AT59" i="10"/>
  <c r="AW59" i="10" s="1"/>
  <c r="AT56" i="10"/>
  <c r="O55" i="25"/>
  <c r="DH45" i="25"/>
  <c r="DH71" i="25"/>
  <c r="Y22" i="10"/>
  <c r="Y72" i="10"/>
  <c r="AQ51" i="10"/>
  <c r="AQ50" i="10"/>
  <c r="AT10" i="10"/>
  <c r="O9" i="25"/>
  <c r="AW19" i="7"/>
  <c r="BE19" i="7" s="1"/>
  <c r="DI45" i="25"/>
  <c r="DI71" i="25"/>
  <c r="AR72" i="10"/>
  <c r="BW71" i="25"/>
  <c r="AT62" i="10"/>
  <c r="AW62" i="10" s="1"/>
  <c r="O61" i="25"/>
  <c r="AQ36" i="10"/>
  <c r="AQ37" i="10"/>
  <c r="H35" i="25"/>
  <c r="V35" i="25" s="1"/>
  <c r="V91" i="25" s="1"/>
  <c r="N36" i="10"/>
  <c r="AG36" i="10"/>
  <c r="AX20" i="7"/>
  <c r="AX21" i="7"/>
  <c r="AU10" i="10"/>
  <c r="AX11" i="10" s="1"/>
  <c r="BE11" i="10" s="1"/>
  <c r="BF11" i="10" s="1"/>
  <c r="AU62" i="10"/>
  <c r="AX62" i="10" s="1"/>
  <c r="AG40" i="10"/>
  <c r="AJ41" i="10" s="1"/>
  <c r="N40" i="10"/>
  <c r="H39" i="25"/>
  <c r="V39" i="25" s="1"/>
  <c r="V95" i="25" s="1"/>
  <c r="AX19" i="7"/>
  <c r="O395" i="36"/>
  <c r="B43" i="32"/>
  <c r="AO22" i="32"/>
  <c r="D22" i="30"/>
  <c r="AP22" i="32"/>
  <c r="AN22" i="32"/>
  <c r="AN20" i="32"/>
  <c r="AP20" i="32"/>
  <c r="AO20" i="32"/>
  <c r="D20" i="30"/>
  <c r="AN17" i="32"/>
  <c r="AO17" i="32"/>
  <c r="D17" i="30"/>
  <c r="AP17" i="32"/>
  <c r="BJ14" i="34"/>
  <c r="BN14" i="34"/>
  <c r="G10" i="32"/>
  <c r="AN10" i="32" s="1"/>
  <c r="AR11" i="32" s="1"/>
  <c r="BJ13" i="34"/>
  <c r="BN13" i="34"/>
  <c r="BJ17" i="34"/>
  <c r="BN17" i="34"/>
  <c r="AU29" i="34"/>
  <c r="G19" i="32"/>
  <c r="AN19" i="32" s="1"/>
  <c r="AR19" i="32" s="1"/>
  <c r="AM21" i="24"/>
  <c r="AQ21" i="24" s="1"/>
  <c r="AN21" i="24"/>
  <c r="AR22" i="24" s="1"/>
  <c r="D21" i="32"/>
  <c r="BJ24" i="34"/>
  <c r="BN24" i="34"/>
  <c r="BJ26" i="34"/>
  <c r="BN26" i="34"/>
  <c r="AV15" i="24"/>
  <c r="AQ22" i="24"/>
  <c r="AR18" i="32"/>
  <c r="BJ12" i="34"/>
  <c r="BK12" i="34" s="1"/>
  <c r="BN12" i="34"/>
  <c r="BO12" i="34" s="1"/>
  <c r="BJ16" i="34"/>
  <c r="BN16" i="34"/>
  <c r="BJ15" i="34"/>
  <c r="BN15" i="34"/>
  <c r="AS29" i="34"/>
  <c r="BJ29" i="34" s="1"/>
  <c r="G13" i="32"/>
  <c r="AN13" i="32" s="1"/>
  <c r="AR14" i="32" s="1"/>
  <c r="G16" i="32"/>
  <c r="AN16" i="32" s="1"/>
  <c r="AR16" i="32" s="1"/>
  <c r="BJ25" i="34"/>
  <c r="BN25" i="34"/>
  <c r="AU27" i="34"/>
  <c r="AZ20" i="33"/>
  <c r="BD20" i="33"/>
  <c r="K36" i="32"/>
  <c r="AS34" i="33"/>
  <c r="AT34" i="33"/>
  <c r="AL13" i="33"/>
  <c r="AZ13" i="33" s="1"/>
  <c r="BA13" i="33" s="1"/>
  <c r="BA14" i="33" s="1"/>
  <c r="AL15" i="33"/>
  <c r="AZ15" i="33" s="1"/>
  <c r="AL17" i="33"/>
  <c r="AZ17" i="33" s="1"/>
  <c r="AL19" i="33"/>
  <c r="AZ19" i="33" s="1"/>
  <c r="K37" i="32"/>
  <c r="AS35" i="33"/>
  <c r="AT35" i="33"/>
  <c r="BK25" i="29"/>
  <c r="BG25" i="29"/>
  <c r="BO25" i="29"/>
  <c r="BK27" i="29"/>
  <c r="BG27" i="29"/>
  <c r="BO27" i="29"/>
  <c r="P525" i="36"/>
  <c r="P531" i="36"/>
  <c r="P535" i="36"/>
  <c r="P541" i="36"/>
  <c r="P543" i="36"/>
  <c r="P526" i="36"/>
  <c r="P533" i="36"/>
  <c r="P524" i="36"/>
  <c r="P539" i="36"/>
  <c r="P532" i="36"/>
  <c r="AP11" i="32"/>
  <c r="BG26" i="29"/>
  <c r="BO26" i="29"/>
  <c r="BK26" i="29"/>
  <c r="BG11" i="29"/>
  <c r="BH11" i="29" s="1"/>
  <c r="BH12" i="29" s="1"/>
  <c r="BH13" i="29" s="1"/>
  <c r="BH14" i="29" s="1"/>
  <c r="BH15" i="29" s="1"/>
  <c r="BH16" i="29" s="1"/>
  <c r="BH17" i="29" s="1"/>
  <c r="BH18" i="29" s="1"/>
  <c r="BH19" i="29" s="1"/>
  <c r="BH20" i="29" s="1"/>
  <c r="BH21" i="29" s="1"/>
  <c r="BH22" i="29" s="1"/>
  <c r="BH23" i="29" s="1"/>
  <c r="BH24" i="29" s="1"/>
  <c r="BK11" i="29"/>
  <c r="BL11" i="29" s="1"/>
  <c r="BL12" i="29" s="1"/>
  <c r="BL13" i="29" s="1"/>
  <c r="BL14" i="29" s="1"/>
  <c r="BL15" i="29" s="1"/>
  <c r="BL16" i="29" s="1"/>
  <c r="BL17" i="29" s="1"/>
  <c r="BL18" i="29" s="1"/>
  <c r="BL19" i="29" s="1"/>
  <c r="BL20" i="29" s="1"/>
  <c r="BL21" i="29" s="1"/>
  <c r="BL22" i="29" s="1"/>
  <c r="BL23" i="29" s="1"/>
  <c r="BL24" i="29" s="1"/>
  <c r="BO11" i="29"/>
  <c r="BP11" i="29" s="1"/>
  <c r="BP12" i="29" s="1"/>
  <c r="BP13" i="29" s="1"/>
  <c r="BP14" i="29" s="1"/>
  <c r="BP15" i="29" s="1"/>
  <c r="BP16" i="29" s="1"/>
  <c r="BP17" i="29" s="1"/>
  <c r="BP18" i="29" s="1"/>
  <c r="BP19" i="29" s="1"/>
  <c r="BP20" i="29" s="1"/>
  <c r="BP21" i="29" s="1"/>
  <c r="BP22" i="29" s="1"/>
  <c r="BP23" i="29" s="1"/>
  <c r="BP24" i="29" s="1"/>
  <c r="AP25" i="29"/>
  <c r="AP27" i="29"/>
  <c r="AU15" i="26"/>
  <c r="AS15" i="26"/>
  <c r="BX71" i="25"/>
  <c r="BZ71" i="25"/>
  <c r="BY71" i="25"/>
  <c r="CA71" i="25"/>
  <c r="DE35" i="25"/>
  <c r="DA36" i="25"/>
  <c r="BA23" i="7"/>
  <c r="BE23" i="7"/>
  <c r="BE21" i="7"/>
  <c r="AM22" i="7"/>
  <c r="BE16" i="7"/>
  <c r="BE12" i="7"/>
  <c r="BF12" i="7" s="1"/>
  <c r="BE14" i="7"/>
  <c r="AM13" i="7"/>
  <c r="BA13" i="7" s="1"/>
  <c r="BB13" i="7" s="1"/>
  <c r="BB14" i="7" s="1"/>
  <c r="AM15" i="7"/>
  <c r="AM17" i="7"/>
  <c r="BA17" i="7" s="1"/>
  <c r="AG17" i="10"/>
  <c r="AJ17" i="10" s="1"/>
  <c r="H16" i="25"/>
  <c r="I16" i="25" s="1"/>
  <c r="E17" i="30" s="1"/>
  <c r="AX15" i="25"/>
  <c r="AZ15" i="25"/>
  <c r="BA15" i="25"/>
  <c r="AY15" i="25"/>
  <c r="E16" i="30"/>
  <c r="AF17" i="10"/>
  <c r="AI17" i="10" s="1"/>
  <c r="AU18" i="10"/>
  <c r="O17" i="25"/>
  <c r="P17" i="25" s="1"/>
  <c r="AT18" i="10"/>
  <c r="N26" i="10"/>
  <c r="O25" i="25"/>
  <c r="AT26" i="10"/>
  <c r="O43" i="25"/>
  <c r="P43" i="25" s="1"/>
  <c r="I44" i="30" s="1"/>
  <c r="AT44" i="10"/>
  <c r="AW45" i="10" s="1"/>
  <c r="AT53" i="10"/>
  <c r="AW53" i="10" s="1"/>
  <c r="O52" i="25"/>
  <c r="P52" i="25" s="1"/>
  <c r="BW52" i="25" s="1"/>
  <c r="O16" i="25"/>
  <c r="N17" i="10"/>
  <c r="AT17" i="10"/>
  <c r="AW17" i="10" s="1"/>
  <c r="AT19" i="10"/>
  <c r="O18" i="25"/>
  <c r="P18" i="25" s="1"/>
  <c r="N19" i="10"/>
  <c r="AX21" i="10"/>
  <c r="AT21" i="10"/>
  <c r="O20" i="25"/>
  <c r="N21" i="10"/>
  <c r="AU54" i="10"/>
  <c r="O53" i="25"/>
  <c r="AT54" i="10"/>
  <c r="N54" i="10"/>
  <c r="AT63" i="10"/>
  <c r="O62" i="25"/>
  <c r="V62" i="25" s="1"/>
  <c r="V118" i="25" s="1"/>
  <c r="N63" i="10"/>
  <c r="V53" i="25"/>
  <c r="V109" i="25" s="1"/>
  <c r="O19" i="25"/>
  <c r="AT20" i="10"/>
  <c r="AW20" i="10" s="1"/>
  <c r="N20" i="10"/>
  <c r="AU26" i="10"/>
  <c r="AU44" i="10"/>
  <c r="AX45" i="10" s="1"/>
  <c r="AU53" i="10"/>
  <c r="AX53" i="10" s="1"/>
  <c r="AU17" i="10"/>
  <c r="AX17" i="10" s="1"/>
  <c r="AU19" i="10"/>
  <c r="O33" i="25"/>
  <c r="AT34" i="10"/>
  <c r="AT46" i="10"/>
  <c r="AW46" i="10" s="1"/>
  <c r="J74" i="10"/>
  <c r="T68" i="10" s="1"/>
  <c r="P388" i="36" s="1"/>
  <c r="O45" i="25"/>
  <c r="N46" i="10"/>
  <c r="AX63" i="10"/>
  <c r="AX64" i="10"/>
  <c r="AX69" i="10"/>
  <c r="AX68" i="10"/>
  <c r="O67" i="25"/>
  <c r="V67" i="25" s="1"/>
  <c r="AT68" i="10"/>
  <c r="AT33" i="33"/>
  <c r="BG20" i="1"/>
  <c r="AK27" i="7"/>
  <c r="AN27" i="7" s="1"/>
  <c r="BF41" i="1"/>
  <c r="G60" i="1"/>
  <c r="AJ60" i="1" s="1"/>
  <c r="G56" i="1"/>
  <c r="AJ56" i="1" s="1"/>
  <c r="G52" i="1"/>
  <c r="AJ52" i="1" s="1"/>
  <c r="G48" i="1"/>
  <c r="AJ48" i="1" s="1"/>
  <c r="G44" i="1"/>
  <c r="AJ44" i="1" s="1"/>
  <c r="G40" i="1"/>
  <c r="AJ40" i="1" s="1"/>
  <c r="G36" i="1"/>
  <c r="AJ36" i="1" s="1"/>
  <c r="G32" i="1"/>
  <c r="AJ32" i="1" s="1"/>
  <c r="G61" i="1"/>
  <c r="AJ61" i="1" s="1"/>
  <c r="G57" i="1"/>
  <c r="AJ57" i="1" s="1"/>
  <c r="G53" i="1"/>
  <c r="AJ53" i="1" s="1"/>
  <c r="G49" i="1"/>
  <c r="AJ49" i="1" s="1"/>
  <c r="G45" i="1"/>
  <c r="AJ45" i="1" s="1"/>
  <c r="AN45" i="1" s="1"/>
  <c r="G41" i="1"/>
  <c r="AJ41" i="1" s="1"/>
  <c r="AN41" i="1" s="1"/>
  <c r="G37" i="1"/>
  <c r="AJ37" i="1" s="1"/>
  <c r="AN37" i="1" s="1"/>
  <c r="G33" i="1"/>
  <c r="AJ33" i="1" s="1"/>
  <c r="AN33" i="1" s="1"/>
  <c r="Q45" i="1"/>
  <c r="N45" i="1"/>
  <c r="N49" i="1"/>
  <c r="N56" i="1"/>
  <c r="N60" i="1"/>
  <c r="N32" i="1"/>
  <c r="N37" i="1"/>
  <c r="N40" i="1"/>
  <c r="N44" i="1"/>
  <c r="N48" i="1"/>
  <c r="N52" i="1"/>
  <c r="N61" i="1"/>
  <c r="G58" i="1"/>
  <c r="Q58" i="1" s="1"/>
  <c r="G54" i="1"/>
  <c r="AJ54" i="1" s="1"/>
  <c r="AN54" i="1" s="1"/>
  <c r="G50" i="1"/>
  <c r="AJ50" i="1" s="1"/>
  <c r="G46" i="1"/>
  <c r="AJ46" i="1" s="1"/>
  <c r="G42" i="1"/>
  <c r="AJ42" i="1" s="1"/>
  <c r="G38" i="1"/>
  <c r="AJ38" i="1" s="1"/>
  <c r="G34" i="1"/>
  <c r="AJ34" i="1" s="1"/>
  <c r="G30" i="1"/>
  <c r="AL30" i="1" s="1"/>
  <c r="G27" i="1"/>
  <c r="AL27" i="1" s="1"/>
  <c r="G59" i="1"/>
  <c r="AJ59" i="1" s="1"/>
  <c r="G55" i="1"/>
  <c r="AJ55" i="1" s="1"/>
  <c r="G51" i="1"/>
  <c r="AJ51" i="1" s="1"/>
  <c r="M21" i="57" s="1"/>
  <c r="G47" i="1"/>
  <c r="AJ47" i="1" s="1"/>
  <c r="G43" i="1"/>
  <c r="AJ43" i="1" s="1"/>
  <c r="G39" i="1"/>
  <c r="AJ39" i="1" s="1"/>
  <c r="G35" i="1"/>
  <c r="AJ35" i="1" s="1"/>
  <c r="N31" i="1"/>
  <c r="G31" i="1"/>
  <c r="Q37" i="1"/>
  <c r="Q44" i="1"/>
  <c r="N57" i="1"/>
  <c r="N33" i="1"/>
  <c r="N36" i="1"/>
  <c r="N41" i="1"/>
  <c r="N43" i="1"/>
  <c r="N47" i="1"/>
  <c r="N53" i="1"/>
  <c r="N55" i="1"/>
  <c r="N59" i="1"/>
  <c r="I18" i="25"/>
  <c r="N34" i="1"/>
  <c r="N35" i="1"/>
  <c r="N39" i="1"/>
  <c r="AX27" i="7"/>
  <c r="AX41" i="10"/>
  <c r="AX42" i="10"/>
  <c r="AK47" i="10"/>
  <c r="AN47" i="10" s="1"/>
  <c r="H65" i="25"/>
  <c r="V65" i="25" s="1"/>
  <c r="V121" i="25" s="1"/>
  <c r="N66" i="10"/>
  <c r="AF66" i="10"/>
  <c r="AI67" i="10" s="1"/>
  <c r="AG66" i="10"/>
  <c r="AW42" i="10"/>
  <c r="BE42" i="10" s="1"/>
  <c r="AW41" i="10"/>
  <c r="CD29" i="25"/>
  <c r="CD30" i="25"/>
  <c r="AK64" i="10"/>
  <c r="AM64" i="10" s="1"/>
  <c r="CA40" i="25"/>
  <c r="BW40" i="25"/>
  <c r="CC40" i="25" s="1"/>
  <c r="I41" i="30"/>
  <c r="BY40" i="25"/>
  <c r="BZ40" i="25"/>
  <c r="BX40" i="25"/>
  <c r="H17" i="25"/>
  <c r="N18" i="10"/>
  <c r="AG18" i="10"/>
  <c r="AF18" i="10"/>
  <c r="O21" i="25"/>
  <c r="AT22" i="10"/>
  <c r="AU22" i="10"/>
  <c r="N65" i="10"/>
  <c r="H64" i="25"/>
  <c r="V64" i="25" s="1"/>
  <c r="V120" i="25" s="1"/>
  <c r="AF65" i="10"/>
  <c r="AI65" i="10" s="1"/>
  <c r="AG65" i="10"/>
  <c r="AJ65" i="10" s="1"/>
  <c r="AN20" i="10"/>
  <c r="AM20" i="10"/>
  <c r="BG22" i="1"/>
  <c r="BG12" i="1"/>
  <c r="R64" i="19"/>
  <c r="C64" i="18" s="1"/>
  <c r="E67" i="7" s="1"/>
  <c r="R58" i="19"/>
  <c r="AJ62" i="19"/>
  <c r="J66" i="1"/>
  <c r="M67" i="60"/>
  <c r="X71" i="26"/>
  <c r="BB51" i="34"/>
  <c r="H71" i="29"/>
  <c r="J71" i="29" s="1"/>
  <c r="J71" i="32" s="1"/>
  <c r="P47" i="53" s="1"/>
  <c r="BD51" i="34"/>
  <c r="BE22" i="24"/>
  <c r="T33" i="33"/>
  <c r="AX55" i="26"/>
  <c r="AV22" i="33"/>
  <c r="U473" i="36"/>
  <c r="T57" i="25"/>
  <c r="U476" i="36"/>
  <c r="T60" i="25"/>
  <c r="N9" i="53"/>
  <c r="T45" i="25"/>
  <c r="F73" i="25"/>
  <c r="F9" i="53"/>
  <c r="U461" i="36"/>
  <c r="U463" i="36"/>
  <c r="T47" i="25"/>
  <c r="U465" i="36"/>
  <c r="T49" i="25"/>
  <c r="U467" i="36"/>
  <c r="T51" i="25"/>
  <c r="U469" i="36"/>
  <c r="T53" i="25"/>
  <c r="T55" i="25"/>
  <c r="U471" i="36"/>
  <c r="R471" i="36" s="1"/>
  <c r="U475" i="36"/>
  <c r="T59" i="25"/>
  <c r="BG13" i="1"/>
  <c r="BG21" i="1"/>
  <c r="BG23" i="1"/>
  <c r="U482" i="36"/>
  <c r="T66" i="25"/>
  <c r="L49" i="33"/>
  <c r="U559" i="36"/>
  <c r="F49" i="33"/>
  <c r="AE49" i="33" s="1"/>
  <c r="F57" i="33"/>
  <c r="AE57" i="33" s="1"/>
  <c r="AH57" i="33" s="1"/>
  <c r="U567" i="36"/>
  <c r="R567" i="36" s="1"/>
  <c r="L57" i="33"/>
  <c r="BH53" i="1"/>
  <c r="BB24" i="1"/>
  <c r="BD24" i="1"/>
  <c r="BH25" i="1" s="1"/>
  <c r="BB37" i="1"/>
  <c r="BC57" i="1"/>
  <c r="BG57" i="1" s="1"/>
  <c r="Q57" i="1"/>
  <c r="L75" i="1"/>
  <c r="BD57" i="1"/>
  <c r="BH57" i="1" s="1"/>
  <c r="BB57" i="1"/>
  <c r="BF57" i="1" s="1"/>
  <c r="J57" i="24"/>
  <c r="F38" i="33"/>
  <c r="L38" i="33"/>
  <c r="AE38" i="33"/>
  <c r="U556" i="36"/>
  <c r="L46" i="33"/>
  <c r="F46" i="33"/>
  <c r="AE46" i="33" s="1"/>
  <c r="AF52" i="33"/>
  <c r="F54" i="32"/>
  <c r="U478" i="36"/>
  <c r="R478" i="36" s="1"/>
  <c r="T62" i="25"/>
  <c r="U483" i="36"/>
  <c r="R483" i="36" s="1"/>
  <c r="T67" i="25"/>
  <c r="BG14" i="1"/>
  <c r="BB15" i="1"/>
  <c r="BF15" i="1" s="1"/>
  <c r="BN15" i="1" s="1"/>
  <c r="BD15" i="1"/>
  <c r="BH15" i="1" s="1"/>
  <c r="J15" i="24"/>
  <c r="BB16" i="1"/>
  <c r="BD16" i="1"/>
  <c r="BB17" i="1"/>
  <c r="BF17" i="1" s="1"/>
  <c r="BN17" i="1" s="1"/>
  <c r="BD17" i="1"/>
  <c r="BH17" i="1" s="1"/>
  <c r="BC24" i="1"/>
  <c r="BG24" i="1" s="1"/>
  <c r="BG41" i="1"/>
  <c r="BB18" i="1"/>
  <c r="BD18" i="1"/>
  <c r="BB51" i="1"/>
  <c r="Q51" i="1"/>
  <c r="BD54" i="1"/>
  <c r="BH54" i="1" s="1"/>
  <c r="Q54" i="1"/>
  <c r="BG48" i="1"/>
  <c r="AE63" i="33"/>
  <c r="F65" i="32"/>
  <c r="AF63" i="33"/>
  <c r="F65" i="33"/>
  <c r="AE65" i="33" s="1"/>
  <c r="L65" i="33"/>
  <c r="U575" i="36"/>
  <c r="R575" i="36" s="1"/>
  <c r="U466" i="36"/>
  <c r="R466" i="36" s="1"/>
  <c r="T50" i="25"/>
  <c r="U474" i="36"/>
  <c r="R474" i="36" s="1"/>
  <c r="T58" i="25"/>
  <c r="U571" i="36"/>
  <c r="R571" i="36" s="1"/>
  <c r="L61" i="33"/>
  <c r="F61" i="33"/>
  <c r="AE61" i="33" s="1"/>
  <c r="F66" i="33"/>
  <c r="L66" i="33"/>
  <c r="U576" i="36"/>
  <c r="R576" i="36" s="1"/>
  <c r="AS32" i="33"/>
  <c r="AV33" i="33" s="1"/>
  <c r="AT32" i="33"/>
  <c r="AW32" i="33" s="1"/>
  <c r="K34" i="32"/>
  <c r="BB11" i="1"/>
  <c r="BF11" i="1" s="1"/>
  <c r="BN11" i="1" s="1"/>
  <c r="BO11" i="1" s="1"/>
  <c r="BD11" i="1"/>
  <c r="BH11" i="1" s="1"/>
  <c r="J11" i="24"/>
  <c r="BB12" i="1"/>
  <c r="BD12" i="1"/>
  <c r="BB13" i="1"/>
  <c r="BF13" i="1" s="1"/>
  <c r="BN13" i="1" s="1"/>
  <c r="BD13" i="1"/>
  <c r="BH13" i="1" s="1"/>
  <c r="J13" i="24"/>
  <c r="BG16" i="1"/>
  <c r="BG17" i="1"/>
  <c r="BC18" i="1"/>
  <c r="BG18" i="1" s="1"/>
  <c r="BB19" i="1"/>
  <c r="BF19" i="1" s="1"/>
  <c r="BN19" i="1" s="1"/>
  <c r="BD19" i="1"/>
  <c r="BH19" i="1" s="1"/>
  <c r="BB20" i="1"/>
  <c r="BF20" i="1" s="1"/>
  <c r="BN20" i="1" s="1"/>
  <c r="BD20" i="1"/>
  <c r="BH20" i="1" s="1"/>
  <c r="BB21" i="1"/>
  <c r="BF21" i="1" s="1"/>
  <c r="BN21" i="1" s="1"/>
  <c r="BD21" i="1"/>
  <c r="BH21" i="1" s="1"/>
  <c r="BB22" i="1"/>
  <c r="BF22" i="1" s="1"/>
  <c r="BN22" i="1" s="1"/>
  <c r="BD22" i="1"/>
  <c r="BH22" i="1" s="1"/>
  <c r="BB23" i="1"/>
  <c r="BF23" i="1" s="1"/>
  <c r="BN23" i="1" s="1"/>
  <c r="BD23" i="1"/>
  <c r="BH23" i="1" s="1"/>
  <c r="X61" i="26"/>
  <c r="P322" i="36" s="1"/>
  <c r="X57" i="26"/>
  <c r="P318" i="36" s="1"/>
  <c r="AT11" i="24"/>
  <c r="AV11" i="24" s="1"/>
  <c r="AQ13" i="24"/>
  <c r="AQ14" i="24"/>
  <c r="AR17" i="24"/>
  <c r="AR18" i="24"/>
  <c r="AR19" i="24"/>
  <c r="AR20" i="24"/>
  <c r="AR23" i="24"/>
  <c r="AR24" i="24"/>
  <c r="AR25" i="24"/>
  <c r="AR21" i="24"/>
  <c r="AT21" i="24" s="1"/>
  <c r="AV21" i="24" s="1"/>
  <c r="AR12" i="32"/>
  <c r="AP18" i="32"/>
  <c r="AO18" i="32"/>
  <c r="D18" i="30"/>
  <c r="BR15" i="24"/>
  <c r="BZ15" i="24"/>
  <c r="AW11" i="24"/>
  <c r="AT12" i="24"/>
  <c r="AW12" i="24" s="1"/>
  <c r="AR13" i="24"/>
  <c r="AR14" i="24"/>
  <c r="AT16" i="24"/>
  <c r="AW16" i="24" s="1"/>
  <c r="AQ17" i="24"/>
  <c r="AQ18" i="24"/>
  <c r="AQ19" i="24"/>
  <c r="AQ20" i="24"/>
  <c r="AQ23" i="24"/>
  <c r="AQ24" i="24"/>
  <c r="AQ25" i="24"/>
  <c r="AT12" i="32"/>
  <c r="AS12" i="32"/>
  <c r="T43" i="1"/>
  <c r="AY44" i="1" s="1"/>
  <c r="T33" i="1"/>
  <c r="AY33" i="1" s="1"/>
  <c r="AM47" i="10"/>
  <c r="AB54" i="25"/>
  <c r="AB60" i="25"/>
  <c r="AB43" i="25"/>
  <c r="AB32" i="25"/>
  <c r="AB31" i="25"/>
  <c r="AB47" i="25"/>
  <c r="AB38" i="25"/>
  <c r="AB94" i="25" s="1"/>
  <c r="AB30" i="25"/>
  <c r="AB51" i="25"/>
  <c r="AB41" i="25"/>
  <c r="AB97" i="25" s="1"/>
  <c r="AB42" i="25"/>
  <c r="AB45" i="25"/>
  <c r="AB56" i="25"/>
  <c r="AB50" i="25"/>
  <c r="AB58" i="25"/>
  <c r="AB52" i="25"/>
  <c r="AB35" i="25"/>
  <c r="AB91" i="25" s="1"/>
  <c r="AB48" i="25"/>
  <c r="AB36" i="25"/>
  <c r="AJ36" i="10"/>
  <c r="AJ35" i="10"/>
  <c r="AJ26" i="7"/>
  <c r="N54" i="33"/>
  <c r="R54" i="33" s="1"/>
  <c r="U54" i="33" s="1"/>
  <c r="AJ52" i="10"/>
  <c r="AK52" i="10" s="1"/>
  <c r="AN52" i="10" s="1"/>
  <c r="AJ53" i="10"/>
  <c r="AK53" i="10" s="1"/>
  <c r="AN53" i="10" s="1"/>
  <c r="AI54" i="10"/>
  <c r="AK54" i="10" s="1"/>
  <c r="AI36" i="10"/>
  <c r="AK36" i="10" s="1"/>
  <c r="AM36" i="10" s="1"/>
  <c r="AI35" i="10"/>
  <c r="AE54" i="33"/>
  <c r="Y50" i="10"/>
  <c r="S370" i="36" s="1"/>
  <c r="Y65" i="10"/>
  <c r="S385" i="36" s="1"/>
  <c r="Y40" i="10"/>
  <c r="Y43" i="10"/>
  <c r="Y51" i="10"/>
  <c r="S371" i="36" s="1"/>
  <c r="Y63" i="10"/>
  <c r="S383" i="36" s="1"/>
  <c r="Y39" i="10"/>
  <c r="Y57" i="10"/>
  <c r="S377" i="36" s="1"/>
  <c r="Y32" i="10"/>
  <c r="V87" i="25"/>
  <c r="AJ23" i="10"/>
  <c r="AY16" i="25"/>
  <c r="AX16" i="25"/>
  <c r="AJ51" i="10"/>
  <c r="AK51" i="10" s="1"/>
  <c r="AX46" i="50"/>
  <c r="AY46" i="50" s="1"/>
  <c r="AX42" i="50"/>
  <c r="AY42" i="50" s="1"/>
  <c r="I67" i="7"/>
  <c r="M67" i="7" s="1"/>
  <c r="Q67" i="7" s="1"/>
  <c r="AR68" i="7" s="1"/>
  <c r="AX43" i="50"/>
  <c r="AY43" i="50" s="1"/>
  <c r="T437" i="36"/>
  <c r="P437" i="36" s="1"/>
  <c r="P53" i="25"/>
  <c r="BW53" i="25" s="1"/>
  <c r="CC53" i="25" s="1"/>
  <c r="AR49" i="7"/>
  <c r="AR51" i="10"/>
  <c r="AR42" i="7"/>
  <c r="AR40" i="7"/>
  <c r="F33" i="53"/>
  <c r="AR20" i="10"/>
  <c r="AI25" i="7"/>
  <c r="AK24" i="7"/>
  <c r="AK26" i="10"/>
  <c r="AW24" i="25"/>
  <c r="AY24" i="25"/>
  <c r="AX24" i="25"/>
  <c r="AZ24" i="25"/>
  <c r="BF25" i="25" s="1"/>
  <c r="AT58" i="26"/>
  <c r="AU58" i="26"/>
  <c r="AS58" i="26"/>
  <c r="S36" i="26"/>
  <c r="S112" i="25"/>
  <c r="S74" i="25"/>
  <c r="AN36" i="10"/>
  <c r="BE36" i="10" s="1"/>
  <c r="S67" i="26"/>
  <c r="AX68" i="26" s="1"/>
  <c r="AI25" i="10"/>
  <c r="AI24" i="10"/>
  <c r="AM28" i="7"/>
  <c r="BE28" i="7" s="1"/>
  <c r="AJ12" i="10"/>
  <c r="AJ13" i="10"/>
  <c r="AK12" i="10"/>
  <c r="AG45" i="10"/>
  <c r="AR35" i="7"/>
  <c r="AR24" i="10"/>
  <c r="L33" i="1"/>
  <c r="S61" i="26"/>
  <c r="AX62" i="26" s="1"/>
  <c r="S51" i="26"/>
  <c r="P74" i="34"/>
  <c r="V14" i="25"/>
  <c r="I14" i="25"/>
  <c r="S39" i="26"/>
  <c r="AX39" i="26" s="1"/>
  <c r="S42" i="26"/>
  <c r="AP51" i="26"/>
  <c r="AP50" i="26"/>
  <c r="AJ25" i="10"/>
  <c r="AJ24" i="10"/>
  <c r="S50" i="26"/>
  <c r="AO51" i="26"/>
  <c r="AO50" i="26"/>
  <c r="AN51" i="26"/>
  <c r="AN50" i="26"/>
  <c r="AR28" i="10"/>
  <c r="AR25" i="10"/>
  <c r="AR38" i="10"/>
  <c r="AR52" i="10"/>
  <c r="AR27" i="10"/>
  <c r="AR39" i="10"/>
  <c r="BF13" i="25"/>
  <c r="AG71" i="10"/>
  <c r="H70" i="25"/>
  <c r="N71" i="10"/>
  <c r="AF71" i="10"/>
  <c r="Y71" i="10"/>
  <c r="AQ35" i="26"/>
  <c r="AU35" i="26" s="1"/>
  <c r="AE34" i="33"/>
  <c r="N34" i="33"/>
  <c r="R34" i="33" s="1"/>
  <c r="U34" i="33" s="1"/>
  <c r="AF34" i="33"/>
  <c r="F36" i="32"/>
  <c r="P36" i="32" s="1"/>
  <c r="P98" i="32" s="1"/>
  <c r="BF12" i="25"/>
  <c r="D31" i="29"/>
  <c r="Y27" i="10"/>
  <c r="H26" i="25"/>
  <c r="I26" i="25" s="1"/>
  <c r="AG27" i="10"/>
  <c r="AJ27" i="10" s="1"/>
  <c r="AF27" i="10"/>
  <c r="AI27" i="10" s="1"/>
  <c r="U62" i="13"/>
  <c r="AD22" i="54"/>
  <c r="M44" i="18"/>
  <c r="DH30" i="25"/>
  <c r="N30" i="54"/>
  <c r="G30" i="54"/>
  <c r="U93" i="25"/>
  <c r="AB37" i="25"/>
  <c r="AQ32" i="33"/>
  <c r="BC29" i="1"/>
  <c r="BG29" i="1" s="1"/>
  <c r="BB63" i="26"/>
  <c r="AV44" i="33"/>
  <c r="X37" i="26"/>
  <c r="BE10" i="33"/>
  <c r="BH46" i="26"/>
  <c r="R566" i="36"/>
  <c r="R569" i="36"/>
  <c r="J46" i="29"/>
  <c r="AV46" i="29" s="1"/>
  <c r="P74" i="32"/>
  <c r="P108" i="32"/>
  <c r="BB64" i="34"/>
  <c r="BD64" i="34"/>
  <c r="I64" i="24"/>
  <c r="BC64" i="34"/>
  <c r="AT53" i="33"/>
  <c r="AS53" i="33"/>
  <c r="K55" i="32"/>
  <c r="L68" i="33"/>
  <c r="F68" i="33"/>
  <c r="F41" i="33"/>
  <c r="L41" i="33"/>
  <c r="L53" i="33"/>
  <c r="U563" i="36"/>
  <c r="R563" i="36" s="1"/>
  <c r="F53" i="33"/>
  <c r="AT59" i="33"/>
  <c r="AW59" i="33" s="1"/>
  <c r="K61" i="32"/>
  <c r="AS59" i="33"/>
  <c r="AV59" i="33" s="1"/>
  <c r="BC31" i="1"/>
  <c r="BG31" i="1" s="1"/>
  <c r="BB31" i="1"/>
  <c r="BF31" i="1" s="1"/>
  <c r="J31" i="24"/>
  <c r="BC34" i="1"/>
  <c r="J34" i="24"/>
  <c r="BC39" i="1"/>
  <c r="BD39" i="1"/>
  <c r="J39" i="24"/>
  <c r="BC44" i="1"/>
  <c r="BG44" i="1" s="1"/>
  <c r="BC46" i="1"/>
  <c r="BG47" i="1" s="1"/>
  <c r="L74" i="1"/>
  <c r="BD46" i="1"/>
  <c r="BB46" i="1"/>
  <c r="J46" i="24"/>
  <c r="BC52" i="1"/>
  <c r="BC55" i="1"/>
  <c r="BG56" i="1" s="1"/>
  <c r="BB55" i="1"/>
  <c r="J55" i="24"/>
  <c r="BC58" i="1"/>
  <c r="BD58" i="1"/>
  <c r="BH58" i="1" s="1"/>
  <c r="BF28" i="1"/>
  <c r="BF26" i="24"/>
  <c r="BJ26" i="24" s="1"/>
  <c r="BE26" i="24"/>
  <c r="I26" i="32"/>
  <c r="L26" i="32" s="1"/>
  <c r="AW42" i="33"/>
  <c r="AW41" i="33"/>
  <c r="J61" i="29"/>
  <c r="AV61" i="29" s="1"/>
  <c r="U477" i="36"/>
  <c r="T61" i="25"/>
  <c r="U572" i="36"/>
  <c r="R572" i="36" s="1"/>
  <c r="L62" i="33"/>
  <c r="F62" i="33"/>
  <c r="AE62" i="33" s="1"/>
  <c r="L64" i="33"/>
  <c r="F64" i="33"/>
  <c r="U574" i="36"/>
  <c r="R574" i="36" s="1"/>
  <c r="AE64" i="33"/>
  <c r="T68" i="25"/>
  <c r="U484" i="36"/>
  <c r="H39" i="29"/>
  <c r="BC39" i="26"/>
  <c r="BG39" i="26" s="1"/>
  <c r="X39" i="26"/>
  <c r="H40" i="29"/>
  <c r="J40" i="29" s="1"/>
  <c r="AW40" i="29" s="1"/>
  <c r="BC40" i="26"/>
  <c r="X40" i="26"/>
  <c r="H41" i="29"/>
  <c r="BC41" i="26"/>
  <c r="BB41" i="26"/>
  <c r="X41" i="26"/>
  <c r="J44" i="29"/>
  <c r="BH45" i="26"/>
  <c r="H47" i="29"/>
  <c r="BC47" i="26"/>
  <c r="BG47" i="26" s="1"/>
  <c r="X47" i="26"/>
  <c r="P308" i="36" s="1"/>
  <c r="BC48" i="26"/>
  <c r="H48" i="29"/>
  <c r="X48" i="26"/>
  <c r="P309" i="36" s="1"/>
  <c r="H49" i="29"/>
  <c r="BB49" i="26"/>
  <c r="BF49" i="26" s="1"/>
  <c r="BD49" i="26"/>
  <c r="X49" i="26"/>
  <c r="P310" i="36" s="1"/>
  <c r="Q49" i="26"/>
  <c r="H50" i="29"/>
  <c r="BC50" i="26"/>
  <c r="BG50" i="26" s="1"/>
  <c r="Q50" i="26"/>
  <c r="BD50" i="26"/>
  <c r="BH50" i="26" s="1"/>
  <c r="X50" i="26"/>
  <c r="P311" i="36" s="1"/>
  <c r="BD51" i="26"/>
  <c r="BH51" i="26" s="1"/>
  <c r="BB51" i="26"/>
  <c r="Q51" i="26"/>
  <c r="X51" i="26"/>
  <c r="P312" i="36" s="1"/>
  <c r="H51" i="29"/>
  <c r="H52" i="29"/>
  <c r="BC52" i="26"/>
  <c r="BG53" i="26" s="1"/>
  <c r="Q52" i="26"/>
  <c r="X52" i="26"/>
  <c r="P313" i="36" s="1"/>
  <c r="H54" i="29"/>
  <c r="J54" i="29" s="1"/>
  <c r="BC54" i="26"/>
  <c r="BG54" i="26" s="1"/>
  <c r="X54" i="26"/>
  <c r="P315" i="36" s="1"/>
  <c r="H56" i="29"/>
  <c r="BC56" i="26"/>
  <c r="BG57" i="26" s="1"/>
  <c r="Q56" i="26"/>
  <c r="X56" i="26"/>
  <c r="P317" i="36" s="1"/>
  <c r="BD56" i="26"/>
  <c r="BF58" i="26"/>
  <c r="H59" i="29"/>
  <c r="J59" i="29" s="1"/>
  <c r="BC59" i="26"/>
  <c r="X59" i="26"/>
  <c r="P320" i="36" s="1"/>
  <c r="BD59" i="26"/>
  <c r="BH59" i="26" s="1"/>
  <c r="H60" i="29"/>
  <c r="BB60" i="26"/>
  <c r="BF60" i="26" s="1"/>
  <c r="BD60" i="26"/>
  <c r="X60" i="26"/>
  <c r="P321" i="36" s="1"/>
  <c r="H62" i="29"/>
  <c r="BC62" i="26"/>
  <c r="BG62" i="26" s="1"/>
  <c r="X62" i="26"/>
  <c r="P323" i="36" s="1"/>
  <c r="H65" i="29"/>
  <c r="BB65" i="26"/>
  <c r="BD65" i="26"/>
  <c r="X65" i="26"/>
  <c r="P326" i="36" s="1"/>
  <c r="Q65" i="26"/>
  <c r="BC67" i="26"/>
  <c r="H67" i="29"/>
  <c r="X67" i="26"/>
  <c r="P328" i="36" s="1"/>
  <c r="BG69" i="26"/>
  <c r="AV31" i="33"/>
  <c r="BH44" i="26"/>
  <c r="AV37" i="29"/>
  <c r="BD39" i="26"/>
  <c r="BD62" i="26"/>
  <c r="BH62" i="26" s="1"/>
  <c r="X70" i="26"/>
  <c r="BB52" i="1"/>
  <c r="BF52" i="1" s="1"/>
  <c r="BB44" i="1"/>
  <c r="BF44" i="1" s="1"/>
  <c r="BB58" i="1"/>
  <c r="T59" i="1"/>
  <c r="AY59" i="1" s="1"/>
  <c r="T31" i="1"/>
  <c r="AY32" i="1" s="1"/>
  <c r="T41" i="1"/>
  <c r="AX33" i="26"/>
  <c r="AQ59" i="33"/>
  <c r="T59" i="33"/>
  <c r="P266" i="36" s="1"/>
  <c r="T36" i="1"/>
  <c r="F36" i="33"/>
  <c r="AE36" i="33" s="1"/>
  <c r="F46" i="53"/>
  <c r="AW37" i="29"/>
  <c r="T53" i="1"/>
  <c r="AV34" i="33"/>
  <c r="T45" i="1"/>
  <c r="AY45" i="1" s="1"/>
  <c r="AY1" i="1" s="1"/>
  <c r="T34" i="1"/>
  <c r="AY34" i="1" s="1"/>
  <c r="I62" i="24"/>
  <c r="BB62" i="34"/>
  <c r="R556" i="36"/>
  <c r="R562" i="36"/>
  <c r="R554" i="36"/>
  <c r="K31" i="32"/>
  <c r="D46" i="53" s="1"/>
  <c r="L46" i="53" s="1"/>
  <c r="AS29" i="33"/>
  <c r="AT29" i="33"/>
  <c r="T29" i="33"/>
  <c r="AT52" i="33"/>
  <c r="AW52" i="33" s="1"/>
  <c r="AS52" i="33"/>
  <c r="N52" i="33"/>
  <c r="R52" i="33" s="1"/>
  <c r="U52" i="33" s="1"/>
  <c r="K54" i="32"/>
  <c r="P54" i="32" s="1"/>
  <c r="P116" i="32" s="1"/>
  <c r="T52" i="33"/>
  <c r="P259" i="36" s="1"/>
  <c r="F39" i="33"/>
  <c r="L39" i="33"/>
  <c r="F43" i="33"/>
  <c r="L43" i="33"/>
  <c r="U557" i="36"/>
  <c r="R557" i="36" s="1"/>
  <c r="L47" i="33"/>
  <c r="F47" i="33"/>
  <c r="T54" i="25"/>
  <c r="U470" i="36"/>
  <c r="U565" i="36"/>
  <c r="R565" i="36" s="1"/>
  <c r="L55" i="33"/>
  <c r="F55" i="33"/>
  <c r="AT57" i="33"/>
  <c r="AS57" i="33"/>
  <c r="K59" i="32"/>
  <c r="AT60" i="33"/>
  <c r="K62" i="32"/>
  <c r="K63" i="32"/>
  <c r="AS61" i="33"/>
  <c r="AV61" i="33" s="1"/>
  <c r="AT61" i="33"/>
  <c r="BD31" i="1"/>
  <c r="BH31" i="1" s="1"/>
  <c r="BB34" i="1"/>
  <c r="BD34" i="1"/>
  <c r="J37" i="24"/>
  <c r="BC37" i="1"/>
  <c r="BD37" i="1"/>
  <c r="BB39" i="1"/>
  <c r="BB42" i="1"/>
  <c r="BF42" i="1" s="1"/>
  <c r="J42" i="24"/>
  <c r="BD42" i="1"/>
  <c r="BC42" i="1"/>
  <c r="BB45" i="1"/>
  <c r="J45" i="24"/>
  <c r="BD45" i="1"/>
  <c r="BH45" i="1" s="1"/>
  <c r="BC45" i="1"/>
  <c r="BG45" i="1" s="1"/>
  <c r="BD47" i="1"/>
  <c r="BB47" i="1"/>
  <c r="BF47" i="1" s="1"/>
  <c r="J50" i="24"/>
  <c r="BC50" i="1"/>
  <c r="BG50" i="1" s="1"/>
  <c r="BB50" i="1"/>
  <c r="BF50" i="1" s="1"/>
  <c r="BD50" i="1"/>
  <c r="BH50" i="1" s="1"/>
  <c r="J51" i="24"/>
  <c r="BC51" i="1"/>
  <c r="BG51" i="1" s="1"/>
  <c r="BD51" i="1"/>
  <c r="BC54" i="1"/>
  <c r="BG54" i="1" s="1"/>
  <c r="BB54" i="1"/>
  <c r="BF54" i="1" s="1"/>
  <c r="J54" i="24"/>
  <c r="BD55" i="1"/>
  <c r="BH55" i="1" s="1"/>
  <c r="R573" i="36"/>
  <c r="BG26" i="1"/>
  <c r="BG27" i="1"/>
  <c r="BB67" i="26"/>
  <c r="BF68" i="26" s="1"/>
  <c r="BF14" i="24"/>
  <c r="BE14" i="24"/>
  <c r="I14" i="32"/>
  <c r="L14" i="32" s="1"/>
  <c r="BH28" i="1"/>
  <c r="L57" i="29"/>
  <c r="L75" i="29" s="1"/>
  <c r="J57" i="29"/>
  <c r="AF56" i="33"/>
  <c r="N56" i="33"/>
  <c r="R56" i="33" s="1"/>
  <c r="U56" i="33" s="1"/>
  <c r="F58" i="32"/>
  <c r="P58" i="32" s="1"/>
  <c r="P120" i="32" s="1"/>
  <c r="U570" i="36"/>
  <c r="R570" i="36" s="1"/>
  <c r="L60" i="33"/>
  <c r="T63" i="25"/>
  <c r="U479" i="36"/>
  <c r="U481" i="36"/>
  <c r="T65" i="25"/>
  <c r="H38" i="29"/>
  <c r="BD38" i="26"/>
  <c r="BH38" i="26" s="1"/>
  <c r="BB38" i="26"/>
  <c r="BF38" i="26" s="1"/>
  <c r="X38" i="26"/>
  <c r="BB39" i="26"/>
  <c r="BF39" i="26" s="1"/>
  <c r="BB40" i="26"/>
  <c r="BD40" i="26"/>
  <c r="BD41" i="26"/>
  <c r="BD42" i="26"/>
  <c r="H42" i="29"/>
  <c r="BB42" i="26"/>
  <c r="BF42" i="26" s="1"/>
  <c r="X42" i="26"/>
  <c r="BF45" i="26"/>
  <c r="H45" i="29"/>
  <c r="BC45" i="26"/>
  <c r="BG45" i="26" s="1"/>
  <c r="X45" i="26"/>
  <c r="X64" i="26"/>
  <c r="P325" i="36" s="1"/>
  <c r="X46" i="26"/>
  <c r="P307" i="36" s="1"/>
  <c r="X68" i="26"/>
  <c r="P329" i="36" s="1"/>
  <c r="X44" i="26"/>
  <c r="X58" i="26"/>
  <c r="P319" i="36" s="1"/>
  <c r="X36" i="26"/>
  <c r="BB47" i="26"/>
  <c r="BF47" i="26" s="1"/>
  <c r="BD47" i="26"/>
  <c r="BH47" i="26" s="1"/>
  <c r="BD48" i="26"/>
  <c r="BB50" i="26"/>
  <c r="BC51" i="26"/>
  <c r="BG51" i="26" s="1"/>
  <c r="BB52" i="26"/>
  <c r="BD52" i="26"/>
  <c r="BH52" i="26" s="1"/>
  <c r="H53" i="29"/>
  <c r="BD53" i="26"/>
  <c r="BH53" i="26" s="1"/>
  <c r="X53" i="26"/>
  <c r="P314" i="36" s="1"/>
  <c r="BB53" i="26"/>
  <c r="BB54" i="26"/>
  <c r="BD54" i="26"/>
  <c r="BH54" i="26" s="1"/>
  <c r="H55" i="29"/>
  <c r="BB55" i="26"/>
  <c r="BD55" i="26"/>
  <c r="X55" i="26"/>
  <c r="P316" i="36" s="1"/>
  <c r="BB56" i="26"/>
  <c r="BH57" i="26"/>
  <c r="BH58" i="26"/>
  <c r="BC60" i="26"/>
  <c r="BG61" i="26" s="1"/>
  <c r="BB62" i="26"/>
  <c r="BF62" i="26" s="1"/>
  <c r="H63" i="29"/>
  <c r="J63" i="29" s="1"/>
  <c r="BC63" i="26"/>
  <c r="BG63" i="26" s="1"/>
  <c r="X63" i="26"/>
  <c r="P324" i="36" s="1"/>
  <c r="BB64" i="26"/>
  <c r="BF64" i="26" s="1"/>
  <c r="H64" i="29"/>
  <c r="J64" i="29" s="1"/>
  <c r="BD64" i="26"/>
  <c r="BH64" i="26" s="1"/>
  <c r="BC64" i="26"/>
  <c r="BC65" i="26"/>
  <c r="BB66" i="26"/>
  <c r="BC66" i="26"/>
  <c r="BG66" i="26" s="1"/>
  <c r="H66" i="29"/>
  <c r="J66" i="29" s="1"/>
  <c r="X66" i="26"/>
  <c r="P327" i="36" s="1"/>
  <c r="BD66" i="26"/>
  <c r="BH66" i="26" s="1"/>
  <c r="BD67" i="26"/>
  <c r="BD69" i="26"/>
  <c r="BH69" i="26" s="1"/>
  <c r="H69" i="29"/>
  <c r="BB69" i="26"/>
  <c r="BF69" i="26" s="1"/>
  <c r="X69" i="26"/>
  <c r="P330" i="36" s="1"/>
  <c r="Q69" i="26"/>
  <c r="P529" i="36"/>
  <c r="AV43" i="33"/>
  <c r="T41" i="33"/>
  <c r="T48" i="33"/>
  <c r="P255" i="36" s="1"/>
  <c r="J43" i="29"/>
  <c r="AV33" i="29"/>
  <c r="AW33" i="29"/>
  <c r="X33" i="26"/>
  <c r="R559" i="36"/>
  <c r="F70" i="25"/>
  <c r="T49" i="1"/>
  <c r="T38" i="1"/>
  <c r="T63" i="1"/>
  <c r="S48" i="14"/>
  <c r="F51" i="24"/>
  <c r="P51" i="24" s="1"/>
  <c r="S52" i="14"/>
  <c r="F55" i="24"/>
  <c r="P55" i="24" s="1"/>
  <c r="S56" i="14"/>
  <c r="F59" i="24"/>
  <c r="P59" i="24" s="1"/>
  <c r="S58" i="14"/>
  <c r="F61" i="24"/>
  <c r="P61" i="24" s="1"/>
  <c r="S61" i="14"/>
  <c r="F64" i="24"/>
  <c r="P64" i="24" s="1"/>
  <c r="S63" i="14"/>
  <c r="F66" i="24"/>
  <c r="P66" i="24" s="1"/>
  <c r="S65" i="14"/>
  <c r="F68" i="24"/>
  <c r="P68" i="24" s="1"/>
  <c r="P74" i="24"/>
  <c r="P32" i="24"/>
  <c r="K32" i="24" s="1"/>
  <c r="P40" i="24"/>
  <c r="K40" i="24" s="1"/>
  <c r="P43" i="24"/>
  <c r="K43" i="24" s="1"/>
  <c r="P34" i="24"/>
  <c r="K34" i="24" s="1"/>
  <c r="P33" i="24"/>
  <c r="K33" i="24" s="1"/>
  <c r="P44" i="24"/>
  <c r="K44" i="24" s="1"/>
  <c r="P41" i="24"/>
  <c r="K41" i="24" s="1"/>
  <c r="P31" i="24"/>
  <c r="K31" i="24" s="1"/>
  <c r="P36" i="24"/>
  <c r="K36" i="24" s="1"/>
  <c r="P39" i="24"/>
  <c r="K39" i="24" s="1"/>
  <c r="P37" i="24"/>
  <c r="K37" i="24" s="1"/>
  <c r="P35" i="24"/>
  <c r="K35" i="24" s="1"/>
  <c r="P42" i="24"/>
  <c r="K42" i="24" s="1"/>
  <c r="P38" i="24"/>
  <c r="K38" i="24" s="1"/>
  <c r="AJ27" i="1"/>
  <c r="AJ26" i="1"/>
  <c r="AN26" i="1" s="1"/>
  <c r="AK30" i="1"/>
  <c r="Q31" i="1"/>
  <c r="S47" i="14"/>
  <c r="F50" i="24"/>
  <c r="P50" i="24" s="1"/>
  <c r="S51" i="14"/>
  <c r="F54" i="24"/>
  <c r="P54" i="24" s="1"/>
  <c r="S55" i="14"/>
  <c r="F58" i="24"/>
  <c r="P58" i="24" s="1"/>
  <c r="S57" i="14"/>
  <c r="F60" i="24"/>
  <c r="P60" i="24" s="1"/>
  <c r="S60" i="14"/>
  <c r="F63" i="24"/>
  <c r="P63" i="24" s="1"/>
  <c r="S62" i="14"/>
  <c r="F65" i="24"/>
  <c r="P65" i="24" s="1"/>
  <c r="S64" i="14"/>
  <c r="F67" i="24"/>
  <c r="P67" i="24" s="1"/>
  <c r="S66" i="14"/>
  <c r="F69" i="24"/>
  <c r="P69" i="24" s="1"/>
  <c r="N74" i="1"/>
  <c r="S64" i="1" s="1"/>
  <c r="F70" i="24"/>
  <c r="P70" i="24" s="1"/>
  <c r="S67" i="14"/>
  <c r="E42" i="24"/>
  <c r="E38" i="24"/>
  <c r="E34" i="24"/>
  <c r="O34" i="24" s="1"/>
  <c r="S51" i="1"/>
  <c r="AJ29" i="1"/>
  <c r="Q33" i="26"/>
  <c r="AJ33" i="26"/>
  <c r="AL33" i="26"/>
  <c r="AL31" i="1"/>
  <c r="E31" i="24"/>
  <c r="O31" i="24" s="1"/>
  <c r="AJ31" i="1"/>
  <c r="AK31" i="1"/>
  <c r="AO31" i="1" s="1"/>
  <c r="P49" i="34"/>
  <c r="P47" i="34"/>
  <c r="U47" i="34" s="1"/>
  <c r="P50" i="34"/>
  <c r="P44" i="34"/>
  <c r="U44" i="34" s="1"/>
  <c r="G7" i="19"/>
  <c r="B7" i="19"/>
  <c r="B26" i="19"/>
  <c r="G26" i="19"/>
  <c r="F42" i="33"/>
  <c r="L42" i="33"/>
  <c r="U560" i="36"/>
  <c r="R560" i="36" s="1"/>
  <c r="F50" i="33"/>
  <c r="L50" i="33"/>
  <c r="AE50" i="33"/>
  <c r="AW33" i="33"/>
  <c r="T40" i="1"/>
  <c r="T60" i="1"/>
  <c r="T56" i="1"/>
  <c r="T52" i="1"/>
  <c r="T48" i="1"/>
  <c r="AY48" i="1" s="1"/>
  <c r="T54" i="1"/>
  <c r="T57" i="1"/>
  <c r="AY57" i="1" s="1"/>
  <c r="T55" i="1"/>
  <c r="AY55" i="1" s="1"/>
  <c r="T35" i="1"/>
  <c r="AY35" i="1" s="1"/>
  <c r="T42" i="1"/>
  <c r="T62" i="1"/>
  <c r="T50" i="1"/>
  <c r="T61" i="1"/>
  <c r="AV18" i="33"/>
  <c r="BD18" i="33" s="1"/>
  <c r="AV19" i="33"/>
  <c r="BD19" i="33" s="1"/>
  <c r="F40" i="33"/>
  <c r="AE40" i="33" s="1"/>
  <c r="L40" i="33"/>
  <c r="U558" i="36"/>
  <c r="R558" i="36" s="1"/>
  <c r="L48" i="33"/>
  <c r="F48" i="33"/>
  <c r="U568" i="36"/>
  <c r="R568" i="36" s="1"/>
  <c r="L58" i="33"/>
  <c r="F58" i="33"/>
  <c r="AE58" i="33" s="1"/>
  <c r="T46" i="1"/>
  <c r="T39" i="1"/>
  <c r="AW23" i="33"/>
  <c r="AV23" i="33"/>
  <c r="AV71" i="29"/>
  <c r="AY72" i="29" s="1"/>
  <c r="BC70" i="26"/>
  <c r="BG70" i="26" s="1"/>
  <c r="BD71" i="26"/>
  <c r="P75" i="34"/>
  <c r="U57" i="34"/>
  <c r="BB70" i="26"/>
  <c r="BC71" i="26"/>
  <c r="L20" i="24"/>
  <c r="BF20" i="24" s="1"/>
  <c r="BF29" i="1"/>
  <c r="BF30" i="1"/>
  <c r="AV27" i="33"/>
  <c r="AV26" i="33"/>
  <c r="L17" i="24"/>
  <c r="BH26" i="1"/>
  <c r="AQ31" i="33"/>
  <c r="AW71" i="29"/>
  <c r="AZ72" i="29" s="1"/>
  <c r="L16" i="24"/>
  <c r="BF16" i="24" s="1"/>
  <c r="L18" i="24"/>
  <c r="BF18" i="24" s="1"/>
  <c r="BJ19" i="24" s="1"/>
  <c r="L24" i="24"/>
  <c r="AW26" i="33"/>
  <c r="AW16" i="33"/>
  <c r="AW17" i="33"/>
  <c r="AV16" i="33"/>
  <c r="BD16" i="33" s="1"/>
  <c r="AV17" i="33"/>
  <c r="BD17" i="33" s="1"/>
  <c r="L23" i="24"/>
  <c r="N46" i="53"/>
  <c r="AF45" i="10"/>
  <c r="N45" i="10"/>
  <c r="AQ33" i="33"/>
  <c r="AN71" i="26"/>
  <c r="AR35" i="10"/>
  <c r="DH33" i="25"/>
  <c r="AI26" i="7"/>
  <c r="AK26" i="7" s="1"/>
  <c r="AM26" i="7" s="1"/>
  <c r="U102" i="25"/>
  <c r="AB46" i="25"/>
  <c r="D53" i="29"/>
  <c r="AK53" i="26"/>
  <c r="AO53" i="26" s="1"/>
  <c r="Q53" i="26"/>
  <c r="AJ53" i="26"/>
  <c r="AN53" i="26" s="1"/>
  <c r="AL53" i="26"/>
  <c r="AP53" i="26" s="1"/>
  <c r="AI21" i="33"/>
  <c r="AI22" i="33"/>
  <c r="AJ21" i="33"/>
  <c r="AL21" i="33" s="1"/>
  <c r="U115" i="25"/>
  <c r="AB59" i="25"/>
  <c r="AB117" i="25"/>
  <c r="BT61" i="25"/>
  <c r="Q508" i="36"/>
  <c r="H68" i="25"/>
  <c r="V68" i="25" s="1"/>
  <c r="AF69" i="10"/>
  <c r="N69" i="10"/>
  <c r="Y69" i="10"/>
  <c r="S389" i="36" s="1"/>
  <c r="AL48" i="26"/>
  <c r="D48" i="29"/>
  <c r="L48" i="29" s="1"/>
  <c r="Q48" i="26"/>
  <c r="AJ48" i="26"/>
  <c r="AL54" i="26"/>
  <c r="AP54" i="26" s="1"/>
  <c r="Q54" i="26"/>
  <c r="D54" i="29"/>
  <c r="AK54" i="26"/>
  <c r="AO54" i="26" s="1"/>
  <c r="D55" i="29"/>
  <c r="Q55" i="26"/>
  <c r="AL55" i="26"/>
  <c r="AJ55" i="26"/>
  <c r="AK59" i="26"/>
  <c r="AO59" i="26" s="1"/>
  <c r="Q59" i="26"/>
  <c r="D59" i="29"/>
  <c r="AJ59" i="26"/>
  <c r="AN59" i="26" s="1"/>
  <c r="AL59" i="26"/>
  <c r="AP59" i="26" s="1"/>
  <c r="AL61" i="26"/>
  <c r="Q61" i="26"/>
  <c r="AJ61" i="26"/>
  <c r="D61" i="29"/>
  <c r="AJ63" i="26"/>
  <c r="AL63" i="26"/>
  <c r="Q63" i="26"/>
  <c r="D63" i="29"/>
  <c r="AN64" i="26"/>
  <c r="AN65" i="26"/>
  <c r="AO34" i="26"/>
  <c r="AO33" i="26"/>
  <c r="G23" i="32"/>
  <c r="AG69" i="10"/>
  <c r="AJ70" i="10" s="1"/>
  <c r="AJ47" i="26"/>
  <c r="AK47" i="26"/>
  <c r="Q47" i="26"/>
  <c r="D47" i="29"/>
  <c r="L47" i="29" s="1"/>
  <c r="AL47" i="26"/>
  <c r="AK48" i="26"/>
  <c r="AJ54" i="26"/>
  <c r="AN54" i="26" s="1"/>
  <c r="AK55" i="26"/>
  <c r="AK61" i="26"/>
  <c r="AK63" i="26"/>
  <c r="AK64" i="26"/>
  <c r="D64" i="29"/>
  <c r="Q64" i="26"/>
  <c r="AL64" i="26"/>
  <c r="AJ66" i="26"/>
  <c r="AN66" i="26" s="1"/>
  <c r="Q66" i="26"/>
  <c r="D66" i="29"/>
  <c r="AK66" i="26"/>
  <c r="AO66" i="26" s="1"/>
  <c r="AR36" i="7"/>
  <c r="F35" i="32"/>
  <c r="P35" i="32" s="1"/>
  <c r="P97" i="32" s="1"/>
  <c r="AE33" i="33"/>
  <c r="N31" i="34"/>
  <c r="G31" i="34"/>
  <c r="AJ31" i="34" s="1"/>
  <c r="AN31" i="34" s="1"/>
  <c r="D32" i="53"/>
  <c r="L32" i="53"/>
  <c r="AT34" i="50"/>
  <c r="AC34" i="50"/>
  <c r="G39" i="34"/>
  <c r="AJ39" i="34" s="1"/>
  <c r="F30" i="25"/>
  <c r="G37" i="34"/>
  <c r="AK37" i="34" s="1"/>
  <c r="AE39" i="50"/>
  <c r="AO39" i="50" s="1"/>
  <c r="Q61" i="19"/>
  <c r="E74" i="34"/>
  <c r="Q62" i="19"/>
  <c r="AE40" i="50"/>
  <c r="AO40" i="50" s="1"/>
  <c r="G40" i="34"/>
  <c r="AK40" i="34"/>
  <c r="G61" i="34"/>
  <c r="AK61" i="34" s="1"/>
  <c r="AB57" i="25"/>
  <c r="AB113" i="25" s="1"/>
  <c r="U113" i="25"/>
  <c r="S115" i="25"/>
  <c r="AB44" i="25"/>
  <c r="AB100" i="25" s="1"/>
  <c r="U100" i="25"/>
  <c r="S73" i="25"/>
  <c r="Z71" i="25" s="1"/>
  <c r="Z127" i="25" s="1"/>
  <c r="S101" i="25"/>
  <c r="AB53" i="25"/>
  <c r="AB109" i="25" s="1"/>
  <c r="U109" i="25"/>
  <c r="AB34" i="25"/>
  <c r="U90" i="25"/>
  <c r="AB33" i="25"/>
  <c r="U89" i="25"/>
  <c r="AB40" i="25"/>
  <c r="U96" i="25"/>
  <c r="AB63" i="25"/>
  <c r="U119" i="25"/>
  <c r="Z54" i="25"/>
  <c r="S110" i="25"/>
  <c r="N32" i="53"/>
  <c r="F32" i="53"/>
  <c r="Z50" i="25"/>
  <c r="Z106" i="25" s="1"/>
  <c r="S106" i="25"/>
  <c r="AB49" i="25"/>
  <c r="AB105" i="25" s="1"/>
  <c r="U105" i="25"/>
  <c r="AB64" i="25"/>
  <c r="AB120" i="25" s="1"/>
  <c r="U120" i="25"/>
  <c r="AB39" i="25"/>
  <c r="U95" i="25"/>
  <c r="AR67" i="10"/>
  <c r="AR55" i="10"/>
  <c r="AR69" i="10"/>
  <c r="AR43" i="10"/>
  <c r="AR33" i="7"/>
  <c r="AR38" i="7"/>
  <c r="AW53" i="7"/>
  <c r="C63" i="18"/>
  <c r="E66" i="7" s="1"/>
  <c r="E16" i="53"/>
  <c r="L21" i="53"/>
  <c r="I70" i="7"/>
  <c r="AX45" i="50"/>
  <c r="AY45" i="50" s="1"/>
  <c r="I69" i="7"/>
  <c r="AX44" i="50"/>
  <c r="AY44" i="50" s="1"/>
  <c r="AX75" i="7"/>
  <c r="AW40" i="7"/>
  <c r="AW75" i="7"/>
  <c r="CE36" i="25"/>
  <c r="AR41" i="7"/>
  <c r="BZ54" i="25"/>
  <c r="BY54" i="25"/>
  <c r="I55" i="30"/>
  <c r="BW54" i="25"/>
  <c r="CA54" i="25"/>
  <c r="BX54" i="25"/>
  <c r="T441" i="36"/>
  <c r="P441" i="36" s="1"/>
  <c r="P57" i="25"/>
  <c r="E20" i="53"/>
  <c r="E17" i="53"/>
  <c r="E18" i="53"/>
  <c r="E19" i="53"/>
  <c r="AR46" i="7"/>
  <c r="AR37" i="7"/>
  <c r="AR39" i="7"/>
  <c r="CA39" i="25"/>
  <c r="BX39" i="25"/>
  <c r="I40" i="30"/>
  <c r="BY39" i="25"/>
  <c r="BZ39" i="25"/>
  <c r="J67" i="7"/>
  <c r="AU67" i="7" s="1"/>
  <c r="AX67" i="7" s="1"/>
  <c r="AR32" i="7"/>
  <c r="AR31" i="7"/>
  <c r="J68" i="7"/>
  <c r="AU68" i="7" s="1"/>
  <c r="U68" i="15"/>
  <c r="I71" i="7"/>
  <c r="CA60" i="25"/>
  <c r="BW60" i="25"/>
  <c r="I61" i="30"/>
  <c r="BY60" i="25"/>
  <c r="AR22" i="10"/>
  <c r="AR56" i="10"/>
  <c r="AR14" i="10"/>
  <c r="AR44" i="10"/>
  <c r="AR18" i="10"/>
  <c r="AR19" i="10"/>
  <c r="AR65" i="10"/>
  <c r="AR68" i="10"/>
  <c r="C59" i="18"/>
  <c r="E62" i="7" s="1"/>
  <c r="M62" i="7" s="1"/>
  <c r="Q62" i="7" s="1"/>
  <c r="C57" i="18"/>
  <c r="E60" i="7" s="1"/>
  <c r="M60" i="7" s="1"/>
  <c r="Q60" i="7" s="1"/>
  <c r="G59" i="34"/>
  <c r="M63" i="7"/>
  <c r="Q63" i="7" s="1"/>
  <c r="M57" i="7"/>
  <c r="M58" i="7"/>
  <c r="Q58" i="7" s="1"/>
  <c r="M66" i="7"/>
  <c r="Q66" i="7" s="1"/>
  <c r="AR67" i="7" s="1"/>
  <c r="DI30" i="25"/>
  <c r="AP32" i="26"/>
  <c r="G48" i="34"/>
  <c r="G35" i="34"/>
  <c r="AJ35" i="34" s="1"/>
  <c r="G42" i="34"/>
  <c r="AJ42" i="34" s="1"/>
  <c r="G67" i="34"/>
  <c r="AJ67" i="34" s="1"/>
  <c r="G52" i="34"/>
  <c r="AJ52" i="34" s="1"/>
  <c r="G58" i="34"/>
  <c r="AJ58" i="34" s="1"/>
  <c r="N64" i="34"/>
  <c r="G64" i="34"/>
  <c r="G45" i="34"/>
  <c r="AJ45" i="34" s="1"/>
  <c r="G33" i="34"/>
  <c r="AJ33" i="34" s="1"/>
  <c r="N36" i="34"/>
  <c r="G36" i="34"/>
  <c r="AJ36" i="34" s="1"/>
  <c r="G57" i="34"/>
  <c r="AJ57" i="34" s="1"/>
  <c r="G66" i="34"/>
  <c r="N66" i="34"/>
  <c r="AJ66" i="34"/>
  <c r="AW30" i="19"/>
  <c r="AV31" i="19"/>
  <c r="AW31" i="19" s="1"/>
  <c r="G56" i="34"/>
  <c r="AJ56" i="34" s="1"/>
  <c r="G60" i="34"/>
  <c r="G68" i="34"/>
  <c r="AJ68" i="34" s="1"/>
  <c r="N67" i="34"/>
  <c r="C58" i="18"/>
  <c r="E61" i="7" s="1"/>
  <c r="DH36" i="25"/>
  <c r="DH40" i="25"/>
  <c r="DH42" i="25"/>
  <c r="DH44" i="25"/>
  <c r="AK25" i="7"/>
  <c r="AM25" i="7" s="1"/>
  <c r="DI33" i="25"/>
  <c r="DI36" i="25"/>
  <c r="P74" i="1"/>
  <c r="U50" i="1" s="1"/>
  <c r="AR26" i="7"/>
  <c r="BE13" i="25"/>
  <c r="BL13" i="25" s="1"/>
  <c r="BD13" i="25"/>
  <c r="I23" i="25"/>
  <c r="AW23" i="25" s="1"/>
  <c r="BC24" i="25" s="1"/>
  <c r="BC25" i="25"/>
  <c r="DH46" i="25"/>
  <c r="DG65" i="25"/>
  <c r="DI65" i="25" s="1"/>
  <c r="DF65" i="25"/>
  <c r="DH65" i="25" s="1"/>
  <c r="AK71" i="26"/>
  <c r="AR32" i="10"/>
  <c r="AR31" i="10"/>
  <c r="DI47" i="25"/>
  <c r="DI59" i="25"/>
  <c r="DH60" i="25"/>
  <c r="DI63" i="25"/>
  <c r="AQ52" i="26"/>
  <c r="AL71" i="26"/>
  <c r="D40" i="26"/>
  <c r="DH32" i="25"/>
  <c r="DH34" i="25"/>
  <c r="DI35" i="25"/>
  <c r="DH38" i="25"/>
  <c r="DI49" i="25"/>
  <c r="DI51" i="25"/>
  <c r="DH52" i="25"/>
  <c r="DI53" i="25"/>
  <c r="DH58" i="25"/>
  <c r="DF64" i="25"/>
  <c r="DH64" i="25" s="1"/>
  <c r="DG64" i="25"/>
  <c r="DI64" i="25" s="1"/>
  <c r="E39" i="24"/>
  <c r="AR30" i="10"/>
  <c r="BA30" i="10" s="1"/>
  <c r="AJ68" i="10"/>
  <c r="BE12" i="25"/>
  <c r="AN32" i="26"/>
  <c r="AR17" i="10"/>
  <c r="AR16" i="10"/>
  <c r="AR34" i="10"/>
  <c r="AR33" i="10"/>
  <c r="AR49" i="10"/>
  <c r="AR50" i="10"/>
  <c r="D28" i="25"/>
  <c r="AG29" i="7"/>
  <c r="AJ29" i="7" s="1"/>
  <c r="AF29" i="7"/>
  <c r="AI29" i="7" s="1"/>
  <c r="DI40" i="25"/>
  <c r="DI42" i="25"/>
  <c r="DI44" i="25"/>
  <c r="DI46" i="25"/>
  <c r="DH47" i="25"/>
  <c r="DF50" i="25"/>
  <c r="DH50" i="25" s="1"/>
  <c r="DG50" i="25"/>
  <c r="DI50" i="25" s="1"/>
  <c r="DF54" i="25"/>
  <c r="DH54" i="25" s="1"/>
  <c r="DG54" i="25"/>
  <c r="DI54" i="25" s="1"/>
  <c r="DF56" i="25"/>
  <c r="DH56" i="25" s="1"/>
  <c r="DG56" i="25"/>
  <c r="DI56" i="25" s="1"/>
  <c r="DG57" i="25"/>
  <c r="DI57" i="25" s="1"/>
  <c r="DF57" i="25"/>
  <c r="DH57" i="25" s="1"/>
  <c r="DH59" i="25"/>
  <c r="DI60" i="25"/>
  <c r="DG61" i="25"/>
  <c r="DI61" i="25" s="1"/>
  <c r="DF61" i="25"/>
  <c r="DH61" i="25" s="1"/>
  <c r="DF62" i="25"/>
  <c r="DH62" i="25" s="1"/>
  <c r="DG62" i="25"/>
  <c r="DI62" i="25" s="1"/>
  <c r="DH63" i="25"/>
  <c r="Q511" i="36"/>
  <c r="BT64" i="25"/>
  <c r="D62" i="29"/>
  <c r="AJ62" i="26"/>
  <c r="Q62" i="26"/>
  <c r="AL62" i="26"/>
  <c r="AK62" i="26"/>
  <c r="AR57" i="10"/>
  <c r="AR58" i="10"/>
  <c r="AR36" i="10"/>
  <c r="BA36" i="10" s="1"/>
  <c r="DI32" i="25"/>
  <c r="DI34" i="25"/>
  <c r="DH35" i="25"/>
  <c r="DI38" i="25"/>
  <c r="DF48" i="25"/>
  <c r="DH48" i="25" s="1"/>
  <c r="DG48" i="25"/>
  <c r="DI48" i="25" s="1"/>
  <c r="DH49" i="25"/>
  <c r="DH51" i="25"/>
  <c r="DI52" i="25"/>
  <c r="DH53" i="25"/>
  <c r="DG55" i="25"/>
  <c r="DI55" i="25" s="1"/>
  <c r="DF55" i="25"/>
  <c r="DH55" i="25" s="1"/>
  <c r="DI58" i="25"/>
  <c r="BE25" i="25"/>
  <c r="BC12" i="25"/>
  <c r="AO31" i="26"/>
  <c r="AO32" i="26"/>
  <c r="CG29" i="25"/>
  <c r="CG30" i="25"/>
  <c r="CF30" i="25"/>
  <c r="CF29" i="25"/>
  <c r="U512" i="36"/>
  <c r="R512" i="36" s="1"/>
  <c r="U65" i="25"/>
  <c r="G64" i="18"/>
  <c r="DD66" i="25" s="1"/>
  <c r="Q601" i="36"/>
  <c r="AQ60" i="33"/>
  <c r="AQ36" i="33"/>
  <c r="Y60" i="33"/>
  <c r="S267" i="36" s="1"/>
  <c r="F62" i="32"/>
  <c r="N60" i="33"/>
  <c r="R60" i="33" s="1"/>
  <c r="U60" i="33" s="1"/>
  <c r="AE60" i="33"/>
  <c r="AF60" i="33"/>
  <c r="N59" i="33"/>
  <c r="R59" i="33" s="1"/>
  <c r="U59" i="33" s="1"/>
  <c r="Y59" i="33"/>
  <c r="S266" i="36" s="1"/>
  <c r="Z44" i="25"/>
  <c r="Z100" i="25" s="1"/>
  <c r="E56" i="32"/>
  <c r="AI56" i="29"/>
  <c r="AH56" i="29"/>
  <c r="AH65" i="29"/>
  <c r="E65" i="32"/>
  <c r="AI65" i="29"/>
  <c r="M48" i="14"/>
  <c r="E51" i="29" s="1"/>
  <c r="AY47" i="19"/>
  <c r="AH57" i="29"/>
  <c r="N57" i="29"/>
  <c r="N75" i="29" s="1"/>
  <c r="E57" i="32"/>
  <c r="AI57" i="29"/>
  <c r="U529" i="36"/>
  <c r="F52" i="29"/>
  <c r="M52" i="29"/>
  <c r="AQ69" i="10"/>
  <c r="AX66" i="26"/>
  <c r="AX69" i="26"/>
  <c r="AX38" i="26"/>
  <c r="AX63" i="26"/>
  <c r="D71" i="29"/>
  <c r="BC63" i="34"/>
  <c r="BB63" i="34"/>
  <c r="Q591" i="36"/>
  <c r="Q592" i="36"/>
  <c r="AQ50" i="33"/>
  <c r="Q589" i="36"/>
  <c r="AQ47" i="33"/>
  <c r="Q587" i="36"/>
  <c r="AQ45" i="33"/>
  <c r="AQ44" i="33"/>
  <c r="Q586" i="36"/>
  <c r="AQ51" i="33"/>
  <c r="Q593" i="36"/>
  <c r="AQ57" i="33"/>
  <c r="Q599" i="36"/>
  <c r="AQ58" i="33"/>
  <c r="AQ42" i="33"/>
  <c r="Q594" i="36"/>
  <c r="AQ52" i="33"/>
  <c r="AQ43" i="33"/>
  <c r="Q590" i="36"/>
  <c r="BC66" i="34"/>
  <c r="Q66" i="34"/>
  <c r="AQ41" i="33"/>
  <c r="AQ53" i="33"/>
  <c r="AQ56" i="33"/>
  <c r="Q598" i="36"/>
  <c r="Q602" i="36"/>
  <c r="AQ61" i="33"/>
  <c r="AQ35" i="33"/>
  <c r="AQ34" i="33"/>
  <c r="AQ39" i="33"/>
  <c r="Q597" i="36"/>
  <c r="AQ46" i="33"/>
  <c r="Q588" i="36"/>
  <c r="AQ54" i="33"/>
  <c r="AI48" i="10"/>
  <c r="AI49" i="10"/>
  <c r="O24" i="25"/>
  <c r="AU25" i="10"/>
  <c r="N25" i="10"/>
  <c r="AT25" i="10"/>
  <c r="K48" i="25"/>
  <c r="AT49" i="7"/>
  <c r="AU49" i="7"/>
  <c r="T49" i="7"/>
  <c r="P339" i="36" s="1"/>
  <c r="K62" i="25"/>
  <c r="AU63" i="7"/>
  <c r="T63" i="7"/>
  <c r="P353" i="36" s="1"/>
  <c r="AF31" i="10"/>
  <c r="N31" i="10"/>
  <c r="H30" i="25"/>
  <c r="AG31" i="10"/>
  <c r="Y31" i="10"/>
  <c r="H58" i="25"/>
  <c r="N59" i="10"/>
  <c r="AG59" i="10"/>
  <c r="Y59" i="10"/>
  <c r="S379" i="36" s="1"/>
  <c r="AQ32" i="10"/>
  <c r="AQ43" i="10"/>
  <c r="AX25" i="7"/>
  <c r="AX24" i="7"/>
  <c r="BW65" i="25"/>
  <c r="I66" i="30"/>
  <c r="BZ65" i="25"/>
  <c r="BX65" i="25"/>
  <c r="BY65" i="25"/>
  <c r="CA65" i="25"/>
  <c r="AQ49" i="10"/>
  <c r="O42" i="25"/>
  <c r="V42" i="25" s="1"/>
  <c r="N43" i="10"/>
  <c r="AT43" i="10"/>
  <c r="AU43" i="10"/>
  <c r="T43" i="10"/>
  <c r="K61" i="25"/>
  <c r="AU62" i="7"/>
  <c r="AX62" i="7" s="1"/>
  <c r="T62" i="7"/>
  <c r="P352" i="36" s="1"/>
  <c r="AT62" i="7"/>
  <c r="AW62" i="7" s="1"/>
  <c r="AG48" i="10"/>
  <c r="H47" i="25"/>
  <c r="N48" i="10"/>
  <c r="Y48" i="10"/>
  <c r="S368" i="36" s="1"/>
  <c r="AI59" i="10"/>
  <c r="AI60" i="10"/>
  <c r="AQ59" i="10"/>
  <c r="AQ60" i="10"/>
  <c r="CA51" i="25"/>
  <c r="BY51" i="25"/>
  <c r="BZ51" i="25"/>
  <c r="BW51" i="25"/>
  <c r="CC52" i="25" s="1"/>
  <c r="I52" i="30"/>
  <c r="BX51" i="25"/>
  <c r="O12" i="25"/>
  <c r="AT13" i="10"/>
  <c r="AW14" i="10" s="1"/>
  <c r="AU13" i="10"/>
  <c r="AX14" i="10" s="1"/>
  <c r="N13" i="10"/>
  <c r="AT33" i="7"/>
  <c r="T33" i="7"/>
  <c r="AU43" i="7"/>
  <c r="T43" i="7"/>
  <c r="AT60" i="7"/>
  <c r="T60" i="7"/>
  <c r="P350" i="36" s="1"/>
  <c r="AT65" i="7"/>
  <c r="T65" i="7"/>
  <c r="P355" i="36" s="1"/>
  <c r="F69" i="33"/>
  <c r="U555" i="36"/>
  <c r="R555" i="36" s="1"/>
  <c r="L45" i="33"/>
  <c r="F45" i="33"/>
  <c r="AE45" i="33" s="1"/>
  <c r="U561" i="36"/>
  <c r="R561" i="36" s="1"/>
  <c r="L51" i="33"/>
  <c r="F51" i="33"/>
  <c r="AE51" i="33" s="1"/>
  <c r="L62" i="10"/>
  <c r="P62" i="10" s="1"/>
  <c r="F62" i="10"/>
  <c r="AF62" i="10" s="1"/>
  <c r="AI63" i="10" s="1"/>
  <c r="Z56" i="25"/>
  <c r="Z42" i="25"/>
  <c r="Z98" i="25" s="1"/>
  <c r="Z28" i="25"/>
  <c r="BR28" i="25" s="1"/>
  <c r="Z36" i="25"/>
  <c r="Z92" i="25" s="1"/>
  <c r="Z40" i="25"/>
  <c r="Z53" i="25"/>
  <c r="Z109" i="25" s="1"/>
  <c r="Q500" i="36"/>
  <c r="BT54" i="25"/>
  <c r="BT53" i="25"/>
  <c r="AQ65" i="10"/>
  <c r="O26" i="25"/>
  <c r="AU27" i="10"/>
  <c r="AT27" i="10"/>
  <c r="N27" i="10"/>
  <c r="K31" i="25"/>
  <c r="AT32" i="7"/>
  <c r="AW32" i="7" s="1"/>
  <c r="AU32" i="7"/>
  <c r="AX32" i="7" s="1"/>
  <c r="T32" i="7"/>
  <c r="AU38" i="7"/>
  <c r="T38" i="7"/>
  <c r="K44" i="25"/>
  <c r="AU45" i="7"/>
  <c r="AT45" i="7"/>
  <c r="T45" i="7"/>
  <c r="F39" i="32"/>
  <c r="P39" i="32" s="1"/>
  <c r="P101" i="32" s="1"/>
  <c r="AF37" i="33"/>
  <c r="Y37" i="33"/>
  <c r="U468" i="36"/>
  <c r="T52" i="25"/>
  <c r="AT42" i="7"/>
  <c r="AW42" i="7" s="1"/>
  <c r="AU42" i="7"/>
  <c r="AX42" i="7" s="1"/>
  <c r="K41" i="25"/>
  <c r="T42" i="7"/>
  <c r="F30" i="33"/>
  <c r="F32" i="33"/>
  <c r="AE32" i="33" s="1"/>
  <c r="O59" i="25"/>
  <c r="V59" i="25" s="1"/>
  <c r="AU60" i="10"/>
  <c r="AT60" i="10"/>
  <c r="N60" i="10"/>
  <c r="T60" i="10"/>
  <c r="P380" i="36" s="1"/>
  <c r="AU56" i="7"/>
  <c r="T56" i="7"/>
  <c r="P346" i="36" s="1"/>
  <c r="K63" i="25"/>
  <c r="AT64" i="7"/>
  <c r="AW64" i="7" s="1"/>
  <c r="AU64" i="7"/>
  <c r="AX65" i="7" s="1"/>
  <c r="T64" i="7"/>
  <c r="P354" i="36" s="1"/>
  <c r="Z66" i="25"/>
  <c r="Z122" i="25" s="1"/>
  <c r="AQ67" i="10"/>
  <c r="H27" i="25"/>
  <c r="AF28" i="10"/>
  <c r="AG28" i="10"/>
  <c r="N28" i="10"/>
  <c r="Y28" i="10"/>
  <c r="H43" i="25"/>
  <c r="AG44" i="10"/>
  <c r="AJ44" i="10" s="1"/>
  <c r="AF44" i="10"/>
  <c r="AI44" i="10" s="1"/>
  <c r="N44" i="10"/>
  <c r="Y44" i="10"/>
  <c r="AR53" i="10"/>
  <c r="AR54" i="10"/>
  <c r="AR13" i="10"/>
  <c r="AR12" i="10"/>
  <c r="O46" i="25"/>
  <c r="AU47" i="10"/>
  <c r="N47" i="10"/>
  <c r="AT47" i="10"/>
  <c r="Q496" i="36"/>
  <c r="BT50" i="25"/>
  <c r="BT49" i="25"/>
  <c r="H60" i="25"/>
  <c r="AG61" i="10"/>
  <c r="N61" i="10"/>
  <c r="AF61" i="10"/>
  <c r="Y61" i="10"/>
  <c r="S381" i="36" s="1"/>
  <c r="H54" i="25"/>
  <c r="N55" i="10"/>
  <c r="AG55" i="10"/>
  <c r="AF55" i="10"/>
  <c r="AI55" i="10" s="1"/>
  <c r="Y55" i="10"/>
  <c r="S375" i="36" s="1"/>
  <c r="AX34" i="7"/>
  <c r="P37" i="25"/>
  <c r="BW37" i="25" s="1"/>
  <c r="AX61" i="7"/>
  <c r="AX60" i="7"/>
  <c r="T448" i="36"/>
  <c r="P448" i="36" s="1"/>
  <c r="P64" i="25"/>
  <c r="BW64" i="25" s="1"/>
  <c r="AR40" i="10"/>
  <c r="BX52" i="25"/>
  <c r="BZ52" i="25"/>
  <c r="I53" i="30"/>
  <c r="BY52" i="25"/>
  <c r="CA52" i="25"/>
  <c r="CC35" i="25"/>
  <c r="CC36" i="25"/>
  <c r="AR48" i="7"/>
  <c r="H32" i="25"/>
  <c r="AF33" i="10"/>
  <c r="AG33" i="10"/>
  <c r="N33" i="10"/>
  <c r="Y33" i="10"/>
  <c r="AR41" i="10"/>
  <c r="AR42" i="10"/>
  <c r="BA42" i="10" s="1"/>
  <c r="O11" i="25"/>
  <c r="AU12" i="10"/>
  <c r="AT12" i="10"/>
  <c r="T12" i="10"/>
  <c r="N12" i="10"/>
  <c r="AR47" i="10"/>
  <c r="AR48" i="10"/>
  <c r="AR59" i="10"/>
  <c r="AR60" i="10"/>
  <c r="AR52" i="7"/>
  <c r="AR53" i="7"/>
  <c r="BT45" i="25"/>
  <c r="H55" i="25"/>
  <c r="AF56" i="10"/>
  <c r="N56" i="10"/>
  <c r="AG56" i="10"/>
  <c r="AJ57" i="10" s="1"/>
  <c r="Y56" i="10"/>
  <c r="S376" i="36" s="1"/>
  <c r="AT48" i="7"/>
  <c r="K47" i="25"/>
  <c r="T48" i="7"/>
  <c r="P338" i="36" s="1"/>
  <c r="AU48" i="7"/>
  <c r="AQ55" i="10"/>
  <c r="AQ56" i="10"/>
  <c r="T439" i="36"/>
  <c r="P439" i="36" s="1"/>
  <c r="P55" i="25"/>
  <c r="BW55" i="25" s="1"/>
  <c r="BZ43" i="25"/>
  <c r="CA43" i="25"/>
  <c r="BX43" i="25"/>
  <c r="P32" i="25"/>
  <c r="AW38" i="7"/>
  <c r="AW39" i="7"/>
  <c r="AW43" i="7"/>
  <c r="AW44" i="7"/>
  <c r="P59" i="25"/>
  <c r="BW59" i="25" s="1"/>
  <c r="T443" i="36"/>
  <c r="P443" i="36" s="1"/>
  <c r="AX66" i="7"/>
  <c r="AW57" i="7"/>
  <c r="AK17" i="10"/>
  <c r="AN17" i="10" s="1"/>
  <c r="P13" i="25"/>
  <c r="V13" i="25"/>
  <c r="CA13" i="25"/>
  <c r="AR45" i="7"/>
  <c r="Q434" i="36"/>
  <c r="H70" i="29"/>
  <c r="Q70" i="26"/>
  <c r="Q71" i="26"/>
  <c r="AL54" i="34"/>
  <c r="AK54" i="34"/>
  <c r="D54" i="24"/>
  <c r="AJ54" i="34"/>
  <c r="K41" i="32"/>
  <c r="AS39" i="33"/>
  <c r="AT39" i="33"/>
  <c r="T39" i="33"/>
  <c r="AW14" i="33"/>
  <c r="AW15" i="33"/>
  <c r="L22" i="32"/>
  <c r="BD28" i="34"/>
  <c r="I28" i="24"/>
  <c r="BC28" i="34"/>
  <c r="AY31" i="1"/>
  <c r="D41" i="24"/>
  <c r="AK41" i="34"/>
  <c r="AJ41" i="34"/>
  <c r="AL41" i="34"/>
  <c r="AV15" i="33"/>
  <c r="BD15" i="33" s="1"/>
  <c r="AV14" i="33"/>
  <c r="BD14" i="33" s="1"/>
  <c r="BD27" i="34"/>
  <c r="BH27" i="34" s="1"/>
  <c r="BC27" i="34"/>
  <c r="BG27" i="34" s="1"/>
  <c r="I27" i="24"/>
  <c r="L27" i="24" s="1"/>
  <c r="BC35" i="34"/>
  <c r="I35" i="24"/>
  <c r="BF28" i="34"/>
  <c r="BN28" i="34" s="1"/>
  <c r="I33" i="24"/>
  <c r="BC33" i="34"/>
  <c r="BD33" i="34"/>
  <c r="Q33" i="34"/>
  <c r="BF69" i="34"/>
  <c r="G62" i="34"/>
  <c r="AJ62" i="34" s="1"/>
  <c r="N65" i="34"/>
  <c r="G65" i="34"/>
  <c r="AJ65" i="34" s="1"/>
  <c r="G43" i="34"/>
  <c r="AJ43" i="34" s="1"/>
  <c r="D74" i="34"/>
  <c r="G46" i="34"/>
  <c r="AJ46" i="34" s="1"/>
  <c r="G49" i="34"/>
  <c r="AJ49" i="34" s="1"/>
  <c r="N51" i="34"/>
  <c r="G51" i="34"/>
  <c r="AJ51" i="34" s="1"/>
  <c r="M16" i="57" s="1"/>
  <c r="G55" i="34"/>
  <c r="AJ55" i="34" s="1"/>
  <c r="G63" i="34"/>
  <c r="AJ63" i="34" s="1"/>
  <c r="G44" i="34"/>
  <c r="AJ44" i="34" s="1"/>
  <c r="G47" i="34"/>
  <c r="AJ47" i="34" s="1"/>
  <c r="G50" i="34"/>
  <c r="AJ50" i="34" s="1"/>
  <c r="G53" i="34"/>
  <c r="AJ53" i="34" s="1"/>
  <c r="D67" i="29"/>
  <c r="AK67" i="26"/>
  <c r="AO67" i="26" s="1"/>
  <c r="Q67" i="26"/>
  <c r="AJ67" i="26"/>
  <c r="AN67" i="26" s="1"/>
  <c r="AL67" i="26"/>
  <c r="AP67" i="26" s="1"/>
  <c r="BG20" i="25"/>
  <c r="AZ19" i="25"/>
  <c r="AX19" i="25"/>
  <c r="AY19" i="25"/>
  <c r="E20" i="30"/>
  <c r="AW19" i="25"/>
  <c r="BD35" i="1"/>
  <c r="BH35" i="1" s="1"/>
  <c r="BB35" i="1"/>
  <c r="J35" i="24"/>
  <c r="BC35" i="1"/>
  <c r="AR56" i="7"/>
  <c r="AR55" i="7"/>
  <c r="Q504" i="36"/>
  <c r="D29" i="25"/>
  <c r="AG30" i="7"/>
  <c r="AF30" i="7"/>
  <c r="AX22" i="25"/>
  <c r="AZ22" i="25"/>
  <c r="AW22" i="25"/>
  <c r="E23" i="30"/>
  <c r="AY22" i="25"/>
  <c r="W22" i="25"/>
  <c r="AR45" i="10"/>
  <c r="AR46" i="10"/>
  <c r="D60" i="29"/>
  <c r="AJ60" i="26"/>
  <c r="AL60" i="26"/>
  <c r="AK60" i="26"/>
  <c r="Q60" i="26"/>
  <c r="D68" i="29"/>
  <c r="Q68" i="26"/>
  <c r="AK68" i="26"/>
  <c r="AL68" i="26"/>
  <c r="AJ68" i="26"/>
  <c r="V44" i="25"/>
  <c r="AJ46" i="10"/>
  <c r="BK13" i="25"/>
  <c r="BM13" i="25"/>
  <c r="BN13" i="25"/>
  <c r="AN26" i="7"/>
  <c r="E60" i="24"/>
  <c r="AX60" i="26"/>
  <c r="AI45" i="10"/>
  <c r="AI46" i="10"/>
  <c r="AI26" i="33"/>
  <c r="AI25" i="33"/>
  <c r="AK38" i="34"/>
  <c r="AL38" i="34"/>
  <c r="AJ38" i="34"/>
  <c r="D38" i="24"/>
  <c r="AM24" i="7"/>
  <c r="AN24" i="7"/>
  <c r="AM12" i="10"/>
  <c r="BJ13" i="25"/>
  <c r="B68" i="14"/>
  <c r="D71" i="34" s="1"/>
  <c r="B67" i="14"/>
  <c r="D70" i="34" s="1"/>
  <c r="AL69" i="34"/>
  <c r="AK69" i="34"/>
  <c r="D69" i="24"/>
  <c r="AR62" i="10"/>
  <c r="AR61" i="10"/>
  <c r="AX53" i="26"/>
  <c r="AQ37" i="33"/>
  <c r="G24" i="32"/>
  <c r="G25" i="32"/>
  <c r="AH24" i="33"/>
  <c r="AH25" i="33"/>
  <c r="AH28" i="33"/>
  <c r="AK39" i="10"/>
  <c r="AM39" i="10" s="1"/>
  <c r="AK34" i="34"/>
  <c r="AJ34" i="34"/>
  <c r="D34" i="24"/>
  <c r="BG25" i="25"/>
  <c r="AK14" i="10"/>
  <c r="AN14" i="10" s="1"/>
  <c r="BA26" i="7"/>
  <c r="BE26" i="7"/>
  <c r="M67" i="14"/>
  <c r="E70" i="29" s="1"/>
  <c r="M68" i="14"/>
  <c r="E71" i="29" s="1"/>
  <c r="S69" i="25"/>
  <c r="AX56" i="26"/>
  <c r="O75" i="26"/>
  <c r="AJ22" i="33"/>
  <c r="AM22" i="33" s="1"/>
  <c r="AH23" i="33"/>
  <c r="AK38" i="10"/>
  <c r="AM38" i="10" s="1"/>
  <c r="AN16" i="10"/>
  <c r="BE16" i="10" s="1"/>
  <c r="AL34" i="34"/>
  <c r="BD25" i="25"/>
  <c r="AK15" i="10"/>
  <c r="AN15" i="10" s="1"/>
  <c r="BB29" i="34"/>
  <c r="R482" i="36"/>
  <c r="AF67" i="33"/>
  <c r="Y67" i="33"/>
  <c r="S274" i="36" s="1"/>
  <c r="T73" i="25"/>
  <c r="R462" i="36"/>
  <c r="AV12" i="33"/>
  <c r="BD12" i="33" s="1"/>
  <c r="AV11" i="33"/>
  <c r="BD11" i="33" s="1"/>
  <c r="BE11" i="33" s="1"/>
  <c r="BC69" i="34"/>
  <c r="BD69" i="34"/>
  <c r="I69" i="24"/>
  <c r="Q69" i="34"/>
  <c r="I68" i="24"/>
  <c r="Q68" i="34"/>
  <c r="BC68" i="34"/>
  <c r="BD68" i="34"/>
  <c r="AW68" i="29"/>
  <c r="J68" i="32"/>
  <c r="BF68" i="34"/>
  <c r="AV68" i="29"/>
  <c r="J63" i="32"/>
  <c r="AW63" i="29"/>
  <c r="L25" i="32"/>
  <c r="BF25" i="32" s="1"/>
  <c r="BC67" i="34"/>
  <c r="I67" i="24"/>
  <c r="BD67" i="34"/>
  <c r="Q67" i="34"/>
  <c r="BG10" i="32"/>
  <c r="H10" i="30"/>
  <c r="BH10" i="32"/>
  <c r="AV63" i="29"/>
  <c r="AW38" i="33"/>
  <c r="AK32" i="34"/>
  <c r="AJ32" i="34"/>
  <c r="AL32" i="34"/>
  <c r="D32" i="24"/>
  <c r="BI26" i="24"/>
  <c r="AF55" i="60" l="1"/>
  <c r="AF50" i="60"/>
  <c r="Q46" i="1"/>
  <c r="AN39" i="1"/>
  <c r="AN47" i="1"/>
  <c r="AN50" i="1"/>
  <c r="AF41" i="60"/>
  <c r="AF48" i="60"/>
  <c r="V33" i="60"/>
  <c r="G33" i="60"/>
  <c r="AU33" i="60" s="1"/>
  <c r="V37" i="60"/>
  <c r="G37" i="60"/>
  <c r="AU37" i="60" s="1"/>
  <c r="G41" i="60"/>
  <c r="AU41" i="60" s="1"/>
  <c r="V41" i="60"/>
  <c r="G45" i="60"/>
  <c r="AU45" i="60"/>
  <c r="V45" i="60"/>
  <c r="G49" i="60"/>
  <c r="V49" i="60"/>
  <c r="G53" i="60"/>
  <c r="V53" i="60"/>
  <c r="G57" i="60"/>
  <c r="V57" i="60"/>
  <c r="V61" i="60"/>
  <c r="G61" i="60"/>
  <c r="G29" i="60"/>
  <c r="AU29" i="60" s="1"/>
  <c r="G32" i="60"/>
  <c r="V32" i="60"/>
  <c r="G36" i="60"/>
  <c r="V36" i="60"/>
  <c r="G40" i="60"/>
  <c r="AU40" i="60" s="1"/>
  <c r="V40" i="60"/>
  <c r="G44" i="60"/>
  <c r="AU44" i="60" s="1"/>
  <c r="V44" i="60"/>
  <c r="G48" i="60"/>
  <c r="AU48" i="60" s="1"/>
  <c r="V48" i="60"/>
  <c r="G52" i="60"/>
  <c r="AU52" i="60" s="1"/>
  <c r="V52" i="60"/>
  <c r="G56" i="60"/>
  <c r="AU56" i="60" s="1"/>
  <c r="V56" i="60"/>
  <c r="V60" i="60"/>
  <c r="G60" i="60"/>
  <c r="AU60" i="60" s="1"/>
  <c r="G28" i="60"/>
  <c r="AU28" i="60" s="1"/>
  <c r="AF52" i="60"/>
  <c r="AF43" i="60"/>
  <c r="AF34" i="60"/>
  <c r="AL26" i="1"/>
  <c r="AP26" i="1" s="1"/>
  <c r="AK26" i="1"/>
  <c r="AO26" i="1" s="1"/>
  <c r="BK35" i="60"/>
  <c r="AF53" i="60"/>
  <c r="BK53" i="60" s="1"/>
  <c r="AF49" i="60"/>
  <c r="BK49" i="60" s="1"/>
  <c r="AF46" i="60"/>
  <c r="AF45" i="60"/>
  <c r="BK45" i="60" s="1"/>
  <c r="BK1" i="60" s="1"/>
  <c r="G28" i="1"/>
  <c r="AJ28" i="1"/>
  <c r="AN28" i="1" s="1"/>
  <c r="AF47" i="60"/>
  <c r="BK47" i="60" s="1"/>
  <c r="AF56" i="60"/>
  <c r="BK56" i="60" s="1"/>
  <c r="AF54" i="60"/>
  <c r="BK54" i="60" s="1"/>
  <c r="AF51" i="60"/>
  <c r="BK51" i="60" s="1"/>
  <c r="AF42" i="60"/>
  <c r="BK42" i="60" s="1"/>
  <c r="V31" i="60"/>
  <c r="G31" i="60"/>
  <c r="AU31" i="60"/>
  <c r="V35" i="60"/>
  <c r="G35" i="60"/>
  <c r="G39" i="60"/>
  <c r="V39" i="60"/>
  <c r="G43" i="60"/>
  <c r="V43" i="60"/>
  <c r="G47" i="60"/>
  <c r="V47" i="60"/>
  <c r="G51" i="60"/>
  <c r="V51" i="60"/>
  <c r="G55" i="60"/>
  <c r="V55" i="60"/>
  <c r="V59" i="60"/>
  <c r="G59" i="60"/>
  <c r="AU59" i="60" s="1"/>
  <c r="G27" i="60"/>
  <c r="G30" i="60"/>
  <c r="V34" i="60"/>
  <c r="G34" i="60"/>
  <c r="AU34" i="60" s="1"/>
  <c r="G38" i="60"/>
  <c r="AU38" i="60" s="1"/>
  <c r="V38" i="60"/>
  <c r="G42" i="60"/>
  <c r="V42" i="60"/>
  <c r="G46" i="60"/>
  <c r="V46" i="60"/>
  <c r="G50" i="60"/>
  <c r="V50" i="60"/>
  <c r="G54" i="60"/>
  <c r="AU54" i="60" s="1"/>
  <c r="V54" i="60"/>
  <c r="V58" i="60"/>
  <c r="G58" i="60"/>
  <c r="AU58" i="60" s="1"/>
  <c r="G26" i="60"/>
  <c r="AU26" i="60" s="1"/>
  <c r="AY26" i="60" s="1"/>
  <c r="X75" i="60"/>
  <c r="AF57" i="60"/>
  <c r="BK57" i="60" s="1"/>
  <c r="AX46" i="26"/>
  <c r="BK58" i="60"/>
  <c r="BO57" i="60"/>
  <c r="BS57" i="60" s="1"/>
  <c r="Y57" i="60"/>
  <c r="AI57" i="60"/>
  <c r="O75" i="60"/>
  <c r="BN57" i="60"/>
  <c r="BR57" i="60" s="1"/>
  <c r="BM57" i="60"/>
  <c r="BQ57" i="60" s="1"/>
  <c r="O35" i="26"/>
  <c r="L35" i="26"/>
  <c r="BE19" i="24"/>
  <c r="I19" i="32"/>
  <c r="F69" i="32"/>
  <c r="BD29" i="34"/>
  <c r="BH29" i="34" s="1"/>
  <c r="BG35" i="1"/>
  <c r="BF35" i="1"/>
  <c r="N63" i="34"/>
  <c r="N62" i="34"/>
  <c r="Q35" i="34"/>
  <c r="BB35" i="34"/>
  <c r="Q596" i="36"/>
  <c r="AQ48" i="33"/>
  <c r="I63" i="24"/>
  <c r="AX47" i="26"/>
  <c r="O39" i="24"/>
  <c r="F38" i="32"/>
  <c r="P38" i="32" s="1"/>
  <c r="P100" i="32" s="1"/>
  <c r="BJ20" i="24"/>
  <c r="AX35" i="26"/>
  <c r="P58" i="33"/>
  <c r="AY52" i="1"/>
  <c r="U50" i="34"/>
  <c r="U49" i="34"/>
  <c r="AY38" i="1"/>
  <c r="AW44" i="33"/>
  <c r="BC62" i="34"/>
  <c r="AV52" i="33"/>
  <c r="AV32" i="33"/>
  <c r="AX50" i="26"/>
  <c r="AX37" i="26"/>
  <c r="AW47" i="33"/>
  <c r="AW45" i="33"/>
  <c r="L58" i="29"/>
  <c r="J58" i="29"/>
  <c r="AY46" i="1"/>
  <c r="AY54" i="1"/>
  <c r="E64" i="1"/>
  <c r="O64" i="1" s="1"/>
  <c r="T64" i="1" s="1"/>
  <c r="E64" i="60"/>
  <c r="P38" i="1"/>
  <c r="L38" i="1"/>
  <c r="Q38" i="1" s="1"/>
  <c r="AI58" i="60"/>
  <c r="BM58" i="60"/>
  <c r="BQ58" i="60" s="1"/>
  <c r="Y58" i="60"/>
  <c r="BN58" i="60"/>
  <c r="BR58" i="60" s="1"/>
  <c r="BS41" i="60"/>
  <c r="BN40" i="60"/>
  <c r="BM40" i="60"/>
  <c r="Y40" i="60"/>
  <c r="AI40" i="60"/>
  <c r="BO39" i="60"/>
  <c r="AI39" i="60"/>
  <c r="BM39" i="60"/>
  <c r="BN39" i="60"/>
  <c r="Y39" i="60"/>
  <c r="BK59" i="60"/>
  <c r="AI60" i="60"/>
  <c r="BN60" i="60"/>
  <c r="BM60" i="60"/>
  <c r="Y60" i="60"/>
  <c r="X32" i="60"/>
  <c r="AF32" i="60" s="1"/>
  <c r="BK32" i="60" s="1"/>
  <c r="O32" i="60"/>
  <c r="X36" i="60"/>
  <c r="AF36" i="60" s="1"/>
  <c r="BK36" i="60" s="1"/>
  <c r="O36" i="60"/>
  <c r="X61" i="60"/>
  <c r="AF61" i="60" s="1"/>
  <c r="BK61" i="60" s="1"/>
  <c r="O61" i="60"/>
  <c r="BN31" i="60"/>
  <c r="BR31" i="60" s="1"/>
  <c r="BM31" i="60"/>
  <c r="BQ31" i="60" s="1"/>
  <c r="Y31" i="60"/>
  <c r="AI31" i="60"/>
  <c r="X38" i="60"/>
  <c r="AF38" i="60" s="1"/>
  <c r="BK38" i="60" s="1"/>
  <c r="O38" i="60"/>
  <c r="X33" i="60"/>
  <c r="AF33" i="60" s="1"/>
  <c r="O33" i="60"/>
  <c r="BO33" i="60" s="1"/>
  <c r="BO35" i="60"/>
  <c r="BS35" i="60" s="1"/>
  <c r="AI35" i="60"/>
  <c r="BM35" i="60"/>
  <c r="BQ35" i="60" s="1"/>
  <c r="Y35" i="60"/>
  <c r="BN35" i="60"/>
  <c r="BR35" i="60" s="1"/>
  <c r="BK40" i="60"/>
  <c r="BK41" i="60"/>
  <c r="BO37" i="60"/>
  <c r="BM37" i="60"/>
  <c r="AI37" i="60"/>
  <c r="Y37" i="60"/>
  <c r="BN37" i="60"/>
  <c r="BS59" i="60"/>
  <c r="AI59" i="60"/>
  <c r="Y59" i="60"/>
  <c r="BM59" i="60"/>
  <c r="BN59" i="60"/>
  <c r="BR59" i="60" s="1"/>
  <c r="BS60" i="60"/>
  <c r="BK60" i="60"/>
  <c r="P36" i="1"/>
  <c r="L36" i="1"/>
  <c r="Q36" i="1" s="1"/>
  <c r="AU15" i="32"/>
  <c r="D15" i="30"/>
  <c r="AY15" i="32"/>
  <c r="AX15" i="32"/>
  <c r="AW15" i="32"/>
  <c r="AI14" i="30"/>
  <c r="AJ14" i="30"/>
  <c r="T47" i="10"/>
  <c r="P367" i="36" s="1"/>
  <c r="T27" i="10"/>
  <c r="T13" i="10"/>
  <c r="T25" i="10"/>
  <c r="R465" i="36"/>
  <c r="T22" i="10"/>
  <c r="E11" i="30"/>
  <c r="BA10" i="25"/>
  <c r="AZ10" i="25"/>
  <c r="AY10" i="25"/>
  <c r="AX10" i="25"/>
  <c r="AW10" i="25"/>
  <c r="W10" i="25"/>
  <c r="AK65" i="10"/>
  <c r="AM65" i="10" s="1"/>
  <c r="P38" i="25"/>
  <c r="CA38" i="25" s="1"/>
  <c r="CG39" i="25" s="1"/>
  <c r="AX39" i="10"/>
  <c r="AN12" i="10"/>
  <c r="BT58" i="25"/>
  <c r="BT44" i="25"/>
  <c r="AW38" i="10"/>
  <c r="AW39" i="10"/>
  <c r="R481" i="36"/>
  <c r="R464" i="36"/>
  <c r="R461" i="36"/>
  <c r="BT57" i="25"/>
  <c r="BW43" i="25"/>
  <c r="BY43" i="25"/>
  <c r="BA47" i="10"/>
  <c r="AX33" i="7"/>
  <c r="R468" i="36"/>
  <c r="BA43" i="10"/>
  <c r="AJ69" i="10"/>
  <c r="R470" i="36"/>
  <c r="BA20" i="10"/>
  <c r="AK50" i="10"/>
  <c r="AN50" i="10" s="1"/>
  <c r="AK58" i="10"/>
  <c r="AM50" i="10"/>
  <c r="P42" i="25"/>
  <c r="BW42" i="25" s="1"/>
  <c r="AX64" i="7"/>
  <c r="R477" i="36"/>
  <c r="BA16" i="25"/>
  <c r="R467" i="36"/>
  <c r="R463" i="36"/>
  <c r="AJ37" i="10"/>
  <c r="V112" i="25"/>
  <c r="V74" i="25"/>
  <c r="BH37" i="26"/>
  <c r="P60" i="1"/>
  <c r="L60" i="1"/>
  <c r="K61" i="1"/>
  <c r="AM59" i="13"/>
  <c r="N62" i="60"/>
  <c r="AY39" i="1"/>
  <c r="BH40" i="26"/>
  <c r="BF45" i="1"/>
  <c r="AX58" i="26"/>
  <c r="J36" i="32"/>
  <c r="AW36" i="29"/>
  <c r="AZ37" i="29" s="1"/>
  <c r="L32" i="26"/>
  <c r="O32" i="26"/>
  <c r="BC32" i="26"/>
  <c r="O34" i="26"/>
  <c r="L34" i="26"/>
  <c r="BC34" i="26" s="1"/>
  <c r="O31" i="26"/>
  <c r="L31" i="26"/>
  <c r="Y54" i="33"/>
  <c r="S261" i="36" s="1"/>
  <c r="L30" i="34"/>
  <c r="BB30" i="34" s="1"/>
  <c r="BF30" i="34" s="1"/>
  <c r="BN30" i="34" s="1"/>
  <c r="Z77" i="13"/>
  <c r="F50" i="59" s="1"/>
  <c r="F51" i="59" s="1"/>
  <c r="Z45" i="13"/>
  <c r="Z46" i="13" s="1"/>
  <c r="Z47" i="13" s="1"/>
  <c r="Z48" i="13" s="1"/>
  <c r="E20" i="59"/>
  <c r="F20" i="59" s="1"/>
  <c r="B43" i="13"/>
  <c r="I45" i="34" s="1"/>
  <c r="E23" i="59"/>
  <c r="F23" i="59" s="1"/>
  <c r="B46" i="13"/>
  <c r="I48" i="34" s="1"/>
  <c r="E24" i="59"/>
  <c r="F24" i="59" s="1"/>
  <c r="B47" i="13"/>
  <c r="I49" i="34" s="1"/>
  <c r="E14" i="59"/>
  <c r="F14" i="59" s="1"/>
  <c r="B37" i="13"/>
  <c r="I39" i="34" s="1"/>
  <c r="N33" i="34"/>
  <c r="L65" i="34"/>
  <c r="BB65" i="34" s="1"/>
  <c r="BF65" i="34" s="1"/>
  <c r="BG38" i="26"/>
  <c r="E17" i="59"/>
  <c r="F17" i="59" s="1"/>
  <c r="B40" i="13"/>
  <c r="I42" i="34" s="1"/>
  <c r="E12" i="59"/>
  <c r="F12" i="59" s="1"/>
  <c r="B35" i="13"/>
  <c r="I37" i="34" s="1"/>
  <c r="C43" i="13"/>
  <c r="J45" i="34" s="1"/>
  <c r="AC44" i="13"/>
  <c r="X55" i="13"/>
  <c r="X56" i="13" s="1"/>
  <c r="X57" i="13" s="1"/>
  <c r="X58" i="13" s="1"/>
  <c r="X59" i="13" s="1"/>
  <c r="X60" i="13" s="1"/>
  <c r="AC50" i="13"/>
  <c r="Z50" i="13"/>
  <c r="BB66" i="34"/>
  <c r="BD66" i="34"/>
  <c r="I66" i="24"/>
  <c r="L56" i="34"/>
  <c r="N56" i="34"/>
  <c r="F44" i="53"/>
  <c r="N44" i="53" s="1"/>
  <c r="I74" i="34"/>
  <c r="L36" i="34"/>
  <c r="BB36" i="34" s="1"/>
  <c r="BF36" i="34" s="1"/>
  <c r="L34" i="34"/>
  <c r="N34" i="34"/>
  <c r="E25" i="59"/>
  <c r="F25" i="59" s="1"/>
  <c r="B48" i="13"/>
  <c r="I50" i="34" s="1"/>
  <c r="E22" i="59"/>
  <c r="F22" i="59" s="1"/>
  <c r="B45" i="13"/>
  <c r="I47" i="34" s="1"/>
  <c r="E18" i="59"/>
  <c r="F18" i="59" s="1"/>
  <c r="B41" i="13"/>
  <c r="I43" i="34" s="1"/>
  <c r="E15" i="59"/>
  <c r="F15" i="59" s="1"/>
  <c r="B38" i="13"/>
  <c r="I40" i="34" s="1"/>
  <c r="E7" i="59"/>
  <c r="F7" i="59" s="1"/>
  <c r="B30" i="13"/>
  <c r="I32" i="34" s="1"/>
  <c r="C38" i="13"/>
  <c r="J40" i="34" s="1"/>
  <c r="AC39" i="13"/>
  <c r="BC51" i="34"/>
  <c r="I51" i="24"/>
  <c r="L51" i="24" s="1"/>
  <c r="BE51" i="24" s="1"/>
  <c r="L31" i="34"/>
  <c r="D44" i="53"/>
  <c r="L44" i="53" s="1"/>
  <c r="E19" i="59"/>
  <c r="F19" i="59" s="1"/>
  <c r="B42" i="13"/>
  <c r="I44" i="34" s="1"/>
  <c r="E13" i="59"/>
  <c r="F13" i="59" s="1"/>
  <c r="B36" i="13"/>
  <c r="I38" i="34" s="1"/>
  <c r="N41" i="34"/>
  <c r="F35" i="33"/>
  <c r="AE35" i="33" s="1"/>
  <c r="AH35" i="33" s="1"/>
  <c r="L35" i="33"/>
  <c r="P35" i="33" s="1"/>
  <c r="AX71" i="26"/>
  <c r="AX61" i="26"/>
  <c r="AW34" i="33"/>
  <c r="Y52" i="33"/>
  <c r="S259" i="36" s="1"/>
  <c r="Y34" i="33"/>
  <c r="Y44" i="33"/>
  <c r="S251" i="36" s="1"/>
  <c r="AW48" i="33"/>
  <c r="AW49" i="33"/>
  <c r="BB32" i="1"/>
  <c r="BF32" i="1" s="1"/>
  <c r="BC32" i="1"/>
  <c r="AV56" i="33"/>
  <c r="AV55" i="33"/>
  <c r="AW55" i="33"/>
  <c r="AW56" i="33"/>
  <c r="I29" i="24"/>
  <c r="AE37" i="33"/>
  <c r="P51" i="33"/>
  <c r="Q561" i="36" s="1"/>
  <c r="P69" i="33"/>
  <c r="AX67" i="26"/>
  <c r="AF59" i="33"/>
  <c r="F61" i="32"/>
  <c r="P61" i="32" s="1"/>
  <c r="P123" i="32" s="1"/>
  <c r="AV40" i="29"/>
  <c r="J40" i="32"/>
  <c r="AY50" i="1"/>
  <c r="AY42" i="1"/>
  <c r="AY60" i="1"/>
  <c r="P50" i="33"/>
  <c r="Q560" i="36" s="1"/>
  <c r="S53" i="1"/>
  <c r="AV42" i="33"/>
  <c r="J32" i="24"/>
  <c r="Y36" i="33"/>
  <c r="P62" i="33"/>
  <c r="P56" i="33"/>
  <c r="Q566" i="36" s="1"/>
  <c r="BD32" i="1"/>
  <c r="BG58" i="1"/>
  <c r="AX36" i="26"/>
  <c r="F56" i="32"/>
  <c r="P56" i="32" s="1"/>
  <c r="P118" i="32" s="1"/>
  <c r="BF18" i="1"/>
  <c r="BN18" i="1" s="1"/>
  <c r="BH16" i="1"/>
  <c r="Q32" i="1"/>
  <c r="AX72" i="26"/>
  <c r="Y63" i="33"/>
  <c r="S270" i="36" s="1"/>
  <c r="AV49" i="33"/>
  <c r="AV48" i="33"/>
  <c r="AV51" i="33"/>
  <c r="AW51" i="33"/>
  <c r="AX49" i="26"/>
  <c r="AV45" i="33"/>
  <c r="AV46" i="33"/>
  <c r="BH12" i="1"/>
  <c r="AN21" i="10"/>
  <c r="AI69" i="29"/>
  <c r="E69" i="32"/>
  <c r="AI22" i="10"/>
  <c r="AI23" i="10"/>
  <c r="AK23" i="10" s="1"/>
  <c r="AH26" i="33"/>
  <c r="I21" i="25"/>
  <c r="BA21" i="25" s="1"/>
  <c r="AQ57" i="26"/>
  <c r="BA21" i="10"/>
  <c r="L29" i="33"/>
  <c r="F29" i="33"/>
  <c r="AE29" i="33" s="1"/>
  <c r="AH29" i="33" s="1"/>
  <c r="L31" i="33"/>
  <c r="P31" i="33" s="1"/>
  <c r="F31" i="33"/>
  <c r="N31" i="33" s="1"/>
  <c r="R31" i="33" s="1"/>
  <c r="U31" i="33" s="1"/>
  <c r="P36" i="26"/>
  <c r="BB34" i="19"/>
  <c r="J34" i="14" s="1"/>
  <c r="K34" i="14"/>
  <c r="F37" i="26" s="1"/>
  <c r="BC35" i="19"/>
  <c r="E36" i="26"/>
  <c r="L33" i="14"/>
  <c r="G26" i="24"/>
  <c r="AN26" i="24" s="1"/>
  <c r="AR26" i="24" s="1"/>
  <c r="AZ50" i="34"/>
  <c r="R469" i="36"/>
  <c r="R476" i="36"/>
  <c r="R473" i="36"/>
  <c r="R479" i="36"/>
  <c r="AA53" i="25"/>
  <c r="AA109" i="25" s="1"/>
  <c r="R480" i="36"/>
  <c r="R472" i="36"/>
  <c r="R475" i="36"/>
  <c r="N36" i="33"/>
  <c r="R36" i="33" s="1"/>
  <c r="U36" i="33" s="1"/>
  <c r="AF36" i="33"/>
  <c r="AI37" i="33" s="1"/>
  <c r="AH34" i="33"/>
  <c r="R484" i="36"/>
  <c r="Y46" i="33"/>
  <c r="S253" i="36" s="1"/>
  <c r="AF33" i="33"/>
  <c r="AI34" i="33" s="1"/>
  <c r="Y33" i="33"/>
  <c r="AP71" i="26"/>
  <c r="R30" i="57"/>
  <c r="AP72" i="26"/>
  <c r="AO71" i="26"/>
  <c r="R29" i="57"/>
  <c r="AO72" i="26"/>
  <c r="BG71" i="26"/>
  <c r="BG72" i="26"/>
  <c r="BH71" i="26"/>
  <c r="BH72" i="26"/>
  <c r="T52" i="24"/>
  <c r="T72" i="24"/>
  <c r="U71" i="34"/>
  <c r="U72" i="34"/>
  <c r="AW51" i="10"/>
  <c r="AW52" i="10"/>
  <c r="AW56" i="10"/>
  <c r="AW57" i="10"/>
  <c r="P58" i="25"/>
  <c r="CA58" i="25" s="1"/>
  <c r="P50" i="25"/>
  <c r="V50" i="25"/>
  <c r="V106" i="25" s="1"/>
  <c r="AI71" i="10"/>
  <c r="AI72" i="10"/>
  <c r="AJ40" i="10"/>
  <c r="AK40" i="10" s="1"/>
  <c r="P9" i="25"/>
  <c r="T70" i="25"/>
  <c r="AA70" i="25" s="1"/>
  <c r="AA126" i="25" s="1"/>
  <c r="AP70" i="33"/>
  <c r="AJ71" i="10"/>
  <c r="AJ72" i="10"/>
  <c r="AK25" i="10"/>
  <c r="AN25" i="10" s="1"/>
  <c r="V18" i="25"/>
  <c r="T46" i="10"/>
  <c r="P366" i="36" s="1"/>
  <c r="T72" i="10"/>
  <c r="AX19" i="10"/>
  <c r="AW19" i="10"/>
  <c r="AK37" i="10"/>
  <c r="AM37" i="10" s="1"/>
  <c r="AK41" i="10"/>
  <c r="AM41" i="10" s="1"/>
  <c r="O396" i="36"/>
  <c r="B44" i="32"/>
  <c r="AT22" i="24"/>
  <c r="AW22" i="24" s="1"/>
  <c r="G21" i="32"/>
  <c r="AN21" i="32" s="1"/>
  <c r="AO19" i="32"/>
  <c r="D19" i="30"/>
  <c r="AP19" i="32"/>
  <c r="AT20" i="32" s="1"/>
  <c r="BO13" i="34"/>
  <c r="BO14" i="34"/>
  <c r="BO15" i="34" s="1"/>
  <c r="BO16" i="34" s="1"/>
  <c r="BO17" i="34" s="1"/>
  <c r="BO18" i="34" s="1"/>
  <c r="BO19" i="34" s="1"/>
  <c r="BO20" i="34" s="1"/>
  <c r="BO21" i="34" s="1"/>
  <c r="BO22" i="34" s="1"/>
  <c r="BO23" i="34" s="1"/>
  <c r="BO24" i="34" s="1"/>
  <c r="BO25" i="34" s="1"/>
  <c r="BO26" i="34" s="1"/>
  <c r="BO27" i="34" s="1"/>
  <c r="BO28" i="34" s="1"/>
  <c r="AO16" i="32"/>
  <c r="AS16" i="32" s="1"/>
  <c r="D16" i="30"/>
  <c r="AP16" i="32"/>
  <c r="AO13" i="32"/>
  <c r="D13" i="30"/>
  <c r="F13" i="30" s="1"/>
  <c r="AP13" i="32"/>
  <c r="AR13" i="32"/>
  <c r="BK13" i="34"/>
  <c r="AO10" i="32"/>
  <c r="AS11" i="32" s="1"/>
  <c r="D10" i="30"/>
  <c r="AP10" i="32"/>
  <c r="AT11" i="32" s="1"/>
  <c r="BK14" i="34"/>
  <c r="BK15" i="34" s="1"/>
  <c r="BK16" i="34" s="1"/>
  <c r="BK17" i="34" s="1"/>
  <c r="BK18" i="34" s="1"/>
  <c r="BK19" i="34" s="1"/>
  <c r="BK20" i="34" s="1"/>
  <c r="BK21" i="34" s="1"/>
  <c r="BK22" i="34" s="1"/>
  <c r="BK23" i="34" s="1"/>
  <c r="BK24" i="34" s="1"/>
  <c r="BK25" i="34" s="1"/>
  <c r="BK26" i="34" s="1"/>
  <c r="BK27" i="34" s="1"/>
  <c r="BK28" i="34" s="1"/>
  <c r="BK29" i="34" s="1"/>
  <c r="BK30" i="34" s="1"/>
  <c r="AR17" i="32"/>
  <c r="AS20" i="32"/>
  <c r="AR20" i="32"/>
  <c r="S62" i="1"/>
  <c r="S72" i="1"/>
  <c r="S37" i="1"/>
  <c r="S59" i="1"/>
  <c r="AW35" i="33"/>
  <c r="AW36" i="33"/>
  <c r="BD13" i="33"/>
  <c r="AV36" i="33"/>
  <c r="AV35" i="33"/>
  <c r="BA15" i="33"/>
  <c r="BA16" i="33" s="1"/>
  <c r="BA17" i="33" s="1"/>
  <c r="BA18" i="33" s="1"/>
  <c r="BA19" i="33" s="1"/>
  <c r="BA20" i="33" s="1"/>
  <c r="BP25" i="29"/>
  <c r="BP26" i="29" s="1"/>
  <c r="BP27" i="29" s="1"/>
  <c r="BP28" i="29" s="1"/>
  <c r="BP29" i="29" s="1"/>
  <c r="BP30" i="29" s="1"/>
  <c r="BL25" i="29"/>
  <c r="BL26" i="29"/>
  <c r="BH26" i="29"/>
  <c r="BH27" i="29" s="1"/>
  <c r="BH28" i="29" s="1"/>
  <c r="BH29" i="29" s="1"/>
  <c r="BH30" i="29" s="1"/>
  <c r="BL27" i="29"/>
  <c r="BL28" i="29" s="1"/>
  <c r="BL29" i="29" s="1"/>
  <c r="BL30" i="29" s="1"/>
  <c r="BH25" i="29"/>
  <c r="DE36" i="25"/>
  <c r="DA37" i="25"/>
  <c r="BA15" i="7"/>
  <c r="BB15" i="7" s="1"/>
  <c r="BB16" i="7" s="1"/>
  <c r="BE15" i="7"/>
  <c r="BE13" i="7"/>
  <c r="BF13" i="7" s="1"/>
  <c r="BF14" i="7" s="1"/>
  <c r="BB17" i="7"/>
  <c r="BB18" i="7" s="1"/>
  <c r="BB19" i="7" s="1"/>
  <c r="BB20" i="7" s="1"/>
  <c r="BB21" i="7" s="1"/>
  <c r="BA22" i="7"/>
  <c r="BB22" i="7" s="1"/>
  <c r="BB23" i="7" s="1"/>
  <c r="BE22" i="7"/>
  <c r="BE17" i="7"/>
  <c r="AW21" i="10"/>
  <c r="BE21" i="10" s="1"/>
  <c r="F16" i="30"/>
  <c r="AI16" i="30" s="1"/>
  <c r="AW16" i="25"/>
  <c r="BC16" i="25" s="1"/>
  <c r="BH16" i="25" s="1"/>
  <c r="BJ16" i="25" s="1"/>
  <c r="AZ16" i="25"/>
  <c r="BF16" i="25" s="1"/>
  <c r="AW18" i="10"/>
  <c r="AM58" i="10"/>
  <c r="AN58" i="10"/>
  <c r="V123" i="25"/>
  <c r="F20" i="53"/>
  <c r="P45" i="25"/>
  <c r="T15" i="10"/>
  <c r="T35" i="10"/>
  <c r="T42" i="10"/>
  <c r="T69" i="10"/>
  <c r="P389" i="36" s="1"/>
  <c r="T56" i="10"/>
  <c r="P376" i="36" s="1"/>
  <c r="T38" i="10"/>
  <c r="T23" i="10"/>
  <c r="T39" i="10"/>
  <c r="T37" i="10"/>
  <c r="T57" i="10"/>
  <c r="P377" i="36" s="1"/>
  <c r="T30" i="10"/>
  <c r="T67" i="10"/>
  <c r="P387" i="36" s="1"/>
  <c r="T31" i="10"/>
  <c r="T52" i="10"/>
  <c r="P372" i="36" s="1"/>
  <c r="T64" i="10"/>
  <c r="P384" i="36" s="1"/>
  <c r="T50" i="10"/>
  <c r="P370" i="36" s="1"/>
  <c r="T48" i="10"/>
  <c r="P368" i="36" s="1"/>
  <c r="T45" i="10"/>
  <c r="T16" i="10"/>
  <c r="T33" i="10"/>
  <c r="T59" i="10"/>
  <c r="P379" i="36" s="1"/>
  <c r="T51" i="10"/>
  <c r="P371" i="36" s="1"/>
  <c r="T61" i="10"/>
  <c r="P381" i="36" s="1"/>
  <c r="T49" i="10"/>
  <c r="P369" i="36" s="1"/>
  <c r="T55" i="10"/>
  <c r="P375" i="36" s="1"/>
  <c r="T58" i="10"/>
  <c r="P378" i="36" s="1"/>
  <c r="T40" i="10"/>
  <c r="T24" i="10"/>
  <c r="T65" i="10"/>
  <c r="P385" i="36" s="1"/>
  <c r="T11" i="10"/>
  <c r="T66" i="10"/>
  <c r="P386" i="36" s="1"/>
  <c r="T29" i="10"/>
  <c r="T62" i="10"/>
  <c r="P382" i="36" s="1"/>
  <c r="T36" i="10"/>
  <c r="T32" i="10"/>
  <c r="T14" i="10"/>
  <c r="T70" i="10"/>
  <c r="T71" i="10"/>
  <c r="T28" i="10"/>
  <c r="T41" i="10"/>
  <c r="T34" i="10"/>
  <c r="P33" i="25"/>
  <c r="CA33" i="25" s="1"/>
  <c r="CG34" i="25" s="1"/>
  <c r="T20" i="10"/>
  <c r="V45" i="25"/>
  <c r="T63" i="10"/>
  <c r="P383" i="36" s="1"/>
  <c r="AW63" i="10"/>
  <c r="AW64" i="10"/>
  <c r="T21" i="10"/>
  <c r="P20" i="25"/>
  <c r="V20" i="25"/>
  <c r="P16" i="25"/>
  <c r="CA16" i="25" s="1"/>
  <c r="CG16" i="25" s="1"/>
  <c r="V16" i="25"/>
  <c r="T44" i="10"/>
  <c r="T18" i="10"/>
  <c r="CA17" i="25"/>
  <c r="BY17" i="25"/>
  <c r="BW17" i="25"/>
  <c r="BX17" i="25"/>
  <c r="BZ17" i="25"/>
  <c r="I18" i="30"/>
  <c r="AK27" i="10"/>
  <c r="AW68" i="10"/>
  <c r="AW69" i="10"/>
  <c r="N74" i="10"/>
  <c r="R63" i="10" s="1"/>
  <c r="U63" i="10" s="1"/>
  <c r="AW34" i="10"/>
  <c r="AW35" i="10"/>
  <c r="P19" i="25"/>
  <c r="V19" i="25"/>
  <c r="T54" i="10"/>
  <c r="P374" i="36" s="1"/>
  <c r="AW55" i="10"/>
  <c r="AW54" i="10"/>
  <c r="AX54" i="10"/>
  <c r="AX55" i="10"/>
  <c r="R21" i="10"/>
  <c r="U21" i="10" s="1"/>
  <c r="T19" i="10"/>
  <c r="CA18" i="25"/>
  <c r="CG18" i="25" s="1"/>
  <c r="BW18" i="25"/>
  <c r="CC18" i="25" s="1"/>
  <c r="BY18" i="25"/>
  <c r="CE18" i="25" s="1"/>
  <c r="I19" i="30"/>
  <c r="BX18" i="25"/>
  <c r="CD18" i="25" s="1"/>
  <c r="BZ18" i="25"/>
  <c r="CF18" i="25" s="1"/>
  <c r="T17" i="10"/>
  <c r="T53" i="10"/>
  <c r="P373" i="36" s="1"/>
  <c r="T26" i="10"/>
  <c r="P25" i="25"/>
  <c r="CA25" i="25" s="1"/>
  <c r="V25" i="25"/>
  <c r="AX20" i="10"/>
  <c r="BE20" i="10" s="1"/>
  <c r="AX18" i="10"/>
  <c r="V33" i="25"/>
  <c r="V89" i="25" s="1"/>
  <c r="V52" i="25"/>
  <c r="V108" i="25" s="1"/>
  <c r="AN35" i="1"/>
  <c r="AN43" i="1"/>
  <c r="Q52" i="1"/>
  <c r="BH18" i="1"/>
  <c r="Q39" i="1"/>
  <c r="AN49" i="1"/>
  <c r="AN57" i="1"/>
  <c r="AN53" i="1"/>
  <c r="AN61" i="1"/>
  <c r="AP27" i="1"/>
  <c r="AN36" i="1"/>
  <c r="AN44" i="1"/>
  <c r="AM27" i="7"/>
  <c r="AN40" i="1"/>
  <c r="AW18" i="25"/>
  <c r="AY18" i="25"/>
  <c r="BA18" i="25"/>
  <c r="BG19" i="25" s="1"/>
  <c r="E19" i="30"/>
  <c r="F19" i="30" s="1"/>
  <c r="AI19" i="30" s="1"/>
  <c r="AZ18" i="25"/>
  <c r="W18" i="25"/>
  <c r="AX18" i="25"/>
  <c r="AK35" i="1"/>
  <c r="AL35" i="1"/>
  <c r="AK39" i="1"/>
  <c r="AL39" i="1"/>
  <c r="AL43" i="1"/>
  <c r="Q43" i="1"/>
  <c r="AK43" i="1"/>
  <c r="AL47" i="1"/>
  <c r="AK47" i="1"/>
  <c r="AK51" i="1"/>
  <c r="M22" i="57" s="1"/>
  <c r="AL51" i="1"/>
  <c r="M23" i="57" s="1"/>
  <c r="AL55" i="1"/>
  <c r="AK55" i="1"/>
  <c r="AL59" i="1"/>
  <c r="AK59" i="1"/>
  <c r="Q59" i="1"/>
  <c r="AK27" i="1"/>
  <c r="E27" i="24"/>
  <c r="G27" i="24" s="1"/>
  <c r="AJ30" i="1"/>
  <c r="E30" i="24"/>
  <c r="G30" i="24" s="1"/>
  <c r="AN30" i="24" s="1"/>
  <c r="AK34" i="1"/>
  <c r="AL34" i="1"/>
  <c r="AK38" i="1"/>
  <c r="AL38" i="1"/>
  <c r="AK42" i="1"/>
  <c r="AL42" i="1"/>
  <c r="AK46" i="1"/>
  <c r="AL46" i="1"/>
  <c r="AJ58" i="1"/>
  <c r="AN58" i="1" s="1"/>
  <c r="Q47" i="1"/>
  <c r="Q42" i="1"/>
  <c r="Q34" i="1"/>
  <c r="Q48" i="1"/>
  <c r="AL48" i="1"/>
  <c r="AP48" i="1" s="1"/>
  <c r="AK48" i="1"/>
  <c r="AO48" i="1" s="1"/>
  <c r="AK52" i="1"/>
  <c r="AO52" i="1" s="1"/>
  <c r="AL52" i="1"/>
  <c r="AP52" i="1" s="1"/>
  <c r="AK56" i="1"/>
  <c r="AL56" i="1"/>
  <c r="AP56" i="1" s="1"/>
  <c r="Q56" i="1"/>
  <c r="AK60" i="1"/>
  <c r="AO60" i="1" s="1"/>
  <c r="AL60" i="1"/>
  <c r="AP60" i="1" s="1"/>
  <c r="Q60" i="1"/>
  <c r="Q35" i="1"/>
  <c r="AN51" i="1"/>
  <c r="AN55" i="1"/>
  <c r="AN59" i="1"/>
  <c r="AN34" i="1"/>
  <c r="AN38" i="1"/>
  <c r="AN42" i="1"/>
  <c r="AN46" i="1"/>
  <c r="AK50" i="1"/>
  <c r="AL50" i="1"/>
  <c r="AK54" i="1"/>
  <c r="AL54" i="1"/>
  <c r="AK58" i="1"/>
  <c r="AL58" i="1"/>
  <c r="Q55" i="1"/>
  <c r="Q50" i="1"/>
  <c r="AL33" i="1"/>
  <c r="AK33" i="1"/>
  <c r="AK37" i="1"/>
  <c r="AL37" i="1"/>
  <c r="AL41" i="1"/>
  <c r="Q41" i="1"/>
  <c r="AK41" i="1"/>
  <c r="AL45" i="1"/>
  <c r="AK45" i="1"/>
  <c r="AL49" i="1"/>
  <c r="AP49" i="1" s="1"/>
  <c r="AK49" i="1"/>
  <c r="AO49" i="1" s="1"/>
  <c r="Q49" i="1"/>
  <c r="AL53" i="1"/>
  <c r="AP53" i="1" s="1"/>
  <c r="AK53" i="1"/>
  <c r="AO53" i="1" s="1"/>
  <c r="Q53" i="1"/>
  <c r="AK57" i="1"/>
  <c r="AO57" i="1" s="1"/>
  <c r="AL57" i="1"/>
  <c r="AP57" i="1" s="1"/>
  <c r="AK61" i="1"/>
  <c r="AL61" i="1"/>
  <c r="AP61" i="1" s="1"/>
  <c r="AK32" i="1"/>
  <c r="AL32" i="1"/>
  <c r="AL36" i="1"/>
  <c r="AP36" i="1" s="1"/>
  <c r="AK36" i="1"/>
  <c r="AO36" i="1" s="1"/>
  <c r="AL40" i="1"/>
  <c r="AP40" i="1" s="1"/>
  <c r="Q40" i="1"/>
  <c r="AK40" i="1"/>
  <c r="AL44" i="1"/>
  <c r="AP44" i="1" s="1"/>
  <c r="AK44" i="1"/>
  <c r="E44" i="24"/>
  <c r="O44" i="24" s="1"/>
  <c r="AN48" i="1"/>
  <c r="AN52" i="1"/>
  <c r="AN56" i="1"/>
  <c r="AN60" i="1"/>
  <c r="AN65" i="10"/>
  <c r="AX22" i="10"/>
  <c r="AX23" i="10"/>
  <c r="P21" i="25"/>
  <c r="CA21" i="25" s="1"/>
  <c r="V21" i="25"/>
  <c r="AJ18" i="10"/>
  <c r="AJ19" i="10"/>
  <c r="V17" i="25"/>
  <c r="I17" i="25"/>
  <c r="AN64" i="10"/>
  <c r="BE64" i="10" s="1"/>
  <c r="AJ66" i="10"/>
  <c r="AJ67" i="10"/>
  <c r="AK67" i="10" s="1"/>
  <c r="AW22" i="10"/>
  <c r="AW23" i="10"/>
  <c r="AI19" i="10"/>
  <c r="AI18" i="10"/>
  <c r="AK18" i="10" s="1"/>
  <c r="AM18" i="10" s="1"/>
  <c r="AI66" i="10"/>
  <c r="AK66" i="10" s="1"/>
  <c r="AM66" i="10" s="1"/>
  <c r="BH51" i="1"/>
  <c r="BF16" i="1"/>
  <c r="BN16" i="1" s="1"/>
  <c r="AH58" i="33"/>
  <c r="AH50" i="33"/>
  <c r="AH61" i="33"/>
  <c r="N57" i="33"/>
  <c r="R57" i="33" s="1"/>
  <c r="U57" i="33" s="1"/>
  <c r="CC54" i="25"/>
  <c r="T62" i="19"/>
  <c r="S62" i="19"/>
  <c r="T61" i="19"/>
  <c r="S61" i="19"/>
  <c r="M68" i="60"/>
  <c r="J67" i="1"/>
  <c r="AJ63" i="19"/>
  <c r="BH47" i="1"/>
  <c r="BH48" i="1"/>
  <c r="BH42" i="1"/>
  <c r="BH43" i="1"/>
  <c r="BF58" i="1"/>
  <c r="BF59" i="1"/>
  <c r="BF55" i="1"/>
  <c r="BG52" i="1"/>
  <c r="BG53" i="1"/>
  <c r="BF46" i="1"/>
  <c r="BH40" i="1"/>
  <c r="BD33" i="1"/>
  <c r="BH33" i="1" s="1"/>
  <c r="Q33" i="1"/>
  <c r="L13" i="24"/>
  <c r="BF13" i="24" s="1"/>
  <c r="BF12" i="1"/>
  <c r="BN12" i="1" s="1"/>
  <c r="BO12" i="1" s="1"/>
  <c r="BO13" i="1" s="1"/>
  <c r="AF61" i="33"/>
  <c r="AI61" i="33" s="1"/>
  <c r="F63" i="32"/>
  <c r="P63" i="32" s="1"/>
  <c r="P125" i="32" s="1"/>
  <c r="Y61" i="33"/>
  <c r="S268" i="36" s="1"/>
  <c r="N61" i="33"/>
  <c r="R61" i="33" s="1"/>
  <c r="U61" i="33" s="1"/>
  <c r="BF43" i="1"/>
  <c r="BG59" i="1"/>
  <c r="BH56" i="1"/>
  <c r="BF56" i="1"/>
  <c r="BF51" i="1"/>
  <c r="BF53" i="1"/>
  <c r="BH52" i="1"/>
  <c r="L15" i="24"/>
  <c r="BF15" i="24" s="1"/>
  <c r="AF38" i="33"/>
  <c r="AI38" i="33" s="1"/>
  <c r="F40" i="32"/>
  <c r="P40" i="32" s="1"/>
  <c r="P102" i="32" s="1"/>
  <c r="N38" i="33"/>
  <c r="R38" i="33" s="1"/>
  <c r="U38" i="33" s="1"/>
  <c r="Y38" i="33"/>
  <c r="BG40" i="1"/>
  <c r="BH59" i="1"/>
  <c r="BF24" i="1"/>
  <c r="BN24" i="1" s="1"/>
  <c r="AF57" i="33"/>
  <c r="AI57" i="33" s="1"/>
  <c r="F59" i="32"/>
  <c r="P59" i="32" s="1"/>
  <c r="P121" i="32" s="1"/>
  <c r="Y57" i="33"/>
  <c r="S264" i="36" s="1"/>
  <c r="AF49" i="33"/>
  <c r="N49" i="33"/>
  <c r="R49" i="33" s="1"/>
  <c r="U49" i="33" s="1"/>
  <c r="Y49" i="33"/>
  <c r="S256" i="36" s="1"/>
  <c r="F51" i="32"/>
  <c r="P51" i="32" s="1"/>
  <c r="P113" i="32" s="1"/>
  <c r="S49" i="1"/>
  <c r="S61" i="1"/>
  <c r="S52" i="1"/>
  <c r="AX52" i="1" s="1"/>
  <c r="S43" i="1"/>
  <c r="S56" i="1"/>
  <c r="BF55" i="26"/>
  <c r="BF53" i="26"/>
  <c r="BH48" i="26"/>
  <c r="BH42" i="26"/>
  <c r="BG42" i="1"/>
  <c r="BG43" i="1"/>
  <c r="BH60" i="26"/>
  <c r="BN58" i="26"/>
  <c r="BG55" i="1"/>
  <c r="BH46" i="1"/>
  <c r="BG46" i="1"/>
  <c r="L11" i="24"/>
  <c r="BF11" i="24" s="1"/>
  <c r="F68" i="32"/>
  <c r="AF66" i="33"/>
  <c r="AI67" i="33" s="1"/>
  <c r="Y66" i="33"/>
  <c r="S273" i="36" s="1"/>
  <c r="AE66" i="33"/>
  <c r="BH14" i="1"/>
  <c r="AF65" i="33"/>
  <c r="F67" i="32"/>
  <c r="Y65" i="33"/>
  <c r="S272" i="36" s="1"/>
  <c r="BF48" i="1"/>
  <c r="N46" i="33"/>
  <c r="R46" i="33" s="1"/>
  <c r="U46" i="33" s="1"/>
  <c r="F48" i="32"/>
  <c r="P48" i="32" s="1"/>
  <c r="P110" i="32" s="1"/>
  <c r="AF46" i="33"/>
  <c r="BF14" i="1"/>
  <c r="BN14" i="1" s="1"/>
  <c r="BO14" i="1" s="1"/>
  <c r="BO15" i="1" s="1"/>
  <c r="BF40" i="1"/>
  <c r="BH24" i="1"/>
  <c r="BG19" i="1"/>
  <c r="AT25" i="24"/>
  <c r="AV25" i="24" s="1"/>
  <c r="AT23" i="24"/>
  <c r="AV23" i="24" s="1"/>
  <c r="AV22" i="24"/>
  <c r="AT19" i="24"/>
  <c r="AV19" i="24" s="1"/>
  <c r="AT17" i="24"/>
  <c r="AV17" i="24" s="1"/>
  <c r="AV16" i="24"/>
  <c r="AV12" i="24"/>
  <c r="AT18" i="32"/>
  <c r="AT19" i="32"/>
  <c r="AW21" i="24"/>
  <c r="AW25" i="24"/>
  <c r="AW23" i="24"/>
  <c r="AT13" i="24"/>
  <c r="AW13" i="24" s="1"/>
  <c r="AT24" i="24"/>
  <c r="AV24" i="24" s="1"/>
  <c r="AT20" i="24"/>
  <c r="AW20" i="24" s="1"/>
  <c r="AT18" i="24"/>
  <c r="AW18" i="24" s="1"/>
  <c r="BR21" i="24"/>
  <c r="BZ21" i="24"/>
  <c r="AS18" i="32"/>
  <c r="AS19" i="32"/>
  <c r="AU19" i="32" s="1"/>
  <c r="AW19" i="32" s="1"/>
  <c r="AU12" i="32"/>
  <c r="AX12" i="32" s="1"/>
  <c r="BR15" i="32"/>
  <c r="BZ15" i="32"/>
  <c r="AW24" i="24"/>
  <c r="AW19" i="24"/>
  <c r="AW17" i="24"/>
  <c r="AT14" i="24"/>
  <c r="AW14" i="24" s="1"/>
  <c r="BR11" i="24"/>
  <c r="BS11" i="24" s="1"/>
  <c r="BZ11" i="24"/>
  <c r="CA11" i="24" s="1"/>
  <c r="AY61" i="1"/>
  <c r="P47" i="33"/>
  <c r="P43" i="33"/>
  <c r="P39" i="33"/>
  <c r="X33" i="1"/>
  <c r="X35" i="1"/>
  <c r="X37" i="1"/>
  <c r="X39" i="1"/>
  <c r="X41" i="1"/>
  <c r="X43" i="1"/>
  <c r="X45" i="1"/>
  <c r="X47" i="1"/>
  <c r="P224" i="36" s="1"/>
  <c r="X49" i="1"/>
  <c r="P226" i="36" s="1"/>
  <c r="X51" i="1"/>
  <c r="P228" i="36" s="1"/>
  <c r="X53" i="1"/>
  <c r="P230" i="36" s="1"/>
  <c r="X55" i="1"/>
  <c r="P232" i="36" s="1"/>
  <c r="X57" i="1"/>
  <c r="P234" i="36" s="1"/>
  <c r="X59" i="1"/>
  <c r="X32" i="1"/>
  <c r="X34" i="1"/>
  <c r="X36" i="1"/>
  <c r="X40" i="1"/>
  <c r="X42" i="1"/>
  <c r="X44" i="1"/>
  <c r="X46" i="1"/>
  <c r="P223" i="36" s="1"/>
  <c r="X48" i="1"/>
  <c r="P225" i="36" s="1"/>
  <c r="X50" i="1"/>
  <c r="P227" i="36" s="1"/>
  <c r="X52" i="1"/>
  <c r="P229" i="36" s="1"/>
  <c r="X54" i="1"/>
  <c r="P231" i="36" s="1"/>
  <c r="X56" i="1"/>
  <c r="P233" i="36" s="1"/>
  <c r="X58" i="1"/>
  <c r="P235" i="36" s="1"/>
  <c r="X60" i="1"/>
  <c r="P237" i="36" s="1"/>
  <c r="X31" i="1"/>
  <c r="AY62" i="1"/>
  <c r="AY56" i="1"/>
  <c r="AY40" i="1"/>
  <c r="AY63" i="1"/>
  <c r="AY49" i="1"/>
  <c r="AY36" i="1"/>
  <c r="AY41" i="1"/>
  <c r="AY58" i="1"/>
  <c r="AY64" i="1"/>
  <c r="AY43" i="1"/>
  <c r="AY53" i="1"/>
  <c r="AY47" i="1"/>
  <c r="AY37" i="1"/>
  <c r="AY51" i="1"/>
  <c r="AN51" i="10"/>
  <c r="AM51" i="10"/>
  <c r="BD16" i="25"/>
  <c r="AN67" i="10"/>
  <c r="AM67" i="10"/>
  <c r="BE65" i="10"/>
  <c r="Q495" i="36"/>
  <c r="AB104" i="25"/>
  <c r="BT48" i="25"/>
  <c r="AB108" i="25"/>
  <c r="Q499" i="36"/>
  <c r="BT52" i="25"/>
  <c r="AB106" i="25"/>
  <c r="Q497" i="36"/>
  <c r="AB101" i="25"/>
  <c r="Q492" i="36"/>
  <c r="AB86" i="25"/>
  <c r="BT30" i="25"/>
  <c r="AB103" i="25"/>
  <c r="Q494" i="36"/>
  <c r="AB88" i="25"/>
  <c r="BT32" i="25"/>
  <c r="AB116" i="25"/>
  <c r="Q507" i="36"/>
  <c r="BG16" i="25"/>
  <c r="F17" i="30"/>
  <c r="AI17" i="30" s="1"/>
  <c r="BE16" i="25"/>
  <c r="AK35" i="10"/>
  <c r="AM35" i="10" s="1"/>
  <c r="AM54" i="10"/>
  <c r="AN54" i="10"/>
  <c r="AB92" i="25"/>
  <c r="BT36" i="25"/>
  <c r="AB114" i="25"/>
  <c r="Q505" i="36"/>
  <c r="Q503" i="36"/>
  <c r="BT56" i="25"/>
  <c r="AB112" i="25"/>
  <c r="AB98" i="25"/>
  <c r="BT42" i="25"/>
  <c r="AB107" i="25"/>
  <c r="Q498" i="36"/>
  <c r="BT51" i="25"/>
  <c r="AB87" i="25"/>
  <c r="BT31" i="25"/>
  <c r="AB99" i="25"/>
  <c r="BT43" i="25"/>
  <c r="AB110" i="25"/>
  <c r="Q501" i="36"/>
  <c r="BT55" i="25"/>
  <c r="BX53" i="25"/>
  <c r="CD54" i="25" s="1"/>
  <c r="I54" i="30"/>
  <c r="CA53" i="25"/>
  <c r="CG54" i="25" s="1"/>
  <c r="BY53" i="25"/>
  <c r="CE54" i="25" s="1"/>
  <c r="BZ53" i="25"/>
  <c r="CF54" i="25" s="1"/>
  <c r="AQ51" i="26"/>
  <c r="U46" i="34"/>
  <c r="AJ19" i="30"/>
  <c r="AM26" i="10"/>
  <c r="AN26" i="10"/>
  <c r="F71" i="32"/>
  <c r="W14" i="25"/>
  <c r="AX14" i="25"/>
  <c r="E15" i="30"/>
  <c r="AY14" i="25"/>
  <c r="AW14" i="25"/>
  <c r="AZ14" i="25"/>
  <c r="AX51" i="26"/>
  <c r="U33" i="34"/>
  <c r="U37" i="34"/>
  <c r="U70" i="34"/>
  <c r="AK24" i="10"/>
  <c r="AN24" i="10" s="1"/>
  <c r="U48" i="34"/>
  <c r="U39" i="34"/>
  <c r="AQ50" i="26"/>
  <c r="AS50" i="26" s="1"/>
  <c r="AX42" i="26"/>
  <c r="AX43" i="26"/>
  <c r="BA14" i="25"/>
  <c r="U61" i="34"/>
  <c r="U66" i="34"/>
  <c r="U54" i="34"/>
  <c r="U60" i="34"/>
  <c r="U67" i="34"/>
  <c r="U53" i="34"/>
  <c r="U58" i="34"/>
  <c r="U55" i="34"/>
  <c r="U59" i="34"/>
  <c r="U52" i="34"/>
  <c r="U36" i="34"/>
  <c r="U69" i="34"/>
  <c r="U62" i="34"/>
  <c r="AZ62" i="34" s="1"/>
  <c r="U63" i="34"/>
  <c r="U64" i="34"/>
  <c r="U35" i="34"/>
  <c r="U56" i="34"/>
  <c r="AZ57" i="34" s="1"/>
  <c r="U68" i="34"/>
  <c r="U31" i="34"/>
  <c r="AZ31" i="34" s="1"/>
  <c r="U51" i="34"/>
  <c r="AZ51" i="34" s="1"/>
  <c r="BB33" i="1"/>
  <c r="BC33" i="1"/>
  <c r="BG33" i="1" s="1"/>
  <c r="J33" i="24"/>
  <c r="U42" i="34"/>
  <c r="U38" i="34"/>
  <c r="U34" i="34"/>
  <c r="U41" i="34"/>
  <c r="AX52" i="26"/>
  <c r="AK13" i="10"/>
  <c r="AM13" i="10" s="1"/>
  <c r="AM25" i="10"/>
  <c r="BA25" i="10" s="1"/>
  <c r="U45" i="34"/>
  <c r="AZ45" i="34" s="1"/>
  <c r="U43" i="34"/>
  <c r="AZ43" i="34" s="1"/>
  <c r="U40" i="34"/>
  <c r="U65" i="34"/>
  <c r="U32" i="34"/>
  <c r="BA65" i="10"/>
  <c r="V70" i="25"/>
  <c r="U63" i="13"/>
  <c r="I62" i="33"/>
  <c r="BA26" i="25"/>
  <c r="BG26" i="25" s="1"/>
  <c r="AX26" i="25"/>
  <c r="BD26" i="25" s="1"/>
  <c r="E27" i="30"/>
  <c r="AZ26" i="25"/>
  <c r="BF26" i="25" s="1"/>
  <c r="AY26" i="25"/>
  <c r="BE26" i="25" s="1"/>
  <c r="AW26" i="25"/>
  <c r="BC26" i="25" s="1"/>
  <c r="AT35" i="26"/>
  <c r="AS35" i="26"/>
  <c r="AD21" i="54"/>
  <c r="M43" i="18"/>
  <c r="N21" i="54"/>
  <c r="G21" i="54"/>
  <c r="AB93" i="25"/>
  <c r="BT38" i="25"/>
  <c r="BT37" i="25"/>
  <c r="AN25" i="7"/>
  <c r="N14" i="54"/>
  <c r="G14" i="54"/>
  <c r="N24" i="54"/>
  <c r="G24" i="54"/>
  <c r="N15" i="54"/>
  <c r="G15" i="54"/>
  <c r="N8" i="54"/>
  <c r="G8" i="54"/>
  <c r="N9" i="54"/>
  <c r="G9" i="54"/>
  <c r="N28" i="54"/>
  <c r="G28" i="54"/>
  <c r="N19" i="54"/>
  <c r="G19" i="54"/>
  <c r="N12" i="54"/>
  <c r="G12" i="54"/>
  <c r="BH56" i="26"/>
  <c r="P41" i="33"/>
  <c r="BG30" i="1"/>
  <c r="BH67" i="26"/>
  <c r="BG65" i="26"/>
  <c r="BG56" i="26"/>
  <c r="BF51" i="26"/>
  <c r="J46" i="32"/>
  <c r="F47" i="53" s="1"/>
  <c r="N47" i="53" s="1"/>
  <c r="J74" i="29"/>
  <c r="V66" i="29" s="1"/>
  <c r="P299" i="36" s="1"/>
  <c r="AW46" i="29"/>
  <c r="V46" i="29"/>
  <c r="P279" i="36" s="1"/>
  <c r="J43" i="32"/>
  <c r="AW43" i="29"/>
  <c r="J38" i="29"/>
  <c r="BF14" i="32"/>
  <c r="H14" i="30"/>
  <c r="BG14" i="32"/>
  <c r="AW58" i="33"/>
  <c r="AW57" i="33"/>
  <c r="AF55" i="33"/>
  <c r="AI55" i="33" s="1"/>
  <c r="Y55" i="33"/>
  <c r="S262" i="36" s="1"/>
  <c r="F57" i="32"/>
  <c r="P57" i="32" s="1"/>
  <c r="N55" i="33"/>
  <c r="Q557" i="36"/>
  <c r="AF39" i="33"/>
  <c r="F41" i="32"/>
  <c r="P41" i="32" s="1"/>
  <c r="P103" i="32" s="1"/>
  <c r="Y39" i="33"/>
  <c r="AW29" i="33"/>
  <c r="AW30" i="33"/>
  <c r="BG68" i="26"/>
  <c r="BG67" i="26"/>
  <c r="BF65" i="26"/>
  <c r="BH63" i="26"/>
  <c r="J62" i="29"/>
  <c r="J60" i="29"/>
  <c r="AV59" i="29"/>
  <c r="J59" i="32"/>
  <c r="AW59" i="29"/>
  <c r="J56" i="29"/>
  <c r="L56" i="29"/>
  <c r="J52" i="29"/>
  <c r="AV52" i="29" s="1"/>
  <c r="L52" i="29"/>
  <c r="J50" i="29"/>
  <c r="L50" i="29"/>
  <c r="BG49" i="26"/>
  <c r="BG48" i="26"/>
  <c r="J47" i="29"/>
  <c r="J44" i="32"/>
  <c r="AW44" i="29"/>
  <c r="BG41" i="26"/>
  <c r="BG42" i="26"/>
  <c r="AH64" i="33"/>
  <c r="AH65" i="33"/>
  <c r="AF64" i="33"/>
  <c r="F66" i="32"/>
  <c r="Y64" i="33"/>
  <c r="S271" i="36" s="1"/>
  <c r="AH63" i="33"/>
  <c r="AH62" i="33"/>
  <c r="Q572" i="36"/>
  <c r="BH32" i="1"/>
  <c r="BF26" i="32"/>
  <c r="BJ26" i="32" s="1"/>
  <c r="BG26" i="32"/>
  <c r="H26" i="30"/>
  <c r="BH26" i="32"/>
  <c r="P236" i="36"/>
  <c r="F43" i="32"/>
  <c r="P43" i="32" s="1"/>
  <c r="P105" i="32" s="1"/>
  <c r="AF41" i="33"/>
  <c r="N41" i="33"/>
  <c r="R41" i="33" s="1"/>
  <c r="U41" i="33" s="1"/>
  <c r="Y41" i="33"/>
  <c r="AF68" i="33"/>
  <c r="AI68" i="33" s="1"/>
  <c r="F70" i="32"/>
  <c r="Y68" i="33"/>
  <c r="AW53" i="33"/>
  <c r="AW54" i="33"/>
  <c r="P52" i="33"/>
  <c r="Q562" i="36" s="1"/>
  <c r="P54" i="33"/>
  <c r="P46" i="33"/>
  <c r="Q556" i="36" s="1"/>
  <c r="P34" i="33"/>
  <c r="AP35" i="33" s="1"/>
  <c r="P65" i="33"/>
  <c r="P66" i="33"/>
  <c r="P49" i="33"/>
  <c r="Q559" i="36" s="1"/>
  <c r="P61" i="33"/>
  <c r="P57" i="33"/>
  <c r="AP58" i="33" s="1"/>
  <c r="P38" i="33"/>
  <c r="P59" i="33"/>
  <c r="Q569" i="36" s="1"/>
  <c r="BH70" i="26"/>
  <c r="N39" i="33"/>
  <c r="R39" i="33" s="1"/>
  <c r="U39" i="33" s="1"/>
  <c r="P32" i="33"/>
  <c r="AP32" i="33" s="1"/>
  <c r="P30" i="33"/>
  <c r="P45" i="33"/>
  <c r="P62" i="32"/>
  <c r="P124" i="32" s="1"/>
  <c r="P29" i="33"/>
  <c r="AP29" i="33" s="1"/>
  <c r="BF25" i="1"/>
  <c r="BN25" i="1" s="1"/>
  <c r="BG32" i="1"/>
  <c r="BF70" i="26"/>
  <c r="P48" i="33"/>
  <c r="Q558" i="36" s="1"/>
  <c r="P40" i="33"/>
  <c r="AP41" i="33" s="1"/>
  <c r="P42" i="33"/>
  <c r="S55" i="1"/>
  <c r="S33" i="1"/>
  <c r="S41" i="1"/>
  <c r="S45" i="1"/>
  <c r="S32" i="1"/>
  <c r="S48" i="1"/>
  <c r="S69" i="1"/>
  <c r="S58" i="1"/>
  <c r="S34" i="1"/>
  <c r="S42" i="1"/>
  <c r="S47" i="1"/>
  <c r="O42" i="24"/>
  <c r="T53" i="24"/>
  <c r="T45" i="24"/>
  <c r="AV43" i="29"/>
  <c r="BF43" i="26"/>
  <c r="J69" i="29"/>
  <c r="L69" i="29"/>
  <c r="AV66" i="29"/>
  <c r="AW66" i="29"/>
  <c r="J66" i="32"/>
  <c r="BF66" i="26"/>
  <c r="BG64" i="26"/>
  <c r="AV64" i="29"/>
  <c r="AY64" i="29" s="1"/>
  <c r="J64" i="32"/>
  <c r="AW64" i="29"/>
  <c r="AZ64" i="29" s="1"/>
  <c r="BH61" i="26"/>
  <c r="BF56" i="26"/>
  <c r="BH55" i="26"/>
  <c r="J55" i="29"/>
  <c r="BF54" i="26"/>
  <c r="J53" i="29"/>
  <c r="AV53" i="29" s="1"/>
  <c r="BF52" i="26"/>
  <c r="BF50" i="26"/>
  <c r="J45" i="29"/>
  <c r="AV45" i="29" s="1"/>
  <c r="J42" i="29"/>
  <c r="AV42" i="29" s="1"/>
  <c r="BH41" i="26"/>
  <c r="BF40" i="26"/>
  <c r="P60" i="33"/>
  <c r="AV57" i="29"/>
  <c r="J75" i="29"/>
  <c r="J57" i="32"/>
  <c r="O57" i="32" s="1"/>
  <c r="AW57" i="29"/>
  <c r="BF67" i="26"/>
  <c r="BG25" i="1"/>
  <c r="AW61" i="33"/>
  <c r="AW60" i="33"/>
  <c r="AV57" i="33"/>
  <c r="AV58" i="33"/>
  <c r="AE55" i="33"/>
  <c r="P55" i="33"/>
  <c r="Q565" i="36" s="1"/>
  <c r="L73" i="33"/>
  <c r="AE47" i="33"/>
  <c r="AH47" i="33" s="1"/>
  <c r="F49" i="32"/>
  <c r="P49" i="32" s="1"/>
  <c r="P111" i="32" s="1"/>
  <c r="AF47" i="33"/>
  <c r="N47" i="33"/>
  <c r="R47" i="33" s="1"/>
  <c r="U47" i="33" s="1"/>
  <c r="Y47" i="33"/>
  <c r="S254" i="36" s="1"/>
  <c r="N43" i="33"/>
  <c r="R43" i="33" s="1"/>
  <c r="U43" i="33" s="1"/>
  <c r="F45" i="32"/>
  <c r="P45" i="32" s="1"/>
  <c r="P107" i="32" s="1"/>
  <c r="AF43" i="33"/>
  <c r="AI44" i="33" s="1"/>
  <c r="AE43" i="33"/>
  <c r="AH44" i="33" s="1"/>
  <c r="Y43" i="33"/>
  <c r="AE39" i="33"/>
  <c r="AH39" i="33" s="1"/>
  <c r="P37" i="33"/>
  <c r="AV29" i="33"/>
  <c r="AV30" i="33"/>
  <c r="BH14" i="32"/>
  <c r="P33" i="33"/>
  <c r="BH39" i="26"/>
  <c r="AY37" i="29"/>
  <c r="BH43" i="26"/>
  <c r="BH68" i="26"/>
  <c r="J67" i="29"/>
  <c r="BH65" i="26"/>
  <c r="J65" i="29"/>
  <c r="AV65" i="29" s="1"/>
  <c r="L65" i="29"/>
  <c r="BF63" i="26"/>
  <c r="BG60" i="26"/>
  <c r="BG59" i="26"/>
  <c r="BF57" i="26"/>
  <c r="BG55" i="26"/>
  <c r="AV54" i="29"/>
  <c r="J54" i="32"/>
  <c r="AW54" i="29"/>
  <c r="BG52" i="26"/>
  <c r="J51" i="29"/>
  <c r="L51" i="29"/>
  <c r="BH49" i="26"/>
  <c r="J49" i="29"/>
  <c r="L49" i="29"/>
  <c r="J48" i="29"/>
  <c r="BF48" i="26"/>
  <c r="AV44" i="29"/>
  <c r="AY44" i="29" s="1"/>
  <c r="BF41" i="26"/>
  <c r="J41" i="29"/>
  <c r="BG40" i="26"/>
  <c r="J39" i="29"/>
  <c r="AV39" i="29" s="1"/>
  <c r="AY40" i="29" s="1"/>
  <c r="P64" i="33"/>
  <c r="AF62" i="33"/>
  <c r="F64" i="32"/>
  <c r="Y62" i="33"/>
  <c r="S269" i="36" s="1"/>
  <c r="BF61" i="26"/>
  <c r="AW61" i="29"/>
  <c r="J61" i="32"/>
  <c r="AV60" i="33"/>
  <c r="AE53" i="33"/>
  <c r="N53" i="33"/>
  <c r="R53" i="33" s="1"/>
  <c r="U53" i="33" s="1"/>
  <c r="Y53" i="33"/>
  <c r="S260" i="36" s="1"/>
  <c r="F55" i="32"/>
  <c r="P55" i="32" s="1"/>
  <c r="P117" i="32" s="1"/>
  <c r="AF53" i="33"/>
  <c r="P53" i="33"/>
  <c r="AE41" i="33"/>
  <c r="AH41" i="33" s="1"/>
  <c r="AE68" i="33"/>
  <c r="AH68" i="33" s="1"/>
  <c r="P68" i="33"/>
  <c r="AP69" i="33" s="1"/>
  <c r="AV53" i="33"/>
  <c r="AV54" i="33"/>
  <c r="P44" i="33"/>
  <c r="P36" i="33"/>
  <c r="AP37" i="33" s="1"/>
  <c r="P67" i="33"/>
  <c r="BG46" i="26"/>
  <c r="P63" i="33"/>
  <c r="S50" i="1"/>
  <c r="S54" i="1"/>
  <c r="AX54" i="1" s="1"/>
  <c r="S38" i="1"/>
  <c r="S65" i="1"/>
  <c r="AX65" i="1" s="1"/>
  <c r="S39" i="1"/>
  <c r="AN27" i="1"/>
  <c r="G74" i="1"/>
  <c r="Q74" i="1"/>
  <c r="E46" i="24"/>
  <c r="O46" i="24" s="1"/>
  <c r="O74" i="24" s="1"/>
  <c r="T38" i="24"/>
  <c r="T37" i="24"/>
  <c r="T36" i="24"/>
  <c r="T41" i="24"/>
  <c r="T33" i="24"/>
  <c r="T43" i="24"/>
  <c r="T32" i="24"/>
  <c r="T57" i="24"/>
  <c r="T56" i="24"/>
  <c r="T71" i="24"/>
  <c r="T48" i="24"/>
  <c r="E35" i="24"/>
  <c r="T70" i="24"/>
  <c r="T69" i="24"/>
  <c r="T67" i="24"/>
  <c r="T65" i="24"/>
  <c r="T63" i="24"/>
  <c r="T60" i="24"/>
  <c r="T58" i="24"/>
  <c r="T54" i="24"/>
  <c r="BC54" i="24" s="1"/>
  <c r="T50" i="24"/>
  <c r="AQ26" i="1"/>
  <c r="E43" i="24"/>
  <c r="O43" i="24" s="1"/>
  <c r="T42" i="24"/>
  <c r="T35" i="24"/>
  <c r="T39" i="24"/>
  <c r="T31" i="24"/>
  <c r="T44" i="24"/>
  <c r="T34" i="24"/>
  <c r="T40" i="24"/>
  <c r="BC40" i="24" s="1"/>
  <c r="T62" i="24"/>
  <c r="T46" i="24"/>
  <c r="T68" i="24"/>
  <c r="T66" i="24"/>
  <c r="T64" i="24"/>
  <c r="T61" i="24"/>
  <c r="T59" i="24"/>
  <c r="T55" i="24"/>
  <c r="T51" i="24"/>
  <c r="T47" i="24"/>
  <c r="BC47" i="24" s="1"/>
  <c r="T49" i="24"/>
  <c r="AN30" i="1"/>
  <c r="AN29" i="1"/>
  <c r="E37" i="24"/>
  <c r="O37" i="24" s="1"/>
  <c r="E45" i="24"/>
  <c r="O45" i="24" s="1"/>
  <c r="E49" i="24"/>
  <c r="O49" i="24" s="1"/>
  <c r="E53" i="24"/>
  <c r="O53" i="24" s="1"/>
  <c r="N75" i="1"/>
  <c r="S57" i="1"/>
  <c r="E57" i="24"/>
  <c r="O57" i="24" s="1"/>
  <c r="O75" i="24" s="1"/>
  <c r="Q75" i="1"/>
  <c r="E61" i="24"/>
  <c r="E36" i="24"/>
  <c r="E40" i="24"/>
  <c r="O40" i="24" s="1"/>
  <c r="E52" i="24"/>
  <c r="O52" i="24" s="1"/>
  <c r="E56" i="24"/>
  <c r="O56" i="24" s="1"/>
  <c r="E51" i="24"/>
  <c r="O51" i="24" s="1"/>
  <c r="E55" i="24"/>
  <c r="O55" i="24" s="1"/>
  <c r="E59" i="24"/>
  <c r="O59" i="24" s="1"/>
  <c r="E50" i="24"/>
  <c r="O50" i="24" s="1"/>
  <c r="S40" i="1"/>
  <c r="S46" i="1"/>
  <c r="E33" i="24"/>
  <c r="E41" i="24"/>
  <c r="O41" i="24" s="1"/>
  <c r="E29" i="24"/>
  <c r="AK29" i="1"/>
  <c r="AL29" i="1"/>
  <c r="AO32" i="1"/>
  <c r="E32" i="24"/>
  <c r="O32" i="24" s="1"/>
  <c r="AP32" i="1"/>
  <c r="E48" i="24"/>
  <c r="O48" i="24" s="1"/>
  <c r="E47" i="24"/>
  <c r="O47" i="24" s="1"/>
  <c r="E54" i="24"/>
  <c r="O54" i="24" s="1"/>
  <c r="E58" i="24"/>
  <c r="O58" i="24" s="1"/>
  <c r="S68" i="1"/>
  <c r="S60" i="1"/>
  <c r="S71" i="1"/>
  <c r="S36" i="1"/>
  <c r="S31" i="1"/>
  <c r="S63" i="1"/>
  <c r="S35" i="1"/>
  <c r="S67" i="1"/>
  <c r="S70" i="1"/>
  <c r="S44" i="1"/>
  <c r="AX44" i="1" s="1"/>
  <c r="S66" i="1"/>
  <c r="AN31" i="1"/>
  <c r="AN32" i="1"/>
  <c r="AP31" i="1"/>
  <c r="AQ31" i="1" s="1"/>
  <c r="AT31" i="1" s="1"/>
  <c r="AN34" i="26"/>
  <c r="AN33" i="26"/>
  <c r="AP34" i="26"/>
  <c r="AP33" i="26"/>
  <c r="AZ47" i="34"/>
  <c r="Q568" i="36"/>
  <c r="AE48" i="33"/>
  <c r="N48" i="33"/>
  <c r="R48" i="33" s="1"/>
  <c r="U48" i="33" s="1"/>
  <c r="AF48" i="33"/>
  <c r="F50" i="32"/>
  <c r="P50" i="32" s="1"/>
  <c r="P112" i="32" s="1"/>
  <c r="Y48" i="33"/>
  <c r="S255" i="36" s="1"/>
  <c r="F44" i="32"/>
  <c r="P44" i="32" s="1"/>
  <c r="P106" i="32" s="1"/>
  <c r="N42" i="33"/>
  <c r="R42" i="33" s="1"/>
  <c r="U42" i="33" s="1"/>
  <c r="AF42" i="33"/>
  <c r="Y42" i="33"/>
  <c r="N58" i="33"/>
  <c r="R58" i="33" s="1"/>
  <c r="U58" i="33" s="1"/>
  <c r="F60" i="32"/>
  <c r="P60" i="32" s="1"/>
  <c r="P122" i="32" s="1"/>
  <c r="AF58" i="33"/>
  <c r="Y58" i="33"/>
  <c r="S265" i="36" s="1"/>
  <c r="F42" i="32"/>
  <c r="P42" i="32" s="1"/>
  <c r="P104" i="32" s="1"/>
  <c r="N40" i="33"/>
  <c r="R40" i="33" s="1"/>
  <c r="U40" i="33" s="1"/>
  <c r="AF40" i="33"/>
  <c r="Y40" i="33"/>
  <c r="N50" i="33"/>
  <c r="R50" i="33" s="1"/>
  <c r="U50" i="33" s="1"/>
  <c r="F52" i="32"/>
  <c r="P52" i="32" s="1"/>
  <c r="P114" i="32" s="1"/>
  <c r="AF50" i="33"/>
  <c r="Y50" i="33"/>
  <c r="S257" i="36" s="1"/>
  <c r="AE42" i="33"/>
  <c r="I23" i="32"/>
  <c r="BE23" i="24"/>
  <c r="BI23" i="24" s="1"/>
  <c r="I24" i="32"/>
  <c r="BE24" i="24"/>
  <c r="I21" i="32"/>
  <c r="BE21" i="24"/>
  <c r="I17" i="32"/>
  <c r="L17" i="32" s="1"/>
  <c r="BE17" i="24"/>
  <c r="BF23" i="24"/>
  <c r="BJ23" i="24" s="1"/>
  <c r="BF24" i="24"/>
  <c r="I18" i="32"/>
  <c r="BE18" i="24"/>
  <c r="I16" i="32"/>
  <c r="BE16" i="24"/>
  <c r="BF21" i="24"/>
  <c r="BF17" i="24"/>
  <c r="BJ17" i="24" s="1"/>
  <c r="I20" i="32"/>
  <c r="BE20" i="24"/>
  <c r="BI20" i="24" s="1"/>
  <c r="AZ58" i="34"/>
  <c r="BF71" i="26"/>
  <c r="AP64" i="26"/>
  <c r="AP65" i="26"/>
  <c r="L64" i="29"/>
  <c r="F64" i="29"/>
  <c r="AO56" i="26"/>
  <c r="AO55" i="26"/>
  <c r="AO48" i="26"/>
  <c r="AO49" i="26"/>
  <c r="AN23" i="32"/>
  <c r="AR23" i="32" s="1"/>
  <c r="AO23" i="32"/>
  <c r="AS23" i="32" s="1"/>
  <c r="D23" i="30"/>
  <c r="AQ59" i="26"/>
  <c r="AS59" i="26" s="1"/>
  <c r="AN56" i="26"/>
  <c r="AN55" i="26"/>
  <c r="AN48" i="26"/>
  <c r="AN49" i="26"/>
  <c r="AI69" i="10"/>
  <c r="AI70" i="10"/>
  <c r="AQ53" i="26"/>
  <c r="AU53" i="26" s="1"/>
  <c r="AB102" i="25"/>
  <c r="BT47" i="25"/>
  <c r="BT46" i="25"/>
  <c r="Q493" i="36"/>
  <c r="F66" i="29"/>
  <c r="L66" i="29"/>
  <c r="AH66" i="29"/>
  <c r="AQ66" i="26"/>
  <c r="AU66" i="26" s="1"/>
  <c r="AO64" i="26"/>
  <c r="AO65" i="26"/>
  <c r="AQ54" i="26"/>
  <c r="AP23" i="32"/>
  <c r="AT23" i="32" s="1"/>
  <c r="D30" i="32"/>
  <c r="G30" i="32" s="1"/>
  <c r="AM30" i="24"/>
  <c r="F63" i="29"/>
  <c r="L63" i="29"/>
  <c r="L61" i="29"/>
  <c r="F61" i="29"/>
  <c r="L59" i="29"/>
  <c r="F59" i="29"/>
  <c r="AP55" i="26"/>
  <c r="AP56" i="26"/>
  <c r="L55" i="29"/>
  <c r="F55" i="29"/>
  <c r="F54" i="29"/>
  <c r="L54" i="29"/>
  <c r="AH54" i="29"/>
  <c r="AP48" i="26"/>
  <c r="AP49" i="26"/>
  <c r="V124" i="25"/>
  <c r="AB115" i="25"/>
  <c r="Q506" i="36"/>
  <c r="BT60" i="25"/>
  <c r="BT59" i="25"/>
  <c r="AZ21" i="33"/>
  <c r="BD21" i="33"/>
  <c r="AM21" i="33"/>
  <c r="AM53" i="10"/>
  <c r="BE53" i="10" s="1"/>
  <c r="L53" i="29"/>
  <c r="F53" i="29"/>
  <c r="BA25" i="7"/>
  <c r="BE25" i="7"/>
  <c r="AF31" i="33"/>
  <c r="D37" i="24"/>
  <c r="AJ37" i="34"/>
  <c r="AL37" i="34"/>
  <c r="L9" i="53"/>
  <c r="D9" i="53"/>
  <c r="T30" i="25"/>
  <c r="AA30" i="25" s="1"/>
  <c r="AE34" i="50"/>
  <c r="AO34" i="50" s="1"/>
  <c r="Q56" i="19"/>
  <c r="AK31" i="34"/>
  <c r="AO31" i="34" s="1"/>
  <c r="Q31" i="34"/>
  <c r="D31" i="24"/>
  <c r="AL31" i="34"/>
  <c r="AP31" i="34" s="1"/>
  <c r="H31" i="34"/>
  <c r="AH36" i="33"/>
  <c r="AL61" i="34"/>
  <c r="AJ61" i="34"/>
  <c r="AN62" i="34" s="1"/>
  <c r="D61" i="24"/>
  <c r="AJ40" i="34"/>
  <c r="AN40" i="34" s="1"/>
  <c r="D40" i="24"/>
  <c r="AL40" i="34"/>
  <c r="N35" i="33"/>
  <c r="R35" i="33" s="1"/>
  <c r="U35" i="33" s="1"/>
  <c r="AF35" i="33"/>
  <c r="AI35" i="33" s="1"/>
  <c r="AJ35" i="33" s="1"/>
  <c r="AL39" i="34"/>
  <c r="D39" i="24"/>
  <c r="AK39" i="34"/>
  <c r="AO40" i="34" s="1"/>
  <c r="N29" i="33"/>
  <c r="R29" i="33" s="1"/>
  <c r="U29" i="33" s="1"/>
  <c r="AQ31" i="34"/>
  <c r="AT31" i="34" s="1"/>
  <c r="Z96" i="25"/>
  <c r="Q440" i="36"/>
  <c r="Z112" i="25"/>
  <c r="V98" i="25"/>
  <c r="AB65" i="25"/>
  <c r="AB121" i="25" s="1"/>
  <c r="U121" i="25"/>
  <c r="Z69" i="25"/>
  <c r="Z125" i="25" s="1"/>
  <c r="S125" i="25"/>
  <c r="V100" i="25"/>
  <c r="V115" i="25"/>
  <c r="L10" i="53"/>
  <c r="D10" i="53"/>
  <c r="BT39" i="25"/>
  <c r="AB95" i="25"/>
  <c r="O35" i="24"/>
  <c r="Q438" i="36"/>
  <c r="Z110" i="25"/>
  <c r="Q510" i="36"/>
  <c r="AB119" i="25"/>
  <c r="BT63" i="25"/>
  <c r="AB96" i="25"/>
  <c r="BT40" i="25"/>
  <c r="BT41" i="25"/>
  <c r="AB89" i="25"/>
  <c r="BT33" i="25"/>
  <c r="AB90" i="25"/>
  <c r="BT34" i="25"/>
  <c r="BT35" i="25"/>
  <c r="Z48" i="25"/>
  <c r="Z30" i="25"/>
  <c r="Z46" i="25"/>
  <c r="Z65" i="25"/>
  <c r="BR66" i="25" s="1"/>
  <c r="Z41" i="25"/>
  <c r="Z58" i="25"/>
  <c r="Z34" i="25"/>
  <c r="Z29" i="25"/>
  <c r="BR29" i="25" s="1"/>
  <c r="Z45" i="25"/>
  <c r="Z64" i="25"/>
  <c r="Z38" i="25"/>
  <c r="Z47" i="25"/>
  <c r="Z49" i="25"/>
  <c r="Z32" i="25"/>
  <c r="Z39" i="25"/>
  <c r="Z62" i="25"/>
  <c r="Z70" i="25"/>
  <c r="Z126" i="25" s="1"/>
  <c r="Z51" i="25"/>
  <c r="Z57" i="25"/>
  <c r="Z67" i="25"/>
  <c r="Z61" i="25"/>
  <c r="Z52" i="25"/>
  <c r="Z33" i="25"/>
  <c r="Z37" i="25"/>
  <c r="Z55" i="25"/>
  <c r="Z68" i="25"/>
  <c r="Z43" i="25"/>
  <c r="Z63" i="25"/>
  <c r="Z35" i="25"/>
  <c r="Z31" i="25"/>
  <c r="Z60" i="25"/>
  <c r="Z59" i="25"/>
  <c r="G34" i="24"/>
  <c r="M17" i="53"/>
  <c r="M18" i="53"/>
  <c r="M19" i="53"/>
  <c r="M20" i="53"/>
  <c r="M16" i="53"/>
  <c r="BW57" i="25"/>
  <c r="CA57" i="25"/>
  <c r="BX57" i="25"/>
  <c r="BZ57" i="25"/>
  <c r="I58" i="30"/>
  <c r="BY57" i="25"/>
  <c r="J69" i="7"/>
  <c r="AU69" i="7" s="1"/>
  <c r="AX69" i="7" s="1"/>
  <c r="M69" i="7"/>
  <c r="Q69" i="7" s="1"/>
  <c r="AR69" i="7" s="1"/>
  <c r="J70" i="7"/>
  <c r="AU70" i="7" s="1"/>
  <c r="CE40" i="25"/>
  <c r="CD40" i="25"/>
  <c r="CF40" i="25"/>
  <c r="CG40" i="25"/>
  <c r="AT67" i="7"/>
  <c r="AW67" i="7" s="1"/>
  <c r="K66" i="25"/>
  <c r="T67" i="7"/>
  <c r="P357" i="36" s="1"/>
  <c r="AX68" i="7"/>
  <c r="J71" i="7"/>
  <c r="AU71" i="7" s="1"/>
  <c r="AX72" i="7" s="1"/>
  <c r="AT68" i="7"/>
  <c r="K67" i="25"/>
  <c r="T68" i="7"/>
  <c r="P358" i="36" s="1"/>
  <c r="AN67" i="34"/>
  <c r="AN68" i="34"/>
  <c r="AN69" i="34"/>
  <c r="AN43" i="34"/>
  <c r="M61" i="7"/>
  <c r="Q61" i="7" s="1"/>
  <c r="AR61" i="7" s="1"/>
  <c r="AL60" i="34"/>
  <c r="D60" i="24"/>
  <c r="D66" i="24"/>
  <c r="N66" i="24" s="1"/>
  <c r="AK66" i="34"/>
  <c r="AL66" i="34"/>
  <c r="D57" i="24"/>
  <c r="AL57" i="34"/>
  <c r="AK57" i="34"/>
  <c r="AK36" i="34"/>
  <c r="D36" i="24"/>
  <c r="AL36" i="34"/>
  <c r="D58" i="24"/>
  <c r="AK58" i="34"/>
  <c r="AO58" i="34" s="1"/>
  <c r="AL58" i="34"/>
  <c r="AL48" i="34"/>
  <c r="AK48" i="34"/>
  <c r="D48" i="24"/>
  <c r="AJ48" i="34"/>
  <c r="AN49" i="34" s="1"/>
  <c r="AL59" i="34"/>
  <c r="AJ59" i="34"/>
  <c r="AN59" i="34" s="1"/>
  <c r="D59" i="24"/>
  <c r="G59" i="24" s="1"/>
  <c r="AN46" i="34"/>
  <c r="AK68" i="34"/>
  <c r="AO69" i="34" s="1"/>
  <c r="AL68" i="34"/>
  <c r="D68" i="24"/>
  <c r="N68" i="24" s="1"/>
  <c r="AJ60" i="34"/>
  <c r="D56" i="24"/>
  <c r="AL56" i="34"/>
  <c r="AK56" i="34"/>
  <c r="AN57" i="34"/>
  <c r="AN37" i="34"/>
  <c r="AN36" i="34"/>
  <c r="D33" i="24"/>
  <c r="AL33" i="34"/>
  <c r="AK33" i="34"/>
  <c r="AO34" i="34" s="1"/>
  <c r="D45" i="24"/>
  <c r="G45" i="24" s="1"/>
  <c r="AK45" i="34"/>
  <c r="AL45" i="34"/>
  <c r="AJ64" i="34"/>
  <c r="AN64" i="34" s="1"/>
  <c r="AK64" i="34"/>
  <c r="D64" i="24"/>
  <c r="Q64" i="34"/>
  <c r="AL64" i="34"/>
  <c r="AN58" i="34"/>
  <c r="AK52" i="34"/>
  <c r="D52" i="24"/>
  <c r="G52" i="24" s="1"/>
  <c r="AL52" i="34"/>
  <c r="AL67" i="34"/>
  <c r="AP67" i="34" s="1"/>
  <c r="AK67" i="34"/>
  <c r="AO67" i="34" s="1"/>
  <c r="D67" i="24"/>
  <c r="AK42" i="34"/>
  <c r="AO42" i="34" s="1"/>
  <c r="AL42" i="34"/>
  <c r="D42" i="24"/>
  <c r="AL35" i="34"/>
  <c r="AK35" i="34"/>
  <c r="D35" i="24"/>
  <c r="AK60" i="34"/>
  <c r="M75" i="7"/>
  <c r="Q57" i="7"/>
  <c r="AR57" i="7" s="1"/>
  <c r="AR63" i="7"/>
  <c r="AK59" i="34"/>
  <c r="U46" i="1"/>
  <c r="U56" i="1"/>
  <c r="U35" i="1"/>
  <c r="U55" i="1"/>
  <c r="U49" i="1"/>
  <c r="U57" i="1"/>
  <c r="U37" i="1"/>
  <c r="U51" i="1"/>
  <c r="AZ51" i="1" s="1"/>
  <c r="U54" i="1"/>
  <c r="U48" i="1"/>
  <c r="U33" i="1"/>
  <c r="U52" i="1"/>
  <c r="AZ52" i="1" s="1"/>
  <c r="U53" i="1"/>
  <c r="U41" i="1"/>
  <c r="U45" i="1"/>
  <c r="U59" i="1"/>
  <c r="U32" i="1"/>
  <c r="U44" i="1"/>
  <c r="U58" i="1"/>
  <c r="U60" i="1"/>
  <c r="U40" i="1"/>
  <c r="U42" i="1"/>
  <c r="U39" i="1"/>
  <c r="U43" i="1"/>
  <c r="U31" i="1"/>
  <c r="AZ31" i="1" s="1"/>
  <c r="U34" i="1"/>
  <c r="U47" i="1"/>
  <c r="U36" i="1"/>
  <c r="U38" i="1"/>
  <c r="AQ71" i="26"/>
  <c r="AT71" i="26" s="1"/>
  <c r="BA23" i="25"/>
  <c r="AZ23" i="25"/>
  <c r="BF24" i="25" s="1"/>
  <c r="W23" i="25"/>
  <c r="E24" i="30"/>
  <c r="AX23" i="25"/>
  <c r="BD24" i="25" s="1"/>
  <c r="AY23" i="25"/>
  <c r="BE24" i="25" s="1"/>
  <c r="L71" i="29"/>
  <c r="AQ31" i="26"/>
  <c r="AT31" i="26" s="1"/>
  <c r="AO62" i="26"/>
  <c r="AO63" i="26"/>
  <c r="L62" i="29"/>
  <c r="F62" i="29"/>
  <c r="AK29" i="7"/>
  <c r="AM29" i="7" s="1"/>
  <c r="AU70" i="26"/>
  <c r="AT70" i="26"/>
  <c r="AK68" i="10"/>
  <c r="AM68" i="10" s="1"/>
  <c r="AT52" i="26"/>
  <c r="AU52" i="26"/>
  <c r="F71" i="29"/>
  <c r="E71" i="32" s="1"/>
  <c r="DF66" i="25"/>
  <c r="DH66" i="25" s="1"/>
  <c r="DG66" i="25"/>
  <c r="DI66" i="25" s="1"/>
  <c r="BH12" i="25"/>
  <c r="AP63" i="26"/>
  <c r="AP62" i="26"/>
  <c r="AN62" i="26"/>
  <c r="AN63" i="26"/>
  <c r="R28" i="25"/>
  <c r="I28" i="25"/>
  <c r="AW28" i="25" s="1"/>
  <c r="AQ32" i="26"/>
  <c r="AU32" i="26" s="1"/>
  <c r="AK69" i="10"/>
  <c r="AM69" i="10" s="1"/>
  <c r="G39" i="24"/>
  <c r="N40" i="26"/>
  <c r="S40" i="26" s="1"/>
  <c r="AS52" i="26"/>
  <c r="G65" i="18"/>
  <c r="DD67" i="25" s="1"/>
  <c r="U66" i="25"/>
  <c r="U513" i="36"/>
  <c r="R513" i="36" s="1"/>
  <c r="BT65" i="25"/>
  <c r="Q512" i="36"/>
  <c r="AI60" i="33"/>
  <c r="AH60" i="33"/>
  <c r="AH59" i="33"/>
  <c r="AI52" i="29"/>
  <c r="AH52" i="29"/>
  <c r="E52" i="32"/>
  <c r="AL57" i="29"/>
  <c r="AL58" i="29"/>
  <c r="AY46" i="19"/>
  <c r="M47" i="14"/>
  <c r="E50" i="29" s="1"/>
  <c r="AK66" i="29"/>
  <c r="AK57" i="29"/>
  <c r="AK58" i="29"/>
  <c r="U528" i="36"/>
  <c r="M51" i="29"/>
  <c r="F51" i="29"/>
  <c r="BF63" i="34"/>
  <c r="BF64" i="34"/>
  <c r="BG63" i="34"/>
  <c r="BG64" i="34"/>
  <c r="AN50" i="34"/>
  <c r="BH63" i="34"/>
  <c r="BH64" i="34"/>
  <c r="V47" i="25"/>
  <c r="AW44" i="10"/>
  <c r="AW43" i="10"/>
  <c r="AJ59" i="10"/>
  <c r="AK59" i="10" s="1"/>
  <c r="AM59" i="10" s="1"/>
  <c r="AJ60" i="10"/>
  <c r="AK60" i="10" s="1"/>
  <c r="V58" i="25"/>
  <c r="AJ32" i="10"/>
  <c r="AJ31" i="10"/>
  <c r="T446" i="36"/>
  <c r="P446" i="36" s="1"/>
  <c r="P62" i="25"/>
  <c r="BW62" i="25" s="1"/>
  <c r="AW25" i="10"/>
  <c r="AW26" i="10"/>
  <c r="V24" i="25"/>
  <c r="P24" i="25"/>
  <c r="AJ48" i="10"/>
  <c r="AK48" i="10" s="1"/>
  <c r="AN48" i="10" s="1"/>
  <c r="AJ49" i="10"/>
  <c r="AK49" i="10" s="1"/>
  <c r="T445" i="36"/>
  <c r="P445" i="36" s="1"/>
  <c r="P61" i="25"/>
  <c r="AX44" i="10"/>
  <c r="AX43" i="10"/>
  <c r="AW63" i="7"/>
  <c r="V30" i="25"/>
  <c r="AI32" i="10"/>
  <c r="AI31" i="10"/>
  <c r="AX63" i="7"/>
  <c r="T432" i="36"/>
  <c r="P432" i="36" s="1"/>
  <c r="P48" i="25"/>
  <c r="AX25" i="10"/>
  <c r="AX26" i="10"/>
  <c r="AH45" i="33"/>
  <c r="AH46" i="33"/>
  <c r="AM17" i="10"/>
  <c r="BA17" i="10" s="1"/>
  <c r="AM52" i="10"/>
  <c r="Q450" i="36"/>
  <c r="AX57" i="7"/>
  <c r="AX56" i="7"/>
  <c r="AX60" i="10"/>
  <c r="AX61" i="10"/>
  <c r="AF32" i="33"/>
  <c r="N32" i="33"/>
  <c r="R32" i="33" s="1"/>
  <c r="U32" i="33" s="1"/>
  <c r="F34" i="32"/>
  <c r="P34" i="32" s="1"/>
  <c r="P96" i="32" s="1"/>
  <c r="Y32" i="33"/>
  <c r="AE30" i="33"/>
  <c r="N30" i="33"/>
  <c r="R30" i="33" s="1"/>
  <c r="U30" i="33" s="1"/>
  <c r="Y30" i="33"/>
  <c r="AF30" i="33"/>
  <c r="F32" i="32"/>
  <c r="P32" i="32" s="1"/>
  <c r="P94" i="32" s="1"/>
  <c r="P41" i="25"/>
  <c r="BW41" i="25" s="1"/>
  <c r="AH37" i="33"/>
  <c r="AH38" i="33"/>
  <c r="AW45" i="7"/>
  <c r="AW46" i="7"/>
  <c r="P44" i="25"/>
  <c r="BW44" i="25" s="1"/>
  <c r="P31" i="25"/>
  <c r="BW31" i="25" s="1"/>
  <c r="CC31" i="25" s="1"/>
  <c r="AX27" i="10"/>
  <c r="AX28" i="10"/>
  <c r="AG62" i="10"/>
  <c r="AJ63" i="10" s="1"/>
  <c r="AK63" i="10" s="1"/>
  <c r="AN63" i="10" s="1"/>
  <c r="H61" i="25"/>
  <c r="N62" i="10"/>
  <c r="R62" i="10" s="1"/>
  <c r="U62" i="10" s="1"/>
  <c r="Y62" i="10"/>
  <c r="S382" i="36" s="1"/>
  <c r="AH51" i="33"/>
  <c r="AH52" i="33"/>
  <c r="Q555" i="36"/>
  <c r="AF69" i="33"/>
  <c r="AI70" i="33" s="1"/>
  <c r="Y69" i="33"/>
  <c r="AW61" i="7"/>
  <c r="AW60" i="7"/>
  <c r="AW33" i="7"/>
  <c r="AW34" i="7"/>
  <c r="T447" i="36"/>
  <c r="P447" i="36" s="1"/>
  <c r="P63" i="25"/>
  <c r="BW63" i="25" s="1"/>
  <c r="CC64" i="25" s="1"/>
  <c r="AW60" i="10"/>
  <c r="AW61" i="10"/>
  <c r="AH33" i="33"/>
  <c r="AP31" i="33"/>
  <c r="AX45" i="7"/>
  <c r="AX46" i="7"/>
  <c r="AX38" i="7"/>
  <c r="AX39" i="7"/>
  <c r="AW27" i="10"/>
  <c r="AW28" i="10"/>
  <c r="P26" i="25"/>
  <c r="CA26" i="25" s="1"/>
  <c r="V26" i="25"/>
  <c r="Q437" i="36"/>
  <c r="BR54" i="25"/>
  <c r="AQ62" i="10"/>
  <c r="AQ63" i="10"/>
  <c r="N51" i="33"/>
  <c r="R51" i="33" s="1"/>
  <c r="U51" i="33" s="1"/>
  <c r="F53" i="32"/>
  <c r="P53" i="32" s="1"/>
  <c r="P115" i="32" s="1"/>
  <c r="AF51" i="33"/>
  <c r="Y51" i="33"/>
  <c r="S258" i="36" s="1"/>
  <c r="AF45" i="33"/>
  <c r="N45" i="33"/>
  <c r="R45" i="33" s="1"/>
  <c r="U45" i="33" s="1"/>
  <c r="F47" i="32"/>
  <c r="P47" i="32" s="1"/>
  <c r="P109" i="32" s="1"/>
  <c r="Y45" i="33"/>
  <c r="S252" i="36" s="1"/>
  <c r="AE69" i="33"/>
  <c r="AH70" i="33" s="1"/>
  <c r="AW65" i="7"/>
  <c r="AW66" i="7"/>
  <c r="AX44" i="7"/>
  <c r="AX43" i="7"/>
  <c r="V12" i="25"/>
  <c r="P12" i="25"/>
  <c r="CG14" i="25"/>
  <c r="BW13" i="25"/>
  <c r="BX13" i="25"/>
  <c r="I14" i="30"/>
  <c r="BY13" i="25"/>
  <c r="BZ13" i="25"/>
  <c r="W13" i="25"/>
  <c r="BE17" i="10"/>
  <c r="CC60" i="25"/>
  <c r="BY32" i="25"/>
  <c r="BZ32" i="25"/>
  <c r="BX32" i="25"/>
  <c r="I33" i="30"/>
  <c r="CA32" i="25"/>
  <c r="CC43" i="25"/>
  <c r="CC56" i="25"/>
  <c r="CC55" i="25"/>
  <c r="AX48" i="7"/>
  <c r="AX49" i="7"/>
  <c r="T431" i="36"/>
  <c r="P431" i="36" s="1"/>
  <c r="P47" i="25"/>
  <c r="BW47" i="25" s="1"/>
  <c r="V55" i="25"/>
  <c r="AX12" i="10"/>
  <c r="AX13" i="10"/>
  <c r="AJ33" i="10"/>
  <c r="AJ34" i="10"/>
  <c r="V32" i="25"/>
  <c r="CG52" i="25"/>
  <c r="CG53" i="25"/>
  <c r="CD52" i="25"/>
  <c r="CD53" i="25"/>
  <c r="CC65" i="25"/>
  <c r="CC37" i="25"/>
  <c r="V60" i="25"/>
  <c r="AW47" i="10"/>
  <c r="AW48" i="10"/>
  <c r="P46" i="25"/>
  <c r="CA46" i="25" s="1"/>
  <c r="V46" i="25"/>
  <c r="AJ29" i="10"/>
  <c r="AJ28" i="10"/>
  <c r="I27" i="25"/>
  <c r="BA27" i="25" s="1"/>
  <c r="V27" i="25"/>
  <c r="AJ45" i="10"/>
  <c r="BZ59" i="25"/>
  <c r="CA59" i="25"/>
  <c r="I60" i="30"/>
  <c r="BY59" i="25"/>
  <c r="BX59" i="25"/>
  <c r="BW32" i="25"/>
  <c r="BY55" i="25"/>
  <c r="BZ55" i="25"/>
  <c r="I56" i="30"/>
  <c r="BX55" i="25"/>
  <c r="CA55" i="25"/>
  <c r="AW48" i="7"/>
  <c r="AW49" i="7"/>
  <c r="AI56" i="10"/>
  <c r="AI57" i="10"/>
  <c r="AW12" i="10"/>
  <c r="AW13" i="10"/>
  <c r="P11" i="25"/>
  <c r="CA11" i="25" s="1"/>
  <c r="V11" i="25"/>
  <c r="AI33" i="10"/>
  <c r="AI34" i="10"/>
  <c r="CE52" i="25"/>
  <c r="CF52" i="25"/>
  <c r="CF53" i="25"/>
  <c r="BZ64" i="25"/>
  <c r="CA64" i="25"/>
  <c r="I65" i="30"/>
  <c r="BY64" i="25"/>
  <c r="BX64" i="25"/>
  <c r="BY42" i="25"/>
  <c r="CA42" i="25"/>
  <c r="BZ42" i="25"/>
  <c r="BX42" i="25"/>
  <c r="I43" i="30"/>
  <c r="BZ37" i="25"/>
  <c r="BX37" i="25"/>
  <c r="I38" i="30"/>
  <c r="BY37" i="25"/>
  <c r="CA37" i="25"/>
  <c r="AJ56" i="10"/>
  <c r="AJ55" i="10"/>
  <c r="V54" i="25"/>
  <c r="AI62" i="10"/>
  <c r="AI61" i="10"/>
  <c r="AJ61" i="10"/>
  <c r="AX47" i="10"/>
  <c r="AX48" i="10"/>
  <c r="AK44" i="10"/>
  <c r="AN44" i="10" s="1"/>
  <c r="V43" i="25"/>
  <c r="AI28" i="10"/>
  <c r="AI29" i="10"/>
  <c r="E71" i="7"/>
  <c r="E70" i="7"/>
  <c r="L33" i="24"/>
  <c r="AN42" i="34"/>
  <c r="G41" i="24"/>
  <c r="L28" i="24"/>
  <c r="BE28" i="24" s="1"/>
  <c r="BG22" i="32"/>
  <c r="BH22" i="32"/>
  <c r="H22" i="30"/>
  <c r="AV40" i="33"/>
  <c r="AV39" i="33"/>
  <c r="BG69" i="34"/>
  <c r="BE27" i="24"/>
  <c r="BI27" i="24" s="1"/>
  <c r="BF27" i="24"/>
  <c r="BJ27" i="24" s="1"/>
  <c r="I27" i="32"/>
  <c r="L27" i="32" s="1"/>
  <c r="AP41" i="34"/>
  <c r="AP42" i="34"/>
  <c r="AO41" i="34"/>
  <c r="BG28" i="34"/>
  <c r="BH28" i="34"/>
  <c r="BF22" i="32"/>
  <c r="AW40" i="33"/>
  <c r="AW39" i="33"/>
  <c r="G54" i="24"/>
  <c r="J70" i="29"/>
  <c r="AW70" i="29" s="1"/>
  <c r="L70" i="29"/>
  <c r="AN47" i="34"/>
  <c r="AN48" i="34"/>
  <c r="AN55" i="34"/>
  <c r="AN56" i="34"/>
  <c r="AN63" i="34"/>
  <c r="AN51" i="34"/>
  <c r="AN52" i="34"/>
  <c r="AM14" i="10"/>
  <c r="BE14" i="10" s="1"/>
  <c r="F23" i="30"/>
  <c r="AI23" i="30" s="1"/>
  <c r="AI30" i="7"/>
  <c r="I29" i="25"/>
  <c r="AW29" i="25" s="1"/>
  <c r="R29" i="25"/>
  <c r="F20" i="30"/>
  <c r="AI20" i="30" s="1"/>
  <c r="BD20" i="25"/>
  <c r="BD19" i="25"/>
  <c r="F67" i="29"/>
  <c r="L67" i="29"/>
  <c r="AH67" i="29"/>
  <c r="AK67" i="29" s="1"/>
  <c r="AK53" i="34"/>
  <c r="D53" i="24"/>
  <c r="AL53" i="34"/>
  <c r="AL50" i="34"/>
  <c r="D50" i="24"/>
  <c r="AK50" i="34"/>
  <c r="D44" i="24"/>
  <c r="AL44" i="34"/>
  <c r="AK44" i="34"/>
  <c r="AL49" i="34"/>
  <c r="D49" i="24"/>
  <c r="AK49" i="34"/>
  <c r="AO49" i="34" s="1"/>
  <c r="AL65" i="34"/>
  <c r="AK65" i="34"/>
  <c r="Q65" i="34"/>
  <c r="D65" i="24"/>
  <c r="AL62" i="34"/>
  <c r="AP62" i="34" s="1"/>
  <c r="AK62" i="34"/>
  <c r="AO62" i="34" s="1"/>
  <c r="D62" i="24"/>
  <c r="N62" i="24" s="1"/>
  <c r="Q62" i="34"/>
  <c r="BC23" i="25"/>
  <c r="AJ30" i="7"/>
  <c r="BC20" i="25"/>
  <c r="BC19" i="25"/>
  <c r="BE19" i="25"/>
  <c r="BE20" i="25"/>
  <c r="BF20" i="25"/>
  <c r="BF19" i="25"/>
  <c r="AQ67" i="26"/>
  <c r="AT67" i="26" s="1"/>
  <c r="AN54" i="34"/>
  <c r="AN53" i="34"/>
  <c r="AK47" i="34"/>
  <c r="D47" i="24"/>
  <c r="AL47" i="34"/>
  <c r="AN44" i="34"/>
  <c r="AN45" i="34"/>
  <c r="AL63" i="34"/>
  <c r="AK63" i="34"/>
  <c r="D63" i="24"/>
  <c r="N63" i="24" s="1"/>
  <c r="Q63" i="34"/>
  <c r="AL55" i="34"/>
  <c r="D55" i="24"/>
  <c r="AK55" i="34"/>
  <c r="D51" i="24"/>
  <c r="Q51" i="34"/>
  <c r="AL51" i="34"/>
  <c r="M18" i="57" s="1"/>
  <c r="AK51" i="34"/>
  <c r="M17" i="57" s="1"/>
  <c r="AK46" i="34"/>
  <c r="AO46" i="34" s="1"/>
  <c r="AL46" i="34"/>
  <c r="D46" i="24"/>
  <c r="G74" i="34"/>
  <c r="AC43" i="34" s="1"/>
  <c r="N74" i="34"/>
  <c r="S65" i="34" s="1"/>
  <c r="AL43" i="34"/>
  <c r="AP43" i="34" s="1"/>
  <c r="D43" i="24"/>
  <c r="AK43" i="34"/>
  <c r="AN66" i="34"/>
  <c r="AM15" i="10"/>
  <c r="BE15" i="10" s="1"/>
  <c r="AN39" i="10"/>
  <c r="BA39" i="10" s="1"/>
  <c r="CW13" i="25"/>
  <c r="CO13" i="25"/>
  <c r="AN39" i="34"/>
  <c r="AN38" i="34"/>
  <c r="AO39" i="34"/>
  <c r="AO38" i="34"/>
  <c r="AJ26" i="33"/>
  <c r="AL26" i="33" s="1"/>
  <c r="AK46" i="10"/>
  <c r="AM46" i="10" s="1"/>
  <c r="AP68" i="26"/>
  <c r="AP69" i="26"/>
  <c r="AO60" i="26"/>
  <c r="AO61" i="26"/>
  <c r="AN60" i="26"/>
  <c r="AN61" i="26"/>
  <c r="BA12" i="10"/>
  <c r="BB12" i="10" s="1"/>
  <c r="BA24" i="7"/>
  <c r="BE24" i="7"/>
  <c r="G38" i="24"/>
  <c r="AP39" i="34"/>
  <c r="AP38" i="34"/>
  <c r="AN46" i="10"/>
  <c r="AK45" i="10"/>
  <c r="AN45" i="10" s="1"/>
  <c r="AN68" i="26"/>
  <c r="AN69" i="26"/>
  <c r="AO68" i="26"/>
  <c r="AO69" i="26"/>
  <c r="L68" i="29"/>
  <c r="F68" i="29"/>
  <c r="AH68" i="29" s="1"/>
  <c r="AP60" i="26"/>
  <c r="AP61" i="26"/>
  <c r="L60" i="29"/>
  <c r="F60" i="29"/>
  <c r="AH60" i="29" s="1"/>
  <c r="N70" i="34"/>
  <c r="N71" i="34"/>
  <c r="AP69" i="34"/>
  <c r="BH25" i="25"/>
  <c r="BK25" i="25" s="1"/>
  <c r="AP34" i="34"/>
  <c r="AP35" i="34"/>
  <c r="AM27" i="24"/>
  <c r="D27" i="32"/>
  <c r="AJ23" i="33"/>
  <c r="AM23" i="33" s="1"/>
  <c r="M70" i="29"/>
  <c r="F70" i="29"/>
  <c r="AH70" i="29" s="1"/>
  <c r="AK70" i="29" s="1"/>
  <c r="AN35" i="34"/>
  <c r="AN34" i="34"/>
  <c r="BA16" i="10"/>
  <c r="AJ28" i="33"/>
  <c r="AM28" i="33" s="1"/>
  <c r="V31" i="1"/>
  <c r="Y31" i="1" s="1"/>
  <c r="V48" i="1"/>
  <c r="Y48" i="1" s="1"/>
  <c r="AJ24" i="33"/>
  <c r="AM24" i="33" s="1"/>
  <c r="AN25" i="32"/>
  <c r="AO25" i="32"/>
  <c r="D25" i="30"/>
  <c r="AN24" i="32"/>
  <c r="AR24" i="32" s="1"/>
  <c r="AO24" i="32"/>
  <c r="AS24" i="32" s="1"/>
  <c r="D24" i="30"/>
  <c r="AA48" i="25"/>
  <c r="AA104" i="25" s="1"/>
  <c r="AA45" i="25"/>
  <c r="AA101" i="25" s="1"/>
  <c r="BH24" i="25"/>
  <c r="AN38" i="10"/>
  <c r="BE38" i="10" s="1"/>
  <c r="AL27" i="33"/>
  <c r="AN27" i="24"/>
  <c r="AL22" i="33"/>
  <c r="BR69" i="25"/>
  <c r="BR70" i="25"/>
  <c r="M71" i="29"/>
  <c r="AM34" i="24"/>
  <c r="D34" i="32"/>
  <c r="AN34" i="24"/>
  <c r="AO34" i="24"/>
  <c r="AO35" i="34"/>
  <c r="AJ25" i="33"/>
  <c r="AM25" i="33" s="1"/>
  <c r="AP25" i="32"/>
  <c r="AP24" i="32"/>
  <c r="AT24" i="32" s="1"/>
  <c r="Q469" i="36"/>
  <c r="AA42" i="25"/>
  <c r="AA98" i="25" s="1"/>
  <c r="AA46" i="25"/>
  <c r="AA102" i="25" s="1"/>
  <c r="I12" i="32"/>
  <c r="BE12" i="24"/>
  <c r="BF29" i="34"/>
  <c r="BN29" i="34" s="1"/>
  <c r="BH69" i="34"/>
  <c r="AA44" i="25"/>
  <c r="AA100" i="25" s="1"/>
  <c r="AA52" i="25"/>
  <c r="AA66" i="25"/>
  <c r="AA122" i="25" s="1"/>
  <c r="AA55" i="25"/>
  <c r="AA35" i="25"/>
  <c r="AA91" i="25" s="1"/>
  <c r="AA59" i="25"/>
  <c r="AA115" i="25" s="1"/>
  <c r="AA69" i="25"/>
  <c r="AA125" i="25" s="1"/>
  <c r="AA41" i="25"/>
  <c r="AA97" i="25" s="1"/>
  <c r="AA49" i="25"/>
  <c r="AA105" i="25" s="1"/>
  <c r="AA60" i="25"/>
  <c r="AA116" i="25" s="1"/>
  <c r="AA33" i="25"/>
  <c r="AA89" i="25" s="1"/>
  <c r="AA39" i="25"/>
  <c r="AA95" i="25" s="1"/>
  <c r="AA56" i="25"/>
  <c r="AA112" i="25" s="1"/>
  <c r="AA64" i="25"/>
  <c r="AA31" i="25"/>
  <c r="AA87" i="25" s="1"/>
  <c r="AA36" i="25"/>
  <c r="AA92" i="25" s="1"/>
  <c r="AA38" i="25"/>
  <c r="AA94" i="25" s="1"/>
  <c r="AA32" i="25"/>
  <c r="AA88" i="25" s="1"/>
  <c r="AA62" i="25"/>
  <c r="AA118" i="25" s="1"/>
  <c r="AA40" i="25"/>
  <c r="AA43" i="25"/>
  <c r="AA99" i="25" s="1"/>
  <c r="AA51" i="25"/>
  <c r="AA107" i="25" s="1"/>
  <c r="AA37" i="25"/>
  <c r="AA93" i="25" s="1"/>
  <c r="AA67" i="25"/>
  <c r="AA123" i="25" s="1"/>
  <c r="AA50" i="25"/>
  <c r="AA106" i="25" s="1"/>
  <c r="AA61" i="25"/>
  <c r="AA117" i="25" s="1"/>
  <c r="AA54" i="25"/>
  <c r="AA110" i="25" s="1"/>
  <c r="AA68" i="25"/>
  <c r="AA124" i="25" s="1"/>
  <c r="AA34" i="25"/>
  <c r="AA57" i="25"/>
  <c r="AA113" i="25" s="1"/>
  <c r="AA58" i="25"/>
  <c r="AA114" i="25" s="1"/>
  <c r="AA63" i="25"/>
  <c r="AA119" i="25" s="1"/>
  <c r="AA65" i="25"/>
  <c r="AA121" i="25" s="1"/>
  <c r="AA47" i="25"/>
  <c r="L29" i="24"/>
  <c r="BE29" i="24" s="1"/>
  <c r="BG29" i="34"/>
  <c r="N69" i="24"/>
  <c r="G32" i="24"/>
  <c r="AO32" i="34"/>
  <c r="N67" i="24"/>
  <c r="BE12" i="33"/>
  <c r="AP32" i="34"/>
  <c r="AP33" i="34"/>
  <c r="AN32" i="34"/>
  <c r="AN33" i="34"/>
  <c r="BH67" i="34"/>
  <c r="BH68" i="34"/>
  <c r="BG67" i="34"/>
  <c r="BG68" i="34"/>
  <c r="BH25" i="32"/>
  <c r="H25" i="30"/>
  <c r="BG25" i="32"/>
  <c r="BF51" i="24"/>
  <c r="BK39" i="60" l="1"/>
  <c r="AY34" i="60"/>
  <c r="AY60" i="60"/>
  <c r="AP58" i="34"/>
  <c r="AQ65" i="26"/>
  <c r="AU65" i="26" s="1"/>
  <c r="AY41" i="60"/>
  <c r="AV50" i="60"/>
  <c r="Y50" i="60"/>
  <c r="AW50" i="60"/>
  <c r="AU46" i="60"/>
  <c r="G74" i="60"/>
  <c r="AN50" i="60" s="1"/>
  <c r="AV46" i="60"/>
  <c r="AN46" i="60"/>
  <c r="Y46" i="60"/>
  <c r="AW46" i="60"/>
  <c r="AU42" i="60"/>
  <c r="AY42" i="60" s="1"/>
  <c r="AV42" i="60"/>
  <c r="Y42" i="60"/>
  <c r="AW42" i="60"/>
  <c r="AY38" i="60"/>
  <c r="AV30" i="60"/>
  <c r="AW30" i="60"/>
  <c r="AW27" i="60"/>
  <c r="AV27" i="60"/>
  <c r="AY59" i="60"/>
  <c r="AU55" i="60"/>
  <c r="AY55" i="60" s="1"/>
  <c r="AV55" i="60"/>
  <c r="Y55" i="60"/>
  <c r="AW55" i="60"/>
  <c r="AU51" i="60"/>
  <c r="AV51" i="60"/>
  <c r="AZ51" i="60" s="1"/>
  <c r="Y51" i="60"/>
  <c r="AW51" i="60"/>
  <c r="AU47" i="60"/>
  <c r="AY47" i="60" s="1"/>
  <c r="AV47" i="60"/>
  <c r="AN47" i="60"/>
  <c r="Y47" i="60"/>
  <c r="AW47" i="60"/>
  <c r="BA47" i="60" s="1"/>
  <c r="AU43" i="60"/>
  <c r="AY43" i="60" s="1"/>
  <c r="AV43" i="60"/>
  <c r="AZ43" i="60" s="1"/>
  <c r="Y43" i="60"/>
  <c r="AW43" i="60"/>
  <c r="AU39" i="60"/>
  <c r="AY39" i="60" s="1"/>
  <c r="AV39" i="60"/>
  <c r="AN39" i="60"/>
  <c r="AW39" i="60"/>
  <c r="AN35" i="60"/>
  <c r="AV35" i="60"/>
  <c r="AW35" i="60"/>
  <c r="BK43" i="60"/>
  <c r="AV28" i="60"/>
  <c r="AZ28" i="60" s="1"/>
  <c r="AW28" i="60"/>
  <c r="BA28" i="60" s="1"/>
  <c r="AV52" i="60"/>
  <c r="AZ52" i="60" s="1"/>
  <c r="Y52" i="60"/>
  <c r="AW52" i="60"/>
  <c r="BA52" i="60" s="1"/>
  <c r="AW44" i="60"/>
  <c r="BA44" i="60" s="1"/>
  <c r="AV44" i="60"/>
  <c r="AN44" i="60"/>
  <c r="Y44" i="60"/>
  <c r="AW29" i="60"/>
  <c r="BA29" i="60" s="1"/>
  <c r="AV29" i="60"/>
  <c r="AZ29" i="60" s="1"/>
  <c r="AU61" i="60"/>
  <c r="AY61" i="60" s="1"/>
  <c r="AV61" i="60"/>
  <c r="AN61" i="60"/>
  <c r="AW61" i="60"/>
  <c r="V75" i="60"/>
  <c r="AV45" i="60"/>
  <c r="AZ45" i="60" s="1"/>
  <c r="AN45" i="60"/>
  <c r="Y45" i="60"/>
  <c r="AW45" i="60"/>
  <c r="BA45" i="60" s="1"/>
  <c r="AV33" i="60"/>
  <c r="AN33" i="60"/>
  <c r="AW33" i="60"/>
  <c r="BK44" i="60"/>
  <c r="BK50" i="60"/>
  <c r="AV26" i="60"/>
  <c r="AZ26" i="60" s="1"/>
  <c r="AW26" i="60"/>
  <c r="BA26" i="60" s="1"/>
  <c r="AV58" i="60"/>
  <c r="AW58" i="60"/>
  <c r="AV54" i="60"/>
  <c r="AN54" i="60"/>
  <c r="Y54" i="60"/>
  <c r="AW54" i="60"/>
  <c r="AU50" i="60"/>
  <c r="V74" i="60"/>
  <c r="AD58" i="60" s="1"/>
  <c r="AW38" i="60"/>
  <c r="AV38" i="60"/>
  <c r="AW34" i="60"/>
  <c r="BA34" i="60" s="1"/>
  <c r="AV34" i="60"/>
  <c r="AZ34" i="60" s="1"/>
  <c r="AN34" i="60"/>
  <c r="Y34" i="60"/>
  <c r="AU30" i="60"/>
  <c r="AY30" i="60" s="1"/>
  <c r="AU27" i="60"/>
  <c r="AY27" i="60" s="1"/>
  <c r="AV59" i="60"/>
  <c r="AZ59" i="60" s="1"/>
  <c r="AW59" i="60"/>
  <c r="BA59" i="60" s="1"/>
  <c r="AU35" i="60"/>
  <c r="AY35" i="60" s="1"/>
  <c r="AV31" i="60"/>
  <c r="AZ31" i="60" s="1"/>
  <c r="AW31" i="60"/>
  <c r="BA31" i="60" s="1"/>
  <c r="AL28" i="1"/>
  <c r="AP28" i="1" s="1"/>
  <c r="E28" i="24"/>
  <c r="AK28" i="1"/>
  <c r="BK46" i="60"/>
  <c r="BK52" i="60"/>
  <c r="AY28" i="60"/>
  <c r="BB28" i="60" s="1"/>
  <c r="BD28" i="60" s="1"/>
  <c r="AV60" i="60"/>
  <c r="AN60" i="60"/>
  <c r="AW60" i="60"/>
  <c r="AD56" i="60"/>
  <c r="AW56" i="60"/>
  <c r="AV56" i="60"/>
  <c r="AZ56" i="60" s="1"/>
  <c r="Y56" i="60"/>
  <c r="AY52" i="60"/>
  <c r="AV48" i="60"/>
  <c r="Y48" i="60"/>
  <c r="AW48" i="60"/>
  <c r="AY44" i="60"/>
  <c r="AW40" i="60"/>
  <c r="BA40" i="60" s="1"/>
  <c r="AV40" i="60"/>
  <c r="AZ40" i="60" s="1"/>
  <c r="AU36" i="60"/>
  <c r="AY36" i="60" s="1"/>
  <c r="AV36" i="60"/>
  <c r="AZ36" i="60" s="1"/>
  <c r="AN36" i="60"/>
  <c r="AW36" i="60"/>
  <c r="AU32" i="60"/>
  <c r="AY32" i="60" s="1"/>
  <c r="AV32" i="60"/>
  <c r="AN32" i="60"/>
  <c r="AW32" i="60"/>
  <c r="AY29" i="60"/>
  <c r="AU57" i="60"/>
  <c r="AY57" i="60" s="1"/>
  <c r="AV57" i="60"/>
  <c r="AZ57" i="60" s="1"/>
  <c r="AW57" i="60"/>
  <c r="AU53" i="60"/>
  <c r="AY54" i="60" s="1"/>
  <c r="AV53" i="60"/>
  <c r="AZ53" i="60" s="1"/>
  <c r="Y53" i="60"/>
  <c r="AW53" i="60"/>
  <c r="BA53" i="60" s="1"/>
  <c r="AU49" i="60"/>
  <c r="AY49" i="60" s="1"/>
  <c r="AV49" i="60"/>
  <c r="AN49" i="60"/>
  <c r="Y49" i="60"/>
  <c r="AW49" i="60"/>
  <c r="BA49" i="60" s="1"/>
  <c r="AY46" i="60"/>
  <c r="AY45" i="60"/>
  <c r="BB45" i="60" s="1"/>
  <c r="BD45" i="60" s="1"/>
  <c r="AD41" i="60"/>
  <c r="AV41" i="60"/>
  <c r="AZ41" i="60" s="1"/>
  <c r="Y41" i="60"/>
  <c r="AW41" i="60"/>
  <c r="BA41" i="60" s="1"/>
  <c r="AV37" i="60"/>
  <c r="AZ37" i="60" s="1"/>
  <c r="AW37" i="60"/>
  <c r="AD33" i="60"/>
  <c r="BK48" i="60"/>
  <c r="BK55" i="60"/>
  <c r="BS58" i="60"/>
  <c r="Y75" i="60"/>
  <c r="AV58" i="29"/>
  <c r="J58" i="32"/>
  <c r="O58" i="32" s="1"/>
  <c r="O120" i="32" s="1"/>
  <c r="N58" i="29"/>
  <c r="AW58" i="29"/>
  <c r="AZ58" i="29" s="1"/>
  <c r="L19" i="32"/>
  <c r="BF19" i="32" s="1"/>
  <c r="BD35" i="26"/>
  <c r="BH36" i="26" s="1"/>
  <c r="BB35" i="26"/>
  <c r="BF36" i="26" s="1"/>
  <c r="Q35" i="26"/>
  <c r="H35" i="29"/>
  <c r="X35" i="26"/>
  <c r="BG51" i="24"/>
  <c r="I51" i="32"/>
  <c r="Q36" i="34"/>
  <c r="Y29" i="33"/>
  <c r="Y35" i="33"/>
  <c r="F37" i="32"/>
  <c r="P37" i="32" s="1"/>
  <c r="P99" i="32" s="1"/>
  <c r="F33" i="32"/>
  <c r="P33" i="32" s="1"/>
  <c r="P95" i="32" s="1"/>
  <c r="AX57" i="1"/>
  <c r="BC52" i="24"/>
  <c r="V50" i="1"/>
  <c r="Y50" i="1" s="1"/>
  <c r="V61" i="29"/>
  <c r="P294" i="36" s="1"/>
  <c r="V54" i="29"/>
  <c r="P287" i="36" s="1"/>
  <c r="AI47" i="33"/>
  <c r="BC53" i="24"/>
  <c r="V44" i="29"/>
  <c r="V59" i="29"/>
  <c r="P292" i="36" s="1"/>
  <c r="AY59" i="29"/>
  <c r="AZ49" i="34"/>
  <c r="X38" i="1"/>
  <c r="BO16" i="1"/>
  <c r="BO17" i="1" s="1"/>
  <c r="BO18" i="1" s="1"/>
  <c r="BO19" i="1" s="1"/>
  <c r="BO20" i="1" s="1"/>
  <c r="BO21" i="1" s="1"/>
  <c r="BO22" i="1" s="1"/>
  <c r="BO23" i="1" s="1"/>
  <c r="BQ59" i="60"/>
  <c r="BC35" i="26"/>
  <c r="BG36" i="26" s="1"/>
  <c r="BK37" i="60"/>
  <c r="O62" i="60"/>
  <c r="BO62" i="60" s="1"/>
  <c r="BS34" i="60"/>
  <c r="BK33" i="60"/>
  <c r="BK34" i="60"/>
  <c r="AI61" i="60"/>
  <c r="Y61" i="60"/>
  <c r="BN61" i="60"/>
  <c r="BR61" i="60" s="1"/>
  <c r="BM61" i="60"/>
  <c r="BQ61" i="60" s="1"/>
  <c r="BN36" i="60"/>
  <c r="BR36" i="60" s="1"/>
  <c r="BM36" i="60"/>
  <c r="BQ36" i="60" s="1"/>
  <c r="AI36" i="60"/>
  <c r="Y36" i="60"/>
  <c r="BO36" i="60"/>
  <c r="BS36" i="60" s="1"/>
  <c r="BR60" i="60"/>
  <c r="BQ40" i="60"/>
  <c r="BQ41" i="60"/>
  <c r="BC38" i="1"/>
  <c r="BB38" i="1"/>
  <c r="BD38" i="1"/>
  <c r="J38" i="24"/>
  <c r="O38" i="24" s="1"/>
  <c r="W64" i="60"/>
  <c r="AE64" i="60" s="1"/>
  <c r="BJ64" i="60" s="1"/>
  <c r="E65" i="1"/>
  <c r="E65" i="60"/>
  <c r="BC36" i="1"/>
  <c r="BD36" i="1"/>
  <c r="BB36" i="1"/>
  <c r="J36" i="24"/>
  <c r="O36" i="24" s="1"/>
  <c r="BR37" i="60"/>
  <c r="BM33" i="60"/>
  <c r="Y33" i="60"/>
  <c r="AI33" i="60"/>
  <c r="BN33" i="60"/>
  <c r="BO38" i="60"/>
  <c r="BS38" i="60" s="1"/>
  <c r="AI38" i="60"/>
  <c r="BM38" i="60"/>
  <c r="BQ38" i="60" s="1"/>
  <c r="BN38" i="60"/>
  <c r="BR38" i="60" s="1"/>
  <c r="Y38" i="60"/>
  <c r="BO61" i="60"/>
  <c r="BS61" i="60" s="1"/>
  <c r="BN32" i="60"/>
  <c r="BR32" i="60" s="1"/>
  <c r="BM32" i="60"/>
  <c r="BQ32" i="60" s="1"/>
  <c r="AI32" i="60"/>
  <c r="Y32" i="60"/>
  <c r="BO32" i="60"/>
  <c r="BS32" i="60" s="1"/>
  <c r="BQ60" i="60"/>
  <c r="BQ39" i="60"/>
  <c r="BS39" i="60"/>
  <c r="BR41" i="60"/>
  <c r="BR40" i="60"/>
  <c r="BS40" i="60"/>
  <c r="BF33" i="24"/>
  <c r="BE33" i="24"/>
  <c r="BG33" i="24"/>
  <c r="L35" i="24"/>
  <c r="BG35" i="24" s="1"/>
  <c r="BE12" i="10"/>
  <c r="BF12" i="10" s="1"/>
  <c r="BE23" i="25"/>
  <c r="BF23" i="25"/>
  <c r="AJ62" i="10"/>
  <c r="AK33" i="10"/>
  <c r="AM33" i="10" s="1"/>
  <c r="AI50" i="33"/>
  <c r="AJ50" i="33" s="1"/>
  <c r="BA14" i="10"/>
  <c r="AK34" i="10"/>
  <c r="AM34" i="10" s="1"/>
  <c r="AP50" i="33"/>
  <c r="BC10" i="25"/>
  <c r="BC11" i="25"/>
  <c r="BE10" i="25"/>
  <c r="BE11" i="25"/>
  <c r="BG10" i="25"/>
  <c r="BG11" i="25"/>
  <c r="BD10" i="25"/>
  <c r="BD11" i="25"/>
  <c r="BF10" i="25"/>
  <c r="BF11" i="25"/>
  <c r="F11" i="30"/>
  <c r="AI11" i="30" s="1"/>
  <c r="AL12" i="30" s="1"/>
  <c r="BA50" i="10"/>
  <c r="BE50" i="10"/>
  <c r="BZ38" i="25"/>
  <c r="CF39" i="25" s="1"/>
  <c r="BW38" i="25"/>
  <c r="BY38" i="25"/>
  <c r="CE39" i="25" s="1"/>
  <c r="BX38" i="25"/>
  <c r="CD39" i="25" s="1"/>
  <c r="I39" i="30"/>
  <c r="AJ61" i="33"/>
  <c r="AL61" i="33" s="1"/>
  <c r="AZ58" i="1"/>
  <c r="BB60" i="1"/>
  <c r="BF60" i="1" s="1"/>
  <c r="BC60" i="1"/>
  <c r="BG60" i="1" s="1"/>
  <c r="J60" i="24"/>
  <c r="O60" i="24" s="1"/>
  <c r="BD60" i="1"/>
  <c r="AM60" i="13"/>
  <c r="N63" i="60"/>
  <c r="AH59" i="19"/>
  <c r="K62" i="1"/>
  <c r="P61" i="1"/>
  <c r="U61" i="1" s="1"/>
  <c r="L61" i="1"/>
  <c r="V43" i="1"/>
  <c r="Y43" i="1" s="1"/>
  <c r="V49" i="1"/>
  <c r="Y49" i="1" s="1"/>
  <c r="AX60" i="1"/>
  <c r="BC39" i="24"/>
  <c r="V57" i="29"/>
  <c r="P290" i="36" s="1"/>
  <c r="V64" i="29"/>
  <c r="P297" i="36" s="1"/>
  <c r="AZ44" i="29"/>
  <c r="BF33" i="1"/>
  <c r="X31" i="26"/>
  <c r="BD31" i="26"/>
  <c r="BH31" i="26" s="1"/>
  <c r="H31" i="29"/>
  <c r="BB31" i="26"/>
  <c r="BF31" i="26" s="1"/>
  <c r="BN31" i="26" s="1"/>
  <c r="BO31" i="26" s="1"/>
  <c r="Q31" i="26"/>
  <c r="BC31" i="26"/>
  <c r="BG31" i="26" s="1"/>
  <c r="BG35" i="26"/>
  <c r="BG34" i="26"/>
  <c r="BD34" i="26"/>
  <c r="Q34" i="26"/>
  <c r="H34" i="29"/>
  <c r="BB34" i="26"/>
  <c r="X34" i="26"/>
  <c r="BG33" i="26"/>
  <c r="H32" i="29"/>
  <c r="BD32" i="26"/>
  <c r="Q32" i="26"/>
  <c r="BB32" i="26"/>
  <c r="X32" i="26"/>
  <c r="M31" i="34"/>
  <c r="BC31" i="34"/>
  <c r="I31" i="24"/>
  <c r="BB31" i="34"/>
  <c r="BF31" i="34" s="1"/>
  <c r="BD31" i="34"/>
  <c r="C39" i="13"/>
  <c r="J41" i="34" s="1"/>
  <c r="AC40" i="13"/>
  <c r="L32" i="34"/>
  <c r="N32" i="34"/>
  <c r="BB32" i="34"/>
  <c r="N40" i="34"/>
  <c r="L40" i="34"/>
  <c r="BB40" i="34" s="1"/>
  <c r="N43" i="34"/>
  <c r="N47" i="34"/>
  <c r="S47" i="34" s="1"/>
  <c r="N50" i="34"/>
  <c r="BF66" i="34"/>
  <c r="BF67" i="34"/>
  <c r="C50" i="13"/>
  <c r="J52" i="34" s="1"/>
  <c r="AC51" i="13"/>
  <c r="AC77" i="13"/>
  <c r="I50" i="59" s="1"/>
  <c r="C44" i="13"/>
  <c r="J46" i="34" s="1"/>
  <c r="AC45" i="13"/>
  <c r="L37" i="34"/>
  <c r="N37" i="34"/>
  <c r="S37" i="34" s="1"/>
  <c r="N42" i="34"/>
  <c r="L39" i="34"/>
  <c r="N39" i="34"/>
  <c r="N49" i="34"/>
  <c r="S49" i="34" s="1"/>
  <c r="N48" i="34"/>
  <c r="L45" i="34"/>
  <c r="BC45" i="34" s="1"/>
  <c r="N45" i="34"/>
  <c r="BB45" i="34"/>
  <c r="L31" i="24"/>
  <c r="N38" i="34"/>
  <c r="L38" i="34"/>
  <c r="BB38" i="34" s="1"/>
  <c r="L44" i="34"/>
  <c r="N44" i="34"/>
  <c r="O40" i="34"/>
  <c r="BD34" i="34"/>
  <c r="BC34" i="34"/>
  <c r="BB34" i="34"/>
  <c r="I34" i="24"/>
  <c r="N34" i="24" s="1"/>
  <c r="Q34" i="34"/>
  <c r="BC36" i="34"/>
  <c r="BG36" i="34" s="1"/>
  <c r="I36" i="24"/>
  <c r="L36" i="24" s="1"/>
  <c r="BD36" i="34"/>
  <c r="BH36" i="34" s="1"/>
  <c r="I56" i="24"/>
  <c r="L56" i="24" s="1"/>
  <c r="BB56" i="34"/>
  <c r="Q56" i="34"/>
  <c r="BC56" i="34"/>
  <c r="BD56" i="34"/>
  <c r="Z51" i="13"/>
  <c r="B50" i="13"/>
  <c r="I52" i="34" s="1"/>
  <c r="AC55" i="13"/>
  <c r="X61" i="13"/>
  <c r="X62" i="13" s="1"/>
  <c r="X63" i="13" s="1"/>
  <c r="X64" i="13" s="1"/>
  <c r="X65" i="13" s="1"/>
  <c r="Z55" i="13"/>
  <c r="O45" i="34"/>
  <c r="BC65" i="34"/>
  <c r="I65" i="24"/>
  <c r="BD65" i="34"/>
  <c r="I30" i="24"/>
  <c r="BC30" i="34"/>
  <c r="BG30" i="34" s="1"/>
  <c r="BD30" i="34"/>
  <c r="BH30" i="34" s="1"/>
  <c r="AP51" i="33"/>
  <c r="AF29" i="33"/>
  <c r="AI29" i="33" s="1"/>
  <c r="F31" i="32"/>
  <c r="P31" i="32" s="1"/>
  <c r="P93" i="32" s="1"/>
  <c r="AE31" i="33"/>
  <c r="AH32" i="33" s="1"/>
  <c r="Y31" i="33"/>
  <c r="AP48" i="33"/>
  <c r="AZ44" i="34"/>
  <c r="AX63" i="1"/>
  <c r="AX38" i="1"/>
  <c r="AX50" i="1"/>
  <c r="AZ40" i="34"/>
  <c r="AZ38" i="34"/>
  <c r="AZ34" i="34"/>
  <c r="AU71" i="26"/>
  <c r="AZ36" i="1"/>
  <c r="AQ34" i="26"/>
  <c r="AT34" i="26" s="1"/>
  <c r="AO33" i="34"/>
  <c r="G60" i="24"/>
  <c r="AN65" i="34"/>
  <c r="AO43" i="34"/>
  <c r="BD23" i="25"/>
  <c r="AP49" i="34"/>
  <c r="AN41" i="34"/>
  <c r="AP40" i="33"/>
  <c r="V54" i="1"/>
  <c r="Y54" i="1" s="1"/>
  <c r="AX46" i="1"/>
  <c r="AM23" i="10"/>
  <c r="AN23" i="10"/>
  <c r="BG22" i="25"/>
  <c r="BG21" i="25"/>
  <c r="AK22" i="10"/>
  <c r="AN22" i="10" s="1"/>
  <c r="AZ34" i="1"/>
  <c r="AP59" i="34"/>
  <c r="AT57" i="26"/>
  <c r="AU57" i="26"/>
  <c r="AS57" i="26"/>
  <c r="E22" i="30"/>
  <c r="F22" i="30" s="1"/>
  <c r="AJ22" i="30" s="1"/>
  <c r="AW21" i="25"/>
  <c r="AX21" i="25"/>
  <c r="AZ21" i="25"/>
  <c r="AY21" i="25"/>
  <c r="BE39" i="10"/>
  <c r="G36" i="26"/>
  <c r="AK36" i="26" s="1"/>
  <c r="AO36" i="26" s="1"/>
  <c r="O36" i="26"/>
  <c r="P37" i="26"/>
  <c r="BB35" i="19"/>
  <c r="J35" i="14" s="1"/>
  <c r="K35" i="14"/>
  <c r="F38" i="26" s="1"/>
  <c r="BC36" i="19"/>
  <c r="E37" i="26"/>
  <c r="L34" i="14"/>
  <c r="AK71" i="10"/>
  <c r="AN71" i="10" s="1"/>
  <c r="BA15" i="10"/>
  <c r="AT59" i="26"/>
  <c r="AX40" i="1"/>
  <c r="BC46" i="24"/>
  <c r="BC42" i="24"/>
  <c r="BH34" i="1"/>
  <c r="AO44" i="1"/>
  <c r="AO40" i="1"/>
  <c r="AQ40" i="1" s="1"/>
  <c r="AS40" i="1" s="1"/>
  <c r="D26" i="32"/>
  <c r="AM26" i="24"/>
  <c r="AQ26" i="24" s="1"/>
  <c r="AT26" i="24" s="1"/>
  <c r="AV26" i="24" s="1"/>
  <c r="AO61" i="1"/>
  <c r="AO56" i="1"/>
  <c r="R17" i="10"/>
  <c r="U17" i="10" s="1"/>
  <c r="BE58" i="10"/>
  <c r="AZ72" i="34"/>
  <c r="AJ34" i="33"/>
  <c r="AL34" i="33" s="1"/>
  <c r="AP52" i="33"/>
  <c r="AI58" i="33"/>
  <c r="AJ58" i="33" s="1"/>
  <c r="AL58" i="33" s="1"/>
  <c r="AP59" i="33"/>
  <c r="AP43" i="33"/>
  <c r="AQ49" i="34"/>
  <c r="AS49" i="34" s="1"/>
  <c r="AQ33" i="26"/>
  <c r="AT33" i="26" s="1"/>
  <c r="AO59" i="34"/>
  <c r="AR62" i="7"/>
  <c r="AU59" i="26"/>
  <c r="AQ72" i="26"/>
  <c r="AS72" i="26" s="1"/>
  <c r="V33" i="1"/>
  <c r="Y33" i="1" s="1"/>
  <c r="V47" i="1"/>
  <c r="Y47" i="1" s="1"/>
  <c r="AX62" i="1"/>
  <c r="AJ68" i="33"/>
  <c r="AL68" i="33" s="1"/>
  <c r="V46" i="1"/>
  <c r="Y46" i="1" s="1"/>
  <c r="AP42" i="33"/>
  <c r="AP49" i="33"/>
  <c r="AH40" i="33"/>
  <c r="AZ48" i="34"/>
  <c r="AX66" i="1"/>
  <c r="AX70" i="1"/>
  <c r="AX35" i="1"/>
  <c r="O33" i="24"/>
  <c r="AX42" i="1"/>
  <c r="AX49" i="1"/>
  <c r="AI39" i="33"/>
  <c r="AJ39" i="33" s="1"/>
  <c r="AL39" i="33" s="1"/>
  <c r="V43" i="29"/>
  <c r="V72" i="29"/>
  <c r="AX53" i="1"/>
  <c r="BC72" i="24"/>
  <c r="S72" i="34"/>
  <c r="AC55" i="34"/>
  <c r="S203" i="36" s="1"/>
  <c r="BW50" i="25"/>
  <c r="CC51" i="25" s="1"/>
  <c r="BX50" i="25"/>
  <c r="CD51" i="25" s="1"/>
  <c r="BZ50" i="25"/>
  <c r="CF51" i="25" s="1"/>
  <c r="BY50" i="25"/>
  <c r="CE51" i="25" s="1"/>
  <c r="I51" i="30"/>
  <c r="I59" i="30"/>
  <c r="BY58" i="25"/>
  <c r="CE58" i="25" s="1"/>
  <c r="BZ58" i="25"/>
  <c r="BX58" i="25"/>
  <c r="CD58" i="25" s="1"/>
  <c r="BW58" i="25"/>
  <c r="CC59" i="25" s="1"/>
  <c r="AN37" i="10"/>
  <c r="BE37" i="10" s="1"/>
  <c r="CA50" i="25"/>
  <c r="CG51" i="25" s="1"/>
  <c r="AJ70" i="33"/>
  <c r="AL70" i="33" s="1"/>
  <c r="R18" i="10"/>
  <c r="U18" i="10" s="1"/>
  <c r="R72" i="10"/>
  <c r="U72" i="10" s="1"/>
  <c r="AK72" i="10"/>
  <c r="AM72" i="10" s="1"/>
  <c r="I10" i="30"/>
  <c r="J10" i="30" s="1"/>
  <c r="BX9" i="25"/>
  <c r="CD10" i="25" s="1"/>
  <c r="BW9" i="25"/>
  <c r="CC10" i="25" s="1"/>
  <c r="BY9" i="25"/>
  <c r="CE10" i="25" s="1"/>
  <c r="BZ9" i="25"/>
  <c r="CF10" i="25" s="1"/>
  <c r="AN41" i="10"/>
  <c r="BE41" i="10" s="1"/>
  <c r="AN35" i="10"/>
  <c r="BE51" i="10"/>
  <c r="R20" i="10"/>
  <c r="U20" i="10" s="1"/>
  <c r="BA58" i="10"/>
  <c r="BF15" i="7"/>
  <c r="BF16" i="7" s="1"/>
  <c r="BF17" i="7" s="1"/>
  <c r="BF18" i="7" s="1"/>
  <c r="BF19" i="7" s="1"/>
  <c r="BF20" i="7" s="1"/>
  <c r="BF21" i="7" s="1"/>
  <c r="BF22" i="7" s="1"/>
  <c r="BF23" i="7" s="1"/>
  <c r="BF24" i="7" s="1"/>
  <c r="BF25" i="7" s="1"/>
  <c r="BF26" i="7" s="1"/>
  <c r="T71" i="25"/>
  <c r="AA71" i="25" s="1"/>
  <c r="I71" i="25"/>
  <c r="CA9" i="25"/>
  <c r="CG10" i="25" s="1"/>
  <c r="AN40" i="10"/>
  <c r="AM40" i="10"/>
  <c r="BR71" i="25"/>
  <c r="O397" i="36"/>
  <c r="B45" i="32"/>
  <c r="AI22" i="30"/>
  <c r="AL23" i="30" s="1"/>
  <c r="BO29" i="34"/>
  <c r="F10" i="30"/>
  <c r="AJ10" i="30" s="1"/>
  <c r="AI13" i="30"/>
  <c r="AJ13" i="30"/>
  <c r="AT17" i="32"/>
  <c r="AT16" i="32"/>
  <c r="AS17" i="32"/>
  <c r="AU20" i="32"/>
  <c r="AY20" i="32" s="1"/>
  <c r="AO21" i="32"/>
  <c r="D21" i="30"/>
  <c r="F21" i="30" s="1"/>
  <c r="AP21" i="32"/>
  <c r="AW20" i="32"/>
  <c r="AU11" i="32"/>
  <c r="AW11" i="32" s="1"/>
  <c r="AT14" i="32"/>
  <c r="AT13" i="32"/>
  <c r="AS13" i="32"/>
  <c r="AU13" i="32" s="1"/>
  <c r="AS14" i="32"/>
  <c r="AR21" i="32"/>
  <c r="AR22" i="32"/>
  <c r="AX72" i="1"/>
  <c r="BA21" i="33"/>
  <c r="AY54" i="29"/>
  <c r="AJ16" i="30"/>
  <c r="N52" i="29"/>
  <c r="DE37" i="25"/>
  <c r="DA38" i="25"/>
  <c r="BB24" i="7"/>
  <c r="BB25" i="7" s="1"/>
  <c r="BB26" i="7" s="1"/>
  <c r="R46" i="10"/>
  <c r="U46" i="10" s="1"/>
  <c r="R57" i="10"/>
  <c r="U57" i="10" s="1"/>
  <c r="R49" i="10"/>
  <c r="U49" i="10" s="1"/>
  <c r="R23" i="10"/>
  <c r="U23" i="10" s="1"/>
  <c r="R51" i="10"/>
  <c r="U51" i="10" s="1"/>
  <c r="R36" i="10"/>
  <c r="U36" i="10" s="1"/>
  <c r="R35" i="10"/>
  <c r="U35" i="10" s="1"/>
  <c r="R24" i="10"/>
  <c r="U24" i="10" s="1"/>
  <c r="R70" i="10"/>
  <c r="U70" i="10" s="1"/>
  <c r="R68" i="10"/>
  <c r="U68" i="10" s="1"/>
  <c r="R42" i="10"/>
  <c r="U42" i="10" s="1"/>
  <c r="R58" i="10"/>
  <c r="U58" i="10" s="1"/>
  <c r="R22" i="10"/>
  <c r="U22" i="10" s="1"/>
  <c r="R11" i="10"/>
  <c r="U11" i="10" s="1"/>
  <c r="R52" i="10"/>
  <c r="U52" i="10" s="1"/>
  <c r="R64" i="10"/>
  <c r="U64" i="10" s="1"/>
  <c r="R16" i="10"/>
  <c r="U16" i="10" s="1"/>
  <c r="R37" i="10"/>
  <c r="U37" i="10" s="1"/>
  <c r="R50" i="10"/>
  <c r="U50" i="10" s="1"/>
  <c r="R38" i="10"/>
  <c r="U38" i="10" s="1"/>
  <c r="R32" i="10"/>
  <c r="U32" i="10" s="1"/>
  <c r="R39" i="10"/>
  <c r="U39" i="10" s="1"/>
  <c r="R40" i="10"/>
  <c r="U40" i="10" s="1"/>
  <c r="R30" i="10"/>
  <c r="U30" i="10" s="1"/>
  <c r="R34" i="10"/>
  <c r="U34" i="10" s="1"/>
  <c r="R10" i="10"/>
  <c r="R67" i="10"/>
  <c r="U67" i="10" s="1"/>
  <c r="R15" i="10"/>
  <c r="U15" i="10" s="1"/>
  <c r="R29" i="10"/>
  <c r="U29" i="10" s="1"/>
  <c r="R41" i="10"/>
  <c r="U41" i="10" s="1"/>
  <c r="R53" i="10"/>
  <c r="U53" i="10" s="1"/>
  <c r="R14" i="10"/>
  <c r="U14" i="10" s="1"/>
  <c r="R71" i="10"/>
  <c r="U71" i="10" s="1"/>
  <c r="R45" i="10"/>
  <c r="U45" i="10" s="1"/>
  <c r="R25" i="10"/>
  <c r="U25" i="10" s="1"/>
  <c r="R43" i="10"/>
  <c r="U43" i="10" s="1"/>
  <c r="R27" i="10"/>
  <c r="U27" i="10" s="1"/>
  <c r="R47" i="10"/>
  <c r="U47" i="10" s="1"/>
  <c r="R12" i="10"/>
  <c r="U12" i="10" s="1"/>
  <c r="CG17" i="25"/>
  <c r="R26" i="10"/>
  <c r="U26" i="10" s="1"/>
  <c r="BW33" i="25"/>
  <c r="CC34" i="25" s="1"/>
  <c r="BX33" i="25"/>
  <c r="CD34" i="25" s="1"/>
  <c r="I34" i="30"/>
  <c r="BZ33" i="25"/>
  <c r="CF34" i="25" s="1"/>
  <c r="BY33" i="25"/>
  <c r="CE34" i="25" s="1"/>
  <c r="CA45" i="25"/>
  <c r="CG46" i="25" s="1"/>
  <c r="BY45" i="25"/>
  <c r="BX45" i="25"/>
  <c r="BZ45" i="25"/>
  <c r="BW45" i="25"/>
  <c r="I46" i="30"/>
  <c r="P73" i="25"/>
  <c r="AK71" i="25" s="1"/>
  <c r="R66" i="10"/>
  <c r="U66" i="10" s="1"/>
  <c r="R31" i="10"/>
  <c r="U31" i="10" s="1"/>
  <c r="R60" i="10"/>
  <c r="U60" i="10" s="1"/>
  <c r="R61" i="10"/>
  <c r="U61" i="10" s="1"/>
  <c r="BX25" i="25"/>
  <c r="BZ25" i="25"/>
  <c r="BW25" i="25"/>
  <c r="BY25" i="25"/>
  <c r="I26" i="30"/>
  <c r="W25" i="25"/>
  <c r="CA19" i="25"/>
  <c r="CG19" i="25" s="1"/>
  <c r="BX19" i="25"/>
  <c r="CD19" i="25" s="1"/>
  <c r="BW19" i="25"/>
  <c r="CC19" i="25" s="1"/>
  <c r="BY19" i="25"/>
  <c r="CE19" i="25" s="1"/>
  <c r="BZ19" i="25"/>
  <c r="CF19" i="25" s="1"/>
  <c r="I20" i="30"/>
  <c r="W19" i="25"/>
  <c r="AM27" i="10"/>
  <c r="AN27" i="10"/>
  <c r="R59" i="10"/>
  <c r="U59" i="10" s="1"/>
  <c r="R48" i="10"/>
  <c r="U48" i="10" s="1"/>
  <c r="R28" i="10"/>
  <c r="U28" i="10" s="1"/>
  <c r="R33" i="10"/>
  <c r="U33" i="10" s="1"/>
  <c r="BZ16" i="25"/>
  <c r="CF16" i="25" s="1"/>
  <c r="BX16" i="25"/>
  <c r="CD16" i="25" s="1"/>
  <c r="I17" i="30"/>
  <c r="BW16" i="25"/>
  <c r="CC16" i="25" s="1"/>
  <c r="BY16" i="25"/>
  <c r="CE16" i="25" s="1"/>
  <c r="W16" i="25"/>
  <c r="R19" i="10"/>
  <c r="U19" i="10" s="1"/>
  <c r="CA20" i="25"/>
  <c r="CG20" i="25" s="1"/>
  <c r="BX20" i="25"/>
  <c r="CD20" i="25" s="1"/>
  <c r="BZ20" i="25"/>
  <c r="CF20" i="25" s="1"/>
  <c r="BW20" i="25"/>
  <c r="BY20" i="25"/>
  <c r="I21" i="30"/>
  <c r="W20" i="25"/>
  <c r="R54" i="10"/>
  <c r="U54" i="10" s="1"/>
  <c r="V101" i="25"/>
  <c r="V73" i="25"/>
  <c r="AC70" i="25" s="1"/>
  <c r="N20" i="53"/>
  <c r="F21" i="53"/>
  <c r="G20" i="53" s="1"/>
  <c r="R65" i="10"/>
  <c r="U65" i="10" s="1"/>
  <c r="R69" i="10"/>
  <c r="U69" i="10" s="1"/>
  <c r="R13" i="10"/>
  <c r="U13" i="10" s="1"/>
  <c r="R44" i="10"/>
  <c r="U44" i="10" s="1"/>
  <c r="R55" i="10"/>
  <c r="U55" i="10" s="1"/>
  <c r="R56" i="10"/>
  <c r="U56" i="10" s="1"/>
  <c r="V37" i="1"/>
  <c r="Y37" i="1" s="1"/>
  <c r="BJ11" i="24"/>
  <c r="BJ12" i="24"/>
  <c r="AZ46" i="34"/>
  <c r="BC55" i="24"/>
  <c r="BC61" i="24"/>
  <c r="BC66" i="24"/>
  <c r="BA27" i="7"/>
  <c r="BE27" i="7"/>
  <c r="S71" i="34"/>
  <c r="AS53" i="26"/>
  <c r="AQ56" i="1"/>
  <c r="AS56" i="1" s="1"/>
  <c r="AQ48" i="1"/>
  <c r="AS48" i="1" s="1"/>
  <c r="AP45" i="1"/>
  <c r="AP37" i="1"/>
  <c r="AO33" i="1"/>
  <c r="AP58" i="1"/>
  <c r="AP54" i="1"/>
  <c r="AP50" i="1"/>
  <c r="AU56" i="1"/>
  <c r="AT48" i="1"/>
  <c r="AO46" i="1"/>
  <c r="AO42" i="1"/>
  <c r="AO38" i="1"/>
  <c r="AO34" i="1"/>
  <c r="AO27" i="1"/>
  <c r="AQ27" i="1" s="1"/>
  <c r="AO28" i="1"/>
  <c r="AQ28" i="1" s="1"/>
  <c r="AT28" i="1" s="1"/>
  <c r="AO59" i="1"/>
  <c r="AO55" i="1"/>
  <c r="AP51" i="1"/>
  <c r="AO47" i="1"/>
  <c r="AO43" i="1"/>
  <c r="AP43" i="1"/>
  <c r="AO39" i="1"/>
  <c r="AO35" i="1"/>
  <c r="AQ61" i="1"/>
  <c r="AS61" i="1" s="1"/>
  <c r="AQ57" i="1"/>
  <c r="AS57" i="1" s="1"/>
  <c r="BN70" i="26"/>
  <c r="AQ60" i="1"/>
  <c r="AS60" i="1" s="1"/>
  <c r="AQ52" i="1"/>
  <c r="AS52" i="1" s="1"/>
  <c r="AO45" i="1"/>
  <c r="AO41" i="1"/>
  <c r="AP41" i="1"/>
  <c r="AO37" i="1"/>
  <c r="AP33" i="1"/>
  <c r="AO58" i="1"/>
  <c r="AO54" i="1"/>
  <c r="AO50" i="1"/>
  <c r="AU48" i="1"/>
  <c r="AP46" i="1"/>
  <c r="AP42" i="1"/>
  <c r="AP38" i="1"/>
  <c r="AP34" i="1"/>
  <c r="AP59" i="1"/>
  <c r="AP55" i="1"/>
  <c r="AO51" i="1"/>
  <c r="AP47" i="1"/>
  <c r="AP39" i="1"/>
  <c r="AP35" i="1"/>
  <c r="AQ44" i="1"/>
  <c r="AS44" i="1" s="1"/>
  <c r="AQ36" i="1"/>
  <c r="AS36" i="1" s="1"/>
  <c r="AQ53" i="1"/>
  <c r="AS53" i="1" s="1"/>
  <c r="AQ49" i="1"/>
  <c r="AS49" i="1" s="1"/>
  <c r="CE53" i="25"/>
  <c r="R61" i="19"/>
  <c r="R62" i="19"/>
  <c r="C62" i="18" s="1"/>
  <c r="E65" i="7" s="1"/>
  <c r="M65" i="7" s="1"/>
  <c r="Q65" i="7" s="1"/>
  <c r="BE67" i="10"/>
  <c r="CG22" i="25"/>
  <c r="CG21" i="25"/>
  <c r="AN66" i="10"/>
  <c r="AX17" i="25"/>
  <c r="AZ17" i="25"/>
  <c r="E18" i="30"/>
  <c r="F18" i="30" s="1"/>
  <c r="AJ18" i="30" s="1"/>
  <c r="AM19" i="30" s="1"/>
  <c r="W17" i="25"/>
  <c r="AY17" i="25"/>
  <c r="AW17" i="25"/>
  <c r="BA17" i="25"/>
  <c r="AN18" i="10"/>
  <c r="BE18" i="10" s="1"/>
  <c r="BA26" i="10"/>
  <c r="AK19" i="10"/>
  <c r="AM19" i="10" s="1"/>
  <c r="BZ21" i="25"/>
  <c r="I22" i="30"/>
  <c r="BW21" i="25"/>
  <c r="BX21" i="25"/>
  <c r="BY21" i="25"/>
  <c r="W21" i="25"/>
  <c r="BA64" i="10"/>
  <c r="AZ47" i="1"/>
  <c r="AY65" i="29"/>
  <c r="T56" i="19"/>
  <c r="S56" i="19"/>
  <c r="O65" i="1"/>
  <c r="T65" i="1" s="1"/>
  <c r="AY65" i="1" s="1"/>
  <c r="AJ64" i="19"/>
  <c r="M69" i="60"/>
  <c r="J68" i="1"/>
  <c r="BJ16" i="24"/>
  <c r="BJ15" i="24"/>
  <c r="BC58" i="24"/>
  <c r="AZ56" i="34"/>
  <c r="BJ13" i="24"/>
  <c r="BJ14" i="24"/>
  <c r="AZ38" i="1"/>
  <c r="AZ42" i="1"/>
  <c r="AZ60" i="1"/>
  <c r="AZ57" i="1"/>
  <c r="V36" i="1"/>
  <c r="Y36" i="1" s="1"/>
  <c r="AX39" i="1"/>
  <c r="BN52" i="26"/>
  <c r="AX34" i="1"/>
  <c r="AZ32" i="34"/>
  <c r="AZ65" i="34"/>
  <c r="BE11" i="24"/>
  <c r="BI11" i="24" s="1"/>
  <c r="BV11" i="24" s="1"/>
  <c r="BW11" i="24" s="1"/>
  <c r="I11" i="32"/>
  <c r="BG34" i="1"/>
  <c r="BE15" i="24"/>
  <c r="BI15" i="24" s="1"/>
  <c r="BV15" i="24" s="1"/>
  <c r="I15" i="32"/>
  <c r="L15" i="32" s="1"/>
  <c r="BF34" i="1"/>
  <c r="AH66" i="33"/>
  <c r="AH67" i="33"/>
  <c r="AJ67" i="33" s="1"/>
  <c r="AM67" i="33" s="1"/>
  <c r="AI66" i="33"/>
  <c r="BO24" i="1"/>
  <c r="I13" i="32"/>
  <c r="BE13" i="24"/>
  <c r="BI14" i="24" s="1"/>
  <c r="BR25" i="24"/>
  <c r="BZ25" i="24"/>
  <c r="BR19" i="32"/>
  <c r="BZ19" i="32"/>
  <c r="BR24" i="24"/>
  <c r="BZ24" i="24"/>
  <c r="BR23" i="24"/>
  <c r="BZ23" i="24"/>
  <c r="AJ17" i="30"/>
  <c r="AV14" i="24"/>
  <c r="AW12" i="32"/>
  <c r="AU18" i="32"/>
  <c r="AW18" i="32" s="1"/>
  <c r="AV18" i="24"/>
  <c r="AV20" i="24"/>
  <c r="AV13" i="24"/>
  <c r="AY19" i="32"/>
  <c r="BR22" i="24"/>
  <c r="BZ22" i="24"/>
  <c r="BV20" i="24"/>
  <c r="BV23" i="24"/>
  <c r="AX19" i="32"/>
  <c r="AY12" i="32"/>
  <c r="AY18" i="32"/>
  <c r="BR12" i="24"/>
  <c r="BS12" i="24" s="1"/>
  <c r="BZ12" i="24"/>
  <c r="CA12" i="24" s="1"/>
  <c r="BR16" i="24"/>
  <c r="BZ16" i="24"/>
  <c r="BR17" i="24"/>
  <c r="BZ17" i="24"/>
  <c r="BR19" i="24"/>
  <c r="BZ19" i="24"/>
  <c r="AZ64" i="34"/>
  <c r="AC33" i="1"/>
  <c r="AC35" i="1"/>
  <c r="AC37" i="1"/>
  <c r="AC39" i="1"/>
  <c r="AC41" i="1"/>
  <c r="AC43" i="1"/>
  <c r="AC45" i="1"/>
  <c r="AC47" i="1"/>
  <c r="AC49" i="1"/>
  <c r="S226" i="36" s="1"/>
  <c r="AC51" i="1"/>
  <c r="S228" i="36" s="1"/>
  <c r="AC53" i="1"/>
  <c r="S230" i="36" s="1"/>
  <c r="AC55" i="1"/>
  <c r="S232" i="36" s="1"/>
  <c r="AC57" i="1"/>
  <c r="S234" i="36" s="1"/>
  <c r="AC59" i="1"/>
  <c r="AC61" i="1"/>
  <c r="S238" i="36" s="1"/>
  <c r="AC32" i="1"/>
  <c r="AC34" i="1"/>
  <c r="AC36" i="1"/>
  <c r="AC38" i="1"/>
  <c r="AC40" i="1"/>
  <c r="AC42" i="1"/>
  <c r="AC44" i="1"/>
  <c r="AC46" i="1"/>
  <c r="S223" i="36" s="1"/>
  <c r="AC48" i="1"/>
  <c r="S225" i="36" s="1"/>
  <c r="AC50" i="1"/>
  <c r="AC52" i="1"/>
  <c r="S229" i="36" s="1"/>
  <c r="AC54" i="1"/>
  <c r="AC56" i="1"/>
  <c r="S233" i="36" s="1"/>
  <c r="AC58" i="1"/>
  <c r="S235" i="36" s="1"/>
  <c r="AC60" i="1"/>
  <c r="S237" i="36" s="1"/>
  <c r="AC31" i="1"/>
  <c r="Q464" i="36"/>
  <c r="AZ43" i="1"/>
  <c r="AZ53" i="1"/>
  <c r="AZ39" i="1"/>
  <c r="AZ44" i="1"/>
  <c r="AZ45" i="1"/>
  <c r="AZ1" i="1" s="1"/>
  <c r="AZ48" i="1"/>
  <c r="AZ55" i="1"/>
  <c r="AZ46" i="1"/>
  <c r="AX71" i="1"/>
  <c r="AX68" i="1"/>
  <c r="AX47" i="1"/>
  <c r="AX69" i="1"/>
  <c r="AX41" i="1"/>
  <c r="AX55" i="1"/>
  <c r="AX56" i="1"/>
  <c r="AX61" i="1"/>
  <c r="AX51" i="1"/>
  <c r="AX64" i="1"/>
  <c r="AZ40" i="1"/>
  <c r="AZ61" i="1"/>
  <c r="AZ59" i="1"/>
  <c r="AZ41" i="1"/>
  <c r="AZ33" i="1"/>
  <c r="AZ54" i="1"/>
  <c r="AZ37" i="1"/>
  <c r="AZ49" i="1"/>
  <c r="AZ35" i="1"/>
  <c r="AZ56" i="1"/>
  <c r="AX67" i="1"/>
  <c r="AX36" i="1"/>
  <c r="AX58" i="1"/>
  <c r="AX48" i="1"/>
  <c r="AX45" i="1"/>
  <c r="AX33" i="1"/>
  <c r="AX43" i="1"/>
  <c r="AX59" i="1"/>
  <c r="AX37" i="1"/>
  <c r="AZ50" i="1"/>
  <c r="BE54" i="10"/>
  <c r="AL17" i="30"/>
  <c r="BA54" i="10"/>
  <c r="BE35" i="10"/>
  <c r="BA35" i="10"/>
  <c r="BE23" i="10"/>
  <c r="BA23" i="10"/>
  <c r="BA51" i="10"/>
  <c r="BA67" i="10"/>
  <c r="AX71" i="7"/>
  <c r="AZ41" i="34"/>
  <c r="AZ36" i="34"/>
  <c r="AZ67" i="34"/>
  <c r="AZ54" i="34"/>
  <c r="AZ61" i="34"/>
  <c r="AZ68" i="34"/>
  <c r="AM24" i="10"/>
  <c r="BE24" i="10" s="1"/>
  <c r="AS51" i="26"/>
  <c r="AU51" i="26"/>
  <c r="AT51" i="26"/>
  <c r="C61" i="18"/>
  <c r="E64" i="7" s="1"/>
  <c r="M64" i="7" s="1"/>
  <c r="Q64" i="7" s="1"/>
  <c r="AR64" i="7" s="1"/>
  <c r="AN13" i="10"/>
  <c r="BA13" i="10" s="1"/>
  <c r="BB13" i="10" s="1"/>
  <c r="AZ42" i="34"/>
  <c r="AZ35" i="34"/>
  <c r="AZ63" i="34"/>
  <c r="AZ69" i="34"/>
  <c r="AZ52" i="34"/>
  <c r="AZ55" i="34"/>
  <c r="AZ53" i="34"/>
  <c r="AZ66" i="34"/>
  <c r="BG15" i="25"/>
  <c r="BG14" i="25"/>
  <c r="AU50" i="26"/>
  <c r="BK16" i="25"/>
  <c r="BN16" i="25"/>
  <c r="BL16" i="25"/>
  <c r="BA24" i="10"/>
  <c r="AZ33" i="34"/>
  <c r="BF15" i="25"/>
  <c r="BF14" i="25"/>
  <c r="BE15" i="25"/>
  <c r="BE14" i="25"/>
  <c r="BD15" i="25"/>
  <c r="BD14" i="25"/>
  <c r="BM16" i="25"/>
  <c r="BE13" i="10"/>
  <c r="BF13" i="10" s="1"/>
  <c r="BF14" i="10" s="1"/>
  <c r="BF15" i="10" s="1"/>
  <c r="AZ60" i="34"/>
  <c r="AZ59" i="34"/>
  <c r="AZ39" i="34"/>
  <c r="CS16" i="25"/>
  <c r="CO16" i="25"/>
  <c r="CW16" i="25"/>
  <c r="AZ70" i="34"/>
  <c r="AZ37" i="34"/>
  <c r="BC15" i="25"/>
  <c r="BC14" i="25"/>
  <c r="F15" i="30"/>
  <c r="AI15" i="30" s="1"/>
  <c r="AT50" i="26"/>
  <c r="AZ71" i="34"/>
  <c r="V126" i="25"/>
  <c r="BH26" i="25"/>
  <c r="BJ26" i="25" s="1"/>
  <c r="J62" i="33"/>
  <c r="T604" i="36"/>
  <c r="P604" i="36" s="1"/>
  <c r="M62" i="33"/>
  <c r="Q62" i="33" s="1"/>
  <c r="BN26" i="25"/>
  <c r="U64" i="13"/>
  <c r="I63" i="33"/>
  <c r="CC45" i="25"/>
  <c r="CC44" i="25"/>
  <c r="AD20" i="54"/>
  <c r="M42" i="18"/>
  <c r="I5" i="54" a="1"/>
  <c r="AP46" i="33"/>
  <c r="AP45" i="33"/>
  <c r="AP36" i="33"/>
  <c r="AY53" i="29"/>
  <c r="AP33" i="33"/>
  <c r="AP38" i="33"/>
  <c r="V36" i="29"/>
  <c r="V58" i="29"/>
  <c r="P291" i="36" s="1"/>
  <c r="V71" i="29"/>
  <c r="V63" i="29"/>
  <c r="P296" i="36" s="1"/>
  <c r="V37" i="29"/>
  <c r="V33" i="29"/>
  <c r="V40" i="29"/>
  <c r="V68" i="29"/>
  <c r="P301" i="36" s="1"/>
  <c r="O119" i="32"/>
  <c r="O75" i="32"/>
  <c r="Q577" i="36"/>
  <c r="AP67" i="33"/>
  <c r="Q554" i="36"/>
  <c r="AP44" i="33"/>
  <c r="Q563" i="36"/>
  <c r="AP53" i="33"/>
  <c r="AI63" i="33"/>
  <c r="AJ63" i="33" s="1"/>
  <c r="AI62" i="33"/>
  <c r="AJ62" i="33" s="1"/>
  <c r="AL62" i="33" s="1"/>
  <c r="J41" i="32"/>
  <c r="AW41" i="29"/>
  <c r="AZ41" i="29" s="1"/>
  <c r="V41" i="29"/>
  <c r="V48" i="29"/>
  <c r="P281" i="36" s="1"/>
  <c r="J48" i="32"/>
  <c r="AW48" i="29"/>
  <c r="AW67" i="29"/>
  <c r="J67" i="32"/>
  <c r="V67" i="29"/>
  <c r="P300" i="36" s="1"/>
  <c r="AJ47" i="33"/>
  <c r="AM47" i="33" s="1"/>
  <c r="AY58" i="29"/>
  <c r="AJ57" i="33"/>
  <c r="AL57" i="33" s="1"/>
  <c r="AY46" i="29"/>
  <c r="AY45" i="29"/>
  <c r="AW55" i="29"/>
  <c r="AZ55" i="29" s="1"/>
  <c r="V55" i="29"/>
  <c r="P288" i="36" s="1"/>
  <c r="J55" i="32"/>
  <c r="AW69" i="29"/>
  <c r="AZ69" i="29" s="1"/>
  <c r="J69" i="32"/>
  <c r="O69" i="32" s="1"/>
  <c r="O131" i="32" s="1"/>
  <c r="N69" i="29"/>
  <c r="V69" i="29"/>
  <c r="P302" i="36" s="1"/>
  <c r="AY43" i="29"/>
  <c r="AP61" i="33"/>
  <c r="Q571" i="36"/>
  <c r="Q576" i="36"/>
  <c r="AP66" i="33"/>
  <c r="AP55" i="33"/>
  <c r="Q564" i="36"/>
  <c r="AP54" i="33"/>
  <c r="V47" i="29"/>
  <c r="P280" i="36" s="1"/>
  <c r="AW47" i="29"/>
  <c r="AZ47" i="29" s="1"/>
  <c r="J47" i="32"/>
  <c r="AV50" i="29"/>
  <c r="J50" i="32"/>
  <c r="AW50" i="29"/>
  <c r="V50" i="29"/>
  <c r="P283" i="36" s="1"/>
  <c r="J56" i="32"/>
  <c r="O56" i="32" s="1"/>
  <c r="O118" i="32" s="1"/>
  <c r="AW56" i="29"/>
  <c r="V56" i="29"/>
  <c r="P289" i="36" s="1"/>
  <c r="N56" i="29"/>
  <c r="V60" i="29"/>
  <c r="P293" i="36" s="1"/>
  <c r="AW60" i="29"/>
  <c r="AZ60" i="29" s="1"/>
  <c r="J60" i="32"/>
  <c r="AW62" i="29"/>
  <c r="J62" i="32"/>
  <c r="V62" i="29"/>
  <c r="P295" i="36" s="1"/>
  <c r="AP39" i="33"/>
  <c r="P119" i="32"/>
  <c r="P75" i="32"/>
  <c r="J38" i="32"/>
  <c r="V38" i="29"/>
  <c r="AW38" i="29"/>
  <c r="V53" i="1"/>
  <c r="Y53" i="1" s="1"/>
  <c r="V35" i="1"/>
  <c r="Y35" i="1" s="1"/>
  <c r="V39" i="1"/>
  <c r="Y39" i="1" s="1"/>
  <c r="V40" i="1"/>
  <c r="Y40" i="1" s="1"/>
  <c r="V58" i="1"/>
  <c r="Y58" i="1" s="1"/>
  <c r="V38" i="1"/>
  <c r="Y38" i="1" s="1"/>
  <c r="AH69" i="33"/>
  <c r="AP30" i="33"/>
  <c r="AI69" i="33"/>
  <c r="AI59" i="33"/>
  <c r="AJ59" i="33" s="1"/>
  <c r="V32" i="1"/>
  <c r="Y32" i="1" s="1"/>
  <c r="V56" i="1"/>
  <c r="Y56" i="1" s="1"/>
  <c r="V52" i="1"/>
  <c r="Y52" i="1" s="1"/>
  <c r="V45" i="1"/>
  <c r="Y45" i="1" s="1"/>
  <c r="Q573" i="36"/>
  <c r="AP63" i="33"/>
  <c r="AP68" i="33"/>
  <c r="AI54" i="33"/>
  <c r="AI53" i="33"/>
  <c r="AH54" i="33"/>
  <c r="AH53" i="33"/>
  <c r="Q574" i="36"/>
  <c r="AP64" i="33"/>
  <c r="J39" i="32"/>
  <c r="AW39" i="29"/>
  <c r="AZ40" i="29" s="1"/>
  <c r="V39" i="29"/>
  <c r="AV41" i="29"/>
  <c r="AY41" i="29" s="1"/>
  <c r="AV48" i="29"/>
  <c r="AV49" i="29"/>
  <c r="AW49" i="29"/>
  <c r="AZ49" i="29" s="1"/>
  <c r="V49" i="29"/>
  <c r="P282" i="36" s="1"/>
  <c r="J49" i="32"/>
  <c r="AV51" i="29"/>
  <c r="AW51" i="29"/>
  <c r="J51" i="32"/>
  <c r="L51" i="32" s="1"/>
  <c r="BF51" i="32" s="1"/>
  <c r="V51" i="29"/>
  <c r="P284" i="36" s="1"/>
  <c r="J65" i="32"/>
  <c r="O65" i="32" s="1"/>
  <c r="O127" i="32" s="1"/>
  <c r="AW65" i="29"/>
  <c r="AZ65" i="29" s="1"/>
  <c r="V65" i="29"/>
  <c r="P298" i="36" s="1"/>
  <c r="N65" i="29"/>
  <c r="AV67" i="29"/>
  <c r="AP34" i="33"/>
  <c r="AJ44" i="33"/>
  <c r="AH56" i="33"/>
  <c r="AH55" i="33"/>
  <c r="AI56" i="33"/>
  <c r="AP60" i="33"/>
  <c r="Q570" i="36"/>
  <c r="J42" i="32"/>
  <c r="V42" i="29"/>
  <c r="AW42" i="29"/>
  <c r="V45" i="29"/>
  <c r="J45" i="32"/>
  <c r="AW45" i="29"/>
  <c r="V53" i="29"/>
  <c r="P286" i="36" s="1"/>
  <c r="J53" i="32"/>
  <c r="AW53" i="29"/>
  <c r="AZ54" i="29" s="1"/>
  <c r="AV55" i="29"/>
  <c r="AY55" i="29" s="1"/>
  <c r="AY66" i="29"/>
  <c r="AV69" i="29"/>
  <c r="AY69" i="29" s="1"/>
  <c r="Q567" i="36"/>
  <c r="AP57" i="33"/>
  <c r="Q575" i="36"/>
  <c r="AP65" i="33"/>
  <c r="AP56" i="33"/>
  <c r="AP62" i="33"/>
  <c r="AI64" i="33"/>
  <c r="AI65" i="33"/>
  <c r="AJ65" i="33" s="1"/>
  <c r="AJ64" i="33"/>
  <c r="AM64" i="33" s="1"/>
  <c r="AV47" i="29"/>
  <c r="AY47" i="29" s="1"/>
  <c r="J52" i="32"/>
  <c r="O52" i="32" s="1"/>
  <c r="O114" i="32" s="1"/>
  <c r="V52" i="29"/>
  <c r="P285" i="36" s="1"/>
  <c r="AW52" i="29"/>
  <c r="AV56" i="29"/>
  <c r="AY57" i="29" s="1"/>
  <c r="AV60" i="29"/>
  <c r="AV62" i="29"/>
  <c r="AP47" i="33"/>
  <c r="N73" i="33"/>
  <c r="R55" i="33"/>
  <c r="U55" i="33" s="1"/>
  <c r="AV38" i="29"/>
  <c r="AY38" i="29" s="1"/>
  <c r="BC32" i="24"/>
  <c r="BC50" i="24"/>
  <c r="BC63" i="24"/>
  <c r="BC70" i="24"/>
  <c r="BC45" i="24"/>
  <c r="BC44" i="24"/>
  <c r="BC68" i="24"/>
  <c r="BC67" i="24"/>
  <c r="BC48" i="24"/>
  <c r="BC56" i="24"/>
  <c r="BC34" i="24"/>
  <c r="BC33" i="24"/>
  <c r="BC37" i="24"/>
  <c r="AU28" i="1"/>
  <c r="V59" i="1"/>
  <c r="Y59" i="1" s="1"/>
  <c r="V60" i="1"/>
  <c r="Y60" i="1" s="1"/>
  <c r="V51" i="1"/>
  <c r="Y51" i="1" s="1"/>
  <c r="V57" i="1"/>
  <c r="Y57" i="1" s="1"/>
  <c r="V44" i="1"/>
  <c r="Y44" i="1" s="1"/>
  <c r="V42" i="1"/>
  <c r="Y42" i="1" s="1"/>
  <c r="V41" i="1"/>
  <c r="Y41" i="1" s="1"/>
  <c r="V34" i="1"/>
  <c r="Y34" i="1" s="1"/>
  <c r="V55" i="1"/>
  <c r="Y55" i="1" s="1"/>
  <c r="I35" i="32"/>
  <c r="G58" i="24"/>
  <c r="BC49" i="24"/>
  <c r="BC51" i="24"/>
  <c r="BC60" i="24"/>
  <c r="BC59" i="24"/>
  <c r="BC64" i="24"/>
  <c r="BC62" i="24"/>
  <c r="BC36" i="24"/>
  <c r="BC35" i="24"/>
  <c r="AT26" i="1"/>
  <c r="AU26" i="1"/>
  <c r="AS26" i="1"/>
  <c r="BC65" i="24"/>
  <c r="BC69" i="24"/>
  <c r="BC71" i="24"/>
  <c r="BC57" i="24"/>
  <c r="BC43" i="24"/>
  <c r="BC41" i="24"/>
  <c r="BC38" i="24"/>
  <c r="S224" i="36"/>
  <c r="S231" i="36"/>
  <c r="S236" i="36"/>
  <c r="S227" i="36"/>
  <c r="AX31" i="1"/>
  <c r="AX32" i="1"/>
  <c r="AP30" i="1"/>
  <c r="AP29" i="1"/>
  <c r="G29" i="24"/>
  <c r="AO29" i="1"/>
  <c r="AO30" i="1"/>
  <c r="AS65" i="26"/>
  <c r="AS66" i="26"/>
  <c r="AT53" i="26"/>
  <c r="BN53" i="26" s="1"/>
  <c r="AU31" i="1"/>
  <c r="AQ32" i="1"/>
  <c r="AS31" i="1"/>
  <c r="BN31" i="1" s="1"/>
  <c r="AH42" i="33"/>
  <c r="AH43" i="33"/>
  <c r="AI40" i="33"/>
  <c r="AI41" i="33"/>
  <c r="AJ41" i="33" s="1"/>
  <c r="AM41" i="33" s="1"/>
  <c r="AI42" i="33"/>
  <c r="AI43" i="33"/>
  <c r="Q461" i="36"/>
  <c r="AI48" i="33"/>
  <c r="AI49" i="33"/>
  <c r="AH48" i="33"/>
  <c r="AH49" i="33"/>
  <c r="L16" i="32"/>
  <c r="BJ24" i="24"/>
  <c r="BJ25" i="24"/>
  <c r="I31" i="32"/>
  <c r="D43" i="53" s="1"/>
  <c r="BI17" i="24"/>
  <c r="BV17" i="24" s="1"/>
  <c r="BI21" i="24"/>
  <c r="BV21" i="24" s="1"/>
  <c r="BI22" i="24"/>
  <c r="BV22" i="24" s="1"/>
  <c r="AZ71" i="29"/>
  <c r="L24" i="32"/>
  <c r="BF24" i="32" s="1"/>
  <c r="AV70" i="29"/>
  <c r="L20" i="32"/>
  <c r="BF20" i="32" s="1"/>
  <c r="BJ21" i="24"/>
  <c r="BJ22" i="24"/>
  <c r="BI18" i="24"/>
  <c r="BV18" i="24" s="1"/>
  <c r="BI19" i="24"/>
  <c r="BV19" i="24" s="1"/>
  <c r="L18" i="32"/>
  <c r="BF17" i="32"/>
  <c r="BG17" i="32"/>
  <c r="BH17" i="32"/>
  <c r="H17" i="30"/>
  <c r="L21" i="32"/>
  <c r="BF21" i="32" s="1"/>
  <c r="BJ22" i="32" s="1"/>
  <c r="BJ18" i="24"/>
  <c r="BI24" i="24"/>
  <c r="BV24" i="24" s="1"/>
  <c r="BI25" i="24"/>
  <c r="BV25" i="24" s="1"/>
  <c r="L23" i="32"/>
  <c r="BF23" i="32" s="1"/>
  <c r="BJ23" i="32" s="1"/>
  <c r="E53" i="32"/>
  <c r="AI53" i="29"/>
  <c r="AL53" i="29" s="1"/>
  <c r="N53" i="29"/>
  <c r="AI54" i="29"/>
  <c r="AL54" i="29" s="1"/>
  <c r="N54" i="29"/>
  <c r="E54" i="32"/>
  <c r="O54" i="32" s="1"/>
  <c r="O116" i="32" s="1"/>
  <c r="AH59" i="29"/>
  <c r="AK59" i="29" s="1"/>
  <c r="N59" i="29"/>
  <c r="E59" i="32"/>
  <c r="O59" i="32" s="1"/>
  <c r="O121" i="32" s="1"/>
  <c r="AI59" i="29"/>
  <c r="AL59" i="29" s="1"/>
  <c r="N61" i="29"/>
  <c r="AI61" i="29"/>
  <c r="E61" i="32"/>
  <c r="O61" i="32" s="1"/>
  <c r="O123" i="32" s="1"/>
  <c r="AN30" i="32"/>
  <c r="D30" i="30"/>
  <c r="AO30" i="32"/>
  <c r="AP30" i="32"/>
  <c r="AQ48" i="26"/>
  <c r="AQ56" i="26"/>
  <c r="AU56" i="26" s="1"/>
  <c r="AQ64" i="26"/>
  <c r="AU64" i="26" s="1"/>
  <c r="AS34" i="26"/>
  <c r="AU34" i="26"/>
  <c r="AU23" i="32"/>
  <c r="AY23" i="32" s="1"/>
  <c r="AQ55" i="26"/>
  <c r="AU55" i="26" s="1"/>
  <c r="N64" i="29"/>
  <c r="AI64" i="29"/>
  <c r="AH64" i="29"/>
  <c r="E64" i="32"/>
  <c r="O64" i="32" s="1"/>
  <c r="O126" i="32" s="1"/>
  <c r="AT66" i="26"/>
  <c r="AH53" i="29"/>
  <c r="AK54" i="29" s="1"/>
  <c r="AM54" i="29" s="1"/>
  <c r="AO54" i="29" s="1"/>
  <c r="AH55" i="29"/>
  <c r="AI55" i="29"/>
  <c r="N55" i="29"/>
  <c r="E55" i="32"/>
  <c r="O55" i="32" s="1"/>
  <c r="O117" i="32" s="1"/>
  <c r="AH61" i="29"/>
  <c r="AH63" i="29"/>
  <c r="AI63" i="29"/>
  <c r="E63" i="32"/>
  <c r="O63" i="32" s="1"/>
  <c r="O125" i="32" s="1"/>
  <c r="N63" i="29"/>
  <c r="AU33" i="26"/>
  <c r="AS33" i="26"/>
  <c r="AT54" i="26"/>
  <c r="AU54" i="26"/>
  <c r="AS54" i="26"/>
  <c r="AT65" i="26"/>
  <c r="AI66" i="29"/>
  <c r="AL66" i="29" s="1"/>
  <c r="N66" i="29"/>
  <c r="E66" i="32"/>
  <c r="O66" i="32" s="1"/>
  <c r="O128" i="32" s="1"/>
  <c r="AK70" i="10"/>
  <c r="AN70" i="10" s="1"/>
  <c r="AQ49" i="26"/>
  <c r="AS49" i="26" s="1"/>
  <c r="AT56" i="26"/>
  <c r="BA53" i="10"/>
  <c r="AS31" i="34"/>
  <c r="AM35" i="33"/>
  <c r="AL35" i="33"/>
  <c r="G40" i="24"/>
  <c r="AU31" i="34"/>
  <c r="G37" i="24"/>
  <c r="AS71" i="26"/>
  <c r="BN71" i="26" s="1"/>
  <c r="D34" i="53"/>
  <c r="AP40" i="34"/>
  <c r="AQ40" i="34" s="1"/>
  <c r="AU40" i="34" s="1"/>
  <c r="G61" i="24"/>
  <c r="N31" i="24"/>
  <c r="G31" i="24"/>
  <c r="AM31" i="24" s="1"/>
  <c r="AI36" i="33"/>
  <c r="AJ36" i="33" s="1"/>
  <c r="AM36" i="33" s="1"/>
  <c r="AJ29" i="33"/>
  <c r="AL29" i="33" s="1"/>
  <c r="BS48" i="25"/>
  <c r="AA103" i="25"/>
  <c r="BS34" i="25"/>
  <c r="AA90" i="25"/>
  <c r="AC55" i="25"/>
  <c r="AC111" i="25" s="1"/>
  <c r="V111" i="25"/>
  <c r="AC30" i="25"/>
  <c r="AC86" i="25" s="1"/>
  <c r="V86" i="25"/>
  <c r="AC58" i="25"/>
  <c r="V114" i="25"/>
  <c r="AB66" i="25"/>
  <c r="AB122" i="25" s="1"/>
  <c r="U122" i="25"/>
  <c r="Z115" i="25"/>
  <c r="Q443" i="36"/>
  <c r="BR59" i="25"/>
  <c r="Z116" i="25"/>
  <c r="BR60" i="25"/>
  <c r="Q444" i="36"/>
  <c r="Z91" i="25"/>
  <c r="BR36" i="25"/>
  <c r="BR35" i="25"/>
  <c r="Z99" i="25"/>
  <c r="BR43" i="25"/>
  <c r="BR44" i="25"/>
  <c r="Q439" i="36"/>
  <c r="Z111" i="25"/>
  <c r="BR56" i="25"/>
  <c r="BR55" i="25"/>
  <c r="Z89" i="25"/>
  <c r="BR33" i="25"/>
  <c r="Q445" i="36"/>
  <c r="Z117" i="25"/>
  <c r="BR61" i="25"/>
  <c r="Z113" i="25"/>
  <c r="Q441" i="36"/>
  <c r="BR57" i="25"/>
  <c r="BR39" i="25"/>
  <c r="Z95" i="25"/>
  <c r="BR40" i="25"/>
  <c r="Z105" i="25"/>
  <c r="Q433" i="36"/>
  <c r="BR50" i="25"/>
  <c r="BR49" i="25"/>
  <c r="Z94" i="25"/>
  <c r="BR38" i="25"/>
  <c r="Z101" i="25"/>
  <c r="Q429" i="36"/>
  <c r="BR45" i="25"/>
  <c r="Z90" i="25"/>
  <c r="BR34" i="25"/>
  <c r="Z97" i="25"/>
  <c r="BR42" i="25"/>
  <c r="Q430" i="36"/>
  <c r="Z102" i="25"/>
  <c r="BR46" i="25"/>
  <c r="Q432" i="36"/>
  <c r="Z104" i="25"/>
  <c r="BR48" i="25"/>
  <c r="BR41" i="25"/>
  <c r="BS30" i="25"/>
  <c r="AA86" i="25"/>
  <c r="BS40" i="25"/>
  <c r="AA96" i="25"/>
  <c r="Q480" i="36"/>
  <c r="AA120" i="25"/>
  <c r="Q471" i="36"/>
  <c r="AA111" i="25"/>
  <c r="BS53" i="25"/>
  <c r="AA108" i="25"/>
  <c r="V99" i="25"/>
  <c r="V110" i="25"/>
  <c r="V102" i="25"/>
  <c r="V116" i="25"/>
  <c r="V88" i="25"/>
  <c r="V103" i="25"/>
  <c r="Z87" i="25"/>
  <c r="BR31" i="25"/>
  <c r="Z119" i="25"/>
  <c r="BR63" i="25"/>
  <c r="Q447" i="36"/>
  <c r="Z124" i="25"/>
  <c r="Q452" i="36"/>
  <c r="BR68" i="25"/>
  <c r="Z93" i="25"/>
  <c r="BR37" i="25"/>
  <c r="Z108" i="25"/>
  <c r="Q436" i="36"/>
  <c r="BR53" i="25"/>
  <c r="BR52" i="25"/>
  <c r="Z123" i="25"/>
  <c r="Q451" i="36"/>
  <c r="BR67" i="25"/>
  <c r="Q435" i="36"/>
  <c r="Z107" i="25"/>
  <c r="BR51" i="25"/>
  <c r="Q446" i="36"/>
  <c r="Z118" i="25"/>
  <c r="BR62" i="25"/>
  <c r="Z88" i="25"/>
  <c r="BR32" i="25"/>
  <c r="Z103" i="25"/>
  <c r="BR47" i="25"/>
  <c r="Q431" i="36"/>
  <c r="Z120" i="25"/>
  <c r="BR64" i="25"/>
  <c r="Q448" i="36"/>
  <c r="Z114" i="25"/>
  <c r="Q442" i="36"/>
  <c r="BR58" i="25"/>
  <c r="Q449" i="36"/>
  <c r="Z121" i="25"/>
  <c r="BR65" i="25"/>
  <c r="Z86" i="25"/>
  <c r="BR30" i="25"/>
  <c r="AP46" i="34"/>
  <c r="AQ46" i="34" s="1"/>
  <c r="AM41" i="24"/>
  <c r="AM38" i="24"/>
  <c r="G35" i="24"/>
  <c r="N35" i="24"/>
  <c r="G33" i="24"/>
  <c r="Q33" i="24" s="1"/>
  <c r="N33" i="24"/>
  <c r="AM32" i="24"/>
  <c r="AX70" i="7"/>
  <c r="AT69" i="7"/>
  <c r="AW69" i="7" s="1"/>
  <c r="T69" i="7"/>
  <c r="P359" i="36" s="1"/>
  <c r="K68" i="25"/>
  <c r="CG57" i="25"/>
  <c r="CG58" i="25"/>
  <c r="AT70" i="7"/>
  <c r="K69" i="25"/>
  <c r="P69" i="25" s="1"/>
  <c r="T70" i="7"/>
  <c r="CE57" i="25"/>
  <c r="CF57" i="25"/>
  <c r="CF58" i="25"/>
  <c r="CD57" i="25"/>
  <c r="CC57" i="25"/>
  <c r="CC58" i="25"/>
  <c r="P66" i="25"/>
  <c r="T450" i="36"/>
  <c r="P450" i="36" s="1"/>
  <c r="AW68" i="7"/>
  <c r="T71" i="7"/>
  <c r="K70" i="25"/>
  <c r="P16" i="53" s="1"/>
  <c r="AT71" i="7"/>
  <c r="T451" i="36"/>
  <c r="P451" i="36" s="1"/>
  <c r="P67" i="25"/>
  <c r="AQ69" i="34"/>
  <c r="AS69" i="34" s="1"/>
  <c r="AM48" i="10"/>
  <c r="BA48" i="10" s="1"/>
  <c r="BN25" i="25"/>
  <c r="AO61" i="34"/>
  <c r="AO60" i="34"/>
  <c r="AM52" i="24"/>
  <c r="D52" i="32"/>
  <c r="G52" i="32" s="1"/>
  <c r="AO52" i="32" s="1"/>
  <c r="AN52" i="24"/>
  <c r="AO52" i="24"/>
  <c r="AQ58" i="34"/>
  <c r="AS58" i="34" s="1"/>
  <c r="AM45" i="24"/>
  <c r="D45" i="32"/>
  <c r="AO45" i="24"/>
  <c r="AN45" i="24"/>
  <c r="AN61" i="34"/>
  <c r="AN60" i="34"/>
  <c r="AP68" i="34"/>
  <c r="AQ59" i="34"/>
  <c r="AS59" i="34" s="1"/>
  <c r="AO58" i="24"/>
  <c r="D58" i="32"/>
  <c r="AP36" i="34"/>
  <c r="AP37" i="34"/>
  <c r="G36" i="24"/>
  <c r="Q36" i="24" s="1"/>
  <c r="AO57" i="34"/>
  <c r="G57" i="24"/>
  <c r="AM57" i="24" s="1"/>
  <c r="AR58" i="7"/>
  <c r="G42" i="24"/>
  <c r="N64" i="24"/>
  <c r="G56" i="24"/>
  <c r="AM56" i="24" s="1"/>
  <c r="AO68" i="34"/>
  <c r="AQ68" i="34" s="1"/>
  <c r="AS68" i="34" s="1"/>
  <c r="AM59" i="24"/>
  <c r="D59" i="32"/>
  <c r="G59" i="32" s="1"/>
  <c r="AN59" i="24"/>
  <c r="AO59" i="24"/>
  <c r="G48" i="24"/>
  <c r="AM48" i="24" s="1"/>
  <c r="AT58" i="34"/>
  <c r="AO36" i="34"/>
  <c r="AQ36" i="34" s="1"/>
  <c r="AO37" i="34"/>
  <c r="AP57" i="34"/>
  <c r="AP61" i="34"/>
  <c r="AP60" i="34"/>
  <c r="AQ67" i="34"/>
  <c r="AS67" i="34" s="1"/>
  <c r="AZ32" i="1"/>
  <c r="AQ43" i="34"/>
  <c r="AN29" i="7"/>
  <c r="AI71" i="29"/>
  <c r="BG23" i="25"/>
  <c r="BG24" i="25"/>
  <c r="BN24" i="25" s="1"/>
  <c r="BA29" i="7"/>
  <c r="BE29" i="7"/>
  <c r="AM39" i="24"/>
  <c r="AQ39" i="24" s="1"/>
  <c r="AO39" i="24"/>
  <c r="D39" i="32"/>
  <c r="AQ62" i="26"/>
  <c r="BK12" i="25"/>
  <c r="BN12" i="25"/>
  <c r="BM12" i="25"/>
  <c r="AU31" i="26"/>
  <c r="AS31" i="26"/>
  <c r="AH71" i="29"/>
  <c r="Q27" i="57" s="1"/>
  <c r="AI70" i="29"/>
  <c r="AL70" i="29" s="1"/>
  <c r="AM70" i="29" s="1"/>
  <c r="AO70" i="29" s="1"/>
  <c r="AK32" i="10"/>
  <c r="AM32" i="10" s="1"/>
  <c r="AM58" i="29"/>
  <c r="AO58" i="29" s="1"/>
  <c r="DG67" i="25"/>
  <c r="DI67" i="25" s="1"/>
  <c r="DF67" i="25"/>
  <c r="DH67" i="25" s="1"/>
  <c r="AX41" i="26"/>
  <c r="AX40" i="26"/>
  <c r="AN39" i="24"/>
  <c r="AN69" i="10"/>
  <c r="BE69" i="10" s="1"/>
  <c r="AS32" i="26"/>
  <c r="BA28" i="25"/>
  <c r="BG28" i="25" s="1"/>
  <c r="AZ28" i="25"/>
  <c r="AX28" i="25"/>
  <c r="W28" i="25"/>
  <c r="AY28" i="25"/>
  <c r="E29" i="30"/>
  <c r="AQ63" i="26"/>
  <c r="AS63" i="26" s="1"/>
  <c r="BJ12" i="25"/>
  <c r="AT32" i="26"/>
  <c r="AN68" i="10"/>
  <c r="BA68" i="10" s="1"/>
  <c r="BL12" i="25"/>
  <c r="AI62" i="29"/>
  <c r="AH62" i="29"/>
  <c r="E62" i="32"/>
  <c r="N62" i="29"/>
  <c r="CC63" i="25"/>
  <c r="Q513" i="36"/>
  <c r="U514" i="36"/>
  <c r="R514" i="36" s="1"/>
  <c r="U67" i="25"/>
  <c r="G66" i="18"/>
  <c r="DD68" i="25" s="1"/>
  <c r="G67" i="18"/>
  <c r="AM61" i="33"/>
  <c r="AJ60" i="33"/>
  <c r="AM60" i="33" s="1"/>
  <c r="E51" i="32"/>
  <c r="AI51" i="29"/>
  <c r="L31" i="57" s="1"/>
  <c r="N51" i="29"/>
  <c r="AH51" i="29"/>
  <c r="L27" i="57" s="1"/>
  <c r="AM57" i="29"/>
  <c r="AP57" i="29" s="1"/>
  <c r="AM66" i="29"/>
  <c r="AY45" i="19"/>
  <c r="M46" i="14"/>
  <c r="E49" i="29" s="1"/>
  <c r="M50" i="29"/>
  <c r="U527" i="36"/>
  <c r="F50" i="29"/>
  <c r="BS32" i="25"/>
  <c r="BS36" i="25"/>
  <c r="BI28" i="24"/>
  <c r="AQ62" i="34"/>
  <c r="AS62" i="34" s="1"/>
  <c r="BF56" i="24"/>
  <c r="I56" i="32"/>
  <c r="BE56" i="24"/>
  <c r="BG56" i="24"/>
  <c r="AN49" i="10"/>
  <c r="AM49" i="10"/>
  <c r="AN60" i="10"/>
  <c r="AM60" i="10"/>
  <c r="BY48" i="25"/>
  <c r="BX48" i="25"/>
  <c r="BZ48" i="25"/>
  <c r="CA48" i="25"/>
  <c r="I49" i="30"/>
  <c r="BZ61" i="25"/>
  <c r="CF61" i="25" s="1"/>
  <c r="BX61" i="25"/>
  <c r="CD61" i="25" s="1"/>
  <c r="I62" i="30"/>
  <c r="BY61" i="25"/>
  <c r="CE61" i="25" s="1"/>
  <c r="CA61" i="25"/>
  <c r="CG61" i="25" s="1"/>
  <c r="BW61" i="25"/>
  <c r="BE26" i="10"/>
  <c r="I63" i="30"/>
  <c r="BZ62" i="25"/>
  <c r="CA62" i="25"/>
  <c r="BY62" i="25"/>
  <c r="BX62" i="25"/>
  <c r="AN59" i="10"/>
  <c r="BA59" i="10" s="1"/>
  <c r="BW48" i="25"/>
  <c r="AK31" i="10"/>
  <c r="AN31" i="10" s="1"/>
  <c r="BZ24" i="25"/>
  <c r="I25" i="30"/>
  <c r="BY24" i="25"/>
  <c r="BW24" i="25"/>
  <c r="BX24" i="25"/>
  <c r="W24" i="25"/>
  <c r="CA24" i="25"/>
  <c r="BE25" i="10"/>
  <c r="BE43" i="10"/>
  <c r="CC41" i="25"/>
  <c r="CC42" i="25"/>
  <c r="W12" i="25"/>
  <c r="BW12" i="25"/>
  <c r="BX12" i="25"/>
  <c r="CD13" i="25" s="1"/>
  <c r="BY12" i="25"/>
  <c r="BZ12" i="25"/>
  <c r="CF13" i="25" s="1"/>
  <c r="I13" i="30"/>
  <c r="CA12" i="25"/>
  <c r="CG13" i="25" s="1"/>
  <c r="AM63" i="10"/>
  <c r="I27" i="30"/>
  <c r="BW26" i="25"/>
  <c r="BY26" i="25"/>
  <c r="BZ26" i="25"/>
  <c r="BX26" i="25"/>
  <c r="W26" i="25"/>
  <c r="CA63" i="25"/>
  <c r="CG64" i="25" s="1"/>
  <c r="BZ63" i="25"/>
  <c r="BX63" i="25"/>
  <c r="CD64" i="25" s="1"/>
  <c r="BY63" i="25"/>
  <c r="CE64" i="25" s="1"/>
  <c r="I64" i="30"/>
  <c r="V61" i="25"/>
  <c r="BX31" i="25"/>
  <c r="CD31" i="25" s="1"/>
  <c r="BZ31" i="25"/>
  <c r="CF31" i="25" s="1"/>
  <c r="I32" i="30"/>
  <c r="BY31" i="25"/>
  <c r="CE31" i="25" s="1"/>
  <c r="CA31" i="25"/>
  <c r="CG31" i="25" s="1"/>
  <c r="AJ38" i="33"/>
  <c r="AL38" i="33" s="1"/>
  <c r="AH30" i="33"/>
  <c r="AH31" i="33"/>
  <c r="AI32" i="33"/>
  <c r="AI33" i="33"/>
  <c r="AI46" i="33"/>
  <c r="AJ46" i="33" s="1"/>
  <c r="AM46" i="33" s="1"/>
  <c r="AI45" i="33"/>
  <c r="AJ45" i="33" s="1"/>
  <c r="AL45" i="33" s="1"/>
  <c r="AI52" i="33"/>
  <c r="AJ52" i="33" s="1"/>
  <c r="AI51" i="33"/>
  <c r="AJ51" i="33" s="1"/>
  <c r="AL51" i="33" s="1"/>
  <c r="CG26" i="25"/>
  <c r="CG27" i="25"/>
  <c r="AJ32" i="33"/>
  <c r="AM32" i="33" s="1"/>
  <c r="BZ44" i="25"/>
  <c r="I45" i="30"/>
  <c r="CA44" i="25"/>
  <c r="BX44" i="25"/>
  <c r="BY44" i="25"/>
  <c r="AK44" i="25"/>
  <c r="V124" i="36" s="1"/>
  <c r="AJ37" i="33"/>
  <c r="AM37" i="33" s="1"/>
  <c r="BX41" i="25"/>
  <c r="CD41" i="25" s="1"/>
  <c r="I42" i="30"/>
  <c r="AK41" i="25"/>
  <c r="V121" i="36" s="1"/>
  <c r="CA41" i="25"/>
  <c r="CG41" i="25" s="1"/>
  <c r="BY41" i="25"/>
  <c r="CE41" i="25" s="1"/>
  <c r="BZ41" i="25"/>
  <c r="CF41" i="25" s="1"/>
  <c r="AI31" i="33"/>
  <c r="AI30" i="33"/>
  <c r="BE52" i="10"/>
  <c r="BA52" i="10"/>
  <c r="AK29" i="10"/>
  <c r="AN29" i="10" s="1"/>
  <c r="AK62" i="10"/>
  <c r="AN62" i="10" s="1"/>
  <c r="CG37" i="25"/>
  <c r="CG38" i="25"/>
  <c r="CF37" i="25"/>
  <c r="CF38" i="25"/>
  <c r="CE65" i="25"/>
  <c r="CG65" i="25"/>
  <c r="CG11" i="25"/>
  <c r="AK57" i="10"/>
  <c r="AN57" i="10" s="1"/>
  <c r="CG55" i="25"/>
  <c r="CG56" i="25"/>
  <c r="CF55" i="25"/>
  <c r="CF56" i="25"/>
  <c r="CC32" i="25"/>
  <c r="CC33" i="25"/>
  <c r="CD59" i="25"/>
  <c r="CD60" i="25"/>
  <c r="CF59" i="25"/>
  <c r="CF60" i="25"/>
  <c r="AW27" i="25"/>
  <c r="AZ27" i="25"/>
  <c r="AX27" i="25"/>
  <c r="AY27" i="25"/>
  <c r="E28" i="30"/>
  <c r="W27" i="25"/>
  <c r="AN33" i="10"/>
  <c r="BA33" i="10" s="1"/>
  <c r="CA47" i="25"/>
  <c r="BX47" i="25"/>
  <c r="BZ47" i="25"/>
  <c r="BY47" i="25"/>
  <c r="I48" i="30"/>
  <c r="CG32" i="25"/>
  <c r="CG33" i="25"/>
  <c r="CF32" i="25"/>
  <c r="CE13" i="25"/>
  <c r="CE14" i="25"/>
  <c r="CD14" i="25"/>
  <c r="AJ23" i="30"/>
  <c r="AM23" i="30" s="1"/>
  <c r="AM44" i="10"/>
  <c r="AK61" i="10"/>
  <c r="AN61" i="10" s="1"/>
  <c r="CE37" i="25"/>
  <c r="CE38" i="25"/>
  <c r="CD37" i="25"/>
  <c r="CD38" i="25"/>
  <c r="CD65" i="25"/>
  <c r="CF64" i="25"/>
  <c r="CF65" i="25"/>
  <c r="I12" i="30"/>
  <c r="BY11" i="25"/>
  <c r="BZ11" i="25"/>
  <c r="BW11" i="25"/>
  <c r="BX11" i="25"/>
  <c r="W11" i="25"/>
  <c r="AK56" i="10"/>
  <c r="AN56" i="10" s="1"/>
  <c r="CD55" i="25"/>
  <c r="CD56" i="25"/>
  <c r="CE56" i="25"/>
  <c r="CE55" i="25"/>
  <c r="CD43" i="25"/>
  <c r="CE60" i="25"/>
  <c r="CG60" i="25"/>
  <c r="CG59" i="25"/>
  <c r="BG27" i="25"/>
  <c r="AK28" i="10"/>
  <c r="AM28" i="10" s="1"/>
  <c r="BW46" i="25"/>
  <c r="CC46" i="25" s="1"/>
  <c r="I47" i="30"/>
  <c r="BX46" i="25"/>
  <c r="CD46" i="25" s="1"/>
  <c r="BZ46" i="25"/>
  <c r="CF46" i="25" s="1"/>
  <c r="BY46" i="25"/>
  <c r="CE46" i="25" s="1"/>
  <c r="BE47" i="10"/>
  <c r="AK55" i="10"/>
  <c r="AM55" i="10" s="1"/>
  <c r="AN34" i="10"/>
  <c r="BA34" i="10" s="1"/>
  <c r="CF43" i="25"/>
  <c r="CG43" i="25"/>
  <c r="CE43" i="25"/>
  <c r="CD32" i="25"/>
  <c r="CE32" i="25"/>
  <c r="CE33" i="25"/>
  <c r="CF14" i="25"/>
  <c r="J14" i="30"/>
  <c r="CC14" i="25"/>
  <c r="CC13" i="25"/>
  <c r="CS13" i="25" s="1"/>
  <c r="M70" i="7"/>
  <c r="Q70" i="7" s="1"/>
  <c r="AR70" i="7" s="1"/>
  <c r="M71" i="7"/>
  <c r="Q71" i="7" s="1"/>
  <c r="AR72" i="7" s="1"/>
  <c r="AT62" i="34"/>
  <c r="AM54" i="24"/>
  <c r="AN54" i="24"/>
  <c r="AO54" i="24"/>
  <c r="D54" i="32"/>
  <c r="AQ42" i="34"/>
  <c r="AU42" i="34" s="1"/>
  <c r="BO30" i="34"/>
  <c r="S70" i="34"/>
  <c r="V70" i="29"/>
  <c r="J70" i="32"/>
  <c r="BF27" i="32"/>
  <c r="BJ27" i="32" s="1"/>
  <c r="BG27" i="32"/>
  <c r="BK27" i="32" s="1"/>
  <c r="H27" i="30"/>
  <c r="BH27" i="32"/>
  <c r="BL27" i="32" s="1"/>
  <c r="J22" i="30"/>
  <c r="I28" i="32"/>
  <c r="BF28" i="24"/>
  <c r="BJ28" i="24" s="1"/>
  <c r="D41" i="32"/>
  <c r="AO41" i="24"/>
  <c r="AN41" i="24"/>
  <c r="AQ41" i="34"/>
  <c r="AS41" i="34" s="1"/>
  <c r="I33" i="32"/>
  <c r="AC46" i="34"/>
  <c r="S194" i="36" s="1"/>
  <c r="AT43" i="34"/>
  <c r="AU43" i="34"/>
  <c r="AS43" i="34"/>
  <c r="AL23" i="33"/>
  <c r="G43" i="24"/>
  <c r="AM43" i="24" s="1"/>
  <c r="S46" i="34"/>
  <c r="AC60" i="34"/>
  <c r="S208" i="36" s="1"/>
  <c r="AC36" i="34"/>
  <c r="AC61" i="34"/>
  <c r="S209" i="36" s="1"/>
  <c r="AC58" i="34"/>
  <c r="S206" i="36" s="1"/>
  <c r="AC57" i="34"/>
  <c r="S205" i="36" s="1"/>
  <c r="AC54" i="34"/>
  <c r="S202" i="36" s="1"/>
  <c r="AC41" i="34"/>
  <c r="AC40" i="34"/>
  <c r="AC52" i="34"/>
  <c r="S200" i="36" s="1"/>
  <c r="AC59" i="34"/>
  <c r="S207" i="36" s="1"/>
  <c r="AC42" i="34"/>
  <c r="AC48" i="34"/>
  <c r="S196" i="36" s="1"/>
  <c r="AC33" i="34"/>
  <c r="AC56" i="34"/>
  <c r="S204" i="36" s="1"/>
  <c r="AC45" i="34"/>
  <c r="AC39" i="34"/>
  <c r="AC37" i="34"/>
  <c r="AC66" i="34"/>
  <c r="S214" i="36" s="1"/>
  <c r="AC35" i="34"/>
  <c r="AC31" i="34"/>
  <c r="AC68" i="34"/>
  <c r="S216" i="36" s="1"/>
  <c r="AC67" i="34"/>
  <c r="S215" i="36" s="1"/>
  <c r="AC64" i="34"/>
  <c r="S212" i="36" s="1"/>
  <c r="AC38" i="34"/>
  <c r="AC69" i="34"/>
  <c r="S217" i="36" s="1"/>
  <c r="AC34" i="34"/>
  <c r="AC32" i="34"/>
  <c r="G46" i="24"/>
  <c r="AC51" i="34"/>
  <c r="S199" i="36" s="1"/>
  <c r="AP51" i="34"/>
  <c r="AP52" i="34"/>
  <c r="G51" i="24"/>
  <c r="AM51" i="24" s="1"/>
  <c r="L15" i="57" s="1"/>
  <c r="N51" i="24"/>
  <c r="AO55" i="34"/>
  <c r="AO56" i="34"/>
  <c r="G55" i="24"/>
  <c r="AM55" i="24" s="1"/>
  <c r="AO63" i="34"/>
  <c r="AO64" i="34"/>
  <c r="S44" i="34"/>
  <c r="AC47" i="34"/>
  <c r="S195" i="36" s="1"/>
  <c r="G47" i="24"/>
  <c r="AM47" i="24" s="1"/>
  <c r="AS67" i="26"/>
  <c r="BH20" i="25"/>
  <c r="BN20" i="25" s="1"/>
  <c r="BH23" i="25"/>
  <c r="S62" i="34"/>
  <c r="AC65" i="34"/>
  <c r="S213" i="36" s="1"/>
  <c r="S43" i="34"/>
  <c r="AC49" i="34"/>
  <c r="S197" i="36" s="1"/>
  <c r="G49" i="24"/>
  <c r="S51" i="34"/>
  <c r="AO44" i="34"/>
  <c r="AO45" i="34"/>
  <c r="G44" i="24"/>
  <c r="AC50" i="34"/>
  <c r="S198" i="36" s="1"/>
  <c r="AO50" i="34"/>
  <c r="AP50" i="34"/>
  <c r="AP54" i="34"/>
  <c r="AP53" i="34"/>
  <c r="AC53" i="34"/>
  <c r="S201" i="36" s="1"/>
  <c r="AU67" i="26"/>
  <c r="AJ20" i="30"/>
  <c r="AX29" i="25"/>
  <c r="BA29" i="25"/>
  <c r="W29" i="25"/>
  <c r="E30" i="30"/>
  <c r="AY29" i="25"/>
  <c r="AZ29" i="25"/>
  <c r="AK30" i="7"/>
  <c r="AM30" i="7" s="1"/>
  <c r="S50" i="34"/>
  <c r="S56" i="34"/>
  <c r="S67" i="34"/>
  <c r="S38" i="34"/>
  <c r="S31" i="34"/>
  <c r="AX31" i="34" s="1"/>
  <c r="S36" i="34"/>
  <c r="S45" i="34"/>
  <c r="S42" i="34"/>
  <c r="S35" i="34"/>
  <c r="S64" i="34"/>
  <c r="S41" i="34"/>
  <c r="S40" i="34"/>
  <c r="S39" i="34"/>
  <c r="S34" i="34"/>
  <c r="S33" i="34"/>
  <c r="S48" i="34"/>
  <c r="S66" i="34"/>
  <c r="AX66" i="34" s="1"/>
  <c r="S32" i="34"/>
  <c r="S68" i="34"/>
  <c r="S69" i="34"/>
  <c r="AO51" i="34"/>
  <c r="AO52" i="34"/>
  <c r="AP55" i="34"/>
  <c r="AQ55" i="34" s="1"/>
  <c r="AS55" i="34" s="1"/>
  <c r="AP56" i="34"/>
  <c r="AC63" i="34"/>
  <c r="S211" i="36" s="1"/>
  <c r="AP64" i="34"/>
  <c r="AQ64" i="34" s="1"/>
  <c r="AS64" i="34" s="1"/>
  <c r="AP63" i="34"/>
  <c r="AQ63" i="34" s="1"/>
  <c r="AS63" i="34" s="1"/>
  <c r="AP47" i="34"/>
  <c r="AP48" i="34"/>
  <c r="AO47" i="34"/>
  <c r="AO48" i="34"/>
  <c r="BH19" i="25"/>
  <c r="BN19" i="25" s="1"/>
  <c r="AC62" i="34"/>
  <c r="S210" i="36" s="1"/>
  <c r="AU62" i="34"/>
  <c r="N65" i="24"/>
  <c r="AO65" i="34"/>
  <c r="AO66" i="34"/>
  <c r="AP65" i="34"/>
  <c r="AP66" i="34"/>
  <c r="AT49" i="34"/>
  <c r="AU49" i="34"/>
  <c r="S63" i="34"/>
  <c r="AP45" i="34"/>
  <c r="AQ45" i="34" s="1"/>
  <c r="AU45" i="34" s="1"/>
  <c r="AP44" i="34"/>
  <c r="AC44" i="34"/>
  <c r="G50" i="24"/>
  <c r="AM50" i="24" s="1"/>
  <c r="G53" i="24"/>
  <c r="AM53" i="24" s="1"/>
  <c r="AO54" i="34"/>
  <c r="AO53" i="34"/>
  <c r="E67" i="32"/>
  <c r="N67" i="29"/>
  <c r="AI67" i="29"/>
  <c r="BK20" i="25"/>
  <c r="AL20" i="30"/>
  <c r="BC29" i="25"/>
  <c r="AK61" i="29"/>
  <c r="AK60" i="29"/>
  <c r="AK68" i="29"/>
  <c r="AK69" i="29"/>
  <c r="AQ69" i="26"/>
  <c r="AT69" i="26" s="1"/>
  <c r="AQ60" i="26"/>
  <c r="AS60" i="26" s="1"/>
  <c r="I36" i="32"/>
  <c r="D60" i="32"/>
  <c r="AM60" i="24"/>
  <c r="AO60" i="24"/>
  <c r="BA46" i="10"/>
  <c r="BE46" i="10"/>
  <c r="BD26" i="33"/>
  <c r="AZ26" i="33"/>
  <c r="AQ38" i="34"/>
  <c r="AS38" i="34" s="1"/>
  <c r="AS25" i="32"/>
  <c r="AL24" i="33"/>
  <c r="BD24" i="33" s="1"/>
  <c r="AL28" i="33"/>
  <c r="BD28" i="33" s="1"/>
  <c r="AI60" i="29"/>
  <c r="N60" i="29"/>
  <c r="E60" i="32"/>
  <c r="E68" i="32"/>
  <c r="AI68" i="29"/>
  <c r="N68" i="29"/>
  <c r="AQ68" i="26"/>
  <c r="AU68" i="26" s="1"/>
  <c r="AM45" i="10"/>
  <c r="AO38" i="24"/>
  <c r="D38" i="32"/>
  <c r="AN38" i="24"/>
  <c r="AQ61" i="26"/>
  <c r="AN60" i="24"/>
  <c r="AM26" i="33"/>
  <c r="AQ39" i="34"/>
  <c r="AS39" i="34" s="1"/>
  <c r="AT69" i="34"/>
  <c r="AU69" i="34"/>
  <c r="BM24" i="25"/>
  <c r="BJ24" i="25"/>
  <c r="BL24" i="25"/>
  <c r="F24" i="30"/>
  <c r="AJ24" i="30" s="1"/>
  <c r="AU24" i="32"/>
  <c r="AW24" i="32" s="1"/>
  <c r="AU27" i="1"/>
  <c r="AQ34" i="34"/>
  <c r="AU34" i="34" s="1"/>
  <c r="BB27" i="7"/>
  <c r="BD23" i="33"/>
  <c r="AZ23" i="33"/>
  <c r="AQ27" i="24"/>
  <c r="BA38" i="10"/>
  <c r="BS37" i="25"/>
  <c r="BS43" i="25"/>
  <c r="AT25" i="32"/>
  <c r="AL25" i="33"/>
  <c r="N71" i="29"/>
  <c r="AZ22" i="33"/>
  <c r="BA22" i="33" s="1"/>
  <c r="BD22" i="33"/>
  <c r="AR27" i="24"/>
  <c r="AZ27" i="33"/>
  <c r="BD27" i="33"/>
  <c r="BK24" i="25"/>
  <c r="F25" i="30"/>
  <c r="AJ25" i="30" s="1"/>
  <c r="AR25" i="32"/>
  <c r="AS28" i="1"/>
  <c r="AQ35" i="34"/>
  <c r="AS35" i="34" s="1"/>
  <c r="E70" i="32"/>
  <c r="N70" i="29"/>
  <c r="G27" i="32"/>
  <c r="AN27" i="32" s="1"/>
  <c r="BL25" i="25"/>
  <c r="BM25" i="25"/>
  <c r="BJ25" i="25"/>
  <c r="BI29" i="24"/>
  <c r="BS64" i="25"/>
  <c r="Q479" i="36"/>
  <c r="BS63" i="25"/>
  <c r="Q474" i="36"/>
  <c r="BS58" i="25"/>
  <c r="BS55" i="25"/>
  <c r="Q470" i="36"/>
  <c r="BS54" i="25"/>
  <c r="Q466" i="36"/>
  <c r="BS50" i="25"/>
  <c r="Q478" i="36"/>
  <c r="BS62" i="25"/>
  <c r="BS39" i="25"/>
  <c r="BS38" i="25"/>
  <c r="BS31" i="25"/>
  <c r="Q472" i="36"/>
  <c r="BS56" i="25"/>
  <c r="BS33" i="25"/>
  <c r="BS49" i="25"/>
  <c r="Q465" i="36"/>
  <c r="BS69" i="25"/>
  <c r="BS35" i="25"/>
  <c r="BS66" i="25"/>
  <c r="Q482" i="36"/>
  <c r="BS44" i="25"/>
  <c r="L12" i="32"/>
  <c r="BF12" i="32" s="1"/>
  <c r="BS45" i="25"/>
  <c r="BF29" i="24"/>
  <c r="I29" i="32"/>
  <c r="Q463" i="36"/>
  <c r="BS47" i="25"/>
  <c r="Q481" i="36"/>
  <c r="BS65" i="25"/>
  <c r="BS57" i="25"/>
  <c r="Q473" i="36"/>
  <c r="Q484" i="36"/>
  <c r="BS68" i="25"/>
  <c r="Q477" i="36"/>
  <c r="BS61" i="25"/>
  <c r="BS67" i="25"/>
  <c r="Q483" i="36"/>
  <c r="Q467" i="36"/>
  <c r="BS51" i="25"/>
  <c r="BS60" i="25"/>
  <c r="Q476" i="36"/>
  <c r="BS41" i="25"/>
  <c r="Q475" i="36"/>
  <c r="BS59" i="25"/>
  <c r="Q468" i="36"/>
  <c r="BS52" i="25"/>
  <c r="BS70" i="25"/>
  <c r="BI12" i="24"/>
  <c r="BV12" i="24" s="1"/>
  <c r="BW12" i="24" s="1"/>
  <c r="BS46" i="25"/>
  <c r="Q462" i="36"/>
  <c r="BS42" i="25"/>
  <c r="BK26" i="32"/>
  <c r="BL26" i="32"/>
  <c r="AQ33" i="34"/>
  <c r="AS33" i="34" s="1"/>
  <c r="BE13" i="33"/>
  <c r="AN32" i="24"/>
  <c r="D32" i="32"/>
  <c r="AO32" i="24"/>
  <c r="J25" i="30"/>
  <c r="AQ32" i="34"/>
  <c r="AT32" i="34" s="1"/>
  <c r="AY33" i="60" l="1"/>
  <c r="AN37" i="60"/>
  <c r="AN41" i="60"/>
  <c r="AZ49" i="60"/>
  <c r="AN53" i="60"/>
  <c r="AN57" i="60"/>
  <c r="BA32" i="60"/>
  <c r="AZ32" i="60"/>
  <c r="BA36" i="60"/>
  <c r="AN40" i="60"/>
  <c r="BA48" i="60"/>
  <c r="AN48" i="60"/>
  <c r="AN56" i="60"/>
  <c r="BA56" i="60"/>
  <c r="BA60" i="60"/>
  <c r="AZ60" i="60"/>
  <c r="AN31" i="60"/>
  <c r="AN59" i="60"/>
  <c r="AN38" i="60"/>
  <c r="AN58" i="60"/>
  <c r="AZ44" i="60"/>
  <c r="AN52" i="60"/>
  <c r="BA43" i="60"/>
  <c r="AN43" i="60"/>
  <c r="BA51" i="60"/>
  <c r="AN51" i="60"/>
  <c r="AD61" i="60"/>
  <c r="AD40" i="60"/>
  <c r="BI41" i="60" s="1"/>
  <c r="AD43" i="60"/>
  <c r="AD51" i="60"/>
  <c r="Q56" i="24"/>
  <c r="BJ20" i="32"/>
  <c r="BV20" i="32" s="1"/>
  <c r="AS59" i="24"/>
  <c r="BB36" i="60"/>
  <c r="BD36" i="60" s="1"/>
  <c r="AN55" i="60"/>
  <c r="AD35" i="60"/>
  <c r="AD39" i="60"/>
  <c r="BI40" i="60" s="1"/>
  <c r="AD47" i="60"/>
  <c r="AD55" i="60"/>
  <c r="BI56" i="60" s="1"/>
  <c r="AD42" i="60"/>
  <c r="AD38" i="60"/>
  <c r="BI39" i="60" s="1"/>
  <c r="AD46" i="60"/>
  <c r="AN42" i="60"/>
  <c r="BI47" i="60"/>
  <c r="AT52" i="1"/>
  <c r="BB49" i="60"/>
  <c r="BE49" i="60" s="1"/>
  <c r="BB32" i="60"/>
  <c r="BF32" i="60" s="1"/>
  <c r="BB52" i="60"/>
  <c r="BE52" i="60" s="1"/>
  <c r="BY28" i="60"/>
  <c r="BU28" i="60"/>
  <c r="G28" i="24"/>
  <c r="AN28" i="24"/>
  <c r="AR28" i="24" s="1"/>
  <c r="BB59" i="60"/>
  <c r="BF59" i="60" s="1"/>
  <c r="AZ38" i="60"/>
  <c r="AY51" i="60"/>
  <c r="AY50" i="60"/>
  <c r="AZ54" i="60"/>
  <c r="AZ58" i="60"/>
  <c r="BA33" i="60"/>
  <c r="AZ33" i="60"/>
  <c r="BF45" i="60"/>
  <c r="BF1" i="60" s="1"/>
  <c r="BO1" i="60" s="1"/>
  <c r="AD45" i="60"/>
  <c r="AD53" i="60"/>
  <c r="AD36" i="60"/>
  <c r="BI36" i="60" s="1"/>
  <c r="AD52" i="60"/>
  <c r="BI52" i="60" s="1"/>
  <c r="BF28" i="60"/>
  <c r="AD31" i="60"/>
  <c r="BI31" i="60" s="1"/>
  <c r="BA35" i="60"/>
  <c r="BB43" i="60"/>
  <c r="BD43" i="60" s="1"/>
  <c r="BA55" i="60"/>
  <c r="BD59" i="60"/>
  <c r="BA27" i="60"/>
  <c r="AZ30" i="60"/>
  <c r="AZ42" i="60"/>
  <c r="BA46" i="60"/>
  <c r="BA50" i="60"/>
  <c r="AD50" i="60"/>
  <c r="BB26" i="60"/>
  <c r="BD26" i="60" s="1"/>
  <c r="AY40" i="60"/>
  <c r="BB41" i="60"/>
  <c r="BE41" i="60" s="1"/>
  <c r="BD41" i="60"/>
  <c r="AY48" i="60"/>
  <c r="BA38" i="60"/>
  <c r="BB38" i="60" s="1"/>
  <c r="BA37" i="60"/>
  <c r="BD1" i="60"/>
  <c r="BA58" i="60"/>
  <c r="BA57" i="60"/>
  <c r="BB57" i="60" s="1"/>
  <c r="BE57" i="60" s="1"/>
  <c r="BE32" i="60"/>
  <c r="BF36" i="60"/>
  <c r="BB44" i="60"/>
  <c r="BF44" i="60" s="1"/>
  <c r="AY53" i="60"/>
  <c r="BI42" i="60"/>
  <c r="AD48" i="60"/>
  <c r="BI48" i="60" s="1"/>
  <c r="AD72" i="60"/>
  <c r="AD70" i="60"/>
  <c r="AD65" i="60"/>
  <c r="AD64" i="60"/>
  <c r="AD63" i="60"/>
  <c r="AD71" i="60"/>
  <c r="BI71" i="60" s="1"/>
  <c r="AD62" i="60"/>
  <c r="AD69" i="60"/>
  <c r="AD68" i="60"/>
  <c r="AD67" i="60"/>
  <c r="AD66" i="60"/>
  <c r="BI66" i="60" s="1"/>
  <c r="BA54" i="60"/>
  <c r="AD54" i="60"/>
  <c r="BF26" i="60"/>
  <c r="AD37" i="60"/>
  <c r="BI37" i="60" s="1"/>
  <c r="BE45" i="60"/>
  <c r="BE1" i="60" s="1"/>
  <c r="BN1" i="60" s="1"/>
  <c r="AD49" i="60"/>
  <c r="AD57" i="60"/>
  <c r="BI57" i="60" s="1"/>
  <c r="BA61" i="60"/>
  <c r="AZ61" i="60"/>
  <c r="BB29" i="60"/>
  <c r="BD29" i="60" s="1"/>
  <c r="AD32" i="60"/>
  <c r="BI32" i="60" s="1"/>
  <c r="BE44" i="60"/>
  <c r="AD44" i="60"/>
  <c r="BI44" i="60" s="1"/>
  <c r="AD60" i="60"/>
  <c r="BE28" i="60"/>
  <c r="AY31" i="60"/>
  <c r="BB31" i="60" s="1"/>
  <c r="BD31" i="60" s="1"/>
  <c r="AZ35" i="60"/>
  <c r="BB35" i="60" s="1"/>
  <c r="BA39" i="60"/>
  <c r="AZ39" i="60"/>
  <c r="BF43" i="60"/>
  <c r="AZ48" i="60"/>
  <c r="AZ47" i="60"/>
  <c r="AZ55" i="60"/>
  <c r="AD59" i="60"/>
  <c r="BI59" i="60" s="1"/>
  <c r="AZ27" i="60"/>
  <c r="BA30" i="60"/>
  <c r="AD34" i="60"/>
  <c r="BI34" i="60" s="1"/>
  <c r="BB34" i="60"/>
  <c r="BD34" i="60" s="1"/>
  <c r="BA42" i="60"/>
  <c r="Y74" i="60"/>
  <c r="AG54" i="60" s="1"/>
  <c r="AJ54" i="60" s="1"/>
  <c r="AZ46" i="60"/>
  <c r="AZ50" i="60"/>
  <c r="AY58" i="60"/>
  <c r="AY37" i="60"/>
  <c r="BB37" i="60" s="1"/>
  <c r="AY56" i="60"/>
  <c r="BB60" i="60"/>
  <c r="J35" i="29"/>
  <c r="L35" i="29"/>
  <c r="AZ59" i="29"/>
  <c r="AX71" i="34"/>
  <c r="BN31" i="34"/>
  <c r="O53" i="32"/>
  <c r="O115" i="32" s="1"/>
  <c r="AZ52" i="29"/>
  <c r="AZ42" i="29"/>
  <c r="BS37" i="60"/>
  <c r="BH19" i="32"/>
  <c r="BG19" i="32"/>
  <c r="H19" i="30"/>
  <c r="J19" i="30" s="1"/>
  <c r="BS62" i="60"/>
  <c r="O63" i="60"/>
  <c r="BO63" i="60" s="1"/>
  <c r="BS63" i="60" s="1"/>
  <c r="BR33" i="60"/>
  <c r="BR34" i="60"/>
  <c r="BF36" i="1"/>
  <c r="BF37" i="1"/>
  <c r="BG37" i="1"/>
  <c r="BG36" i="1"/>
  <c r="BH39" i="1"/>
  <c r="BH38" i="1"/>
  <c r="BG38" i="1"/>
  <c r="BG39" i="1"/>
  <c r="BR39" i="60"/>
  <c r="BS33" i="60"/>
  <c r="E66" i="1"/>
  <c r="E66" i="60"/>
  <c r="F62" i="1"/>
  <c r="P62" i="1" s="1"/>
  <c r="U62" i="1" s="1"/>
  <c r="AZ62" i="1" s="1"/>
  <c r="F62" i="60"/>
  <c r="BQ33" i="60"/>
  <c r="BQ34" i="60"/>
  <c r="BH36" i="1"/>
  <c r="BH37" i="1"/>
  <c r="W65" i="60"/>
  <c r="AE65" i="60" s="1"/>
  <c r="BJ65" i="60" s="1"/>
  <c r="BF39" i="1"/>
  <c r="BF38" i="1"/>
  <c r="BQ37" i="60"/>
  <c r="AI62" i="60"/>
  <c r="BN62" i="60"/>
  <c r="BR62" i="60" s="1"/>
  <c r="BM62" i="60"/>
  <c r="BQ62" i="60" s="1"/>
  <c r="V151" i="36"/>
  <c r="P136" i="36"/>
  <c r="BE36" i="24"/>
  <c r="BF36" i="24"/>
  <c r="BG36" i="24"/>
  <c r="BK36" i="24" s="1"/>
  <c r="BE35" i="24"/>
  <c r="BF35" i="24"/>
  <c r="BF31" i="24"/>
  <c r="BG31" i="24"/>
  <c r="BE31" i="24"/>
  <c r="L34" i="53"/>
  <c r="AM50" i="33"/>
  <c r="AL50" i="33"/>
  <c r="CC20" i="25"/>
  <c r="AK62" i="25"/>
  <c r="V142" i="36" s="1"/>
  <c r="AC47" i="25"/>
  <c r="AC32" i="25"/>
  <c r="AC88" i="25" s="1"/>
  <c r="AC60" i="25"/>
  <c r="AC116" i="25" s="1"/>
  <c r="AC46" i="25"/>
  <c r="AC102" i="25" s="1"/>
  <c r="AC54" i="25"/>
  <c r="AC43" i="25"/>
  <c r="BB14" i="10"/>
  <c r="BB15" i="10" s="1"/>
  <c r="AM71" i="10"/>
  <c r="BA71" i="10" s="1"/>
  <c r="CE62" i="25"/>
  <c r="AJ11" i="30"/>
  <c r="AM12" i="30" s="1"/>
  <c r="BH11" i="25"/>
  <c r="BM11" i="25" s="1"/>
  <c r="AN12" i="30"/>
  <c r="AP12" i="30" s="1"/>
  <c r="BH10" i="25"/>
  <c r="BM10" i="25" s="1"/>
  <c r="BF27" i="7"/>
  <c r="CC39" i="25"/>
  <c r="CC38" i="25"/>
  <c r="CG62" i="25"/>
  <c r="CG12" i="25"/>
  <c r="BC61" i="1"/>
  <c r="BG61" i="1" s="1"/>
  <c r="J61" i="24"/>
  <c r="O61" i="24" s="1"/>
  <c r="Q61" i="1"/>
  <c r="V61" i="1" s="1"/>
  <c r="Y61" i="1" s="1"/>
  <c r="BB61" i="1"/>
  <c r="BF61" i="1" s="1"/>
  <c r="X61" i="1"/>
  <c r="P238" i="36" s="1"/>
  <c r="G62" i="1"/>
  <c r="BD61" i="1"/>
  <c r="BH61" i="1" s="1"/>
  <c r="L62" i="1"/>
  <c r="BD62" i="1" s="1"/>
  <c r="N64" i="60"/>
  <c r="AM61" i="13"/>
  <c r="K63" i="1"/>
  <c r="AH60" i="19"/>
  <c r="BH60" i="1"/>
  <c r="BC40" i="34"/>
  <c r="BG32" i="26"/>
  <c r="BF33" i="26"/>
  <c r="BF32" i="26"/>
  <c r="BH33" i="26"/>
  <c r="BH32" i="26"/>
  <c r="J34" i="29"/>
  <c r="L34" i="29"/>
  <c r="AV34" i="29"/>
  <c r="BH35" i="26"/>
  <c r="BH34" i="26"/>
  <c r="J32" i="29"/>
  <c r="L32" i="29"/>
  <c r="AV32" i="29"/>
  <c r="BF34" i="26"/>
  <c r="BF35" i="26"/>
  <c r="BN35" i="26" s="1"/>
  <c r="J31" i="29"/>
  <c r="L31" i="29"/>
  <c r="L30" i="24"/>
  <c r="BE30" i="24" s="1"/>
  <c r="L52" i="34"/>
  <c r="BB52" i="34" s="1"/>
  <c r="N52" i="34"/>
  <c r="S52" i="34" s="1"/>
  <c r="AX52" i="34" s="1"/>
  <c r="BG35" i="34"/>
  <c r="BG34" i="34"/>
  <c r="L34" i="24"/>
  <c r="N36" i="24"/>
  <c r="C45" i="13"/>
  <c r="J47" i="34" s="1"/>
  <c r="AC46" i="13"/>
  <c r="O52" i="34"/>
  <c r="I40" i="24"/>
  <c r="BD40" i="34"/>
  <c r="Q40" i="34"/>
  <c r="BF32" i="34"/>
  <c r="BF33" i="34"/>
  <c r="BC32" i="34"/>
  <c r="BD32" i="34"/>
  <c r="I32" i="24"/>
  <c r="Q32" i="34"/>
  <c r="L41" i="34"/>
  <c r="BC41" i="34" s="1"/>
  <c r="O41" i="34"/>
  <c r="BH66" i="34"/>
  <c r="BH65" i="34"/>
  <c r="BG66" i="34"/>
  <c r="BG65" i="34"/>
  <c r="Z56" i="13"/>
  <c r="B55" i="13"/>
  <c r="I57" i="34" s="1"/>
  <c r="AC56" i="13"/>
  <c r="C55" i="13"/>
  <c r="J57" i="34" s="1"/>
  <c r="Z52" i="13"/>
  <c r="B51" i="13"/>
  <c r="I53" i="34" s="1"/>
  <c r="BF34" i="34"/>
  <c r="BF35" i="34"/>
  <c r="BH34" i="34"/>
  <c r="BH35" i="34"/>
  <c r="BD44" i="34"/>
  <c r="BC44" i="34"/>
  <c r="BB44" i="34"/>
  <c r="Q44" i="34"/>
  <c r="I44" i="24"/>
  <c r="BC38" i="34"/>
  <c r="I38" i="24"/>
  <c r="Q38" i="34"/>
  <c r="BD38" i="34"/>
  <c r="BD45" i="34"/>
  <c r="Q45" i="34"/>
  <c r="I45" i="24"/>
  <c r="BB39" i="34"/>
  <c r="BF39" i="34" s="1"/>
  <c r="I39" i="24"/>
  <c r="BC39" i="34"/>
  <c r="BD39" i="34"/>
  <c r="Q39" i="34"/>
  <c r="I37" i="24"/>
  <c r="BB37" i="34"/>
  <c r="BF37" i="34" s="1"/>
  <c r="BD37" i="34"/>
  <c r="BH37" i="34" s="1"/>
  <c r="BC37" i="34"/>
  <c r="BG37" i="34" s="1"/>
  <c r="Q37" i="34"/>
  <c r="J74" i="34"/>
  <c r="F45" i="53"/>
  <c r="N45" i="53" s="1"/>
  <c r="O46" i="34"/>
  <c r="L46" i="34"/>
  <c r="C51" i="13"/>
  <c r="J53" i="34" s="1"/>
  <c r="AC52" i="13"/>
  <c r="BF40" i="34"/>
  <c r="C40" i="13"/>
  <c r="J42" i="34" s="1"/>
  <c r="AC41" i="13"/>
  <c r="C41" i="13" s="1"/>
  <c r="J43" i="34" s="1"/>
  <c r="BH31" i="34"/>
  <c r="BG31" i="34"/>
  <c r="N56" i="24"/>
  <c r="AQ37" i="34"/>
  <c r="AZ28" i="33"/>
  <c r="AQ53" i="34"/>
  <c r="AS53" i="34" s="1"/>
  <c r="AQ52" i="34"/>
  <c r="BE48" i="10"/>
  <c r="AO33" i="24"/>
  <c r="AS34" i="24" s="1"/>
  <c r="BN50" i="26"/>
  <c r="AI18" i="30"/>
  <c r="AL19" i="30" s="1"/>
  <c r="AM17" i="30"/>
  <c r="BA37" i="10"/>
  <c r="AU69" i="26"/>
  <c r="AN32" i="10"/>
  <c r="BE32" i="10" s="1"/>
  <c r="AM18" i="30"/>
  <c r="AL18" i="30"/>
  <c r="BN57" i="26"/>
  <c r="BF21" i="25"/>
  <c r="BF22" i="25"/>
  <c r="BC21" i="25"/>
  <c r="BH21" i="25" s="1"/>
  <c r="BC22" i="25"/>
  <c r="BH22" i="25" s="1"/>
  <c r="BN22" i="25" s="1"/>
  <c r="BE21" i="25"/>
  <c r="BL21" i="25" s="1"/>
  <c r="BE22" i="25"/>
  <c r="BD21" i="25"/>
  <c r="BK21" i="25" s="1"/>
  <c r="BD22" i="25"/>
  <c r="AM22" i="10"/>
  <c r="AU60" i="1"/>
  <c r="AT56" i="1"/>
  <c r="BN59" i="26"/>
  <c r="AX24" i="32"/>
  <c r="AZ24" i="33"/>
  <c r="AL67" i="29"/>
  <c r="AM67" i="29" s="1"/>
  <c r="AQ54" i="34"/>
  <c r="AS54" i="34" s="1"/>
  <c r="BL20" i="25"/>
  <c r="AQ51" i="34"/>
  <c r="AU51" i="34" s="1"/>
  <c r="BN23" i="25"/>
  <c r="AU59" i="34"/>
  <c r="D33" i="32"/>
  <c r="AN58" i="24"/>
  <c r="AR59" i="24" s="1"/>
  <c r="AM58" i="24"/>
  <c r="AQ59" i="24" s="1"/>
  <c r="AS55" i="26"/>
  <c r="BN33" i="26"/>
  <c r="AT55" i="26"/>
  <c r="BN34" i="26"/>
  <c r="AT72" i="26"/>
  <c r="O37" i="26"/>
  <c r="G37" i="26"/>
  <c r="AK37" i="26" s="1"/>
  <c r="AO37" i="26" s="1"/>
  <c r="P38" i="26"/>
  <c r="AJ36" i="26"/>
  <c r="AN36" i="26" s="1"/>
  <c r="D36" i="29"/>
  <c r="L36" i="29" s="1"/>
  <c r="Q36" i="26"/>
  <c r="AL36" i="26"/>
  <c r="AP36" i="26" s="1"/>
  <c r="BC37" i="19"/>
  <c r="K36" i="14"/>
  <c r="F39" i="26" s="1"/>
  <c r="P39" i="26" s="1"/>
  <c r="BB36" i="19"/>
  <c r="J36" i="14" s="1"/>
  <c r="E38" i="26"/>
  <c r="L35" i="14"/>
  <c r="BR26" i="24"/>
  <c r="BZ26" i="24"/>
  <c r="BV26" i="24"/>
  <c r="AW26" i="24"/>
  <c r="G26" i="32"/>
  <c r="AN26" i="32" s="1"/>
  <c r="BJ48" i="1"/>
  <c r="AM68" i="33"/>
  <c r="AM34" i="33"/>
  <c r="AZ34" i="33" s="1"/>
  <c r="AL67" i="33"/>
  <c r="AJ40" i="33"/>
  <c r="AL40" i="33" s="1"/>
  <c r="CD33" i="25"/>
  <c r="AK46" i="25"/>
  <c r="V126" i="36" s="1"/>
  <c r="CE59" i="25"/>
  <c r="CF33" i="25"/>
  <c r="AK47" i="25"/>
  <c r="AK31" i="25"/>
  <c r="V111" i="36" s="1"/>
  <c r="AK63" i="25"/>
  <c r="AK61" i="25"/>
  <c r="P126" i="36" s="1"/>
  <c r="AK48" i="25"/>
  <c r="BS71" i="25"/>
  <c r="AA127" i="25"/>
  <c r="AU61" i="1"/>
  <c r="AL72" i="29"/>
  <c r="Q31" i="57"/>
  <c r="AT59" i="34"/>
  <c r="AX23" i="32"/>
  <c r="AQ29" i="1"/>
  <c r="AS29" i="1" s="1"/>
  <c r="AU72" i="26"/>
  <c r="BN72" i="26" s="1"/>
  <c r="BI13" i="24"/>
  <c r="BV13" i="24" s="1"/>
  <c r="BW13" i="24" s="1"/>
  <c r="AZ43" i="29"/>
  <c r="AZ56" i="29"/>
  <c r="AX72" i="34"/>
  <c r="BA18" i="10"/>
  <c r="AN72" i="10"/>
  <c r="BE72" i="10" s="1"/>
  <c r="AC27" i="25"/>
  <c r="AC71" i="25"/>
  <c r="BE40" i="10"/>
  <c r="BA40" i="10"/>
  <c r="E72" i="30"/>
  <c r="AX71" i="25"/>
  <c r="AW71" i="25"/>
  <c r="AZ71" i="25"/>
  <c r="BA71" i="25"/>
  <c r="W71" i="25"/>
  <c r="AM70" i="33"/>
  <c r="CE20" i="25"/>
  <c r="AY71" i="25"/>
  <c r="BA41" i="10"/>
  <c r="O398" i="36"/>
  <c r="B46" i="32"/>
  <c r="AN23" i="30"/>
  <c r="AQ23" i="30" s="1"/>
  <c r="AY13" i="32"/>
  <c r="AW13" i="32"/>
  <c r="BR11" i="32"/>
  <c r="BS11" i="32" s="1"/>
  <c r="BZ11" i="32"/>
  <c r="CA11" i="32" s="1"/>
  <c r="AT22" i="32"/>
  <c r="AT21" i="32"/>
  <c r="AS21" i="32"/>
  <c r="AS22" i="32"/>
  <c r="AU16" i="32"/>
  <c r="AM14" i="30"/>
  <c r="AM13" i="30"/>
  <c r="AX13" i="32"/>
  <c r="AU14" i="32"/>
  <c r="AW14" i="32" s="1"/>
  <c r="AX11" i="32"/>
  <c r="BZ20" i="32"/>
  <c r="BR20" i="32"/>
  <c r="AI21" i="30"/>
  <c r="AJ21" i="30"/>
  <c r="AM22" i="30" s="1"/>
  <c r="AU17" i="32"/>
  <c r="AW17" i="32" s="1"/>
  <c r="AY17" i="32"/>
  <c r="AL14" i="30"/>
  <c r="AL13" i="30"/>
  <c r="AI10" i="30"/>
  <c r="AL11" i="30" s="1"/>
  <c r="AX20" i="32"/>
  <c r="AY11" i="32"/>
  <c r="BN56" i="1"/>
  <c r="AK71" i="29"/>
  <c r="AK72" i="29"/>
  <c r="AX18" i="32"/>
  <c r="AS56" i="26"/>
  <c r="BN56" i="26" s="1"/>
  <c r="AW71" i="7"/>
  <c r="AW72" i="7"/>
  <c r="DE38" i="25"/>
  <c r="DA39" i="25"/>
  <c r="N21" i="53"/>
  <c r="O20" i="53" s="1"/>
  <c r="CE17" i="25"/>
  <c r="BA27" i="10"/>
  <c r="AC24" i="25"/>
  <c r="AC11" i="25"/>
  <c r="AK45" i="25"/>
  <c r="AK36" i="25"/>
  <c r="V116" i="36" s="1"/>
  <c r="AK58" i="25"/>
  <c r="AK38" i="25"/>
  <c r="V118" i="36" s="1"/>
  <c r="AK30" i="25"/>
  <c r="V110" i="36" s="1"/>
  <c r="AK50" i="25"/>
  <c r="AK34" i="25"/>
  <c r="V114" i="36" s="1"/>
  <c r="AK40" i="25"/>
  <c r="V120" i="36" s="1"/>
  <c r="AK35" i="25"/>
  <c r="V115" i="36" s="1"/>
  <c r="AK56" i="25"/>
  <c r="AK39" i="25"/>
  <c r="V119" i="36" s="1"/>
  <c r="AK65" i="25"/>
  <c r="AK52" i="25"/>
  <c r="AK54" i="25"/>
  <c r="AK60" i="25"/>
  <c r="AK51" i="25"/>
  <c r="AK43" i="25"/>
  <c r="V123" i="36" s="1"/>
  <c r="AK55" i="25"/>
  <c r="AK53" i="25"/>
  <c r="AK57" i="25"/>
  <c r="AK32" i="25"/>
  <c r="V112" i="36" s="1"/>
  <c r="AK59" i="25"/>
  <c r="AK64" i="25"/>
  <c r="AK42" i="25"/>
  <c r="V122" i="36" s="1"/>
  <c r="AK37" i="25"/>
  <c r="V117" i="36" s="1"/>
  <c r="CF17" i="25"/>
  <c r="AC12" i="25"/>
  <c r="G16" i="53"/>
  <c r="G17" i="53"/>
  <c r="G19" i="53"/>
  <c r="G18" i="53"/>
  <c r="AC19" i="25"/>
  <c r="AC31" i="25"/>
  <c r="AC87" i="25" s="1"/>
  <c r="AC13" i="25"/>
  <c r="AC22" i="25"/>
  <c r="AC39" i="25"/>
  <c r="AC29" i="25"/>
  <c r="BU30" i="25" s="1"/>
  <c r="AC51" i="25"/>
  <c r="AC21" i="25"/>
  <c r="AC64" i="25"/>
  <c r="AC23" i="25"/>
  <c r="BU23" i="25" s="1"/>
  <c r="AC56" i="25"/>
  <c r="AC112" i="25" s="1"/>
  <c r="AC36" i="25"/>
  <c r="AC45" i="25"/>
  <c r="AC49" i="25"/>
  <c r="AC40" i="25"/>
  <c r="AC37" i="25"/>
  <c r="AC50" i="25"/>
  <c r="AC63" i="25"/>
  <c r="AC35" i="25"/>
  <c r="AC15" i="25"/>
  <c r="AC9" i="25"/>
  <c r="AC41" i="25"/>
  <c r="AC42" i="25"/>
  <c r="AC67" i="25"/>
  <c r="AC14" i="25"/>
  <c r="BU14" i="25" s="1"/>
  <c r="AC17" i="25"/>
  <c r="AC10" i="25"/>
  <c r="AC18" i="25"/>
  <c r="BU18" i="25" s="1"/>
  <c r="AC57" i="25"/>
  <c r="AC38" i="25"/>
  <c r="AC65" i="25"/>
  <c r="AC52" i="25"/>
  <c r="AC34" i="25"/>
  <c r="AC53" i="25"/>
  <c r="AC69" i="25"/>
  <c r="AC48" i="25"/>
  <c r="AC104" i="25" s="1"/>
  <c r="AC33" i="25"/>
  <c r="AC89" i="25" s="1"/>
  <c r="AC66" i="25"/>
  <c r="AC20" i="25"/>
  <c r="BU20" i="25" s="1"/>
  <c r="AC25" i="25"/>
  <c r="BU25" i="25" s="1"/>
  <c r="AC62" i="25"/>
  <c r="AC118" i="25" s="1"/>
  <c r="AC16" i="25"/>
  <c r="BU16" i="25" s="1"/>
  <c r="AC28" i="25"/>
  <c r="AC68" i="25"/>
  <c r="AC44" i="25"/>
  <c r="AC100" i="25" s="1"/>
  <c r="AC59" i="25"/>
  <c r="CD17" i="25"/>
  <c r="AC26" i="25"/>
  <c r="BU26" i="25" s="1"/>
  <c r="I74" i="30"/>
  <c r="AX49" i="30" s="1"/>
  <c r="AK33" i="25"/>
  <c r="V113" i="36" s="1"/>
  <c r="CC17" i="25"/>
  <c r="J26" i="30"/>
  <c r="BE27" i="10"/>
  <c r="BN32" i="26"/>
  <c r="BO32" i="26" s="1"/>
  <c r="BO33" i="26" s="1"/>
  <c r="BO34" i="26" s="1"/>
  <c r="BN66" i="26"/>
  <c r="BN51" i="26"/>
  <c r="AU57" i="1"/>
  <c r="BN67" i="26"/>
  <c r="BN54" i="26"/>
  <c r="BN65" i="26"/>
  <c r="BN48" i="1"/>
  <c r="BJ28" i="1"/>
  <c r="BN28" i="1"/>
  <c r="BJ29" i="1"/>
  <c r="BN29" i="1"/>
  <c r="BJ31" i="1"/>
  <c r="AQ34" i="1"/>
  <c r="AS34" i="1" s="1"/>
  <c r="AQ55" i="1"/>
  <c r="AS55" i="1" s="1"/>
  <c r="AQ50" i="1"/>
  <c r="AS50" i="1" s="1"/>
  <c r="AQ33" i="1"/>
  <c r="AS33" i="1" s="1"/>
  <c r="AQ45" i="1"/>
  <c r="AS45" i="1" s="1"/>
  <c r="AU53" i="1"/>
  <c r="AU44" i="1"/>
  <c r="AQ39" i="1"/>
  <c r="AS39" i="1" s="1"/>
  <c r="AQ43" i="1"/>
  <c r="AS43" i="1" s="1"/>
  <c r="AT27" i="1"/>
  <c r="AS27" i="1"/>
  <c r="AQ58" i="1"/>
  <c r="AS58" i="1" s="1"/>
  <c r="AU52" i="1"/>
  <c r="BJ52" i="1" s="1"/>
  <c r="AT60" i="1"/>
  <c r="BJ60" i="1" s="1"/>
  <c r="AQ59" i="1"/>
  <c r="AS59" i="1" s="1"/>
  <c r="AQ38" i="1"/>
  <c r="AS38" i="1" s="1"/>
  <c r="AQ46" i="1"/>
  <c r="AS46" i="1" s="1"/>
  <c r="AT33" i="1"/>
  <c r="AU45" i="1"/>
  <c r="AU1" i="1" s="1"/>
  <c r="BD1" i="1" s="1"/>
  <c r="AT53" i="1"/>
  <c r="BN53" i="1" s="1"/>
  <c r="AT61" i="1"/>
  <c r="AU40" i="1"/>
  <c r="AT44" i="1"/>
  <c r="BN44" i="1" s="1"/>
  <c r="BJ26" i="1"/>
  <c r="BK26" i="1" s="1"/>
  <c r="BN26" i="1"/>
  <c r="AQ42" i="1"/>
  <c r="AS42" i="1" s="1"/>
  <c r="AQ54" i="1"/>
  <c r="AS54" i="1" s="1"/>
  <c r="AQ37" i="1"/>
  <c r="AS37" i="1" s="1"/>
  <c r="AQ41" i="1"/>
  <c r="AS41" i="1" s="1"/>
  <c r="AT49" i="1"/>
  <c r="AT36" i="1"/>
  <c r="AQ35" i="1"/>
  <c r="AS35" i="1" s="1"/>
  <c r="AQ47" i="1"/>
  <c r="AS47" i="1" s="1"/>
  <c r="AT55" i="1"/>
  <c r="AQ51" i="1"/>
  <c r="AS51" i="1" s="1"/>
  <c r="AU58" i="1"/>
  <c r="AU49" i="1"/>
  <c r="AT57" i="1"/>
  <c r="BJ57" i="1" s="1"/>
  <c r="AU36" i="1"/>
  <c r="AT40" i="1"/>
  <c r="AN19" i="10"/>
  <c r="BE19" i="10" s="1"/>
  <c r="BE71" i="10"/>
  <c r="CD21" i="25"/>
  <c r="CD22" i="25"/>
  <c r="BG18" i="25"/>
  <c r="BG17" i="25"/>
  <c r="BE18" i="25"/>
  <c r="BE17" i="25"/>
  <c r="BD18" i="25"/>
  <c r="BD17" i="25"/>
  <c r="AM25" i="30"/>
  <c r="CE21" i="25"/>
  <c r="CE22" i="25"/>
  <c r="CC22" i="25"/>
  <c r="CC21" i="25"/>
  <c r="CF22" i="25"/>
  <c r="CF21" i="25"/>
  <c r="BC18" i="25"/>
  <c r="BH18" i="25" s="1"/>
  <c r="BJ18" i="25" s="1"/>
  <c r="BC17" i="25"/>
  <c r="BH17" i="25" s="1"/>
  <c r="BJ17" i="25" s="1"/>
  <c r="BF18" i="25"/>
  <c r="BM18" i="25" s="1"/>
  <c r="BF17" i="25"/>
  <c r="BM17" i="25" s="1"/>
  <c r="BE66" i="10"/>
  <c r="BA66" i="10"/>
  <c r="R56" i="19"/>
  <c r="J69" i="1"/>
  <c r="M70" i="60"/>
  <c r="AJ65" i="19"/>
  <c r="O66" i="1"/>
  <c r="T66" i="1" s="1"/>
  <c r="AY66" i="1" s="1"/>
  <c r="L11" i="32"/>
  <c r="BF11" i="32" s="1"/>
  <c r="L13" i="32"/>
  <c r="BF13" i="32" s="1"/>
  <c r="AJ66" i="33"/>
  <c r="AM66" i="33" s="1"/>
  <c r="BF15" i="32"/>
  <c r="BJ15" i="32" s="1"/>
  <c r="BV15" i="32" s="1"/>
  <c r="BG15" i="32"/>
  <c r="BK15" i="32" s="1"/>
  <c r="H15" i="30"/>
  <c r="J15" i="30" s="1"/>
  <c r="BH15" i="32"/>
  <c r="BL15" i="32" s="1"/>
  <c r="BI16" i="24"/>
  <c r="BV16" i="24" s="1"/>
  <c r="AX1" i="1"/>
  <c r="BJ56" i="1"/>
  <c r="BR20" i="24"/>
  <c r="BZ20" i="24"/>
  <c r="BR18" i="32"/>
  <c r="BZ18" i="32"/>
  <c r="BR12" i="32"/>
  <c r="BS12" i="32" s="1"/>
  <c r="BZ12" i="32"/>
  <c r="CA12" i="32" s="1"/>
  <c r="BR14" i="24"/>
  <c r="BZ14" i="24"/>
  <c r="AN19" i="30"/>
  <c r="AQ19" i="30" s="1"/>
  <c r="BR13" i="24"/>
  <c r="BS13" i="24" s="1"/>
  <c r="BZ13" i="24"/>
  <c r="CA13" i="24" s="1"/>
  <c r="BR18" i="24"/>
  <c r="BZ18" i="24"/>
  <c r="BV14" i="24"/>
  <c r="AN18" i="30"/>
  <c r="AQ18" i="30" s="1"/>
  <c r="AN17" i="30"/>
  <c r="AQ17" i="30" s="1"/>
  <c r="AJ15" i="30"/>
  <c r="AM16" i="30" s="1"/>
  <c r="AL15" i="30"/>
  <c r="AL16" i="30"/>
  <c r="BH14" i="25"/>
  <c r="BJ14" i="25" s="1"/>
  <c r="AP58" i="29"/>
  <c r="BK58" i="29" s="1"/>
  <c r="BH15" i="25"/>
  <c r="BM15" i="25" s="1"/>
  <c r="BU46" i="25"/>
  <c r="BU55" i="25"/>
  <c r="BU33" i="25"/>
  <c r="BU60" i="25"/>
  <c r="BL26" i="25"/>
  <c r="BM26" i="25"/>
  <c r="BU70" i="25"/>
  <c r="AC126" i="25"/>
  <c r="CW26" i="25"/>
  <c r="CO26" i="25"/>
  <c r="U65" i="13"/>
  <c r="I64" i="33"/>
  <c r="BK26" i="25"/>
  <c r="J63" i="33"/>
  <c r="AT63" i="33" s="1"/>
  <c r="T605" i="36"/>
  <c r="P605" i="36" s="1"/>
  <c r="M63" i="33"/>
  <c r="Q63" i="33" s="1"/>
  <c r="Q604" i="36"/>
  <c r="AQ62" i="33"/>
  <c r="AS62" i="33"/>
  <c r="AV62" i="33" s="1"/>
  <c r="T62" i="33"/>
  <c r="P269" i="36" s="1"/>
  <c r="AT62" i="33"/>
  <c r="AW62" i="33" s="1"/>
  <c r="K64" i="32"/>
  <c r="P64" i="32" s="1"/>
  <c r="P126" i="32" s="1"/>
  <c r="N62" i="33"/>
  <c r="R62" i="33" s="1"/>
  <c r="U62" i="33" s="1"/>
  <c r="CC48" i="25"/>
  <c r="CE63" i="25"/>
  <c r="CF63" i="25"/>
  <c r="CD62" i="25"/>
  <c r="BT66" i="25"/>
  <c r="AD19" i="54"/>
  <c r="M41" i="18"/>
  <c r="AM63" i="33"/>
  <c r="AL63" i="33"/>
  <c r="AM24" i="30"/>
  <c r="BM23" i="25"/>
  <c r="AN30" i="7"/>
  <c r="AM70" i="10"/>
  <c r="BE70" i="10" s="1"/>
  <c r="I5" i="54"/>
  <c r="J9" i="54"/>
  <c r="J7" i="54"/>
  <c r="J5" i="54"/>
  <c r="I8" i="54"/>
  <c r="I6" i="54"/>
  <c r="J8" i="54"/>
  <c r="J6" i="54"/>
  <c r="I9" i="54"/>
  <c r="I7" i="54"/>
  <c r="AZ50" i="29"/>
  <c r="AZ61" i="29"/>
  <c r="AM39" i="33"/>
  <c r="BD39" i="33" s="1"/>
  <c r="AL64" i="33"/>
  <c r="AY49" i="29"/>
  <c r="AM65" i="33"/>
  <c r="AL65" i="33"/>
  <c r="AY60" i="29"/>
  <c r="AY61" i="29"/>
  <c r="AZ46" i="29"/>
  <c r="AZ45" i="29"/>
  <c r="AJ56" i="33"/>
  <c r="AL56" i="33" s="1"/>
  <c r="AY52" i="29"/>
  <c r="AY51" i="29"/>
  <c r="AJ53" i="33"/>
  <c r="AM53" i="33" s="1"/>
  <c r="AJ69" i="33"/>
  <c r="AL69" i="33" s="1"/>
  <c r="AY50" i="29"/>
  <c r="AZ66" i="29"/>
  <c r="AY42" i="29"/>
  <c r="AZ67" i="29"/>
  <c r="AZ68" i="29"/>
  <c r="AM62" i="33"/>
  <c r="AX47" i="34"/>
  <c r="AX63" i="34"/>
  <c r="O51" i="32"/>
  <c r="O113" i="32" s="1"/>
  <c r="AZ61" i="33"/>
  <c r="O62" i="32"/>
  <c r="O124" i="32" s="1"/>
  <c r="AL36" i="33"/>
  <c r="BD36" i="33" s="1"/>
  <c r="AY62" i="29"/>
  <c r="AY63" i="29"/>
  <c r="AY56" i="29"/>
  <c r="AZ53" i="29"/>
  <c r="AJ55" i="33"/>
  <c r="AM55" i="33" s="1"/>
  <c r="AL44" i="33"/>
  <c r="AM44" i="33"/>
  <c r="AY67" i="29"/>
  <c r="AY68" i="29"/>
  <c r="AZ51" i="29"/>
  <c r="AY48" i="29"/>
  <c r="AJ54" i="33"/>
  <c r="AM54" i="33" s="1"/>
  <c r="AZ39" i="29"/>
  <c r="AZ38" i="29"/>
  <c r="AZ62" i="29"/>
  <c r="AZ63" i="29"/>
  <c r="AM57" i="33"/>
  <c r="AZ57" i="33" s="1"/>
  <c r="AZ57" i="29"/>
  <c r="AL47" i="33"/>
  <c r="AZ48" i="29"/>
  <c r="AY39" i="29"/>
  <c r="AZ70" i="29"/>
  <c r="AX45" i="34"/>
  <c r="AN33" i="24"/>
  <c r="AR34" i="24" s="1"/>
  <c r="AM33" i="24"/>
  <c r="AT29" i="1"/>
  <c r="AM29" i="24"/>
  <c r="D29" i="32"/>
  <c r="AQ30" i="1"/>
  <c r="AS30" i="1" s="1"/>
  <c r="AN29" i="24"/>
  <c r="AU29" i="1"/>
  <c r="AU32" i="1"/>
  <c r="AS32" i="1"/>
  <c r="AT32" i="1"/>
  <c r="BJ31" i="34"/>
  <c r="BK31" i="34" s="1"/>
  <c r="AQ32" i="24"/>
  <c r="AJ49" i="33"/>
  <c r="AM49" i="33" s="1"/>
  <c r="AM58" i="33"/>
  <c r="BD58" i="33" s="1"/>
  <c r="AL41" i="33"/>
  <c r="AJ43" i="33"/>
  <c r="AM40" i="33"/>
  <c r="AJ48" i="33"/>
  <c r="AM48" i="33" s="1"/>
  <c r="AJ42" i="33"/>
  <c r="AL42" i="33" s="1"/>
  <c r="BJ21" i="32"/>
  <c r="J17" i="30"/>
  <c r="H18" i="30"/>
  <c r="BG18" i="32"/>
  <c r="BK19" i="32" s="1"/>
  <c r="BH18" i="32"/>
  <c r="AY70" i="29"/>
  <c r="AY71" i="29"/>
  <c r="BJ24" i="32"/>
  <c r="BV24" i="32" s="1"/>
  <c r="BJ25" i="32"/>
  <c r="H16" i="30"/>
  <c r="BG16" i="32"/>
  <c r="BH16" i="32"/>
  <c r="H23" i="30"/>
  <c r="BH23" i="32"/>
  <c r="BL23" i="32" s="1"/>
  <c r="BG23" i="32"/>
  <c r="BK23" i="32" s="1"/>
  <c r="H21" i="30"/>
  <c r="BH21" i="32"/>
  <c r="BG21" i="32"/>
  <c r="BF18" i="32"/>
  <c r="H20" i="30"/>
  <c r="BH20" i="32"/>
  <c r="BG20" i="32"/>
  <c r="BK20" i="32" s="1"/>
  <c r="BH24" i="32"/>
  <c r="BG24" i="32"/>
  <c r="H24" i="30"/>
  <c r="L43" i="53"/>
  <c r="BF16" i="32"/>
  <c r="AK55" i="29"/>
  <c r="AK56" i="29"/>
  <c r="AK65" i="29"/>
  <c r="AK64" i="29"/>
  <c r="AW23" i="32"/>
  <c r="BV23" i="32" s="1"/>
  <c r="AT64" i="26"/>
  <c r="AS64" i="26"/>
  <c r="AU48" i="26"/>
  <c r="AS48" i="26"/>
  <c r="AT48" i="26"/>
  <c r="AP54" i="29"/>
  <c r="BK54" i="29" s="1"/>
  <c r="AU49" i="26"/>
  <c r="AK53" i="29"/>
  <c r="AM53" i="29" s="1"/>
  <c r="AO53" i="29" s="1"/>
  <c r="AQ47" i="34"/>
  <c r="AS47" i="34" s="1"/>
  <c r="BA70" i="10"/>
  <c r="AL55" i="29"/>
  <c r="AL56" i="29"/>
  <c r="AL65" i="29"/>
  <c r="AL64" i="29"/>
  <c r="AT49" i="26"/>
  <c r="BN49" i="26" s="1"/>
  <c r="AM59" i="29"/>
  <c r="AO59" i="29" s="1"/>
  <c r="BO31" i="34"/>
  <c r="BA69" i="10"/>
  <c r="C56" i="18"/>
  <c r="E59" i="7" s="1"/>
  <c r="M59" i="7" s="1"/>
  <c r="Q59" i="7" s="1"/>
  <c r="AR59" i="7" s="1"/>
  <c r="AN61" i="24"/>
  <c r="AO61" i="24"/>
  <c r="D61" i="32"/>
  <c r="AR65" i="7"/>
  <c r="AR66" i="7"/>
  <c r="AM29" i="33"/>
  <c r="D37" i="32"/>
  <c r="AN37" i="24"/>
  <c r="AO37" i="24"/>
  <c r="AS38" i="24" s="1"/>
  <c r="D40" i="32"/>
  <c r="AN40" i="24"/>
  <c r="AR40" i="24" s="1"/>
  <c r="AO40" i="24"/>
  <c r="AS40" i="24" s="1"/>
  <c r="BD35" i="33"/>
  <c r="AZ35" i="33"/>
  <c r="AM36" i="24"/>
  <c r="BD29" i="33"/>
  <c r="AZ29" i="33"/>
  <c r="D31" i="32"/>
  <c r="AO31" i="24"/>
  <c r="AS32" i="24" s="1"/>
  <c r="Q31" i="24"/>
  <c r="AN31" i="24"/>
  <c r="AR32" i="24" s="1"/>
  <c r="AM61" i="24"/>
  <c r="AS40" i="34"/>
  <c r="AM37" i="24"/>
  <c r="AQ38" i="24" s="1"/>
  <c r="AM40" i="24"/>
  <c r="AQ41" i="24" s="1"/>
  <c r="AT40" i="34"/>
  <c r="AB67" i="25"/>
  <c r="AB123" i="25" s="1"/>
  <c r="U123" i="25"/>
  <c r="BU48" i="25"/>
  <c r="AC103" i="25"/>
  <c r="BU54" i="25"/>
  <c r="AC110" i="25"/>
  <c r="AC99" i="25"/>
  <c r="AC61" i="25"/>
  <c r="V117" i="25"/>
  <c r="BU58" i="25"/>
  <c r="AC114" i="25"/>
  <c r="AU58" i="34"/>
  <c r="AN35" i="24"/>
  <c r="AR35" i="24" s="1"/>
  <c r="Q35" i="24"/>
  <c r="AM35" i="24"/>
  <c r="AQ35" i="24" s="1"/>
  <c r="AO35" i="24"/>
  <c r="AS35" i="24" s="1"/>
  <c r="D35" i="32"/>
  <c r="N35" i="32" s="1"/>
  <c r="N97" i="32" s="1"/>
  <c r="AT33" i="34"/>
  <c r="AT34" i="34"/>
  <c r="CD63" i="25"/>
  <c r="CF62" i="25"/>
  <c r="AW70" i="7"/>
  <c r="P21" i="53"/>
  <c r="Q16" i="53" s="1"/>
  <c r="P111" i="36"/>
  <c r="P112" i="36"/>
  <c r="V127" i="36"/>
  <c r="P127" i="36"/>
  <c r="H21" i="53"/>
  <c r="I16" i="53" s="1"/>
  <c r="P128" i="36"/>
  <c r="V143" i="36"/>
  <c r="V141" i="36"/>
  <c r="P113" i="36"/>
  <c r="V128" i="36"/>
  <c r="BW69" i="25"/>
  <c r="BZ69" i="25"/>
  <c r="BX69" i="25"/>
  <c r="CA69" i="25"/>
  <c r="BY69" i="25"/>
  <c r="I70" i="30"/>
  <c r="AX70" i="30" s="1"/>
  <c r="AK69" i="25"/>
  <c r="P68" i="25"/>
  <c r="T452" i="36"/>
  <c r="P452" i="36" s="1"/>
  <c r="CG63" i="25"/>
  <c r="CA66" i="25"/>
  <c r="CG66" i="25" s="1"/>
  <c r="BX66" i="25"/>
  <c r="CD66" i="25" s="1"/>
  <c r="BY66" i="25"/>
  <c r="CE66" i="25" s="1"/>
  <c r="I67" i="30"/>
  <c r="AX67" i="30" s="1"/>
  <c r="BZ66" i="25"/>
  <c r="CF66" i="25" s="1"/>
  <c r="AK66" i="25"/>
  <c r="BW66" i="25"/>
  <c r="CC66" i="25" s="1"/>
  <c r="AR71" i="7"/>
  <c r="BZ67" i="25"/>
  <c r="BX67" i="25"/>
  <c r="BY67" i="25"/>
  <c r="CA67" i="25"/>
  <c r="I68" i="30"/>
  <c r="AK67" i="25"/>
  <c r="BW67" i="25"/>
  <c r="P70" i="25"/>
  <c r="BW70" i="25" s="1"/>
  <c r="CC71" i="25" s="1"/>
  <c r="AQ57" i="34"/>
  <c r="AT57" i="34" s="1"/>
  <c r="AS69" i="26"/>
  <c r="BN69" i="26" s="1"/>
  <c r="AQ57" i="24"/>
  <c r="AT36" i="34"/>
  <c r="AS36" i="34"/>
  <c r="AT37" i="34"/>
  <c r="AS37" i="34"/>
  <c r="AQ48" i="24"/>
  <c r="AT63" i="26"/>
  <c r="AN59" i="32"/>
  <c r="AP59" i="32"/>
  <c r="AO59" i="32"/>
  <c r="D59" i="30"/>
  <c r="AT68" i="34"/>
  <c r="AN56" i="24"/>
  <c r="D56" i="32"/>
  <c r="N56" i="32" s="1"/>
  <c r="N118" i="32" s="1"/>
  <c r="AO56" i="24"/>
  <c r="AN36" i="24"/>
  <c r="AO36" i="24"/>
  <c r="D36" i="32"/>
  <c r="AU36" i="34"/>
  <c r="G58" i="32"/>
  <c r="AN58" i="32" s="1"/>
  <c r="AU68" i="34"/>
  <c r="AQ61" i="34"/>
  <c r="AU61" i="34" s="1"/>
  <c r="AN48" i="24"/>
  <c r="D48" i="32"/>
  <c r="AO48" i="24"/>
  <c r="AT67" i="34"/>
  <c r="AM42" i="24"/>
  <c r="AQ42" i="24" s="1"/>
  <c r="AN42" i="24"/>
  <c r="AR42" i="24" s="1"/>
  <c r="D42" i="32"/>
  <c r="AO42" i="24"/>
  <c r="AN57" i="24"/>
  <c r="D57" i="32"/>
  <c r="G57" i="32" s="1"/>
  <c r="AO57" i="24"/>
  <c r="AU37" i="34"/>
  <c r="AQ58" i="24"/>
  <c r="AQ60" i="34"/>
  <c r="AS60" i="34" s="1"/>
  <c r="AU67" i="34"/>
  <c r="AZ36" i="33"/>
  <c r="BL22" i="25"/>
  <c r="BE60" i="10"/>
  <c r="AM59" i="33"/>
  <c r="AL59" i="33"/>
  <c r="AT38" i="34"/>
  <c r="AT60" i="26"/>
  <c r="BJ22" i="25"/>
  <c r="BK22" i="25"/>
  <c r="BJ19" i="25"/>
  <c r="AX49" i="34"/>
  <c r="BE59" i="10"/>
  <c r="AP53" i="29"/>
  <c r="BK53" i="29" s="1"/>
  <c r="AQ66" i="34"/>
  <c r="AS66" i="34" s="1"/>
  <c r="DF68" i="25"/>
  <c r="DH68" i="25" s="1"/>
  <c r="DG68" i="25"/>
  <c r="DI68" i="25" s="1"/>
  <c r="AK62" i="29"/>
  <c r="AK63" i="29"/>
  <c r="BE68" i="10"/>
  <c r="AS62" i="26"/>
  <c r="AT62" i="26"/>
  <c r="AU62" i="26"/>
  <c r="AQ65" i="34"/>
  <c r="AT65" i="34" s="1"/>
  <c r="AM56" i="10"/>
  <c r="BE56" i="10" s="1"/>
  <c r="BA60" i="10"/>
  <c r="AL62" i="29"/>
  <c r="AL63" i="29"/>
  <c r="CW12" i="25"/>
  <c r="CO12" i="25"/>
  <c r="AP70" i="29"/>
  <c r="AL71" i="29"/>
  <c r="AU63" i="26"/>
  <c r="U515" i="36"/>
  <c r="R515" i="36" s="1"/>
  <c r="U68" i="25"/>
  <c r="Q514" i="36"/>
  <c r="BD61" i="33"/>
  <c r="AL60" i="33"/>
  <c r="AO57" i="29"/>
  <c r="BK57" i="29" s="1"/>
  <c r="M49" i="29"/>
  <c r="F49" i="29"/>
  <c r="U526" i="36"/>
  <c r="AP66" i="29"/>
  <c r="AO66" i="29"/>
  <c r="AK52" i="29"/>
  <c r="AL52" i="29"/>
  <c r="AI50" i="29"/>
  <c r="AL51" i="29" s="1"/>
  <c r="AH50" i="29"/>
  <c r="N50" i="29"/>
  <c r="E50" i="32"/>
  <c r="O50" i="32" s="1"/>
  <c r="O112" i="32" s="1"/>
  <c r="D52" i="30"/>
  <c r="AN52" i="32"/>
  <c r="AP52" i="32"/>
  <c r="M45" i="14"/>
  <c r="E48" i="29" s="1"/>
  <c r="AY44" i="19"/>
  <c r="AU32" i="34"/>
  <c r="AU35" i="34"/>
  <c r="AX68" i="34"/>
  <c r="L56" i="32"/>
  <c r="CC24" i="25"/>
  <c r="CC25" i="25"/>
  <c r="AM31" i="10"/>
  <c r="CC61" i="25"/>
  <c r="CC62" i="25"/>
  <c r="BA32" i="10"/>
  <c r="BE49" i="10"/>
  <c r="BA49" i="10"/>
  <c r="CG25" i="25"/>
  <c r="CG24" i="25"/>
  <c r="CD25" i="25"/>
  <c r="CD24" i="25"/>
  <c r="CE25" i="25"/>
  <c r="CE24" i="25"/>
  <c r="CF25" i="25"/>
  <c r="CF24" i="25"/>
  <c r="AM52" i="33"/>
  <c r="AL52" i="33"/>
  <c r="BL23" i="25"/>
  <c r="BJ20" i="25"/>
  <c r="CO20" i="25" s="1"/>
  <c r="AJ30" i="33"/>
  <c r="AM30" i="33" s="1"/>
  <c r="CD45" i="25"/>
  <c r="CD44" i="25"/>
  <c r="CF42" i="25"/>
  <c r="AL46" i="33"/>
  <c r="AM38" i="33"/>
  <c r="AZ38" i="33" s="1"/>
  <c r="CD26" i="25"/>
  <c r="CD27" i="25"/>
  <c r="CE26" i="25"/>
  <c r="CE27" i="25"/>
  <c r="BA63" i="10"/>
  <c r="BE63" i="10"/>
  <c r="CG42" i="25"/>
  <c r="AM62" i="10"/>
  <c r="BA62" i="10" s="1"/>
  <c r="AM29" i="10"/>
  <c r="BA29" i="10" s="1"/>
  <c r="AL37" i="33"/>
  <c r="CE45" i="25"/>
  <c r="CE44" i="25"/>
  <c r="CG45" i="25"/>
  <c r="CG44" i="25"/>
  <c r="CF45" i="25"/>
  <c r="CF44" i="25"/>
  <c r="AL32" i="33"/>
  <c r="AM51" i="33"/>
  <c r="BD51" i="33" s="1"/>
  <c r="AM45" i="33"/>
  <c r="BD45" i="33" s="1"/>
  <c r="CE42" i="25"/>
  <c r="AJ33" i="33"/>
  <c r="AL33" i="33" s="1"/>
  <c r="AJ31" i="33"/>
  <c r="AM31" i="33" s="1"/>
  <c r="AX64" i="30"/>
  <c r="CF26" i="25"/>
  <c r="CF27" i="25"/>
  <c r="CC26" i="25"/>
  <c r="CS26" i="25" s="1"/>
  <c r="CC27" i="25"/>
  <c r="CD42" i="25"/>
  <c r="BJ23" i="25"/>
  <c r="CW23" i="25" s="1"/>
  <c r="BK23" i="25"/>
  <c r="AX47" i="30"/>
  <c r="AN28" i="10"/>
  <c r="BE28" i="10" s="1"/>
  <c r="CC11" i="25"/>
  <c r="CC12" i="25"/>
  <c r="CS12" i="25" s="1"/>
  <c r="CE11" i="25"/>
  <c r="CE12" i="25"/>
  <c r="BE34" i="10"/>
  <c r="AM61" i="10"/>
  <c r="BA44" i="10"/>
  <c r="BE44" i="10"/>
  <c r="AX48" i="30"/>
  <c r="CF47" i="25"/>
  <c r="CF48" i="25"/>
  <c r="BD27" i="25"/>
  <c r="BD28" i="25"/>
  <c r="BC28" i="25"/>
  <c r="BC27" i="25"/>
  <c r="AM57" i="10"/>
  <c r="BE33" i="10"/>
  <c r="BA56" i="10"/>
  <c r="CD11" i="25"/>
  <c r="CD12" i="25"/>
  <c r="CF11" i="25"/>
  <c r="CF12" i="25"/>
  <c r="CE47" i="25"/>
  <c r="CE48" i="25"/>
  <c r="CD47" i="25"/>
  <c r="CD48" i="25"/>
  <c r="CG48" i="25"/>
  <c r="CG47" i="25"/>
  <c r="CC47" i="25"/>
  <c r="BE28" i="25"/>
  <c r="BE27" i="25"/>
  <c r="BF28" i="25"/>
  <c r="BF27" i="25"/>
  <c r="AN55" i="10"/>
  <c r="BA55" i="10" s="1"/>
  <c r="BE29" i="10"/>
  <c r="AX33" i="34"/>
  <c r="AX39" i="34"/>
  <c r="AX41" i="34"/>
  <c r="AX35" i="34"/>
  <c r="AX37" i="34"/>
  <c r="AS42" i="24"/>
  <c r="L28" i="32"/>
  <c r="AU41" i="34"/>
  <c r="AS42" i="34"/>
  <c r="G54" i="32"/>
  <c r="AU33" i="34"/>
  <c r="AS51" i="34"/>
  <c r="N33" i="32"/>
  <c r="N95" i="32" s="1"/>
  <c r="L33" i="32"/>
  <c r="AR41" i="24"/>
  <c r="J27" i="30"/>
  <c r="AT41" i="34"/>
  <c r="AT42" i="34"/>
  <c r="AP67" i="29"/>
  <c r="AO67" i="29"/>
  <c r="AS65" i="34"/>
  <c r="AT52" i="34"/>
  <c r="AS52" i="34"/>
  <c r="AQ51" i="24"/>
  <c r="AQ52" i="24"/>
  <c r="AQ54" i="24"/>
  <c r="AQ53" i="24"/>
  <c r="AQ56" i="24"/>
  <c r="AQ55" i="24"/>
  <c r="AI24" i="30"/>
  <c r="AL24" i="30" s="1"/>
  <c r="AN24" i="30" s="1"/>
  <c r="AP24" i="30" s="1"/>
  <c r="O67" i="32"/>
  <c r="O129" i="32" s="1"/>
  <c r="AT54" i="34"/>
  <c r="BM19" i="25"/>
  <c r="AS45" i="34"/>
  <c r="AU64" i="34"/>
  <c r="AU55" i="34"/>
  <c r="AT51" i="34"/>
  <c r="AX69" i="34"/>
  <c r="AX32" i="34"/>
  <c r="AX48" i="34"/>
  <c r="AX34" i="34"/>
  <c r="AX40" i="34"/>
  <c r="AX64" i="34"/>
  <c r="AX42" i="34"/>
  <c r="AX36" i="34"/>
  <c r="AX38" i="34"/>
  <c r="AX67" i="34"/>
  <c r="AX65" i="34"/>
  <c r="AP23" i="30"/>
  <c r="BM22" i="25"/>
  <c r="BF29" i="25"/>
  <c r="F30" i="30"/>
  <c r="AI30" i="30" s="1"/>
  <c r="BG29" i="25"/>
  <c r="AM20" i="30"/>
  <c r="AM21" i="30"/>
  <c r="AU53" i="34"/>
  <c r="AT45" i="34"/>
  <c r="AX51" i="34"/>
  <c r="AM49" i="24"/>
  <c r="AQ49" i="24" s="1"/>
  <c r="AN49" i="24"/>
  <c r="AO49" i="24"/>
  <c r="AS49" i="24" s="1"/>
  <c r="D49" i="32"/>
  <c r="AX43" i="34"/>
  <c r="BM20" i="25"/>
  <c r="D47" i="32"/>
  <c r="AN47" i="24"/>
  <c r="AO47" i="24"/>
  <c r="AX44" i="34"/>
  <c r="AT63" i="34"/>
  <c r="AT55" i="34"/>
  <c r="AU52" i="34"/>
  <c r="G74" i="24"/>
  <c r="AM46" i="24"/>
  <c r="AO46" i="24"/>
  <c r="AS46" i="24" s="1"/>
  <c r="D46" i="32"/>
  <c r="AN46" i="24"/>
  <c r="AR46" i="24" s="1"/>
  <c r="AN43" i="24"/>
  <c r="AR43" i="24" s="1"/>
  <c r="AO43" i="24"/>
  <c r="AS43" i="24" s="1"/>
  <c r="D43" i="32"/>
  <c r="AX70" i="34"/>
  <c r="AU46" i="34"/>
  <c r="AS46" i="34"/>
  <c r="AT53" i="34"/>
  <c r="D53" i="32"/>
  <c r="AO53" i="24"/>
  <c r="AN53" i="24"/>
  <c r="D50" i="32"/>
  <c r="AO50" i="24"/>
  <c r="AS50" i="24" s="1"/>
  <c r="AN50" i="24"/>
  <c r="CW22" i="25"/>
  <c r="CS22" i="25"/>
  <c r="CO22" i="25"/>
  <c r="CW19" i="25"/>
  <c r="CS19" i="25"/>
  <c r="CO19" i="25"/>
  <c r="AU63" i="34"/>
  <c r="AX50" i="34"/>
  <c r="AQ48" i="34"/>
  <c r="AS48" i="34" s="1"/>
  <c r="AQ56" i="34"/>
  <c r="AU56" i="34" s="1"/>
  <c r="BE30" i="7"/>
  <c r="BA30" i="7"/>
  <c r="BE29" i="25"/>
  <c r="BD29" i="25"/>
  <c r="BK19" i="25"/>
  <c r="AU54" i="34"/>
  <c r="AQ50" i="34"/>
  <c r="AM44" i="24"/>
  <c r="D44" i="32"/>
  <c r="AO44" i="24"/>
  <c r="AN44" i="24"/>
  <c r="CS23" i="25"/>
  <c r="CO23" i="25"/>
  <c r="CW20" i="25"/>
  <c r="BL19" i="25"/>
  <c r="AQ44" i="34"/>
  <c r="AT64" i="34"/>
  <c r="BN64" i="34" s="1"/>
  <c r="AN55" i="24"/>
  <c r="AO55" i="24"/>
  <c r="D55" i="32"/>
  <c r="AN51" i="24"/>
  <c r="L20" i="57" s="1"/>
  <c r="D51" i="32"/>
  <c r="AO51" i="24"/>
  <c r="Q51" i="24"/>
  <c r="AT46" i="34"/>
  <c r="AX46" i="34"/>
  <c r="AI25" i="30"/>
  <c r="AT39" i="34"/>
  <c r="AS61" i="26"/>
  <c r="AT61" i="26"/>
  <c r="D262" i="43"/>
  <c r="AU39" i="34"/>
  <c r="BA45" i="10"/>
  <c r="BE45" i="10"/>
  <c r="AS68" i="26"/>
  <c r="AT68" i="26"/>
  <c r="AL68" i="29"/>
  <c r="AM68" i="29" s="1"/>
  <c r="AO68" i="29" s="1"/>
  <c r="AL69" i="29"/>
  <c r="AM69" i="29" s="1"/>
  <c r="AO69" i="29" s="1"/>
  <c r="AU61" i="26"/>
  <c r="AQ61" i="24"/>
  <c r="AQ60" i="24"/>
  <c r="AU38" i="34"/>
  <c r="AU60" i="26"/>
  <c r="AR60" i="24"/>
  <c r="AR38" i="24"/>
  <c r="AR39" i="24"/>
  <c r="AS39" i="24"/>
  <c r="O68" i="32"/>
  <c r="O130" i="32" s="1"/>
  <c r="O60" i="32"/>
  <c r="O122" i="32" s="1"/>
  <c r="AL60" i="29"/>
  <c r="AM60" i="29" s="1"/>
  <c r="AO60" i="29" s="1"/>
  <c r="AL61" i="29"/>
  <c r="AS61" i="24"/>
  <c r="AS60" i="24"/>
  <c r="G60" i="32"/>
  <c r="N36" i="32"/>
  <c r="N98" i="32" s="1"/>
  <c r="L36" i="32"/>
  <c r="BF36" i="32" s="1"/>
  <c r="BN69" i="34"/>
  <c r="BR24" i="32"/>
  <c r="BZ24" i="32"/>
  <c r="AU25" i="32"/>
  <c r="AX25" i="32" s="1"/>
  <c r="BF16" i="10"/>
  <c r="BA23" i="33"/>
  <c r="BA24" i="33" s="1"/>
  <c r="BD34" i="33"/>
  <c r="CO24" i="25"/>
  <c r="CW24" i="25"/>
  <c r="CS24" i="25"/>
  <c r="AT35" i="34"/>
  <c r="BN35" i="34" s="1"/>
  <c r="AY24" i="32"/>
  <c r="AS32" i="34"/>
  <c r="CW25" i="25"/>
  <c r="CS25" i="25"/>
  <c r="CO25" i="25"/>
  <c r="AO27" i="32"/>
  <c r="AP27" i="32"/>
  <c r="D27" i="30"/>
  <c r="O71" i="32"/>
  <c r="O133" i="32" s="1"/>
  <c r="O70" i="32"/>
  <c r="O132" i="32" s="1"/>
  <c r="BF28" i="7"/>
  <c r="BD25" i="33"/>
  <c r="AZ25" i="33"/>
  <c r="AT27" i="24"/>
  <c r="AW27" i="24" s="1"/>
  <c r="AS34" i="34"/>
  <c r="BB16" i="10"/>
  <c r="L29" i="32"/>
  <c r="BF29" i="32" s="1"/>
  <c r="BJ29" i="24"/>
  <c r="BG12" i="32"/>
  <c r="H12" i="30"/>
  <c r="BH12" i="32"/>
  <c r="BG51" i="32"/>
  <c r="H51" i="30"/>
  <c r="BH51" i="32"/>
  <c r="AS33" i="24"/>
  <c r="AR33" i="24"/>
  <c r="BE14" i="33"/>
  <c r="BH62" i="1" l="1"/>
  <c r="BI49" i="60"/>
  <c r="BI54" i="60"/>
  <c r="BI62" i="60"/>
  <c r="BI43" i="60"/>
  <c r="AU37" i="1"/>
  <c r="AU50" i="1"/>
  <c r="AT42" i="1"/>
  <c r="AU59" i="1"/>
  <c r="BB46" i="60"/>
  <c r="BD46" i="60" s="1"/>
  <c r="BB39" i="60"/>
  <c r="BD39" i="60" s="1"/>
  <c r="BE36" i="60"/>
  <c r="BY36" i="60" s="1"/>
  <c r="BF49" i="60"/>
  <c r="BF52" i="60"/>
  <c r="AG50" i="60"/>
  <c r="AJ50" i="60" s="1"/>
  <c r="AG46" i="60"/>
  <c r="AJ46" i="60" s="1"/>
  <c r="BI68" i="60"/>
  <c r="BI65" i="60"/>
  <c r="BD44" i="60"/>
  <c r="AU43" i="1"/>
  <c r="AU46" i="1"/>
  <c r="BU44" i="60"/>
  <c r="BI72" i="60"/>
  <c r="BU36" i="60"/>
  <c r="AR50" i="24"/>
  <c r="BI60" i="60"/>
  <c r="BE29" i="60"/>
  <c r="BD37" i="60"/>
  <c r="BE37" i="60"/>
  <c r="BF38" i="60"/>
  <c r="BD38" i="60"/>
  <c r="BF35" i="60"/>
  <c r="BD35" i="60"/>
  <c r="BB56" i="60"/>
  <c r="BD56" i="60" s="1"/>
  <c r="BB58" i="60"/>
  <c r="BF58" i="60" s="1"/>
  <c r="BF39" i="60"/>
  <c r="BU31" i="60"/>
  <c r="BY31" i="60"/>
  <c r="AG44" i="60"/>
  <c r="AJ44" i="60" s="1"/>
  <c r="BI63" i="60"/>
  <c r="AG34" i="60"/>
  <c r="AJ34" i="60" s="1"/>
  <c r="BI55" i="60"/>
  <c r="BI35" i="60"/>
  <c r="BB53" i="60"/>
  <c r="BD53" i="60" s="1"/>
  <c r="BY44" i="60"/>
  <c r="BI61" i="60"/>
  <c r="AG53" i="60"/>
  <c r="AJ53" i="60" s="1"/>
  <c r="BF37" i="60"/>
  <c r="BY37" i="60" s="1"/>
  <c r="BI33" i="60"/>
  <c r="AG36" i="60"/>
  <c r="AJ36" i="60" s="1"/>
  <c r="AG32" i="60"/>
  <c r="AJ32" i="60" s="1"/>
  <c r="BB40" i="60"/>
  <c r="BI50" i="60"/>
  <c r="BF46" i="60"/>
  <c r="AG42" i="60"/>
  <c r="AJ42" i="60" s="1"/>
  <c r="BB55" i="60"/>
  <c r="BD55" i="60" s="1"/>
  <c r="BI53" i="60"/>
  <c r="BE58" i="60"/>
  <c r="BB51" i="60"/>
  <c r="BI38" i="60"/>
  <c r="BF34" i="60"/>
  <c r="BE59" i="60"/>
  <c r="BY59" i="60" s="1"/>
  <c r="BF31" i="60"/>
  <c r="AM28" i="24"/>
  <c r="AQ28" i="24" s="1"/>
  <c r="AT28" i="24" s="1"/>
  <c r="AV28" i="24" s="1"/>
  <c r="D28" i="32"/>
  <c r="G28" i="32" s="1"/>
  <c r="BD52" i="60"/>
  <c r="BY52" i="60" s="1"/>
  <c r="BD32" i="60"/>
  <c r="BD57" i="60"/>
  <c r="BD49" i="60"/>
  <c r="BY49" i="60" s="1"/>
  <c r="BI58" i="60"/>
  <c r="BN40" i="1"/>
  <c r="AU38" i="1"/>
  <c r="AU39" i="1"/>
  <c r="BF60" i="60"/>
  <c r="BD60" i="60"/>
  <c r="BE46" i="60"/>
  <c r="BY46" i="60" s="1"/>
  <c r="AG49" i="60"/>
  <c r="AJ49" i="60" s="1"/>
  <c r="AG37" i="60"/>
  <c r="AJ37" i="60" s="1"/>
  <c r="AG40" i="60"/>
  <c r="AJ40" i="60" s="1"/>
  <c r="AG60" i="60"/>
  <c r="AJ60" i="60" s="1"/>
  <c r="AG58" i="60"/>
  <c r="AJ58" i="60" s="1"/>
  <c r="AG59" i="60"/>
  <c r="AJ59" i="60" s="1"/>
  <c r="AG35" i="60"/>
  <c r="AJ35" i="60" s="1"/>
  <c r="AG31" i="60"/>
  <c r="AJ31" i="60" s="1"/>
  <c r="AG39" i="60"/>
  <c r="AJ39" i="60" s="1"/>
  <c r="AG57" i="60"/>
  <c r="AJ57" i="60" s="1"/>
  <c r="AG55" i="60"/>
  <c r="AJ55" i="60" s="1"/>
  <c r="AG47" i="60"/>
  <c r="AJ47" i="60" s="1"/>
  <c r="BE39" i="60"/>
  <c r="BE35" i="60"/>
  <c r="AG52" i="60"/>
  <c r="AJ52" i="60" s="1"/>
  <c r="BY29" i="60"/>
  <c r="BU29" i="60"/>
  <c r="BU49" i="60"/>
  <c r="AG45" i="60"/>
  <c r="AJ45" i="60" s="1"/>
  <c r="BI67" i="60"/>
  <c r="BI69" i="60"/>
  <c r="BI64" i="60"/>
  <c r="BI70" i="60"/>
  <c r="BE34" i="60"/>
  <c r="BU34" i="60" s="1"/>
  <c r="BB27" i="60"/>
  <c r="BD27" i="60" s="1"/>
  <c r="BE60" i="60"/>
  <c r="AG48" i="60"/>
  <c r="AJ48" i="60" s="1"/>
  <c r="BF57" i="60"/>
  <c r="BY45" i="60"/>
  <c r="AG41" i="60"/>
  <c r="AJ41" i="60" s="1"/>
  <c r="AG61" i="60"/>
  <c r="AJ61" i="60" s="1"/>
  <c r="AG33" i="60"/>
  <c r="AJ33" i="60" s="1"/>
  <c r="BB48" i="60"/>
  <c r="BD48" i="60" s="1"/>
  <c r="BY26" i="60"/>
  <c r="BZ26" i="60" s="1"/>
  <c r="BU26" i="60"/>
  <c r="BV26" i="60" s="1"/>
  <c r="BU59" i="60"/>
  <c r="BF55" i="60"/>
  <c r="AG51" i="60"/>
  <c r="AJ51" i="60" s="1"/>
  <c r="BB47" i="60"/>
  <c r="BE43" i="60"/>
  <c r="BY43" i="60" s="1"/>
  <c r="AG43" i="60"/>
  <c r="AJ43" i="60" s="1"/>
  <c r="BF29" i="60"/>
  <c r="BB61" i="60"/>
  <c r="BI45" i="60"/>
  <c r="BI1" i="60" s="1"/>
  <c r="BM1" i="60" s="1"/>
  <c r="BP1" i="60" s="1"/>
  <c r="BQ1" i="60" s="1"/>
  <c r="BE26" i="60"/>
  <c r="BB54" i="60"/>
  <c r="BD54" i="60" s="1"/>
  <c r="BB50" i="60"/>
  <c r="BD50" i="60" s="1"/>
  <c r="BI46" i="60"/>
  <c r="BE38" i="60"/>
  <c r="BB30" i="60"/>
  <c r="BD30" i="60" s="1"/>
  <c r="BI51" i="60"/>
  <c r="BE31" i="60"/>
  <c r="AG56" i="60"/>
  <c r="AJ56" i="60" s="1"/>
  <c r="BF41" i="60"/>
  <c r="BY41" i="60" s="1"/>
  <c r="BB33" i="60"/>
  <c r="BD33" i="60" s="1"/>
  <c r="BB42" i="60"/>
  <c r="BD42" i="60" s="1"/>
  <c r="AG38" i="60"/>
  <c r="AJ38" i="60" s="1"/>
  <c r="BW14" i="24"/>
  <c r="BW15" i="24" s="1"/>
  <c r="J35" i="32"/>
  <c r="AW35" i="29"/>
  <c r="AZ36" i="29" s="1"/>
  <c r="V35" i="29"/>
  <c r="BL20" i="32"/>
  <c r="BL19" i="32"/>
  <c r="BG41" i="34"/>
  <c r="AV35" i="29"/>
  <c r="AY36" i="29" s="1"/>
  <c r="E67" i="1"/>
  <c r="E67" i="60"/>
  <c r="O64" i="60"/>
  <c r="X62" i="60"/>
  <c r="AF62" i="60" s="1"/>
  <c r="BK62" i="60" s="1"/>
  <c r="G62" i="60"/>
  <c r="W66" i="60"/>
  <c r="AE66" i="60" s="1"/>
  <c r="BJ66" i="60" s="1"/>
  <c r="BN61" i="1"/>
  <c r="F63" i="1"/>
  <c r="G63" i="1" s="1"/>
  <c r="AL63" i="1" s="1"/>
  <c r="F63" i="60"/>
  <c r="AI63" i="60"/>
  <c r="BN63" i="60"/>
  <c r="BR63" i="60" s="1"/>
  <c r="BM63" i="60"/>
  <c r="BQ63" i="60" s="1"/>
  <c r="BJ36" i="24"/>
  <c r="BE34" i="24"/>
  <c r="BI34" i="24" s="1"/>
  <c r="BF34" i="24"/>
  <c r="BJ34" i="24" s="1"/>
  <c r="BG34" i="24"/>
  <c r="BI36" i="24"/>
  <c r="H34" i="24"/>
  <c r="H36" i="24"/>
  <c r="H38" i="24"/>
  <c r="H40" i="24"/>
  <c r="H42" i="24"/>
  <c r="H44" i="24"/>
  <c r="H31" i="24"/>
  <c r="H33" i="24"/>
  <c r="H35" i="24"/>
  <c r="H37" i="24"/>
  <c r="H39" i="24"/>
  <c r="H41" i="24"/>
  <c r="H43" i="24"/>
  <c r="H45" i="24"/>
  <c r="H32" i="24"/>
  <c r="BK31" i="24"/>
  <c r="BI31" i="24"/>
  <c r="BE62" i="10"/>
  <c r="BT67" i="25"/>
  <c r="AZ50" i="33"/>
  <c r="BD50" i="33"/>
  <c r="BJ11" i="25"/>
  <c r="CS11" i="25" s="1"/>
  <c r="AM11" i="30"/>
  <c r="BD38" i="33"/>
  <c r="AN11" i="30"/>
  <c r="AP11" i="30" s="1"/>
  <c r="BU43" i="25"/>
  <c r="AX42" i="30"/>
  <c r="AX68" i="30"/>
  <c r="BA68" i="30" s="1"/>
  <c r="BU44" i="25"/>
  <c r="BU56" i="25"/>
  <c r="BU47" i="25"/>
  <c r="BJ10" i="25"/>
  <c r="CO10" i="25" s="1"/>
  <c r="CP10" i="25" s="1"/>
  <c r="BL10" i="25"/>
  <c r="BL11" i="25"/>
  <c r="BK10" i="25"/>
  <c r="BK11" i="25"/>
  <c r="BP12" i="30"/>
  <c r="BH12" i="30"/>
  <c r="CW11" i="25"/>
  <c r="CO11" i="25"/>
  <c r="AQ12" i="30"/>
  <c r="BN10" i="25"/>
  <c r="BN11" i="25"/>
  <c r="CS10" i="25"/>
  <c r="CT10" i="25" s="1"/>
  <c r="BD62" i="33"/>
  <c r="BH39" i="34"/>
  <c r="BH45" i="34"/>
  <c r="L63" i="1"/>
  <c r="BD63" i="1" s="1"/>
  <c r="BH63" i="1" s="1"/>
  <c r="N65" i="60"/>
  <c r="K64" i="1"/>
  <c r="AM62" i="13"/>
  <c r="AH61" i="19"/>
  <c r="J62" i="24"/>
  <c r="BB62" i="1"/>
  <c r="BF62" i="1" s="1"/>
  <c r="BC62" i="1"/>
  <c r="BG62" i="1" s="1"/>
  <c r="X62" i="1"/>
  <c r="P239" i="36" s="1"/>
  <c r="P63" i="1"/>
  <c r="U63" i="1" s="1"/>
  <c r="AZ63" i="1" s="1"/>
  <c r="AL62" i="1"/>
  <c r="AP62" i="1" s="1"/>
  <c r="AJ62" i="1"/>
  <c r="AN62" i="1" s="1"/>
  <c r="E62" i="24"/>
  <c r="AK62" i="1"/>
  <c r="AO62" i="1" s="1"/>
  <c r="Q62" i="1"/>
  <c r="V62" i="1" s="1"/>
  <c r="Y62" i="1" s="1"/>
  <c r="AC62" i="1"/>
  <c r="S239" i="36" s="1"/>
  <c r="BC52" i="34"/>
  <c r="BI30" i="24"/>
  <c r="AV31" i="29"/>
  <c r="AY31" i="29" s="1"/>
  <c r="AW31" i="29"/>
  <c r="AZ31" i="29" s="1"/>
  <c r="V31" i="29"/>
  <c r="J31" i="32"/>
  <c r="AY33" i="29"/>
  <c r="J32" i="32"/>
  <c r="AW32" i="29"/>
  <c r="V32" i="29"/>
  <c r="AY34" i="29"/>
  <c r="AY35" i="29"/>
  <c r="J34" i="32"/>
  <c r="V34" i="29"/>
  <c r="AW34" i="29"/>
  <c r="BG39" i="34"/>
  <c r="BN39" i="34" s="1"/>
  <c r="BF52" i="34"/>
  <c r="O42" i="34"/>
  <c r="L42" i="34"/>
  <c r="BC42" i="34" s="1"/>
  <c r="BG42" i="34" s="1"/>
  <c r="C52" i="13"/>
  <c r="J54" i="34" s="1"/>
  <c r="AC53" i="13"/>
  <c r="C53" i="13" s="1"/>
  <c r="J55" i="34" s="1"/>
  <c r="BC46" i="34"/>
  <c r="BG46" i="34" s="1"/>
  <c r="L74" i="34"/>
  <c r="X46" i="34" s="1"/>
  <c r="P194" i="36" s="1"/>
  <c r="I46" i="24"/>
  <c r="BB46" i="34"/>
  <c r="BF46" i="34" s="1"/>
  <c r="BD46" i="34"/>
  <c r="BH46" i="34" s="1"/>
  <c r="Q46" i="34"/>
  <c r="N39" i="24"/>
  <c r="L39" i="24"/>
  <c r="L45" i="24"/>
  <c r="N45" i="24"/>
  <c r="BH38" i="34"/>
  <c r="BG38" i="34"/>
  <c r="L44" i="24"/>
  <c r="N44" i="24"/>
  <c r="BF45" i="34"/>
  <c r="L53" i="34"/>
  <c r="BB53" i="34" s="1"/>
  <c r="BF53" i="34" s="1"/>
  <c r="N53" i="34"/>
  <c r="S53" i="34" s="1"/>
  <c r="AX53" i="34" s="1"/>
  <c r="O57" i="34"/>
  <c r="N57" i="34"/>
  <c r="L57" i="34"/>
  <c r="I41" i="24"/>
  <c r="BD41" i="34"/>
  <c r="BH41" i="34" s="1"/>
  <c r="Q41" i="34"/>
  <c r="BB41" i="34"/>
  <c r="BF41" i="34" s="1"/>
  <c r="N32" i="24"/>
  <c r="L32" i="24"/>
  <c r="BH33" i="34"/>
  <c r="BH32" i="34"/>
  <c r="BH40" i="34"/>
  <c r="BG52" i="34"/>
  <c r="C46" i="13"/>
  <c r="J48" i="34" s="1"/>
  <c r="AC47" i="13"/>
  <c r="BG40" i="34"/>
  <c r="BF30" i="24"/>
  <c r="BJ31" i="24" s="1"/>
  <c r="I30" i="32"/>
  <c r="BF38" i="34"/>
  <c r="O43" i="34"/>
  <c r="L43" i="34"/>
  <c r="BC53" i="34"/>
  <c r="BG53" i="34" s="1"/>
  <c r="O53" i="34"/>
  <c r="O74" i="34"/>
  <c r="T41" i="34" s="1"/>
  <c r="N37" i="24"/>
  <c r="L37" i="24"/>
  <c r="N38" i="24"/>
  <c r="L38" i="24"/>
  <c r="BG45" i="34"/>
  <c r="Z53" i="13"/>
  <c r="B53" i="13" s="1"/>
  <c r="I55" i="34" s="1"/>
  <c r="B52" i="13"/>
  <c r="I54" i="34" s="1"/>
  <c r="AC57" i="13"/>
  <c r="C56" i="13"/>
  <c r="J58" i="34" s="1"/>
  <c r="Z57" i="13"/>
  <c r="B56" i="13"/>
  <c r="I58" i="34" s="1"/>
  <c r="BG33" i="34"/>
  <c r="BN33" i="34" s="1"/>
  <c r="BG32" i="34"/>
  <c r="BN32" i="34" s="1"/>
  <c r="BO32" i="34" s="1"/>
  <c r="L40" i="24"/>
  <c r="N40" i="24"/>
  <c r="T52" i="34"/>
  <c r="O47" i="34"/>
  <c r="L47" i="34"/>
  <c r="BC47" i="34" s="1"/>
  <c r="BG47" i="34" s="1"/>
  <c r="I34" i="32"/>
  <c r="Q34" i="24"/>
  <c r="I52" i="24"/>
  <c r="Q52" i="34"/>
  <c r="X52" i="34"/>
  <c r="P200" i="36" s="1"/>
  <c r="BD52" i="34"/>
  <c r="BK70" i="29"/>
  <c r="AT59" i="24"/>
  <c r="AV59" i="24" s="1"/>
  <c r="BN68" i="34"/>
  <c r="BE22" i="10"/>
  <c r="BA22" i="10"/>
  <c r="BJ21" i="25"/>
  <c r="BN21" i="25"/>
  <c r="BM21" i="25"/>
  <c r="BN55" i="26"/>
  <c r="O38" i="26"/>
  <c r="G38" i="26"/>
  <c r="AK38" i="26" s="1"/>
  <c r="AO38" i="26" s="1"/>
  <c r="L36" i="14"/>
  <c r="E39" i="26"/>
  <c r="BC38" i="19"/>
  <c r="BB37" i="19"/>
  <c r="J37" i="14" s="1"/>
  <c r="K37" i="14"/>
  <c r="F40" i="26" s="1"/>
  <c r="P40" i="26" s="1"/>
  <c r="AQ36" i="26"/>
  <c r="AJ37" i="26"/>
  <c r="AN37" i="26" s="1"/>
  <c r="Q37" i="26"/>
  <c r="D37" i="29"/>
  <c r="L37" i="29" s="1"/>
  <c r="AL37" i="26"/>
  <c r="AP37" i="26" s="1"/>
  <c r="AR26" i="32"/>
  <c r="AR27" i="32"/>
  <c r="AP26" i="32"/>
  <c r="AT26" i="32" s="1"/>
  <c r="D26" i="30"/>
  <c r="AO26" i="32"/>
  <c r="AS26" i="32" s="1"/>
  <c r="AL25" i="30"/>
  <c r="AN25" i="30" s="1"/>
  <c r="AP25" i="30" s="1"/>
  <c r="AR60" i="7"/>
  <c r="BN48" i="26"/>
  <c r="BU31" i="25"/>
  <c r="BU32" i="25"/>
  <c r="BJ61" i="1"/>
  <c r="AT34" i="1"/>
  <c r="BJ44" i="1"/>
  <c r="AN14" i="30"/>
  <c r="AP14" i="30" s="1"/>
  <c r="BH14" i="30" s="1"/>
  <c r="BU71" i="25"/>
  <c r="AC127" i="25"/>
  <c r="AT35" i="1"/>
  <c r="BJ53" i="1"/>
  <c r="Q24" i="57"/>
  <c r="L24" i="57"/>
  <c r="BA72" i="10"/>
  <c r="AX12" i="30"/>
  <c r="AX72" i="30"/>
  <c r="AN13" i="30"/>
  <c r="AP13" i="30" s="1"/>
  <c r="BP13" i="30" s="1"/>
  <c r="M72" i="30"/>
  <c r="O399" i="36"/>
  <c r="B47" i="32"/>
  <c r="AM15" i="30"/>
  <c r="BR14" i="32"/>
  <c r="BZ14" i="32"/>
  <c r="AQ11" i="30"/>
  <c r="AW16" i="32"/>
  <c r="AX16" i="32"/>
  <c r="AU21" i="32"/>
  <c r="AW21" i="32" s="1"/>
  <c r="BV21" i="32" s="1"/>
  <c r="AX14" i="32"/>
  <c r="BZ13" i="32"/>
  <c r="CA13" i="32" s="1"/>
  <c r="BR13" i="32"/>
  <c r="BS13" i="32" s="1"/>
  <c r="BS14" i="32" s="1"/>
  <c r="BS15" i="32" s="1"/>
  <c r="BH11" i="30"/>
  <c r="BI11" i="30" s="1"/>
  <c r="BI12" i="30" s="1"/>
  <c r="BP11" i="30"/>
  <c r="BQ11" i="30" s="1"/>
  <c r="BQ12" i="30" s="1"/>
  <c r="BP14" i="30"/>
  <c r="BR17" i="32"/>
  <c r="BZ17" i="32"/>
  <c r="AL22" i="30"/>
  <c r="AL21" i="30"/>
  <c r="AN21" i="30" s="1"/>
  <c r="AP21" i="30" s="1"/>
  <c r="BP21" i="30" s="1"/>
  <c r="AY14" i="32"/>
  <c r="AY16" i="32"/>
  <c r="AX17" i="32"/>
  <c r="AU22" i="32"/>
  <c r="AW22" i="32" s="1"/>
  <c r="AM72" i="29"/>
  <c r="AP72" i="29" s="1"/>
  <c r="BN64" i="26"/>
  <c r="DE39" i="25"/>
  <c r="DA40" i="25"/>
  <c r="BL15" i="25"/>
  <c r="BN14" i="25"/>
  <c r="BM14" i="25"/>
  <c r="BA19" i="10"/>
  <c r="BK14" i="25"/>
  <c r="AX46" i="30"/>
  <c r="BA47" i="30" s="1"/>
  <c r="AX21" i="30"/>
  <c r="BU29" i="25"/>
  <c r="BU28" i="25"/>
  <c r="AC125" i="25"/>
  <c r="BU69" i="25"/>
  <c r="BU34" i="25"/>
  <c r="AC90" i="25"/>
  <c r="AC121" i="25"/>
  <c r="BU65" i="25"/>
  <c r="BU57" i="25"/>
  <c r="AC113" i="25"/>
  <c r="AC98" i="25"/>
  <c r="BU42" i="25"/>
  <c r="BU10" i="25"/>
  <c r="AC91" i="25"/>
  <c r="BU35" i="25"/>
  <c r="AC106" i="25"/>
  <c r="BU50" i="25"/>
  <c r="AC96" i="25"/>
  <c r="BU40" i="25"/>
  <c r="AC101" i="25"/>
  <c r="BU45" i="25"/>
  <c r="AC120" i="25"/>
  <c r="BU64" i="25"/>
  <c r="AC107" i="25"/>
  <c r="BU51" i="25"/>
  <c r="AC95" i="25"/>
  <c r="BU39" i="25"/>
  <c r="BU19" i="25"/>
  <c r="AX27" i="30"/>
  <c r="AX45" i="30"/>
  <c r="P129" i="36"/>
  <c r="V144" i="36"/>
  <c r="V133" i="36"/>
  <c r="P118" i="36"/>
  <c r="P125" i="36"/>
  <c r="V140" i="36"/>
  <c r="P117" i="36"/>
  <c r="V132" i="36"/>
  <c r="P123" i="36"/>
  <c r="V138" i="36"/>
  <c r="P110" i="36"/>
  <c r="V125" i="36"/>
  <c r="T125" i="36" s="1"/>
  <c r="BU24" i="25"/>
  <c r="AX62" i="30"/>
  <c r="AX25" i="30"/>
  <c r="AZ39" i="33"/>
  <c r="AX23" i="30"/>
  <c r="AX51" i="30"/>
  <c r="AX35" i="30"/>
  <c r="AX24" i="30"/>
  <c r="AX15" i="30"/>
  <c r="AX10" i="30"/>
  <c r="AX57" i="30"/>
  <c r="AX29" i="30"/>
  <c r="AX37" i="30"/>
  <c r="AX11" i="30"/>
  <c r="AX28" i="30"/>
  <c r="AX16" i="30"/>
  <c r="AX59" i="30"/>
  <c r="AX31" i="30"/>
  <c r="AX39" i="30"/>
  <c r="AX36" i="30"/>
  <c r="AX30" i="30"/>
  <c r="AX40" i="30"/>
  <c r="AX61" i="30"/>
  <c r="AX52" i="30"/>
  <c r="BA52" i="30" s="1"/>
  <c r="AX66" i="30"/>
  <c r="AX44" i="30"/>
  <c r="AX53" i="30"/>
  <c r="AX55" i="30"/>
  <c r="AX41" i="30"/>
  <c r="AX56" i="30"/>
  <c r="BA56" i="30" s="1"/>
  <c r="AX19" i="30"/>
  <c r="AX43" i="30"/>
  <c r="BA43" i="30" s="1"/>
  <c r="AX60" i="30"/>
  <c r="BA60" i="30" s="1"/>
  <c r="AX38" i="30"/>
  <c r="AX65" i="30"/>
  <c r="BA65" i="30" s="1"/>
  <c r="AX58" i="30"/>
  <c r="AX54" i="30"/>
  <c r="BA54" i="30" s="1"/>
  <c r="AX33" i="30"/>
  <c r="AX18" i="30"/>
  <c r="AX14" i="30"/>
  <c r="AX26" i="30"/>
  <c r="BA26" i="30" s="1"/>
  <c r="AX17" i="30"/>
  <c r="BA17" i="30" s="1"/>
  <c r="AC115" i="25"/>
  <c r="BU59" i="25"/>
  <c r="BU68" i="25"/>
  <c r="AC124" i="25"/>
  <c r="BU66" i="25"/>
  <c r="AC122" i="25"/>
  <c r="BU53" i="25"/>
  <c r="AC109" i="25"/>
  <c r="AC108" i="25"/>
  <c r="BU52" i="25"/>
  <c r="AC94" i="25"/>
  <c r="BU38" i="25"/>
  <c r="BU17" i="25"/>
  <c r="AC123" i="25"/>
  <c r="BU67" i="25"/>
  <c r="AC97" i="25"/>
  <c r="BU41" i="25"/>
  <c r="BU15" i="25"/>
  <c r="AC119" i="25"/>
  <c r="BU63" i="25"/>
  <c r="AC93" i="25"/>
  <c r="BU37" i="25"/>
  <c r="AC105" i="25"/>
  <c r="BU49" i="25"/>
  <c r="BU36" i="25"/>
  <c r="AC92" i="25"/>
  <c r="BU22" i="25"/>
  <c r="BU21" i="25"/>
  <c r="AX22" i="30"/>
  <c r="AX32" i="30"/>
  <c r="BA32" i="30" s="1"/>
  <c r="BU13" i="25"/>
  <c r="BU12" i="25"/>
  <c r="AX34" i="30"/>
  <c r="P124" i="36"/>
  <c r="V139" i="36"/>
  <c r="V137" i="36"/>
  <c r="P122" i="36"/>
  <c r="P120" i="36"/>
  <c r="V135" i="36"/>
  <c r="P116" i="36"/>
  <c r="V131" i="36"/>
  <c r="V134" i="36"/>
  <c r="P119" i="36"/>
  <c r="P130" i="36"/>
  <c r="V145" i="36"/>
  <c r="P121" i="36"/>
  <c r="V136" i="36"/>
  <c r="P115" i="36"/>
  <c r="V130" i="36"/>
  <c r="BU11" i="25"/>
  <c r="AX20" i="30"/>
  <c r="O18" i="53"/>
  <c r="O16" i="53"/>
  <c r="O19" i="53"/>
  <c r="O17" i="53"/>
  <c r="AX63" i="30"/>
  <c r="BA63" i="30" s="1"/>
  <c r="AX13" i="30"/>
  <c r="BA13" i="30" s="1"/>
  <c r="BU27" i="25"/>
  <c r="BN32" i="1"/>
  <c r="AT47" i="1"/>
  <c r="BN36" i="1"/>
  <c r="AT37" i="1"/>
  <c r="AT54" i="1"/>
  <c r="AT43" i="1"/>
  <c r="AT39" i="1"/>
  <c r="BJ39" i="1" s="1"/>
  <c r="BN60" i="26"/>
  <c r="BN63" i="26"/>
  <c r="AT30" i="1"/>
  <c r="BJ49" i="1"/>
  <c r="BN57" i="1"/>
  <c r="AT41" i="1"/>
  <c r="BJ40" i="1"/>
  <c r="AT66" i="34"/>
  <c r="AT46" i="1"/>
  <c r="BN46" i="1" s="1"/>
  <c r="BJ27" i="1"/>
  <c r="BK27" i="1" s="1"/>
  <c r="BK28" i="1" s="1"/>
  <c r="BK29" i="1" s="1"/>
  <c r="BN27" i="1"/>
  <c r="AT59" i="1"/>
  <c r="BN59" i="1" s="1"/>
  <c r="AT45" i="1"/>
  <c r="BN45" i="1" s="1"/>
  <c r="AU33" i="1"/>
  <c r="BN33" i="1" s="1"/>
  <c r="AT58" i="1"/>
  <c r="BJ58" i="1" s="1"/>
  <c r="AT50" i="1"/>
  <c r="AU42" i="1"/>
  <c r="AU47" i="1"/>
  <c r="BN47" i="1" s="1"/>
  <c r="BJ46" i="1"/>
  <c r="BJ36" i="1"/>
  <c r="BN52" i="1"/>
  <c r="BN60" i="1"/>
  <c r="BN68" i="26"/>
  <c r="BN61" i="26"/>
  <c r="BN62" i="26"/>
  <c r="BJ30" i="1"/>
  <c r="BN30" i="1"/>
  <c r="BJ32" i="1"/>
  <c r="AT51" i="1"/>
  <c r="AU66" i="34"/>
  <c r="AU54" i="1"/>
  <c r="BJ54" i="1" s="1"/>
  <c r="AT38" i="1"/>
  <c r="AU51" i="1"/>
  <c r="AS1" i="1"/>
  <c r="BB1" i="1" s="1"/>
  <c r="AU41" i="1"/>
  <c r="BN41" i="1" s="1"/>
  <c r="BN50" i="1"/>
  <c r="AU34" i="1"/>
  <c r="AU55" i="1"/>
  <c r="BN55" i="1" s="1"/>
  <c r="AU35" i="1"/>
  <c r="BN49" i="1"/>
  <c r="BJ50" i="1"/>
  <c r="BN15" i="25"/>
  <c r="BK15" i="25"/>
  <c r="CO18" i="25"/>
  <c r="CW18" i="25"/>
  <c r="CS18" i="25"/>
  <c r="BK17" i="25"/>
  <c r="BL17" i="25"/>
  <c r="BN17" i="25"/>
  <c r="CS17" i="25"/>
  <c r="CO17" i="25"/>
  <c r="CW17" i="25"/>
  <c r="BK18" i="25"/>
  <c r="BL18" i="25"/>
  <c r="BN18" i="25"/>
  <c r="AL66" i="33"/>
  <c r="BJ14" i="32"/>
  <c r="BV14" i="32" s="1"/>
  <c r="BJ13" i="32"/>
  <c r="BV13" i="32" s="1"/>
  <c r="O67" i="1"/>
  <c r="T67" i="1" s="1"/>
  <c r="AY67" i="1" s="1"/>
  <c r="J70" i="1"/>
  <c r="AJ66" i="19"/>
  <c r="BJ11" i="32"/>
  <c r="BV11" i="32" s="1"/>
  <c r="BW11" i="32" s="1"/>
  <c r="BJ12" i="32"/>
  <c r="BV12" i="32" s="1"/>
  <c r="AM56" i="33"/>
  <c r="AZ56" i="33" s="1"/>
  <c r="BH13" i="32"/>
  <c r="BL14" i="32" s="1"/>
  <c r="H13" i="30"/>
  <c r="J13" i="30" s="1"/>
  <c r="BG13" i="32"/>
  <c r="BK14" i="32" s="1"/>
  <c r="BG11" i="32"/>
  <c r="BK11" i="32" s="1"/>
  <c r="H11" i="30"/>
  <c r="J11" i="30" s="1"/>
  <c r="BH11" i="32"/>
  <c r="BL11" i="32" s="1"/>
  <c r="AP17" i="30"/>
  <c r="AP18" i="30"/>
  <c r="BH18" i="30" s="1"/>
  <c r="AP19" i="30"/>
  <c r="BS14" i="24"/>
  <c r="BS15" i="24" s="1"/>
  <c r="BS16" i="24" s="1"/>
  <c r="BS17" i="24" s="1"/>
  <c r="BS18" i="24" s="1"/>
  <c r="BS19" i="24" s="1"/>
  <c r="BS20" i="24" s="1"/>
  <c r="BS21" i="24" s="1"/>
  <c r="BS22" i="24" s="1"/>
  <c r="BS23" i="24" s="1"/>
  <c r="BS24" i="24" s="1"/>
  <c r="BS25" i="24" s="1"/>
  <c r="BS26" i="24" s="1"/>
  <c r="CA14" i="24"/>
  <c r="CA15" i="24" s="1"/>
  <c r="CA16" i="24" s="1"/>
  <c r="CA17" i="24" s="1"/>
  <c r="CA18" i="24" s="1"/>
  <c r="CA19" i="24" s="1"/>
  <c r="CA20" i="24" s="1"/>
  <c r="CA21" i="24" s="1"/>
  <c r="CA22" i="24" s="1"/>
  <c r="CA23" i="24" s="1"/>
  <c r="CA24" i="24" s="1"/>
  <c r="CA25" i="24" s="1"/>
  <c r="CA26" i="24" s="1"/>
  <c r="BJ15" i="25"/>
  <c r="CO15" i="25" s="1"/>
  <c r="BH17" i="30"/>
  <c r="AZ44" i="33"/>
  <c r="BL14" i="25"/>
  <c r="AT42" i="24"/>
  <c r="AV42" i="24" s="1"/>
  <c r="AT35" i="24"/>
  <c r="AV35" i="24" s="1"/>
  <c r="AN15" i="30"/>
  <c r="AQ15" i="30" s="1"/>
  <c r="CS20" i="25"/>
  <c r="AT47" i="34"/>
  <c r="AU47" i="34"/>
  <c r="AU65" i="34"/>
  <c r="BN65" i="34" s="1"/>
  <c r="AT61" i="34"/>
  <c r="CW14" i="25"/>
  <c r="CO14" i="25"/>
  <c r="AN16" i="30"/>
  <c r="AQ16" i="30" s="1"/>
  <c r="CS14" i="25"/>
  <c r="Q605" i="36"/>
  <c r="AQ63" i="33"/>
  <c r="AZ63" i="33" s="1"/>
  <c r="AW63" i="33"/>
  <c r="M64" i="33"/>
  <c r="Q64" i="33" s="1"/>
  <c r="T606" i="36"/>
  <c r="P606" i="36" s="1"/>
  <c r="J64" i="33"/>
  <c r="AT64" i="33" s="1"/>
  <c r="AW64" i="33" s="1"/>
  <c r="T63" i="33"/>
  <c r="P270" i="36" s="1"/>
  <c r="N63" i="33"/>
  <c r="R63" i="33" s="1"/>
  <c r="U63" i="33" s="1"/>
  <c r="AS63" i="33"/>
  <c r="AV63" i="33" s="1"/>
  <c r="K65" i="32"/>
  <c r="U66" i="13"/>
  <c r="I65" i="33"/>
  <c r="AD18" i="54"/>
  <c r="M40" i="18"/>
  <c r="M7" i="54"/>
  <c r="M9" i="54"/>
  <c r="M11" i="54"/>
  <c r="M13" i="54"/>
  <c r="M15" i="54"/>
  <c r="M17" i="54"/>
  <c r="M19" i="54"/>
  <c r="M21" i="54"/>
  <c r="M23" i="54"/>
  <c r="M25" i="54"/>
  <c r="M27" i="54"/>
  <c r="M29" i="54"/>
  <c r="M31" i="54"/>
  <c r="M5" i="54"/>
  <c r="M6" i="54"/>
  <c r="M8" i="54"/>
  <c r="M10" i="54"/>
  <c r="M12" i="54"/>
  <c r="M14" i="54"/>
  <c r="M16" i="54"/>
  <c r="M18" i="54"/>
  <c r="M20" i="54"/>
  <c r="M22" i="54"/>
  <c r="M24" i="54"/>
  <c r="M26" i="54"/>
  <c r="M28" i="54"/>
  <c r="M30" i="54"/>
  <c r="BD47" i="33"/>
  <c r="AZ47" i="33"/>
  <c r="BD57" i="33"/>
  <c r="AM69" i="33"/>
  <c r="BL18" i="32"/>
  <c r="AL54" i="33"/>
  <c r="BD44" i="33"/>
  <c r="AL55" i="33"/>
  <c r="AL53" i="33"/>
  <c r="AZ62" i="33"/>
  <c r="AQ36" i="24"/>
  <c r="AQ34" i="24"/>
  <c r="AQ33" i="24"/>
  <c r="AW28" i="24"/>
  <c r="AR61" i="24"/>
  <c r="AT61" i="24" s="1"/>
  <c r="AX61" i="24" s="1"/>
  <c r="AR49" i="24"/>
  <c r="AS41" i="24"/>
  <c r="AS57" i="24"/>
  <c r="AR29" i="24"/>
  <c r="AR30" i="24"/>
  <c r="G29" i="32"/>
  <c r="AN29" i="32" s="1"/>
  <c r="AU30" i="1"/>
  <c r="AQ29" i="24"/>
  <c r="AT29" i="24" s="1"/>
  <c r="AV29" i="24" s="1"/>
  <c r="AQ30" i="24"/>
  <c r="AL49" i="33"/>
  <c r="BD49" i="33" s="1"/>
  <c r="AP59" i="29"/>
  <c r="AM42" i="33"/>
  <c r="BD42" i="33" s="1"/>
  <c r="AU57" i="34"/>
  <c r="BD41" i="33"/>
  <c r="AZ41" i="33"/>
  <c r="AZ58" i="33"/>
  <c r="AL48" i="33"/>
  <c r="AZ40" i="33"/>
  <c r="BD40" i="33"/>
  <c r="AM43" i="33"/>
  <c r="AL43" i="33"/>
  <c r="J24" i="30"/>
  <c r="BL24" i="32"/>
  <c r="BL25" i="32"/>
  <c r="J20" i="30"/>
  <c r="BL21" i="32"/>
  <c r="BL22" i="32"/>
  <c r="J23" i="30"/>
  <c r="BK17" i="32"/>
  <c r="BK16" i="32"/>
  <c r="BK18" i="32"/>
  <c r="BJ17" i="32"/>
  <c r="BV17" i="32" s="1"/>
  <c r="BJ16" i="32"/>
  <c r="BV16" i="32" s="1"/>
  <c r="BK24" i="32"/>
  <c r="BK25" i="32"/>
  <c r="BJ18" i="32"/>
  <c r="BV18" i="32" s="1"/>
  <c r="BJ19" i="32"/>
  <c r="BV19" i="32" s="1"/>
  <c r="BK21" i="32"/>
  <c r="BK22" i="32"/>
  <c r="J21" i="30"/>
  <c r="BL17" i="32"/>
  <c r="BL16" i="32"/>
  <c r="J16" i="30"/>
  <c r="J18" i="30"/>
  <c r="BR23" i="32"/>
  <c r="BZ23" i="32"/>
  <c r="AM65" i="29"/>
  <c r="AM55" i="29"/>
  <c r="AO55" i="29" s="1"/>
  <c r="BK59" i="29"/>
  <c r="AM64" i="29"/>
  <c r="AM56" i="29"/>
  <c r="AO56" i="29" s="1"/>
  <c r="AT38" i="24"/>
  <c r="AV38" i="24" s="1"/>
  <c r="AQ40" i="24"/>
  <c r="N31" i="32"/>
  <c r="N93" i="32" s="1"/>
  <c r="D31" i="53"/>
  <c r="L31" i="53"/>
  <c r="G61" i="32"/>
  <c r="AN61" i="32" s="1"/>
  <c r="BN40" i="34"/>
  <c r="AQ37" i="24"/>
  <c r="AL30" i="33"/>
  <c r="AZ30" i="33" s="1"/>
  <c r="AB68" i="25"/>
  <c r="AB124" i="25" s="1"/>
  <c r="U124" i="25"/>
  <c r="BU62" i="25"/>
  <c r="AC117" i="25"/>
  <c r="BU61" i="25"/>
  <c r="AS57" i="34"/>
  <c r="N31" i="53"/>
  <c r="F31" i="53"/>
  <c r="CC70" i="25"/>
  <c r="Q19" i="53"/>
  <c r="Q20" i="53"/>
  <c r="Q17" i="53"/>
  <c r="Q18" i="53"/>
  <c r="P132" i="36"/>
  <c r="V147" i="36"/>
  <c r="P131" i="36"/>
  <c r="V146" i="36"/>
  <c r="BW68" i="25"/>
  <c r="I69" i="30"/>
  <c r="AX69" i="30" s="1"/>
  <c r="BA70" i="30" s="1"/>
  <c r="CA68" i="25"/>
  <c r="CG69" i="25" s="1"/>
  <c r="BY68" i="25"/>
  <c r="CE68" i="25" s="1"/>
  <c r="BX68" i="25"/>
  <c r="CD69" i="25" s="1"/>
  <c r="BZ68" i="25"/>
  <c r="CF69" i="25" s="1"/>
  <c r="AK68" i="25"/>
  <c r="V149" i="36"/>
  <c r="P134" i="36"/>
  <c r="CE69" i="25"/>
  <c r="CC69" i="25"/>
  <c r="I20" i="53"/>
  <c r="I17" i="53"/>
  <c r="I18" i="53"/>
  <c r="I19" i="53"/>
  <c r="I71" i="30"/>
  <c r="AX71" i="30" s="1"/>
  <c r="BA71" i="30" s="1"/>
  <c r="BY70" i="25"/>
  <c r="BX70" i="25"/>
  <c r="BZ70" i="25"/>
  <c r="CA70" i="25"/>
  <c r="AK70" i="25"/>
  <c r="CG67" i="25"/>
  <c r="CG68" i="25"/>
  <c r="CD67" i="25"/>
  <c r="CD68" i="25"/>
  <c r="CC67" i="25"/>
  <c r="CC68" i="25"/>
  <c r="CE67" i="25"/>
  <c r="CF67" i="25"/>
  <c r="AW59" i="24"/>
  <c r="BN67" i="34"/>
  <c r="AS61" i="34"/>
  <c r="BH29" i="25"/>
  <c r="BJ29" i="25" s="1"/>
  <c r="BN41" i="34"/>
  <c r="AR58" i="24"/>
  <c r="AR57" i="24"/>
  <c r="AT60" i="34"/>
  <c r="AS58" i="24"/>
  <c r="AO58" i="32"/>
  <c r="AS59" i="32" s="1"/>
  <c r="AP58" i="32"/>
  <c r="AT59" i="32" s="1"/>
  <c r="D58" i="30"/>
  <c r="AS37" i="24"/>
  <c r="AS36" i="24"/>
  <c r="G56" i="32"/>
  <c r="AN56" i="32" s="1"/>
  <c r="AR59" i="32"/>
  <c r="BN37" i="34"/>
  <c r="AN57" i="32"/>
  <c r="AR58" i="32" s="1"/>
  <c r="AO57" i="32"/>
  <c r="AP57" i="32"/>
  <c r="D57" i="30"/>
  <c r="AQ43" i="24"/>
  <c r="AR37" i="24"/>
  <c r="AR36" i="24"/>
  <c r="AX59" i="24"/>
  <c r="AU60" i="34"/>
  <c r="BN36" i="34"/>
  <c r="AZ59" i="33"/>
  <c r="BD59" i="33"/>
  <c r="AY25" i="32"/>
  <c r="U69" i="25"/>
  <c r="DD69" i="25"/>
  <c r="AM71" i="29"/>
  <c r="AO71" i="29" s="1"/>
  <c r="AM63" i="29"/>
  <c r="AP63" i="29" s="1"/>
  <c r="U70" i="25"/>
  <c r="DD70" i="25"/>
  <c r="AM62" i="29"/>
  <c r="AO62" i="29" s="1"/>
  <c r="BT68" i="25"/>
  <c r="BD60" i="33"/>
  <c r="AZ60" i="33"/>
  <c r="U525" i="36"/>
  <c r="F48" i="29"/>
  <c r="M48" i="29"/>
  <c r="AM52" i="29"/>
  <c r="BK66" i="29"/>
  <c r="M44" i="14"/>
  <c r="E47" i="29" s="1"/>
  <c r="AY43" i="19"/>
  <c r="AK51" i="29"/>
  <c r="AM51" i="29" s="1"/>
  <c r="AO51" i="29" s="1"/>
  <c r="AI49" i="29"/>
  <c r="E49" i="32"/>
  <c r="O49" i="32" s="1"/>
  <c r="O111" i="32" s="1"/>
  <c r="AH49" i="29"/>
  <c r="AK50" i="29" s="1"/>
  <c r="N49" i="29"/>
  <c r="BH56" i="32"/>
  <c r="H56" i="30"/>
  <c r="BF56" i="32"/>
  <c r="BG56" i="32"/>
  <c r="AQ24" i="30"/>
  <c r="BP24" i="30" s="1"/>
  <c r="BE31" i="10"/>
  <c r="BA31" i="10"/>
  <c r="BD32" i="33"/>
  <c r="AZ32" i="33"/>
  <c r="AZ45" i="33"/>
  <c r="BD46" i="33"/>
  <c r="AZ46" i="33"/>
  <c r="AZ51" i="33"/>
  <c r="AZ52" i="33"/>
  <c r="BD52" i="33"/>
  <c r="AL31" i="33"/>
  <c r="AM33" i="33"/>
  <c r="BD33" i="33" s="1"/>
  <c r="BD37" i="33"/>
  <c r="AZ37" i="33"/>
  <c r="BD30" i="33"/>
  <c r="AJ30" i="30"/>
  <c r="BA57" i="10"/>
  <c r="BE57" i="10"/>
  <c r="BH28" i="25"/>
  <c r="BN28" i="25" s="1"/>
  <c r="BA49" i="30"/>
  <c r="BA48" i="30"/>
  <c r="BE55" i="10"/>
  <c r="BA28" i="10"/>
  <c r="BH27" i="25"/>
  <c r="BM27" i="25" s="1"/>
  <c r="BE61" i="10"/>
  <c r="BA61" i="10"/>
  <c r="AN54" i="32"/>
  <c r="AP54" i="32"/>
  <c r="AO54" i="32"/>
  <c r="D54" i="30"/>
  <c r="BH28" i="32"/>
  <c r="BL28" i="32" s="1"/>
  <c r="BG28" i="32"/>
  <c r="BK28" i="32" s="1"/>
  <c r="H28" i="30"/>
  <c r="BF33" i="32"/>
  <c r="H33" i="30"/>
  <c r="BG33" i="32"/>
  <c r="BH33" i="32"/>
  <c r="AT41" i="24"/>
  <c r="AV41" i="24" s="1"/>
  <c r="BF28" i="32"/>
  <c r="BJ28" i="32" s="1"/>
  <c r="BH21" i="30"/>
  <c r="AS51" i="24"/>
  <c r="AS52" i="24"/>
  <c r="AR51" i="24"/>
  <c r="AT51" i="24" s="1"/>
  <c r="AX51" i="24" s="1"/>
  <c r="AR52" i="24"/>
  <c r="AT52" i="24" s="1"/>
  <c r="AV52" i="24" s="1"/>
  <c r="G55" i="32"/>
  <c r="AN55" i="32" s="1"/>
  <c r="AR56" i="24"/>
  <c r="AR55" i="24"/>
  <c r="AU44" i="34"/>
  <c r="AS44" i="34"/>
  <c r="AT44" i="34"/>
  <c r="AR44" i="24"/>
  <c r="AR45" i="24"/>
  <c r="AU50" i="34"/>
  <c r="AS50" i="34"/>
  <c r="AU48" i="34"/>
  <c r="AS53" i="24"/>
  <c r="AS54" i="24"/>
  <c r="AQ47" i="24"/>
  <c r="AQ46" i="24"/>
  <c r="AR48" i="24"/>
  <c r="AR47" i="24"/>
  <c r="BM29" i="25"/>
  <c r="AN20" i="30"/>
  <c r="AP20" i="30" s="1"/>
  <c r="AQ50" i="24"/>
  <c r="BN63" i="34"/>
  <c r="BK67" i="29"/>
  <c r="AT39" i="24"/>
  <c r="AV39" i="24" s="1"/>
  <c r="G51" i="32"/>
  <c r="N51" i="32"/>
  <c r="N113" i="32" s="1"/>
  <c r="AN51" i="32"/>
  <c r="K14" i="57" s="1"/>
  <c r="AS55" i="24"/>
  <c r="AS56" i="24"/>
  <c r="AS44" i="24"/>
  <c r="AS45" i="24"/>
  <c r="AQ44" i="24"/>
  <c r="AQ45" i="24"/>
  <c r="AT50" i="34"/>
  <c r="AT56" i="34"/>
  <c r="AS56" i="34"/>
  <c r="G50" i="32"/>
  <c r="AN50" i="32" s="1"/>
  <c r="AR53" i="24"/>
  <c r="AR54" i="24"/>
  <c r="G53" i="32"/>
  <c r="AF27" i="24"/>
  <c r="AF34" i="24"/>
  <c r="AF58" i="24"/>
  <c r="AF10" i="24"/>
  <c r="AF15" i="24"/>
  <c r="AF19" i="24"/>
  <c r="AF23" i="24"/>
  <c r="AF36" i="24"/>
  <c r="AF25" i="24"/>
  <c r="AF13" i="24"/>
  <c r="AF17" i="24"/>
  <c r="AF26" i="24"/>
  <c r="AF40" i="24"/>
  <c r="AF55" i="24"/>
  <c r="AF28" i="24"/>
  <c r="AF29" i="24"/>
  <c r="AF38" i="24"/>
  <c r="AF30" i="24"/>
  <c r="AF50" i="24"/>
  <c r="AF59" i="24"/>
  <c r="AF45" i="24"/>
  <c r="AF31" i="24"/>
  <c r="AF48" i="24"/>
  <c r="AF47" i="24"/>
  <c r="AF53" i="24"/>
  <c r="AF44" i="24"/>
  <c r="AF32" i="24"/>
  <c r="AF12" i="24"/>
  <c r="AF14" i="24"/>
  <c r="AF22" i="24"/>
  <c r="AF18" i="24"/>
  <c r="AF21" i="24"/>
  <c r="AF11" i="24"/>
  <c r="AF16" i="24"/>
  <c r="AF20" i="24"/>
  <c r="AF24" i="24"/>
  <c r="AF49" i="24"/>
  <c r="AF42" i="24"/>
  <c r="AF54" i="24"/>
  <c r="AF60" i="24"/>
  <c r="AF41" i="24"/>
  <c r="AF57" i="24"/>
  <c r="AF33" i="24"/>
  <c r="AF61" i="24"/>
  <c r="AF39" i="24"/>
  <c r="AF35" i="24"/>
  <c r="AF43" i="24"/>
  <c r="AF52" i="24"/>
  <c r="AF51" i="24"/>
  <c r="AF56" i="24"/>
  <c r="AF37" i="24"/>
  <c r="AF46" i="24"/>
  <c r="AS48" i="24"/>
  <c r="AS47" i="24"/>
  <c r="G49" i="32"/>
  <c r="AN49" i="32" s="1"/>
  <c r="AT49" i="24"/>
  <c r="AX49" i="24" s="1"/>
  <c r="AQ21" i="30"/>
  <c r="BP23" i="30"/>
  <c r="BH23" i="30"/>
  <c r="BN45" i="34"/>
  <c r="AT48" i="34"/>
  <c r="AT55" i="24"/>
  <c r="AV55" i="24" s="1"/>
  <c r="D60" i="30"/>
  <c r="AP60" i="32"/>
  <c r="AM61" i="29"/>
  <c r="AO61" i="29" s="1"/>
  <c r="AT60" i="24"/>
  <c r="AV60" i="24" s="1"/>
  <c r="BN38" i="34"/>
  <c r="AP69" i="29"/>
  <c r="BK69" i="29" s="1"/>
  <c r="AV27" i="24"/>
  <c r="BR27" i="24" s="1"/>
  <c r="H36" i="30"/>
  <c r="BG36" i="32"/>
  <c r="BH36" i="32"/>
  <c r="AN60" i="32"/>
  <c r="AP60" i="29"/>
  <c r="BK60" i="29" s="1"/>
  <c r="AO60" i="32"/>
  <c r="AP68" i="29"/>
  <c r="BK68" i="29" s="1"/>
  <c r="BH24" i="30"/>
  <c r="BB17" i="10"/>
  <c r="BA25" i="33"/>
  <c r="BA26" i="33" s="1"/>
  <c r="BA27" i="33" s="1"/>
  <c r="BA28" i="33" s="1"/>
  <c r="BA29" i="33" s="1"/>
  <c r="F27" i="30"/>
  <c r="AJ27" i="30" s="1"/>
  <c r="AS27" i="32"/>
  <c r="BZ28" i="24"/>
  <c r="BR28" i="24"/>
  <c r="BV28" i="24"/>
  <c r="BF17" i="10"/>
  <c r="BN34" i="34"/>
  <c r="BF29" i="7"/>
  <c r="AT27" i="32"/>
  <c r="AW25" i="32"/>
  <c r="J12" i="30"/>
  <c r="BL12" i="32"/>
  <c r="BL13" i="32"/>
  <c r="BK12" i="32"/>
  <c r="BK13" i="32"/>
  <c r="BG29" i="32"/>
  <c r="H29" i="30"/>
  <c r="BH29" i="32"/>
  <c r="BE15" i="33"/>
  <c r="BO35" i="26"/>
  <c r="BW16" i="24"/>
  <c r="AT32" i="24"/>
  <c r="AX32" i="24" s="1"/>
  <c r="BA42" i="30" l="1"/>
  <c r="BL17" i="30"/>
  <c r="BN39" i="1"/>
  <c r="BN43" i="1"/>
  <c r="BJ33" i="1"/>
  <c r="BN34" i="1"/>
  <c r="BJ38" i="1"/>
  <c r="BJ59" i="1"/>
  <c r="BJ42" i="1"/>
  <c r="BJ43" i="1"/>
  <c r="BJ37" i="1"/>
  <c r="BU46" i="60"/>
  <c r="BU39" i="60"/>
  <c r="BE54" i="60"/>
  <c r="BD58" i="60"/>
  <c r="BE33" i="60"/>
  <c r="BF61" i="60"/>
  <c r="BD61" i="60"/>
  <c r="BF47" i="60"/>
  <c r="BD47" i="60"/>
  <c r="BE42" i="60"/>
  <c r="BF54" i="60"/>
  <c r="BY54" i="60" s="1"/>
  <c r="BU60" i="60"/>
  <c r="BY60" i="60"/>
  <c r="BY57" i="60"/>
  <c r="BU57" i="60"/>
  <c r="AN28" i="32"/>
  <c r="AR28" i="32" s="1"/>
  <c r="D28" i="30"/>
  <c r="AO28" i="32"/>
  <c r="AS28" i="32" s="1"/>
  <c r="AP28" i="32"/>
  <c r="AT28" i="32" s="1"/>
  <c r="BE51" i="60"/>
  <c r="BF51" i="60"/>
  <c r="BF33" i="60"/>
  <c r="BU52" i="60"/>
  <c r="BE40" i="60"/>
  <c r="BF40" i="60"/>
  <c r="BU45" i="60"/>
  <c r="BE61" i="60"/>
  <c r="BE27" i="60"/>
  <c r="BU58" i="60"/>
  <c r="BY58" i="60"/>
  <c r="BY34" i="60"/>
  <c r="BU35" i="60"/>
  <c r="BY35" i="60"/>
  <c r="BY39" i="60"/>
  <c r="BU38" i="60"/>
  <c r="BY38" i="60"/>
  <c r="BU33" i="60"/>
  <c r="BY30" i="60"/>
  <c r="BU30" i="60"/>
  <c r="BE30" i="60"/>
  <c r="BF50" i="60"/>
  <c r="BE48" i="60"/>
  <c r="BF48" i="60"/>
  <c r="BY27" i="60"/>
  <c r="BZ27" i="60" s="1"/>
  <c r="BZ28" i="60" s="1"/>
  <c r="BZ29" i="60" s="1"/>
  <c r="BU27" i="60"/>
  <c r="BV27" i="60" s="1"/>
  <c r="BV28" i="60" s="1"/>
  <c r="BV29" i="60" s="1"/>
  <c r="BE47" i="60"/>
  <c r="BF30" i="60"/>
  <c r="BE50" i="60"/>
  <c r="BU32" i="60"/>
  <c r="BY32" i="60"/>
  <c r="BU43" i="60"/>
  <c r="BD51" i="60"/>
  <c r="BY51" i="60" s="1"/>
  <c r="BF27" i="60"/>
  <c r="BD40" i="60"/>
  <c r="BU41" i="60"/>
  <c r="BF53" i="60"/>
  <c r="BE53" i="60"/>
  <c r="BU54" i="60"/>
  <c r="BE55" i="60"/>
  <c r="BY55" i="60" s="1"/>
  <c r="BF42" i="60"/>
  <c r="BU42" i="60" s="1"/>
  <c r="BF56" i="60"/>
  <c r="BE56" i="60"/>
  <c r="BU37" i="60"/>
  <c r="BN46" i="34"/>
  <c r="L35" i="32"/>
  <c r="BG35" i="32" s="1"/>
  <c r="BK36" i="32" s="1"/>
  <c r="AW62" i="60"/>
  <c r="BA62" i="60" s="1"/>
  <c r="AU62" i="60"/>
  <c r="AY62" i="60" s="1"/>
  <c r="Y62" i="60"/>
  <c r="AG62" i="60" s="1"/>
  <c r="AJ62" i="60" s="1"/>
  <c r="AN62" i="60"/>
  <c r="AV62" i="60"/>
  <c r="AZ62" i="60" s="1"/>
  <c r="AI64" i="60"/>
  <c r="BM64" i="60"/>
  <c r="BQ64" i="60" s="1"/>
  <c r="BN64" i="60"/>
  <c r="BR64" i="60" s="1"/>
  <c r="W67" i="60"/>
  <c r="AE67" i="60" s="1"/>
  <c r="BJ67" i="60" s="1"/>
  <c r="E68" i="1"/>
  <c r="E68" i="60"/>
  <c r="M72" i="60"/>
  <c r="M71" i="60"/>
  <c r="O65" i="60"/>
  <c r="BO65" i="60" s="1"/>
  <c r="BI35" i="24"/>
  <c r="X63" i="60"/>
  <c r="AF63" i="60" s="1"/>
  <c r="BK63" i="60" s="1"/>
  <c r="G63" i="60"/>
  <c r="BO64" i="60"/>
  <c r="BS64" i="60" s="1"/>
  <c r="T47" i="34"/>
  <c r="AT46" i="24"/>
  <c r="AV46" i="24" s="1"/>
  <c r="BF44" i="24"/>
  <c r="BG44" i="24"/>
  <c r="BG45" i="24"/>
  <c r="BF45" i="24"/>
  <c r="AV49" i="24"/>
  <c r="AW49" i="24"/>
  <c r="BE44" i="24"/>
  <c r="BE45" i="24"/>
  <c r="AT43" i="24"/>
  <c r="AX41" i="24"/>
  <c r="BE40" i="24"/>
  <c r="BF40" i="24"/>
  <c r="BG40" i="24"/>
  <c r="BE38" i="24"/>
  <c r="BF38" i="24"/>
  <c r="BG38" i="24"/>
  <c r="BE37" i="24"/>
  <c r="BI37" i="24" s="1"/>
  <c r="BF37" i="24"/>
  <c r="BJ37" i="24" s="1"/>
  <c r="BG37" i="24"/>
  <c r="BK37" i="24" s="1"/>
  <c r="BK34" i="24"/>
  <c r="BK35" i="24"/>
  <c r="AW35" i="24"/>
  <c r="AW42" i="24"/>
  <c r="AX35" i="24"/>
  <c r="AW41" i="24"/>
  <c r="AW39" i="24"/>
  <c r="AT40" i="24"/>
  <c r="AV40" i="24" s="1"/>
  <c r="AT34" i="24"/>
  <c r="AV34" i="24" s="1"/>
  <c r="BE32" i="24"/>
  <c r="BF32" i="24"/>
  <c r="BG32" i="24"/>
  <c r="BE39" i="24"/>
  <c r="BI39" i="24" s="1"/>
  <c r="BF39" i="24"/>
  <c r="BJ39" i="24" s="1"/>
  <c r="BG39" i="24"/>
  <c r="BK39" i="24" s="1"/>
  <c r="AX38" i="24"/>
  <c r="AX42" i="24"/>
  <c r="AW38" i="24"/>
  <c r="BJ35" i="24"/>
  <c r="AX39" i="24"/>
  <c r="AV32" i="24"/>
  <c r="AW32" i="24"/>
  <c r="AT33" i="24"/>
  <c r="AV33" i="24" s="1"/>
  <c r="BV31" i="24"/>
  <c r="S164" i="36"/>
  <c r="Y179" i="36"/>
  <c r="S167" i="36"/>
  <c r="Y182" i="36"/>
  <c r="S162" i="36"/>
  <c r="Y177" i="36"/>
  <c r="S166" i="36"/>
  <c r="Y181" i="36"/>
  <c r="S161" i="36"/>
  <c r="Y176" i="36"/>
  <c r="S163" i="36"/>
  <c r="Y178" i="36"/>
  <c r="S171" i="36"/>
  <c r="Y186" i="36"/>
  <c r="S159" i="36"/>
  <c r="Y174" i="36"/>
  <c r="S169" i="36"/>
  <c r="Y184" i="36"/>
  <c r="S165" i="36"/>
  <c r="Y180" i="36"/>
  <c r="S174" i="36"/>
  <c r="Y189" i="36"/>
  <c r="S170" i="36"/>
  <c r="Y185" i="36"/>
  <c r="S173" i="36"/>
  <c r="Y188" i="36"/>
  <c r="S160" i="36"/>
  <c r="Y175" i="36"/>
  <c r="S172" i="36"/>
  <c r="Y187" i="36"/>
  <c r="S168" i="36"/>
  <c r="Y183" i="36"/>
  <c r="CW10" i="25"/>
  <c r="CX10" i="25" s="1"/>
  <c r="CX11" i="25" s="1"/>
  <c r="CX12" i="25" s="1"/>
  <c r="CX13" i="25" s="1"/>
  <c r="CX14" i="25" s="1"/>
  <c r="CT11" i="25"/>
  <c r="CT12" i="25" s="1"/>
  <c r="CT13" i="25" s="1"/>
  <c r="BA34" i="30"/>
  <c r="BA22" i="30"/>
  <c r="CP11" i="25"/>
  <c r="CP12" i="25" s="1"/>
  <c r="CP13" i="25" s="1"/>
  <c r="CP14" i="25" s="1"/>
  <c r="CP15" i="25" s="1"/>
  <c r="CP16" i="25" s="1"/>
  <c r="CP17" i="25" s="1"/>
  <c r="CP18" i="25" s="1"/>
  <c r="CP19" i="25" s="1"/>
  <c r="CP20" i="25" s="1"/>
  <c r="CT14" i="25"/>
  <c r="BK29" i="25"/>
  <c r="Q515" i="36"/>
  <c r="BA58" i="30"/>
  <c r="BA38" i="30"/>
  <c r="BA12" i="30"/>
  <c r="AQ13" i="30"/>
  <c r="AQ14" i="30"/>
  <c r="BH13" i="30"/>
  <c r="BA41" i="30"/>
  <c r="BA53" i="30"/>
  <c r="BA30" i="30"/>
  <c r="AP63" i="1"/>
  <c r="AQ62" i="1"/>
  <c r="AU62" i="1" s="1"/>
  <c r="AH62" i="19"/>
  <c r="L64" i="1"/>
  <c r="BD64" i="1" s="1"/>
  <c r="BH64" i="1" s="1"/>
  <c r="O62" i="24"/>
  <c r="G62" i="24"/>
  <c r="Q63" i="1"/>
  <c r="V63" i="1" s="1"/>
  <c r="Y63" i="1" s="1"/>
  <c r="AK63" i="1"/>
  <c r="AO63" i="1" s="1"/>
  <c r="E63" i="24"/>
  <c r="AJ63" i="1"/>
  <c r="AN63" i="1" s="1"/>
  <c r="AQ63" i="1" s="1"/>
  <c r="AS63" i="1" s="1"/>
  <c r="AC63" i="1"/>
  <c r="S240" i="36" s="1"/>
  <c r="L62" i="24"/>
  <c r="BF62" i="24" s="1"/>
  <c r="K65" i="1"/>
  <c r="N66" i="60"/>
  <c r="AM63" i="13"/>
  <c r="BC63" i="1"/>
  <c r="BG63" i="1" s="1"/>
  <c r="J63" i="24"/>
  <c r="BB63" i="1"/>
  <c r="BF63" i="1" s="1"/>
  <c r="X63" i="1"/>
  <c r="P240" i="36" s="1"/>
  <c r="AY32" i="29"/>
  <c r="D47" i="53"/>
  <c r="L31" i="32"/>
  <c r="AZ34" i="29"/>
  <c r="AZ35" i="29"/>
  <c r="AZ33" i="29"/>
  <c r="AZ32" i="29"/>
  <c r="BO33" i="34"/>
  <c r="X41" i="34"/>
  <c r="BH52" i="34"/>
  <c r="BN52" i="34" s="1"/>
  <c r="BD47" i="34"/>
  <c r="BH47" i="34" s="1"/>
  <c r="I47" i="24"/>
  <c r="X47" i="34"/>
  <c r="P195" i="36" s="1"/>
  <c r="BB47" i="34"/>
  <c r="BF47" i="34" s="1"/>
  <c r="Q47" i="34"/>
  <c r="Z58" i="13"/>
  <c r="B57" i="13"/>
  <c r="I59" i="34" s="1"/>
  <c r="AC58" i="13"/>
  <c r="C57" i="13"/>
  <c r="J59" i="34" s="1"/>
  <c r="L55" i="34"/>
  <c r="BC55" i="34" s="1"/>
  <c r="N55" i="34"/>
  <c r="S55" i="34" s="1"/>
  <c r="Q38" i="24"/>
  <c r="I38" i="32"/>
  <c r="Q37" i="24"/>
  <c r="I37" i="32"/>
  <c r="T46" i="34"/>
  <c r="AY47" i="34" s="1"/>
  <c r="BJ47" i="34" s="1"/>
  <c r="T53" i="34"/>
  <c r="AY53" i="34" s="1"/>
  <c r="BJ53" i="34" s="1"/>
  <c r="BC43" i="34"/>
  <c r="I43" i="24"/>
  <c r="BB43" i="34"/>
  <c r="X43" i="34"/>
  <c r="BD43" i="34"/>
  <c r="Q43" i="34"/>
  <c r="L30" i="32"/>
  <c r="BF30" i="32" s="1"/>
  <c r="O48" i="34"/>
  <c r="T48" i="34" s="1"/>
  <c r="AY48" i="34" s="1"/>
  <c r="L48" i="34"/>
  <c r="BC48" i="34" s="1"/>
  <c r="BG48" i="34" s="1"/>
  <c r="N75" i="34"/>
  <c r="S57" i="34"/>
  <c r="AX57" i="34" s="1"/>
  <c r="O75" i="34"/>
  <c r="T57" i="34"/>
  <c r="I44" i="32"/>
  <c r="Q44" i="24"/>
  <c r="Q45" i="24"/>
  <c r="I45" i="32"/>
  <c r="I39" i="32"/>
  <c r="Q39" i="24"/>
  <c r="Q74" i="34"/>
  <c r="V52" i="34" s="1"/>
  <c r="Y52" i="34" s="1"/>
  <c r="L46" i="24"/>
  <c r="N46" i="24"/>
  <c r="N74" i="24" s="1"/>
  <c r="O54" i="34"/>
  <c r="T54" i="34" s="1"/>
  <c r="J72" i="1"/>
  <c r="L52" i="24"/>
  <c r="BE52" i="24" s="1"/>
  <c r="BI52" i="24" s="1"/>
  <c r="N52" i="24"/>
  <c r="L34" i="32"/>
  <c r="N34" i="32"/>
  <c r="N96" i="32" s="1"/>
  <c r="BF34" i="32"/>
  <c r="I40" i="32"/>
  <c r="Q40" i="24"/>
  <c r="L58" i="34"/>
  <c r="N58" i="34"/>
  <c r="S58" i="34" s="1"/>
  <c r="AX58" i="34" s="1"/>
  <c r="BB58" i="34"/>
  <c r="O58" i="34"/>
  <c r="T58" i="34" s="1"/>
  <c r="BC58" i="34"/>
  <c r="L54" i="34"/>
  <c r="N54" i="34"/>
  <c r="S54" i="34" s="1"/>
  <c r="AX54" i="34" s="1"/>
  <c r="BB54" i="34"/>
  <c r="BF54" i="34" s="1"/>
  <c r="T38" i="34"/>
  <c r="T39" i="34"/>
  <c r="T31" i="34"/>
  <c r="AY31" i="34" s="1"/>
  <c r="T51" i="34"/>
  <c r="T62" i="34"/>
  <c r="T69" i="34"/>
  <c r="T33" i="34"/>
  <c r="T68" i="34"/>
  <c r="T32" i="34"/>
  <c r="AY32" i="34" s="1"/>
  <c r="BJ32" i="34" s="1"/>
  <c r="BK32" i="34" s="1"/>
  <c r="T36" i="34"/>
  <c r="T67" i="34"/>
  <c r="T44" i="34"/>
  <c r="T37" i="34"/>
  <c r="T56" i="34"/>
  <c r="T35" i="34"/>
  <c r="T64" i="34"/>
  <c r="T65" i="34"/>
  <c r="T63" i="34"/>
  <c r="T34" i="34"/>
  <c r="AY34" i="34" s="1"/>
  <c r="BJ34" i="34" s="1"/>
  <c r="T66" i="34"/>
  <c r="T40" i="34"/>
  <c r="T45" i="34"/>
  <c r="AY45" i="34" s="1"/>
  <c r="BJ45" i="34" s="1"/>
  <c r="T43" i="34"/>
  <c r="BJ30" i="24"/>
  <c r="C47" i="13"/>
  <c r="J49" i="34" s="1"/>
  <c r="AC48" i="13"/>
  <c r="C48" i="13" s="1"/>
  <c r="J50" i="34" s="1"/>
  <c r="Q32" i="24"/>
  <c r="I32" i="32"/>
  <c r="N41" i="24"/>
  <c r="L41" i="24"/>
  <c r="BB57" i="34"/>
  <c r="BF57" i="34" s="1"/>
  <c r="I57" i="24"/>
  <c r="BD57" i="34"/>
  <c r="BH57" i="34" s="1"/>
  <c r="L75" i="34"/>
  <c r="Q57" i="34"/>
  <c r="X57" i="34"/>
  <c r="P205" i="36" s="1"/>
  <c r="BC57" i="34"/>
  <c r="BG57" i="34" s="1"/>
  <c r="BD53" i="34"/>
  <c r="BH53" i="34" s="1"/>
  <c r="BN53" i="34" s="1"/>
  <c r="I53" i="24"/>
  <c r="X53" i="34"/>
  <c r="P201" i="36" s="1"/>
  <c r="Q53" i="34"/>
  <c r="V53" i="34" s="1"/>
  <c r="Y53" i="34" s="1"/>
  <c r="X62" i="34"/>
  <c r="P210" i="36" s="1"/>
  <c r="X66" i="34"/>
  <c r="P214" i="36" s="1"/>
  <c r="X64" i="34"/>
  <c r="P212" i="36" s="1"/>
  <c r="X63" i="34"/>
  <c r="P211" i="36" s="1"/>
  <c r="X33" i="34"/>
  <c r="X68" i="34"/>
  <c r="P216" i="36" s="1"/>
  <c r="X67" i="34"/>
  <c r="P215" i="36" s="1"/>
  <c r="X35" i="34"/>
  <c r="X69" i="34"/>
  <c r="P217" i="36" s="1"/>
  <c r="X51" i="34"/>
  <c r="P199" i="36" s="1"/>
  <c r="X31" i="34"/>
  <c r="X34" i="34"/>
  <c r="X56" i="34"/>
  <c r="P204" i="36" s="1"/>
  <c r="X36" i="34"/>
  <c r="X65" i="34"/>
  <c r="P213" i="36" s="1"/>
  <c r="X40" i="34"/>
  <c r="X32" i="34"/>
  <c r="X44" i="34"/>
  <c r="X39" i="34"/>
  <c r="X38" i="34"/>
  <c r="X45" i="34"/>
  <c r="X37" i="34"/>
  <c r="O55" i="34"/>
  <c r="T55" i="34" s="1"/>
  <c r="AY55" i="34" s="1"/>
  <c r="BB42" i="34"/>
  <c r="BF42" i="34" s="1"/>
  <c r="BD42" i="34"/>
  <c r="BH42" i="34" s="1"/>
  <c r="Q42" i="34"/>
  <c r="V42" i="34" s="1"/>
  <c r="Y42" i="34" s="1"/>
  <c r="X42" i="34"/>
  <c r="I42" i="24"/>
  <c r="T42" i="34"/>
  <c r="AY42" i="34" s="1"/>
  <c r="BJ42" i="34" s="1"/>
  <c r="L113" i="32"/>
  <c r="AT44" i="24"/>
  <c r="AX44" i="24" s="1"/>
  <c r="BN42" i="1"/>
  <c r="CO21" i="25"/>
  <c r="CW21" i="25"/>
  <c r="CS21" i="25"/>
  <c r="AQ37" i="26"/>
  <c r="AS37" i="26" s="1"/>
  <c r="BC39" i="19"/>
  <c r="BB38" i="19"/>
  <c r="J38" i="14" s="1"/>
  <c r="K38" i="14"/>
  <c r="F41" i="26" s="1"/>
  <c r="P41" i="26" s="1"/>
  <c r="AU37" i="26"/>
  <c r="AS36" i="26"/>
  <c r="AT36" i="26"/>
  <c r="E40" i="26"/>
  <c r="L37" i="14"/>
  <c r="G39" i="26"/>
  <c r="O39" i="26"/>
  <c r="AU36" i="26"/>
  <c r="Q38" i="26"/>
  <c r="AJ38" i="26"/>
  <c r="AN38" i="26" s="1"/>
  <c r="D38" i="29"/>
  <c r="L38" i="29" s="1"/>
  <c r="AL38" i="26"/>
  <c r="AP38" i="26" s="1"/>
  <c r="AT37" i="26"/>
  <c r="BN37" i="26" s="1"/>
  <c r="AU26" i="32"/>
  <c r="AX26" i="32" s="1"/>
  <c r="BN29" i="25"/>
  <c r="BL29" i="25"/>
  <c r="AQ25" i="30"/>
  <c r="BP17" i="30"/>
  <c r="BN35" i="1"/>
  <c r="BN58" i="1"/>
  <c r="BN37" i="1"/>
  <c r="BJ47" i="1"/>
  <c r="F26" i="30"/>
  <c r="AJ26" i="30" s="1"/>
  <c r="AM26" i="30" s="1"/>
  <c r="AY26" i="32"/>
  <c r="BD56" i="33"/>
  <c r="BN66" i="34"/>
  <c r="BV27" i="24"/>
  <c r="AT53" i="24"/>
  <c r="AV53" i="24" s="1"/>
  <c r="AT45" i="24"/>
  <c r="AV45" i="24" s="1"/>
  <c r="AT56" i="24"/>
  <c r="BN51" i="1"/>
  <c r="BJ29" i="32"/>
  <c r="BA30" i="33"/>
  <c r="BA72" i="30"/>
  <c r="O400" i="36"/>
  <c r="B48" i="32"/>
  <c r="BI13" i="30"/>
  <c r="BZ22" i="32"/>
  <c r="BR22" i="32"/>
  <c r="BV22" i="32"/>
  <c r="AY22" i="32"/>
  <c r="AX21" i="32"/>
  <c r="CA14" i="32"/>
  <c r="CA15" i="32" s="1"/>
  <c r="AY21" i="32"/>
  <c r="AX22" i="32"/>
  <c r="BR16" i="32"/>
  <c r="BS16" i="32" s="1"/>
  <c r="BS17" i="32" s="1"/>
  <c r="BS18" i="32" s="1"/>
  <c r="BS19" i="32" s="1"/>
  <c r="BS20" i="32" s="1"/>
  <c r="BZ16" i="32"/>
  <c r="AN22" i="30"/>
  <c r="AQ22" i="30" s="1"/>
  <c r="BQ13" i="30"/>
  <c r="BQ14" i="30" s="1"/>
  <c r="BR21" i="32"/>
  <c r="BZ21" i="32"/>
  <c r="BI14" i="30"/>
  <c r="AO72" i="29"/>
  <c r="CG70" i="25"/>
  <c r="CG71" i="25"/>
  <c r="CD70" i="25"/>
  <c r="CD71" i="25"/>
  <c r="CF70" i="25"/>
  <c r="CF71" i="25"/>
  <c r="CE70" i="25"/>
  <c r="CE71" i="25"/>
  <c r="DE40" i="25"/>
  <c r="DA41" i="25"/>
  <c r="BA40" i="30"/>
  <c r="BA16" i="30"/>
  <c r="BA24" i="30"/>
  <c r="BA21" i="30"/>
  <c r="BA20" i="30"/>
  <c r="BA18" i="30"/>
  <c r="BA19" i="30"/>
  <c r="BA66" i="30"/>
  <c r="BA61" i="30"/>
  <c r="BA39" i="30"/>
  <c r="BA59" i="30"/>
  <c r="BA29" i="30"/>
  <c r="BA28" i="30"/>
  <c r="BA57" i="30"/>
  <c r="BA15" i="30"/>
  <c r="BA35" i="30"/>
  <c r="BA23" i="30"/>
  <c r="BA67" i="30"/>
  <c r="BA25" i="30"/>
  <c r="BA27" i="30"/>
  <c r="BA14" i="30"/>
  <c r="BA33" i="30"/>
  <c r="BA55" i="30"/>
  <c r="BA44" i="30"/>
  <c r="BA37" i="30"/>
  <c r="BA36" i="30"/>
  <c r="BA31" i="30"/>
  <c r="BA11" i="30"/>
  <c r="BA64" i="30"/>
  <c r="BA62" i="30"/>
  <c r="BA45" i="30"/>
  <c r="BA46" i="30"/>
  <c r="BD63" i="33"/>
  <c r="BJ51" i="1"/>
  <c r="BJ55" i="1"/>
  <c r="BN38" i="1"/>
  <c r="BJ35" i="1"/>
  <c r="BJ34" i="1"/>
  <c r="BJ41" i="1"/>
  <c r="BN54" i="1"/>
  <c r="BK30" i="1"/>
  <c r="BK31" i="1" s="1"/>
  <c r="BM32" i="1" s="1"/>
  <c r="AT1" i="1"/>
  <c r="BC1" i="1" s="1"/>
  <c r="BE1" i="1" s="1"/>
  <c r="BF1" i="1" s="1"/>
  <c r="BJ45" i="1"/>
  <c r="CS15" i="25"/>
  <c r="CT15" i="25" s="1"/>
  <c r="CT16" i="25" s="1"/>
  <c r="CT17" i="25" s="1"/>
  <c r="CT18" i="25" s="1"/>
  <c r="CT19" i="25" s="1"/>
  <c r="CT20" i="25" s="1"/>
  <c r="CT21" i="25" s="1"/>
  <c r="CT22" i="25" s="1"/>
  <c r="CT23" i="25" s="1"/>
  <c r="CT24" i="25" s="1"/>
  <c r="CT25" i="25" s="1"/>
  <c r="CT26" i="25" s="1"/>
  <c r="CW15" i="25"/>
  <c r="BP18" i="30"/>
  <c r="AZ49" i="33"/>
  <c r="O68" i="1"/>
  <c r="T68" i="1" s="1"/>
  <c r="AY68" i="1" s="1"/>
  <c r="AJ67" i="19"/>
  <c r="J71" i="1"/>
  <c r="BW12" i="32"/>
  <c r="BW13" i="32" s="1"/>
  <c r="BW14" i="32" s="1"/>
  <c r="BW15" i="32" s="1"/>
  <c r="BW16" i="32" s="1"/>
  <c r="BW17" i="32" s="1"/>
  <c r="BS27" i="24"/>
  <c r="BH19" i="30"/>
  <c r="BP19" i="30"/>
  <c r="BL19" i="30"/>
  <c r="AP15" i="30"/>
  <c r="BH15" i="30" s="1"/>
  <c r="BI15" i="30" s="1"/>
  <c r="CF68" i="25"/>
  <c r="BA69" i="30"/>
  <c r="AP16" i="30"/>
  <c r="BL16" i="30" s="1"/>
  <c r="AX60" i="24"/>
  <c r="BN47" i="34"/>
  <c r="BP15" i="30"/>
  <c r="BQ15" i="30" s="1"/>
  <c r="U67" i="13"/>
  <c r="I66" i="33"/>
  <c r="AS64" i="33"/>
  <c r="AV64" i="33" s="1"/>
  <c r="BD64" i="33" s="1"/>
  <c r="K66" i="32"/>
  <c r="N64" i="33"/>
  <c r="R64" i="33" s="1"/>
  <c r="U64" i="33" s="1"/>
  <c r="T64" i="33"/>
  <c r="P271" i="36" s="1"/>
  <c r="Q606" i="36"/>
  <c r="AQ64" i="33"/>
  <c r="AZ64" i="33" s="1"/>
  <c r="BZ27" i="24"/>
  <c r="CA27" i="24" s="1"/>
  <c r="CA28" i="24" s="1"/>
  <c r="M65" i="33"/>
  <c r="Q65" i="33" s="1"/>
  <c r="T607" i="36"/>
  <c r="P607" i="36" s="1"/>
  <c r="J65" i="33"/>
  <c r="P65" i="32"/>
  <c r="P127" i="32" s="1"/>
  <c r="AD17" i="54"/>
  <c r="M39" i="18"/>
  <c r="BD55" i="33"/>
  <c r="AZ55" i="33"/>
  <c r="BD54" i="33"/>
  <c r="AZ54" i="33"/>
  <c r="Q56" i="32"/>
  <c r="BD53" i="33"/>
  <c r="AZ53" i="33"/>
  <c r="AZ42" i="33"/>
  <c r="AW60" i="24"/>
  <c r="BS28" i="24"/>
  <c r="AT57" i="24"/>
  <c r="AW57" i="24" s="1"/>
  <c r="AT30" i="24"/>
  <c r="AW30" i="24" s="1"/>
  <c r="D29" i="30"/>
  <c r="AO29" i="32"/>
  <c r="AP29" i="32"/>
  <c r="BZ29" i="24"/>
  <c r="BR29" i="24"/>
  <c r="BV29" i="24"/>
  <c r="AR30" i="32"/>
  <c r="AR29" i="32"/>
  <c r="AW29" i="24"/>
  <c r="AZ43" i="33"/>
  <c r="BD43" i="33"/>
  <c r="BD48" i="33"/>
  <c r="AZ48" i="33"/>
  <c r="AP64" i="29"/>
  <c r="AO64" i="29"/>
  <c r="AO65" i="29"/>
  <c r="AP65" i="29"/>
  <c r="AP56" i="29"/>
  <c r="BK56" i="29" s="1"/>
  <c r="AP55" i="29"/>
  <c r="BK55" i="29" s="1"/>
  <c r="AO61" i="32"/>
  <c r="D61" i="30"/>
  <c r="AP61" i="32"/>
  <c r="AB70" i="25"/>
  <c r="BT71" i="25" s="1"/>
  <c r="U126" i="25"/>
  <c r="AB69" i="25"/>
  <c r="U125" i="25"/>
  <c r="P135" i="36"/>
  <c r="V150" i="36"/>
  <c r="P133" i="36"/>
  <c r="V148" i="36"/>
  <c r="AT58" i="24"/>
  <c r="AV58" i="24" s="1"/>
  <c r="AT37" i="24"/>
  <c r="AW37" i="24" s="1"/>
  <c r="AU59" i="32"/>
  <c r="AW59" i="32" s="1"/>
  <c r="AR57" i="32"/>
  <c r="AT58" i="32"/>
  <c r="AT36" i="24"/>
  <c r="AW36" i="24" s="1"/>
  <c r="AO56" i="32"/>
  <c r="AS57" i="32" s="1"/>
  <c r="D56" i="30"/>
  <c r="L56" i="30" s="1"/>
  <c r="AP56" i="32"/>
  <c r="AT57" i="32" s="1"/>
  <c r="AS58" i="32"/>
  <c r="AP71" i="29"/>
  <c r="BK71" i="29" s="1"/>
  <c r="BL28" i="25"/>
  <c r="BK28" i="25"/>
  <c r="BM28" i="25"/>
  <c r="AU27" i="32"/>
  <c r="AW27" i="32" s="1"/>
  <c r="BV27" i="32" s="1"/>
  <c r="DF70" i="25"/>
  <c r="DH70" i="25" s="1"/>
  <c r="DG70" i="25"/>
  <c r="DI70" i="25" s="1"/>
  <c r="AO63" i="29"/>
  <c r="BK63" i="29" s="1"/>
  <c r="DG69" i="25"/>
  <c r="DI69" i="25" s="1"/>
  <c r="DF69" i="25"/>
  <c r="DH69" i="25" s="1"/>
  <c r="AP62" i="29"/>
  <c r="BK62" i="29" s="1"/>
  <c r="M47" i="29"/>
  <c r="F47" i="29"/>
  <c r="U524" i="36"/>
  <c r="AI47" i="29"/>
  <c r="AO52" i="29"/>
  <c r="AP52" i="29"/>
  <c r="AL50" i="29"/>
  <c r="AY42" i="19"/>
  <c r="M43" i="14"/>
  <c r="E46" i="29" s="1"/>
  <c r="AI48" i="29"/>
  <c r="AL48" i="29" s="1"/>
  <c r="E48" i="32"/>
  <c r="N48" i="29"/>
  <c r="AH48" i="29"/>
  <c r="AK49" i="29" s="1"/>
  <c r="AP51" i="29"/>
  <c r="BK51" i="29" s="1"/>
  <c r="BJ28" i="25"/>
  <c r="CO28" i="25" s="1"/>
  <c r="AZ33" i="33"/>
  <c r="BD31" i="33"/>
  <c r="AZ31" i="33"/>
  <c r="BA31" i="33" s="1"/>
  <c r="BA32" i="33" s="1"/>
  <c r="BA33" i="33" s="1"/>
  <c r="BA34" i="33" s="1"/>
  <c r="BA35" i="33" s="1"/>
  <c r="AQ20" i="30"/>
  <c r="BJ27" i="25"/>
  <c r="BK27" i="25"/>
  <c r="BL27" i="25"/>
  <c r="BN27" i="25"/>
  <c r="J28" i="30"/>
  <c r="AR50" i="32"/>
  <c r="AW56" i="24"/>
  <c r="AV56" i="24"/>
  <c r="AV51" i="24"/>
  <c r="AN53" i="32"/>
  <c r="AP53" i="32"/>
  <c r="AO53" i="32"/>
  <c r="D53" i="30"/>
  <c r="AW53" i="24"/>
  <c r="AX55" i="24"/>
  <c r="AT50" i="24"/>
  <c r="BL20" i="30"/>
  <c r="BP20" i="30"/>
  <c r="BH20" i="30"/>
  <c r="BJ48" i="34"/>
  <c r="AW52" i="24"/>
  <c r="AX52" i="24"/>
  <c r="AO49" i="32"/>
  <c r="D49" i="30"/>
  <c r="AP49" i="32"/>
  <c r="AP50" i="32"/>
  <c r="D50" i="30"/>
  <c r="AO50" i="32"/>
  <c r="AX56" i="24"/>
  <c r="AR52" i="32"/>
  <c r="AR51" i="32"/>
  <c r="AO51" i="32"/>
  <c r="K26" i="57" s="1"/>
  <c r="D51" i="30"/>
  <c r="AP51" i="32"/>
  <c r="K33" i="57" s="1"/>
  <c r="Q51" i="32"/>
  <c r="AT54" i="24"/>
  <c r="AV54" i="24" s="1"/>
  <c r="AT48" i="24"/>
  <c r="AV48" i="24" s="1"/>
  <c r="AT47" i="24"/>
  <c r="AX47" i="24" s="1"/>
  <c r="AX53" i="24"/>
  <c r="AW55" i="24"/>
  <c r="AR56" i="32"/>
  <c r="AR55" i="32"/>
  <c r="AP55" i="32"/>
  <c r="D55" i="30"/>
  <c r="AO55" i="32"/>
  <c r="AW51" i="24"/>
  <c r="CW29" i="25"/>
  <c r="CO29" i="25"/>
  <c r="CS29" i="25"/>
  <c r="AI27" i="30"/>
  <c r="AV61" i="24"/>
  <c r="AS60" i="32"/>
  <c r="AW61" i="24"/>
  <c r="AR61" i="32"/>
  <c r="AR60" i="32"/>
  <c r="AP61" i="29"/>
  <c r="BK61" i="29" s="1"/>
  <c r="AT60" i="32"/>
  <c r="BZ27" i="32"/>
  <c r="BR25" i="32"/>
  <c r="BZ25" i="32"/>
  <c r="BV25" i="32"/>
  <c r="BF30" i="7"/>
  <c r="BF18" i="10"/>
  <c r="AU28" i="32"/>
  <c r="AW28" i="32" s="1"/>
  <c r="AM27" i="30"/>
  <c r="BB18" i="10"/>
  <c r="J29" i="30"/>
  <c r="BL29" i="32"/>
  <c r="BK29" i="32"/>
  <c r="BO34" i="34"/>
  <c r="BE16" i="33"/>
  <c r="BW18" i="32"/>
  <c r="BW17" i="24"/>
  <c r="BU56" i="60" l="1"/>
  <c r="BY50" i="60"/>
  <c r="BY48" i="60"/>
  <c r="BV35" i="24"/>
  <c r="BU53" i="60"/>
  <c r="BY33" i="60"/>
  <c r="BY42" i="60"/>
  <c r="BV30" i="60"/>
  <c r="BV31" i="60" s="1"/>
  <c r="BV32" i="60" s="1"/>
  <c r="BX33" i="60" s="1"/>
  <c r="BY56" i="60"/>
  <c r="BY53" i="60"/>
  <c r="BU50" i="60"/>
  <c r="F28" i="30"/>
  <c r="AJ28" i="30" s="1"/>
  <c r="AM28" i="30" s="1"/>
  <c r="BU51" i="60"/>
  <c r="BU48" i="60"/>
  <c r="BU55" i="60"/>
  <c r="BU40" i="60"/>
  <c r="BY40" i="60"/>
  <c r="BX32" i="60"/>
  <c r="BZ30" i="60"/>
  <c r="BZ31" i="60" s="1"/>
  <c r="BZ32" i="60" s="1"/>
  <c r="BZ33" i="60" s="1"/>
  <c r="BZ34" i="60" s="1"/>
  <c r="BZ35" i="60" s="1"/>
  <c r="BZ36" i="60" s="1"/>
  <c r="BY47" i="60"/>
  <c r="BU47" i="60"/>
  <c r="BU61" i="60"/>
  <c r="BY61" i="60"/>
  <c r="BH35" i="32"/>
  <c r="BL36" i="32" s="1"/>
  <c r="H35" i="30"/>
  <c r="BF35" i="32"/>
  <c r="BJ36" i="32" s="1"/>
  <c r="AS62" i="1"/>
  <c r="AY54" i="34"/>
  <c r="BJ54" i="34" s="1"/>
  <c r="AT62" i="1"/>
  <c r="BK45" i="24"/>
  <c r="O66" i="60"/>
  <c r="F65" i="1"/>
  <c r="F65" i="60"/>
  <c r="AU63" i="60"/>
  <c r="AY63" i="60" s="1"/>
  <c r="Y63" i="60"/>
  <c r="AG63" i="60" s="1"/>
  <c r="AJ63" i="60" s="1"/>
  <c r="AN63" i="60"/>
  <c r="AV63" i="60"/>
  <c r="AZ63" i="60" s="1"/>
  <c r="BS65" i="60"/>
  <c r="BB62" i="60"/>
  <c r="BF62" i="60" s="1"/>
  <c r="E69" i="1"/>
  <c r="E69" i="60"/>
  <c r="F64" i="1"/>
  <c r="F64" i="60"/>
  <c r="AW63" i="60"/>
  <c r="BA63" i="60" s="1"/>
  <c r="AI65" i="60"/>
  <c r="BM65" i="60"/>
  <c r="BQ65" i="60" s="1"/>
  <c r="BN65" i="60"/>
  <c r="BR65" i="60" s="1"/>
  <c r="W68" i="60"/>
  <c r="AE68" i="60" s="1"/>
  <c r="BJ68" i="60" s="1"/>
  <c r="BG46" i="24"/>
  <c r="BK46" i="24" s="1"/>
  <c r="BF46" i="24"/>
  <c r="BJ46" i="24" s="1"/>
  <c r="BI45" i="24"/>
  <c r="AW48" i="24"/>
  <c r="BJ45" i="24"/>
  <c r="AW47" i="24"/>
  <c r="AV47" i="24"/>
  <c r="AX48" i="24"/>
  <c r="BE46" i="24"/>
  <c r="BI46" i="24" s="1"/>
  <c r="AX46" i="24"/>
  <c r="AW46" i="24"/>
  <c r="BE41" i="24"/>
  <c r="BI41" i="24" s="1"/>
  <c r="BF41" i="24"/>
  <c r="BJ41" i="24" s="1"/>
  <c r="BG41" i="24"/>
  <c r="BK41" i="24" s="1"/>
  <c r="BK33" i="24"/>
  <c r="BK32" i="24"/>
  <c r="BI33" i="24"/>
  <c r="BI32" i="24"/>
  <c r="AW34" i="24"/>
  <c r="AX34" i="24"/>
  <c r="AX40" i="24"/>
  <c r="AW40" i="24"/>
  <c r="AX37" i="24"/>
  <c r="BK38" i="24"/>
  <c r="BI38" i="24"/>
  <c r="BJ40" i="24"/>
  <c r="AV36" i="24"/>
  <c r="AX36" i="24"/>
  <c r="AW43" i="24"/>
  <c r="AX43" i="24"/>
  <c r="BV39" i="24"/>
  <c r="BJ33" i="24"/>
  <c r="BJ32" i="24"/>
  <c r="BV32" i="24" s="1"/>
  <c r="AV37" i="24"/>
  <c r="BV34" i="24"/>
  <c r="BJ38" i="24"/>
  <c r="BK40" i="24"/>
  <c r="BI40" i="24"/>
  <c r="AV43" i="24"/>
  <c r="AW33" i="24"/>
  <c r="AX33" i="24"/>
  <c r="AW44" i="24"/>
  <c r="AV44" i="24"/>
  <c r="AX45" i="24"/>
  <c r="AW45" i="24"/>
  <c r="AV57" i="24"/>
  <c r="AX58" i="24"/>
  <c r="CX15" i="25"/>
  <c r="CX16" i="25" s="1"/>
  <c r="CX17" i="25" s="1"/>
  <c r="CX18" i="25" s="1"/>
  <c r="CX19" i="25" s="1"/>
  <c r="CX20" i="25" s="1"/>
  <c r="CX21" i="25" s="1"/>
  <c r="CX22" i="25" s="1"/>
  <c r="CX23" i="25" s="1"/>
  <c r="CX24" i="25" s="1"/>
  <c r="CX25" i="25" s="1"/>
  <c r="CX26" i="25" s="1"/>
  <c r="CP21" i="25"/>
  <c r="CP22" i="25" s="1"/>
  <c r="CP23" i="25" s="1"/>
  <c r="CP24" i="25" s="1"/>
  <c r="CP25" i="25" s="1"/>
  <c r="CP26" i="25" s="1"/>
  <c r="AT50" i="32"/>
  <c r="K66" i="1"/>
  <c r="N67" i="60"/>
  <c r="AH63" i="19"/>
  <c r="AM64" i="13"/>
  <c r="O63" i="24"/>
  <c r="G63" i="24"/>
  <c r="P64" i="1"/>
  <c r="U64" i="1" s="1"/>
  <c r="AZ64" i="1" s="1"/>
  <c r="G64" i="1"/>
  <c r="BJ62" i="1"/>
  <c r="L63" i="24"/>
  <c r="L65" i="1"/>
  <c r="I62" i="32"/>
  <c r="BG62" i="24"/>
  <c r="BE62" i="24"/>
  <c r="AT63" i="1"/>
  <c r="AN62" i="24"/>
  <c r="AR62" i="24" s="1"/>
  <c r="D62" i="32"/>
  <c r="AO62" i="24"/>
  <c r="AS62" i="24" s="1"/>
  <c r="Q62" i="24"/>
  <c r="AM62" i="24"/>
  <c r="AQ62" i="24" s="1"/>
  <c r="AF62" i="24"/>
  <c r="BB64" i="1"/>
  <c r="BF64" i="1" s="1"/>
  <c r="BC64" i="1"/>
  <c r="BG64" i="1" s="1"/>
  <c r="J64" i="24"/>
  <c r="X64" i="1"/>
  <c r="P241" i="36" s="1"/>
  <c r="P65" i="1"/>
  <c r="U65" i="1" s="1"/>
  <c r="G65" i="1"/>
  <c r="AL65" i="1" s="1"/>
  <c r="AU63" i="1"/>
  <c r="AY40" i="34"/>
  <c r="BJ40" i="34" s="1"/>
  <c r="BG31" i="32"/>
  <c r="BF31" i="32"/>
  <c r="H31" i="30"/>
  <c r="BH31" i="32"/>
  <c r="AY63" i="34"/>
  <c r="BJ63" i="34" s="1"/>
  <c r="L47" i="53"/>
  <c r="D48" i="53"/>
  <c r="E47" i="53" s="1"/>
  <c r="BN42" i="34"/>
  <c r="AY66" i="34"/>
  <c r="BJ66" i="34" s="1"/>
  <c r="AY36" i="34"/>
  <c r="BJ36" i="34" s="1"/>
  <c r="AY68" i="34"/>
  <c r="BJ68" i="34" s="1"/>
  <c r="AY39" i="34"/>
  <c r="BJ39" i="34" s="1"/>
  <c r="BJ34" i="32"/>
  <c r="BJ31" i="32"/>
  <c r="BJ30" i="32"/>
  <c r="BG56" i="34"/>
  <c r="L53" i="24"/>
  <c r="BE53" i="24" s="1"/>
  <c r="BI53" i="24" s="1"/>
  <c r="N53" i="24"/>
  <c r="Q75" i="34"/>
  <c r="V57" i="34"/>
  <c r="Y57" i="34" s="1"/>
  <c r="BN57" i="34"/>
  <c r="I41" i="32"/>
  <c r="Q41" i="24"/>
  <c r="N32" i="32"/>
  <c r="N94" i="32" s="1"/>
  <c r="L32" i="32"/>
  <c r="BF32" i="32" s="1"/>
  <c r="O50" i="34"/>
  <c r="T50" i="34" s="1"/>
  <c r="AY51" i="34" s="1"/>
  <c r="BJ51" i="34" s="1"/>
  <c r="L50" i="34"/>
  <c r="BC50" i="34" s="1"/>
  <c r="AY43" i="34"/>
  <c r="BJ43" i="34" s="1"/>
  <c r="AY65" i="34"/>
  <c r="BJ65" i="34" s="1"/>
  <c r="AY35" i="34"/>
  <c r="BJ35" i="34" s="1"/>
  <c r="AY37" i="34"/>
  <c r="BJ37" i="34" s="1"/>
  <c r="AY67" i="34"/>
  <c r="BJ67" i="34" s="1"/>
  <c r="AY33" i="34"/>
  <c r="BJ33" i="34" s="1"/>
  <c r="BK33" i="34" s="1"/>
  <c r="BK34" i="34" s="1"/>
  <c r="AY38" i="34"/>
  <c r="BJ38" i="34" s="1"/>
  <c r="BG58" i="34"/>
  <c r="BF58" i="34"/>
  <c r="I58" i="24"/>
  <c r="Q58" i="34"/>
  <c r="V58" i="34" s="1"/>
  <c r="Y58" i="34" s="1"/>
  <c r="X58" i="34"/>
  <c r="P206" i="36" s="1"/>
  <c r="BD58" i="34"/>
  <c r="BH58" i="34" s="1"/>
  <c r="BG34" i="32"/>
  <c r="BH34" i="32"/>
  <c r="H34" i="30"/>
  <c r="V46" i="34"/>
  <c r="Y46" i="34" s="1"/>
  <c r="L45" i="32"/>
  <c r="N45" i="32"/>
  <c r="N107" i="32" s="1"/>
  <c r="BF45" i="32"/>
  <c r="AY57" i="34"/>
  <c r="BJ57" i="34" s="1"/>
  <c r="V41" i="34"/>
  <c r="Y41" i="34" s="1"/>
  <c r="V43" i="34"/>
  <c r="Y43" i="34" s="1"/>
  <c r="L43" i="24"/>
  <c r="N43" i="24"/>
  <c r="L37" i="32"/>
  <c r="N37" i="32"/>
  <c r="N99" i="32" s="1"/>
  <c r="AX56" i="34"/>
  <c r="AX55" i="34"/>
  <c r="BJ55" i="34" s="1"/>
  <c r="O59" i="34"/>
  <c r="T59" i="34" s="1"/>
  <c r="L59" i="34"/>
  <c r="BC59" i="34" s="1"/>
  <c r="BG59" i="34" s="1"/>
  <c r="N59" i="34"/>
  <c r="S59" i="34" s="1"/>
  <c r="AX59" i="34" s="1"/>
  <c r="L47" i="24"/>
  <c r="BE47" i="24" s="1"/>
  <c r="BI47" i="24" s="1"/>
  <c r="N47" i="24"/>
  <c r="L42" i="24"/>
  <c r="N42" i="24"/>
  <c r="L57" i="24"/>
  <c r="N57" i="24"/>
  <c r="N75" i="24" s="1"/>
  <c r="BE57" i="24"/>
  <c r="BI57" i="24" s="1"/>
  <c r="O49" i="34"/>
  <c r="T49" i="34" s="1"/>
  <c r="AY49" i="34" s="1"/>
  <c r="BJ49" i="34" s="1"/>
  <c r="L49" i="34"/>
  <c r="AY64" i="34"/>
  <c r="BJ64" i="34" s="1"/>
  <c r="AY56" i="34"/>
  <c r="AY44" i="34"/>
  <c r="BJ44" i="34" s="1"/>
  <c r="AY69" i="34"/>
  <c r="BJ69" i="34" s="1"/>
  <c r="Q54" i="34"/>
  <c r="V54" i="34" s="1"/>
  <c r="Y54" i="34" s="1"/>
  <c r="I54" i="24"/>
  <c r="X54" i="34"/>
  <c r="P202" i="36" s="1"/>
  <c r="BD54" i="34"/>
  <c r="BH54" i="34" s="1"/>
  <c r="AY59" i="34"/>
  <c r="AY58" i="34"/>
  <c r="BJ58" i="34" s="1"/>
  <c r="L40" i="32"/>
  <c r="N40" i="32"/>
  <c r="N102" i="32" s="1"/>
  <c r="BF40" i="32"/>
  <c r="AY52" i="34"/>
  <c r="BJ52" i="34" s="1"/>
  <c r="BG52" i="24"/>
  <c r="BK52" i="24" s="1"/>
  <c r="Q52" i="24"/>
  <c r="I52" i="32"/>
  <c r="BF52" i="24"/>
  <c r="BJ52" i="24" s="1"/>
  <c r="BC54" i="34"/>
  <c r="BG54" i="34" s="1"/>
  <c r="I46" i="32"/>
  <c r="L74" i="24"/>
  <c r="Z41" i="24" s="1"/>
  <c r="Q46" i="24"/>
  <c r="V34" i="34"/>
  <c r="Y34" i="34" s="1"/>
  <c r="V62" i="34"/>
  <c r="Y62" i="34" s="1"/>
  <c r="V51" i="34"/>
  <c r="Y51" i="34" s="1"/>
  <c r="V63" i="34"/>
  <c r="Y63" i="34" s="1"/>
  <c r="V67" i="34"/>
  <c r="Y67" i="34" s="1"/>
  <c r="V56" i="34"/>
  <c r="Y56" i="34" s="1"/>
  <c r="V64" i="34"/>
  <c r="Y64" i="34" s="1"/>
  <c r="V36" i="34"/>
  <c r="Y36" i="34" s="1"/>
  <c r="V35" i="34"/>
  <c r="Y35" i="34" s="1"/>
  <c r="V68" i="34"/>
  <c r="Y68" i="34" s="1"/>
  <c r="V65" i="34"/>
  <c r="Y65" i="34" s="1"/>
  <c r="V69" i="34"/>
  <c r="Y69" i="34" s="1"/>
  <c r="V66" i="34"/>
  <c r="Y66" i="34" s="1"/>
  <c r="V31" i="34"/>
  <c r="Y31" i="34" s="1"/>
  <c r="V33" i="34"/>
  <c r="Y33" i="34" s="1"/>
  <c r="V37" i="34"/>
  <c r="Y37" i="34" s="1"/>
  <c r="V45" i="34"/>
  <c r="Y45" i="34" s="1"/>
  <c r="V44" i="34"/>
  <c r="Y44" i="34" s="1"/>
  <c r="V39" i="34"/>
  <c r="Y39" i="34" s="1"/>
  <c r="V40" i="34"/>
  <c r="Y40" i="34" s="1"/>
  <c r="V38" i="34"/>
  <c r="Y38" i="34" s="1"/>
  <c r="V32" i="34"/>
  <c r="Y32" i="34" s="1"/>
  <c r="L39" i="32"/>
  <c r="N39" i="32"/>
  <c r="N101" i="32" s="1"/>
  <c r="BF39" i="32"/>
  <c r="L44" i="32"/>
  <c r="N44" i="32"/>
  <c r="N106" i="32" s="1"/>
  <c r="BB48" i="34"/>
  <c r="BF48" i="34" s="1"/>
  <c r="BD48" i="34"/>
  <c r="BH48" i="34" s="1"/>
  <c r="I48" i="24"/>
  <c r="X48" i="34"/>
  <c r="P196" i="36" s="1"/>
  <c r="Q48" i="34"/>
  <c r="V48" i="34" s="1"/>
  <c r="Y48" i="34" s="1"/>
  <c r="H30" i="30"/>
  <c r="BG30" i="32"/>
  <c r="BK30" i="32" s="1"/>
  <c r="BH30" i="32"/>
  <c r="BL30" i="32" s="1"/>
  <c r="BH44" i="34"/>
  <c r="BH43" i="34"/>
  <c r="BF43" i="34"/>
  <c r="BF44" i="34"/>
  <c r="BG43" i="34"/>
  <c r="BG44" i="34"/>
  <c r="AY46" i="34"/>
  <c r="BJ46" i="34" s="1"/>
  <c r="N38" i="32"/>
  <c r="N100" i="32" s="1"/>
  <c r="L38" i="32"/>
  <c r="BB55" i="34"/>
  <c r="X55" i="34"/>
  <c r="P203" i="36" s="1"/>
  <c r="BD55" i="34"/>
  <c r="I55" i="24"/>
  <c r="Q55" i="34"/>
  <c r="V55" i="34" s="1"/>
  <c r="Y55" i="34" s="1"/>
  <c r="AC59" i="13"/>
  <c r="C59" i="13" s="1"/>
  <c r="J61" i="34" s="1"/>
  <c r="C58" i="13"/>
  <c r="J60" i="34" s="1"/>
  <c r="Z59" i="13"/>
  <c r="B59" i="13" s="1"/>
  <c r="I61" i="34" s="1"/>
  <c r="B58" i="13"/>
  <c r="I60" i="34" s="1"/>
  <c r="V47" i="34"/>
  <c r="Y47" i="34" s="1"/>
  <c r="AY41" i="34"/>
  <c r="BJ41" i="34" s="1"/>
  <c r="AY27" i="32"/>
  <c r="AX27" i="32"/>
  <c r="BR27" i="32"/>
  <c r="AW58" i="24"/>
  <c r="CW28" i="25"/>
  <c r="AI26" i="30"/>
  <c r="AL26" i="30" s="1"/>
  <c r="AN26" i="30" s="1"/>
  <c r="AQ38" i="26"/>
  <c r="BN36" i="26"/>
  <c r="BO36" i="26" s="1"/>
  <c r="BO37" i="26" s="1"/>
  <c r="AK39" i="26"/>
  <c r="AO39" i="26" s="1"/>
  <c r="D39" i="29"/>
  <c r="L39" i="29" s="1"/>
  <c r="Q39" i="26"/>
  <c r="AJ39" i="26"/>
  <c r="AN39" i="26" s="1"/>
  <c r="AL39" i="26"/>
  <c r="AP39" i="26" s="1"/>
  <c r="O40" i="26"/>
  <c r="G40" i="26"/>
  <c r="AK40" i="26" s="1"/>
  <c r="AO40" i="26" s="1"/>
  <c r="BB39" i="19"/>
  <c r="J39" i="14" s="1"/>
  <c r="K39" i="14"/>
  <c r="F42" i="26" s="1"/>
  <c r="P42" i="26" s="1"/>
  <c r="BC40" i="19"/>
  <c r="E41" i="26"/>
  <c r="L38" i="14"/>
  <c r="BH25" i="30"/>
  <c r="BP25" i="30"/>
  <c r="AW26" i="32"/>
  <c r="AT61" i="32"/>
  <c r="AS61" i="32"/>
  <c r="O401" i="36"/>
  <c r="B49" i="32"/>
  <c r="BS21" i="32"/>
  <c r="BS22" i="32" s="1"/>
  <c r="BS23" i="32" s="1"/>
  <c r="BS24" i="32" s="1"/>
  <c r="CA16" i="32"/>
  <c r="CA17" i="32" s="1"/>
  <c r="CA18" i="32" s="1"/>
  <c r="CA19" i="32" s="1"/>
  <c r="CA20" i="32" s="1"/>
  <c r="CA21" i="32" s="1"/>
  <c r="CA22" i="32" s="1"/>
  <c r="CA23" i="32" s="1"/>
  <c r="CA24" i="32" s="1"/>
  <c r="CA25" i="32" s="1"/>
  <c r="BS25" i="32"/>
  <c r="AP22" i="30"/>
  <c r="BK72" i="29"/>
  <c r="DE41" i="25"/>
  <c r="DA42" i="25"/>
  <c r="CS28" i="25"/>
  <c r="BS29" i="24"/>
  <c r="BK32" i="1"/>
  <c r="BP16" i="30"/>
  <c r="BQ16" i="30" s="1"/>
  <c r="BQ17" i="30" s="1"/>
  <c r="BQ18" i="30" s="1"/>
  <c r="BQ19" i="30" s="1"/>
  <c r="BQ20" i="30" s="1"/>
  <c r="BQ21" i="30" s="1"/>
  <c r="BH16" i="30"/>
  <c r="BI16" i="30" s="1"/>
  <c r="BI17" i="30" s="1"/>
  <c r="BI18" i="30" s="1"/>
  <c r="BI19" i="30" s="1"/>
  <c r="BI20" i="30" s="1"/>
  <c r="BI21" i="30" s="1"/>
  <c r="O69" i="1"/>
  <c r="T69" i="1" s="1"/>
  <c r="AY69" i="1" s="1"/>
  <c r="AJ68" i="19"/>
  <c r="AS65" i="33"/>
  <c r="AV65" i="33" s="1"/>
  <c r="T65" i="33"/>
  <c r="P272" i="36" s="1"/>
  <c r="AT65" i="33"/>
  <c r="AW65" i="33" s="1"/>
  <c r="N65" i="33"/>
  <c r="R65" i="33" s="1"/>
  <c r="U65" i="33" s="1"/>
  <c r="K67" i="32"/>
  <c r="Q607" i="36"/>
  <c r="AQ65" i="33"/>
  <c r="AZ65" i="33" s="1"/>
  <c r="P66" i="32"/>
  <c r="P128" i="32" s="1"/>
  <c r="M66" i="33"/>
  <c r="Q66" i="33" s="1"/>
  <c r="J66" i="33"/>
  <c r="T608" i="36"/>
  <c r="P608" i="36" s="1"/>
  <c r="U68" i="13"/>
  <c r="I67" i="33"/>
  <c r="AD16" i="54"/>
  <c r="M38" i="18"/>
  <c r="AX57" i="24"/>
  <c r="CA29" i="24"/>
  <c r="AS30" i="32"/>
  <c r="AS29" i="32"/>
  <c r="AV30" i="24"/>
  <c r="AT29" i="32"/>
  <c r="AU29" i="32" s="1"/>
  <c r="AW29" i="32" s="1"/>
  <c r="AT30" i="32"/>
  <c r="F29" i="30"/>
  <c r="AJ29" i="30" s="1"/>
  <c r="BK64" i="29"/>
  <c r="BK65" i="29"/>
  <c r="AX28" i="32"/>
  <c r="BT69" i="25"/>
  <c r="AB125" i="25"/>
  <c r="AB126" i="25"/>
  <c r="BT70" i="25"/>
  <c r="AX59" i="32"/>
  <c r="AY59" i="32"/>
  <c r="AU57" i="32"/>
  <c r="AW57" i="32" s="1"/>
  <c r="AU58" i="32"/>
  <c r="AW58" i="32" s="1"/>
  <c r="M42" i="14"/>
  <c r="E45" i="29" s="1"/>
  <c r="AY41" i="19"/>
  <c r="AL49" i="29"/>
  <c r="AM49" i="29" s="1"/>
  <c r="AO49" i="29" s="1"/>
  <c r="BK52" i="29"/>
  <c r="N47" i="29"/>
  <c r="AH47" i="29"/>
  <c r="E47" i="32"/>
  <c r="G48" i="32"/>
  <c r="O48" i="32"/>
  <c r="O110" i="32" s="1"/>
  <c r="E74" i="29"/>
  <c r="M46" i="29"/>
  <c r="U523" i="36"/>
  <c r="R524" i="36" s="1"/>
  <c r="AM50" i="29"/>
  <c r="AO50" i="29" s="1"/>
  <c r="CS27" i="25"/>
  <c r="CT27" i="25" s="1"/>
  <c r="CO27" i="25"/>
  <c r="CP27" i="25" s="1"/>
  <c r="CP28" i="25" s="1"/>
  <c r="CP29" i="25" s="1"/>
  <c r="CW27" i="25"/>
  <c r="CX27" i="25" s="1"/>
  <c r="AS55" i="32"/>
  <c r="AS56" i="32"/>
  <c r="AT51" i="32"/>
  <c r="AT52" i="32"/>
  <c r="AS52" i="32"/>
  <c r="AS51" i="32"/>
  <c r="AW54" i="24"/>
  <c r="AX50" i="24"/>
  <c r="AW50" i="24"/>
  <c r="B262" i="43"/>
  <c r="D263" i="43" s="1"/>
  <c r="B263" i="43" s="1"/>
  <c r="B265" i="43" s="1"/>
  <c r="AS54" i="32"/>
  <c r="AS53" i="32"/>
  <c r="AR54" i="32"/>
  <c r="AR53" i="32"/>
  <c r="AT55" i="32"/>
  <c r="AT56" i="32"/>
  <c r="L51" i="30"/>
  <c r="AS50" i="32"/>
  <c r="AU50" i="32" s="1"/>
  <c r="AX50" i="32" s="1"/>
  <c r="AX54" i="24"/>
  <c r="AV50" i="24"/>
  <c r="AT54" i="32"/>
  <c r="AT53" i="32"/>
  <c r="AU60" i="32"/>
  <c r="AX60" i="32" s="1"/>
  <c r="BB19" i="10"/>
  <c r="BF19" i="10"/>
  <c r="BZ28" i="32"/>
  <c r="BV28" i="32"/>
  <c r="BR28" i="32"/>
  <c r="AY28" i="32"/>
  <c r="BA36" i="33"/>
  <c r="BK35" i="34"/>
  <c r="BW18" i="24"/>
  <c r="BW19" i="32"/>
  <c r="BE17" i="33"/>
  <c r="BO35" i="34"/>
  <c r="BV52" i="24" l="1"/>
  <c r="BV40" i="24"/>
  <c r="BV37" i="24"/>
  <c r="AI28" i="30"/>
  <c r="AL28" i="30" s="1"/>
  <c r="AN28" i="30" s="1"/>
  <c r="AP28" i="30" s="1"/>
  <c r="BV33" i="60"/>
  <c r="BJ63" i="1"/>
  <c r="AZ65" i="1"/>
  <c r="BN62" i="1"/>
  <c r="BJ35" i="32"/>
  <c r="BE62" i="60"/>
  <c r="F66" i="1"/>
  <c r="G66" i="1" s="1"/>
  <c r="AL66" i="1" s="1"/>
  <c r="AP66" i="1" s="1"/>
  <c r="F66" i="60"/>
  <c r="BZ37" i="60"/>
  <c r="X65" i="60"/>
  <c r="AF65" i="60" s="1"/>
  <c r="G65" i="60"/>
  <c r="AI66" i="60"/>
  <c r="BM66" i="60"/>
  <c r="BQ66" i="60" s="1"/>
  <c r="BN66" i="60"/>
  <c r="BR66" i="60" s="1"/>
  <c r="E70" i="1"/>
  <c r="E70" i="60"/>
  <c r="O67" i="60"/>
  <c r="BO67" i="60" s="1"/>
  <c r="X64" i="60"/>
  <c r="AF64" i="60" s="1"/>
  <c r="BK64" i="60" s="1"/>
  <c r="G64" i="60"/>
  <c r="AW64" i="60" s="1"/>
  <c r="BA64" i="60" s="1"/>
  <c r="W69" i="60"/>
  <c r="AE69" i="60" s="1"/>
  <c r="BJ69" i="60" s="1"/>
  <c r="BD62" i="60"/>
  <c r="BB63" i="60"/>
  <c r="BF63" i="60" s="1"/>
  <c r="BO66" i="60"/>
  <c r="BV46" i="24"/>
  <c r="AL27" i="30"/>
  <c r="AN27" i="30" s="1"/>
  <c r="AQ27" i="30" s="1"/>
  <c r="BE42" i="24"/>
  <c r="BI42" i="24" s="1"/>
  <c r="BF42" i="24"/>
  <c r="BJ42" i="24" s="1"/>
  <c r="BG42" i="24"/>
  <c r="BK42" i="24" s="1"/>
  <c r="BV36" i="24"/>
  <c r="BV38" i="24"/>
  <c r="BE43" i="24"/>
  <c r="BF43" i="24"/>
  <c r="BG43" i="24"/>
  <c r="BV33" i="24"/>
  <c r="BV45" i="24"/>
  <c r="BV41" i="24"/>
  <c r="Z46" i="24"/>
  <c r="P159" i="36" s="1"/>
  <c r="S175" i="36"/>
  <c r="Y190" i="36"/>
  <c r="BN48" i="34"/>
  <c r="BN54" i="34"/>
  <c r="BN63" i="1"/>
  <c r="L64" i="24"/>
  <c r="BF64" i="24" s="1"/>
  <c r="AT62" i="24"/>
  <c r="AW62" i="24" s="1"/>
  <c r="L62" i="32"/>
  <c r="BF62" i="32" s="1"/>
  <c r="BB65" i="1"/>
  <c r="BF65" i="1" s="1"/>
  <c r="J65" i="24"/>
  <c r="BC65" i="1"/>
  <c r="BG65" i="1" s="1"/>
  <c r="X65" i="1"/>
  <c r="P242" i="36" s="1"/>
  <c r="BG63" i="24"/>
  <c r="BK63" i="24" s="1"/>
  <c r="I63" i="32"/>
  <c r="L63" i="32" s="1"/>
  <c r="BE63" i="24"/>
  <c r="BI63" i="24" s="1"/>
  <c r="P66" i="1"/>
  <c r="U66" i="1" s="1"/>
  <c r="AZ66" i="1" s="1"/>
  <c r="L66" i="1"/>
  <c r="BD66" i="1" s="1"/>
  <c r="AC65" i="1"/>
  <c r="S242" i="36" s="1"/>
  <c r="AK65" i="1"/>
  <c r="Q65" i="1"/>
  <c r="V65" i="1" s="1"/>
  <c r="Y65" i="1" s="1"/>
  <c r="AJ65" i="1"/>
  <c r="E65" i="24"/>
  <c r="G62" i="32"/>
  <c r="N62" i="32"/>
  <c r="N124" i="32" s="1"/>
  <c r="BD65" i="1"/>
  <c r="BH65" i="1" s="1"/>
  <c r="BF63" i="24"/>
  <c r="BJ63" i="24" s="1"/>
  <c r="AL64" i="1"/>
  <c r="AP64" i="1" s="1"/>
  <c r="Q64" i="1"/>
  <c r="V64" i="1" s="1"/>
  <c r="Y64" i="1" s="1"/>
  <c r="E64" i="24"/>
  <c r="AJ64" i="1"/>
  <c r="AN64" i="1" s="1"/>
  <c r="AK64" i="1"/>
  <c r="AO64" i="1" s="1"/>
  <c r="AC64" i="1"/>
  <c r="S241" i="36" s="1"/>
  <c r="AN63" i="24"/>
  <c r="AR63" i="24" s="1"/>
  <c r="AM63" i="24"/>
  <c r="AQ63" i="24" s="1"/>
  <c r="AO63" i="24"/>
  <c r="AS63" i="24" s="1"/>
  <c r="D63" i="32"/>
  <c r="Q63" i="24"/>
  <c r="AF63" i="24"/>
  <c r="N68" i="60"/>
  <c r="K67" i="1"/>
  <c r="AH64" i="19"/>
  <c r="AM65" i="13"/>
  <c r="L48" i="53"/>
  <c r="M47" i="53" s="1"/>
  <c r="E43" i="53"/>
  <c r="E45" i="53"/>
  <c r="E44" i="53"/>
  <c r="E46" i="53"/>
  <c r="BG51" i="34"/>
  <c r="N61" i="34"/>
  <c r="S61" i="34" s="1"/>
  <c r="L61" i="34"/>
  <c r="O61" i="34"/>
  <c r="T61" i="34" s="1"/>
  <c r="BC61" i="34"/>
  <c r="L55" i="24"/>
  <c r="N55" i="24"/>
  <c r="BF38" i="32"/>
  <c r="BH38" i="32"/>
  <c r="BG38" i="32"/>
  <c r="H38" i="30"/>
  <c r="BN43" i="34"/>
  <c r="L48" i="24"/>
  <c r="N48" i="24"/>
  <c r="BE48" i="24"/>
  <c r="BF44" i="32"/>
  <c r="BJ45" i="32" s="1"/>
  <c r="BH44" i="32"/>
  <c r="H44" i="30"/>
  <c r="BG44" i="32"/>
  <c r="Q74" i="24"/>
  <c r="AA46" i="24" s="1"/>
  <c r="L46" i="32"/>
  <c r="BF46" i="32" s="1"/>
  <c r="BJ46" i="32" s="1"/>
  <c r="F43" i="53"/>
  <c r="N46" i="32"/>
  <c r="L54" i="24"/>
  <c r="BE54" i="24" s="1"/>
  <c r="BI54" i="24" s="1"/>
  <c r="N54" i="24"/>
  <c r="I49" i="24"/>
  <c r="BD49" i="34"/>
  <c r="BB49" i="34"/>
  <c r="BF49" i="34" s="1"/>
  <c r="Q49" i="34"/>
  <c r="V49" i="34" s="1"/>
  <c r="Y49" i="34" s="1"/>
  <c r="X49" i="34"/>
  <c r="P197" i="36" s="1"/>
  <c r="Z42" i="24"/>
  <c r="Q42" i="24"/>
  <c r="I42" i="32"/>
  <c r="BJ59" i="34"/>
  <c r="BG45" i="32"/>
  <c r="BH45" i="32"/>
  <c r="H45" i="30"/>
  <c r="BK35" i="32"/>
  <c r="BK34" i="32"/>
  <c r="L58" i="24"/>
  <c r="BE58" i="24" s="1"/>
  <c r="BI58" i="24" s="1"/>
  <c r="N58" i="24"/>
  <c r="BH32" i="32"/>
  <c r="H32" i="30"/>
  <c r="BG32" i="32"/>
  <c r="BF53" i="24"/>
  <c r="BJ53" i="24" s="1"/>
  <c r="BG53" i="24"/>
  <c r="BK53" i="24" s="1"/>
  <c r="I53" i="32"/>
  <c r="Z53" i="24"/>
  <c r="Q53" i="24"/>
  <c r="BG55" i="34"/>
  <c r="L60" i="34"/>
  <c r="BC60" i="34" s="1"/>
  <c r="BG60" i="34" s="1"/>
  <c r="N60" i="34"/>
  <c r="S60" i="34" s="1"/>
  <c r="AX60" i="34" s="1"/>
  <c r="BB60" i="34"/>
  <c r="O60" i="34"/>
  <c r="T60" i="34" s="1"/>
  <c r="AY60" i="34" s="1"/>
  <c r="BH55" i="34"/>
  <c r="BH56" i="34"/>
  <c r="BF55" i="34"/>
  <c r="BF56" i="34"/>
  <c r="BN56" i="34" s="1"/>
  <c r="BN44" i="34"/>
  <c r="J30" i="30"/>
  <c r="BJ39" i="32"/>
  <c r="BH39" i="32"/>
  <c r="BG39" i="32"/>
  <c r="H39" i="30"/>
  <c r="Z23" i="24"/>
  <c r="Z12" i="24"/>
  <c r="Z51" i="24"/>
  <c r="Z16" i="24"/>
  <c r="Z17" i="24"/>
  <c r="Z21" i="24"/>
  <c r="Z62" i="24"/>
  <c r="Z64" i="24"/>
  <c r="Z19" i="24"/>
  <c r="Z13" i="24"/>
  <c r="Z26" i="24"/>
  <c r="Z25" i="24"/>
  <c r="Z11" i="24"/>
  <c r="Z28" i="24"/>
  <c r="Z33" i="24"/>
  <c r="Z36" i="24"/>
  <c r="Z29" i="24"/>
  <c r="Z24" i="24"/>
  <c r="Z18" i="24"/>
  <c r="Z63" i="24"/>
  <c r="Z27" i="24"/>
  <c r="Z20" i="24"/>
  <c r="Z22" i="24"/>
  <c r="Z14" i="24"/>
  <c r="Z15" i="24"/>
  <c r="Z10" i="24"/>
  <c r="Z35" i="24"/>
  <c r="Z31" i="24"/>
  <c r="Z56" i="24"/>
  <c r="Z30" i="24"/>
  <c r="Z34" i="24"/>
  <c r="Z37" i="24"/>
  <c r="Z45" i="24"/>
  <c r="Z39" i="24"/>
  <c r="Z38" i="24"/>
  <c r="Z44" i="24"/>
  <c r="Z40" i="24"/>
  <c r="Z32" i="24"/>
  <c r="Z52" i="24"/>
  <c r="L52" i="32"/>
  <c r="N52" i="32"/>
  <c r="N114" i="32" s="1"/>
  <c r="BJ40" i="32"/>
  <c r="H40" i="30"/>
  <c r="BH40" i="32"/>
  <c r="BG40" i="32"/>
  <c r="BC49" i="34"/>
  <c r="BG49" i="34" s="1"/>
  <c r="I57" i="32"/>
  <c r="L75" i="24"/>
  <c r="Q57" i="24"/>
  <c r="BF57" i="24"/>
  <c r="BJ57" i="24" s="1"/>
  <c r="Z57" i="24"/>
  <c r="BG57" i="24"/>
  <c r="BK57" i="24" s="1"/>
  <c r="BF47" i="24"/>
  <c r="BJ47" i="24" s="1"/>
  <c r="BG47" i="24"/>
  <c r="BK47" i="24" s="1"/>
  <c r="Z47" i="24"/>
  <c r="I47" i="32"/>
  <c r="Q47" i="24"/>
  <c r="BB59" i="34"/>
  <c r="BF59" i="34" s="1"/>
  <c r="BD59" i="34"/>
  <c r="BH59" i="34" s="1"/>
  <c r="X59" i="34"/>
  <c r="P207" i="36" s="1"/>
  <c r="I59" i="24"/>
  <c r="Q59" i="34"/>
  <c r="V59" i="34" s="1"/>
  <c r="Y59" i="34" s="1"/>
  <c r="BJ56" i="34"/>
  <c r="BF37" i="32"/>
  <c r="BJ37" i="32" s="1"/>
  <c r="H37" i="30"/>
  <c r="BG37" i="32"/>
  <c r="BH37" i="32"/>
  <c r="I43" i="32"/>
  <c r="Z43" i="24"/>
  <c r="Q43" i="24"/>
  <c r="AA43" i="24" s="1"/>
  <c r="BL35" i="32"/>
  <c r="BL34" i="32"/>
  <c r="BN58" i="34"/>
  <c r="BB50" i="34"/>
  <c r="BD50" i="34"/>
  <c r="BH51" i="34" s="1"/>
  <c r="Q50" i="34"/>
  <c r="V50" i="34" s="1"/>
  <c r="Y50" i="34" s="1"/>
  <c r="X50" i="34"/>
  <c r="P198" i="36" s="1"/>
  <c r="I50" i="24"/>
  <c r="AY50" i="34"/>
  <c r="BJ50" i="34" s="1"/>
  <c r="BJ32" i="32"/>
  <c r="BJ33" i="32"/>
  <c r="L41" i="32"/>
  <c r="N41" i="32"/>
  <c r="N103" i="32" s="1"/>
  <c r="BF41" i="32"/>
  <c r="BJ41" i="32" s="1"/>
  <c r="CX28" i="25"/>
  <c r="CX29" i="25" s="1"/>
  <c r="CT28" i="25"/>
  <c r="CT29" i="25" s="1"/>
  <c r="G41" i="26"/>
  <c r="O41" i="26"/>
  <c r="BB40" i="19"/>
  <c r="J40" i="14" s="1"/>
  <c r="K40" i="14"/>
  <c r="F43" i="26" s="1"/>
  <c r="P43" i="26" s="1"/>
  <c r="BC41" i="19"/>
  <c r="E42" i="26"/>
  <c r="L39" i="14"/>
  <c r="AL40" i="26"/>
  <c r="AP40" i="26" s="1"/>
  <c r="Q40" i="26"/>
  <c r="D40" i="29"/>
  <c r="L40" i="29" s="1"/>
  <c r="AJ40" i="26"/>
  <c r="AN40" i="26" s="1"/>
  <c r="AS38" i="26"/>
  <c r="AT38" i="26"/>
  <c r="AP26" i="30"/>
  <c r="AQ26" i="30"/>
  <c r="AQ39" i="26"/>
  <c r="AT39" i="26" s="1"/>
  <c r="AU38" i="26"/>
  <c r="BR26" i="32"/>
  <c r="BS26" i="32" s="1"/>
  <c r="BS27" i="32" s="1"/>
  <c r="BS28" i="32" s="1"/>
  <c r="BV26" i="32"/>
  <c r="BZ26" i="32"/>
  <c r="CA26" i="32" s="1"/>
  <c r="CA27" i="32" s="1"/>
  <c r="CA28" i="32" s="1"/>
  <c r="AU61" i="32"/>
  <c r="AY61" i="32" s="1"/>
  <c r="AJ69" i="19"/>
  <c r="O402" i="36"/>
  <c r="B50" i="32"/>
  <c r="BP22" i="30"/>
  <c r="BQ22" i="30" s="1"/>
  <c r="BQ23" i="30" s="1"/>
  <c r="BQ24" i="30" s="1"/>
  <c r="BQ25" i="30" s="1"/>
  <c r="BH22" i="30"/>
  <c r="BI22" i="30" s="1"/>
  <c r="BI23" i="30" s="1"/>
  <c r="BI24" i="30" s="1"/>
  <c r="BI25" i="30" s="1"/>
  <c r="BL22" i="30"/>
  <c r="DE42" i="25"/>
  <c r="DA43" i="25"/>
  <c r="BM33" i="1"/>
  <c r="BK33" i="1"/>
  <c r="O70" i="1"/>
  <c r="T70" i="1" s="1"/>
  <c r="AY70" i="1" s="1"/>
  <c r="T609" i="36"/>
  <c r="P609" i="36" s="1"/>
  <c r="J67" i="33"/>
  <c r="M67" i="33"/>
  <c r="Q67" i="33" s="1"/>
  <c r="AQ66" i="33"/>
  <c r="AZ66" i="33" s="1"/>
  <c r="Q608" i="36"/>
  <c r="U69" i="13"/>
  <c r="U70" i="13" s="1"/>
  <c r="I70" i="33" s="1"/>
  <c r="I68" i="33"/>
  <c r="K68" i="32"/>
  <c r="T66" i="33"/>
  <c r="P273" i="36" s="1"/>
  <c r="AS66" i="33"/>
  <c r="AV66" i="33" s="1"/>
  <c r="N66" i="33"/>
  <c r="R66" i="33" s="1"/>
  <c r="U66" i="33" s="1"/>
  <c r="AT66" i="33"/>
  <c r="AW66" i="33" s="1"/>
  <c r="P67" i="32"/>
  <c r="P129" i="32" s="1"/>
  <c r="BD65" i="33"/>
  <c r="AD15" i="54"/>
  <c r="M37" i="18"/>
  <c r="AI29" i="30"/>
  <c r="AL29" i="30" s="1"/>
  <c r="AM29" i="30"/>
  <c r="AM30" i="30"/>
  <c r="AY29" i="32"/>
  <c r="BV30" i="24"/>
  <c r="BR30" i="24"/>
  <c r="BS30" i="24" s="1"/>
  <c r="BS31" i="24" s="1"/>
  <c r="BZ30" i="24"/>
  <c r="CA30" i="24" s="1"/>
  <c r="BZ29" i="32"/>
  <c r="BR29" i="32"/>
  <c r="BV29" i="32"/>
  <c r="AX29" i="32"/>
  <c r="AU30" i="32"/>
  <c r="AW30" i="32" s="1"/>
  <c r="AU56" i="32"/>
  <c r="AX56" i="32" s="1"/>
  <c r="AU51" i="32"/>
  <c r="AX51" i="32" s="1"/>
  <c r="AY58" i="32"/>
  <c r="AX58" i="32"/>
  <c r="AY57" i="32"/>
  <c r="AX57" i="32"/>
  <c r="AU52" i="32"/>
  <c r="AW52" i="32" s="1"/>
  <c r="AP50" i="29"/>
  <c r="BK50" i="29" s="1"/>
  <c r="M74" i="29"/>
  <c r="AK48" i="29"/>
  <c r="AM48" i="29" s="1"/>
  <c r="AP49" i="29"/>
  <c r="BK49" i="29" s="1"/>
  <c r="M45" i="29"/>
  <c r="R539" i="36"/>
  <c r="R542" i="36"/>
  <c r="R533" i="36"/>
  <c r="R545" i="36"/>
  <c r="R538" i="36"/>
  <c r="R536" i="36"/>
  <c r="R535" i="36"/>
  <c r="R546" i="36"/>
  <c r="R534" i="36"/>
  <c r="R523" i="36"/>
  <c r="R543" i="36"/>
  <c r="R531" i="36"/>
  <c r="R537" i="36"/>
  <c r="R530" i="36"/>
  <c r="R541" i="36"/>
  <c r="R540" i="36"/>
  <c r="R544" i="36"/>
  <c r="R532" i="36"/>
  <c r="R529" i="36"/>
  <c r="R528" i="36"/>
  <c r="R527" i="36"/>
  <c r="R526" i="36"/>
  <c r="R525" i="36"/>
  <c r="AO48" i="32"/>
  <c r="AP48" i="32"/>
  <c r="AN48" i="32"/>
  <c r="D48" i="30"/>
  <c r="O47" i="32"/>
  <c r="O109" i="32" s="1"/>
  <c r="G47" i="32"/>
  <c r="AO47" i="32" s="1"/>
  <c r="AY40" i="19"/>
  <c r="M41" i="14"/>
  <c r="E44" i="29" s="1"/>
  <c r="AW60" i="32"/>
  <c r="AX61" i="32"/>
  <c r="AY50" i="32"/>
  <c r="AW50" i="32"/>
  <c r="AU53" i="32"/>
  <c r="AW53" i="32" s="1"/>
  <c r="AU54" i="32"/>
  <c r="AY54" i="32" s="1"/>
  <c r="AU55" i="32"/>
  <c r="AW55" i="32" s="1"/>
  <c r="AY60" i="32"/>
  <c r="AP27" i="30"/>
  <c r="BH27" i="30" s="1"/>
  <c r="AQ28" i="30"/>
  <c r="BH28" i="30" s="1"/>
  <c r="BF20" i="10"/>
  <c r="BB20" i="10"/>
  <c r="BA37" i="33"/>
  <c r="BO36" i="34"/>
  <c r="BE18" i="33"/>
  <c r="BW20" i="32"/>
  <c r="BW19" i="24"/>
  <c r="BK36" i="34"/>
  <c r="AA47" i="24" l="1"/>
  <c r="BV34" i="60"/>
  <c r="BX34" i="60"/>
  <c r="BV47" i="24"/>
  <c r="BN55" i="34"/>
  <c r="AL30" i="30"/>
  <c r="BD63" i="60"/>
  <c r="E72" i="1"/>
  <c r="E72" i="60"/>
  <c r="F67" i="1"/>
  <c r="G67" i="1" s="1"/>
  <c r="AL67" i="1" s="1"/>
  <c r="AP67" i="1" s="1"/>
  <c r="F67" i="60"/>
  <c r="O68" i="60"/>
  <c r="BO68" i="60" s="1"/>
  <c r="BS68" i="60" s="1"/>
  <c r="AX62" i="24"/>
  <c r="BS67" i="60"/>
  <c r="BS66" i="60"/>
  <c r="AU65" i="60"/>
  <c r="Y65" i="60"/>
  <c r="AG65" i="60" s="1"/>
  <c r="AJ65" i="60" s="1"/>
  <c r="AN65" i="60"/>
  <c r="AV65" i="60"/>
  <c r="BK65" i="60"/>
  <c r="BZ38" i="60"/>
  <c r="X66" i="60"/>
  <c r="AF66" i="60" s="1"/>
  <c r="BK66" i="60" s="1"/>
  <c r="G66" i="60"/>
  <c r="AW66" i="60" s="1"/>
  <c r="E71" i="1"/>
  <c r="O71" i="1" s="1"/>
  <c r="T71" i="1" s="1"/>
  <c r="E71" i="60"/>
  <c r="BY62" i="60"/>
  <c r="BU62" i="60"/>
  <c r="AU64" i="60"/>
  <c r="AY64" i="60" s="1"/>
  <c r="Y64" i="60"/>
  <c r="AG64" i="60" s="1"/>
  <c r="AJ64" i="60" s="1"/>
  <c r="AN64" i="60"/>
  <c r="AV64" i="60"/>
  <c r="AZ64" i="60" s="1"/>
  <c r="AI67" i="60"/>
  <c r="BM67" i="60"/>
  <c r="BQ67" i="60" s="1"/>
  <c r="BN67" i="60"/>
  <c r="BR67" i="60" s="1"/>
  <c r="W70" i="60"/>
  <c r="AE70" i="60" s="1"/>
  <c r="BJ70" i="60" s="1"/>
  <c r="AW65" i="60"/>
  <c r="BA65" i="60" s="1"/>
  <c r="BE63" i="60"/>
  <c r="BY63" i="60" s="1"/>
  <c r="AY71" i="1"/>
  <c r="V174" i="36"/>
  <c r="BK43" i="24"/>
  <c r="BK44" i="24"/>
  <c r="BI43" i="24"/>
  <c r="BI44" i="24"/>
  <c r="BJ43" i="24"/>
  <c r="BJ44" i="24"/>
  <c r="BV42" i="24"/>
  <c r="S176" i="36"/>
  <c r="Y191" i="36"/>
  <c r="AV62" i="24"/>
  <c r="P176" i="36"/>
  <c r="V191" i="36"/>
  <c r="P177" i="36"/>
  <c r="V192" i="36"/>
  <c r="P160" i="36"/>
  <c r="V175" i="36"/>
  <c r="P170" i="36"/>
  <c r="V185" i="36"/>
  <c r="P165" i="36"/>
  <c r="V180" i="36"/>
  <c r="P169" i="36"/>
  <c r="V184" i="36"/>
  <c r="P175" i="36"/>
  <c r="V190" i="36"/>
  <c r="P164" i="36"/>
  <c r="V179" i="36"/>
  <c r="P166" i="36"/>
  <c r="V181" i="36"/>
  <c r="P67" i="1"/>
  <c r="U67" i="1" s="1"/>
  <c r="AZ67" i="1" s="1"/>
  <c r="N69" i="60"/>
  <c r="K68" i="1"/>
  <c r="AH65" i="19"/>
  <c r="AM66" i="13"/>
  <c r="O64" i="24"/>
  <c r="G64" i="24"/>
  <c r="AN64" i="24" s="1"/>
  <c r="AR64" i="24" s="1"/>
  <c r="O65" i="24"/>
  <c r="G65" i="24"/>
  <c r="AN65" i="24" s="1"/>
  <c r="BC66" i="1"/>
  <c r="BG66" i="1" s="1"/>
  <c r="J66" i="24"/>
  <c r="L66" i="24" s="1"/>
  <c r="X66" i="1"/>
  <c r="P243" i="36" s="1"/>
  <c r="BB66" i="1"/>
  <c r="BF66" i="1" s="1"/>
  <c r="AK66" i="1"/>
  <c r="AO66" i="1" s="1"/>
  <c r="Q66" i="1"/>
  <c r="V66" i="1" s="1"/>
  <c r="Y66" i="1" s="1"/>
  <c r="AJ66" i="1"/>
  <c r="AN66" i="1" s="1"/>
  <c r="AC66" i="1"/>
  <c r="S243" i="36" s="1"/>
  <c r="E66" i="24"/>
  <c r="H62" i="30"/>
  <c r="BH62" i="32"/>
  <c r="BG62" i="32"/>
  <c r="BE64" i="24"/>
  <c r="BI64" i="24" s="1"/>
  <c r="I64" i="32"/>
  <c r="BG64" i="24"/>
  <c r="BK64" i="24" s="1"/>
  <c r="L67" i="1"/>
  <c r="G63" i="32"/>
  <c r="N63" i="32"/>
  <c r="N125" i="32" s="1"/>
  <c r="AT63" i="24"/>
  <c r="AW63" i="24" s="1"/>
  <c r="AQ64" i="1"/>
  <c r="AU64" i="1" s="1"/>
  <c r="AN62" i="32"/>
  <c r="AR62" i="32" s="1"/>
  <c r="D62" i="30"/>
  <c r="L62" i="30" s="1"/>
  <c r="AO62" i="32"/>
  <c r="AS62" i="32" s="1"/>
  <c r="Q62" i="32"/>
  <c r="AP62" i="32"/>
  <c r="AT62" i="32" s="1"/>
  <c r="AN65" i="1"/>
  <c r="AO65" i="1"/>
  <c r="BH66" i="1"/>
  <c r="BF63" i="32"/>
  <c r="BJ63" i="32" s="1"/>
  <c r="BH63" i="32"/>
  <c r="H63" i="30"/>
  <c r="BG63" i="32"/>
  <c r="L65" i="24"/>
  <c r="BJ64" i="24"/>
  <c r="AP65" i="1"/>
  <c r="AA53" i="24"/>
  <c r="AA42" i="24"/>
  <c r="AA52" i="24"/>
  <c r="AA41" i="24"/>
  <c r="BV53" i="24"/>
  <c r="M46" i="53"/>
  <c r="M44" i="53"/>
  <c r="M43" i="53"/>
  <c r="M45" i="53"/>
  <c r="BV57" i="24"/>
  <c r="H41" i="30"/>
  <c r="BG41" i="32"/>
  <c r="BK41" i="32" s="1"/>
  <c r="BH41" i="32"/>
  <c r="BL41" i="32" s="1"/>
  <c r="L50" i="24"/>
  <c r="BE50" i="24" s="1"/>
  <c r="N50" i="24"/>
  <c r="BF51" i="34"/>
  <c r="BN51" i="34" s="1"/>
  <c r="BF50" i="34"/>
  <c r="BL38" i="32"/>
  <c r="BL37" i="32"/>
  <c r="L59" i="24"/>
  <c r="N59" i="24"/>
  <c r="Q75" i="24"/>
  <c r="AA57" i="24"/>
  <c r="L57" i="32"/>
  <c r="N57" i="32"/>
  <c r="BF57" i="32"/>
  <c r="BJ57" i="32" s="1"/>
  <c r="BK40" i="32"/>
  <c r="BK39" i="32"/>
  <c r="BL40" i="32"/>
  <c r="BL39" i="32"/>
  <c r="BJ60" i="34"/>
  <c r="L53" i="32"/>
  <c r="N53" i="32"/>
  <c r="N115" i="32" s="1"/>
  <c r="BG58" i="24"/>
  <c r="BK58" i="24" s="1"/>
  <c r="I58" i="32"/>
  <c r="BF58" i="24"/>
  <c r="BJ58" i="24" s="1"/>
  <c r="BV58" i="24" s="1"/>
  <c r="Z58" i="24"/>
  <c r="Q58" i="24"/>
  <c r="AA58" i="24" s="1"/>
  <c r="BK45" i="32"/>
  <c r="BH50" i="34"/>
  <c r="BH49" i="34"/>
  <c r="BG54" i="24"/>
  <c r="BK54" i="24" s="1"/>
  <c r="I54" i="32"/>
  <c r="BF54" i="24"/>
  <c r="BJ54" i="24" s="1"/>
  <c r="BV54" i="24" s="1"/>
  <c r="Z54" i="24"/>
  <c r="Q54" i="24"/>
  <c r="AA54" i="24" s="1"/>
  <c r="N108" i="32"/>
  <c r="N74" i="32"/>
  <c r="BG61" i="34"/>
  <c r="BG62" i="34"/>
  <c r="BB61" i="34"/>
  <c r="Q61" i="34"/>
  <c r="V61" i="34" s="1"/>
  <c r="Y61" i="34" s="1"/>
  <c r="I61" i="24"/>
  <c r="X61" i="34"/>
  <c r="P209" i="36" s="1"/>
  <c r="BD61" i="34"/>
  <c r="L43" i="32"/>
  <c r="N43" i="32"/>
  <c r="N105" i="32" s="1"/>
  <c r="BK38" i="32"/>
  <c r="BK37" i="32"/>
  <c r="BN59" i="34"/>
  <c r="L47" i="32"/>
  <c r="N47" i="32"/>
  <c r="N109" i="32" s="1"/>
  <c r="BF52" i="32"/>
  <c r="BJ52" i="32" s="1"/>
  <c r="BH52" i="32"/>
  <c r="BL52" i="32" s="1"/>
  <c r="Q52" i="32"/>
  <c r="BG52" i="32"/>
  <c r="BK52" i="32" s="1"/>
  <c r="H52" i="30"/>
  <c r="L52" i="30" s="1"/>
  <c r="BF60" i="34"/>
  <c r="I60" i="24"/>
  <c r="BD60" i="34"/>
  <c r="BH60" i="34" s="1"/>
  <c r="X60" i="34"/>
  <c r="P208" i="36" s="1"/>
  <c r="Q60" i="34"/>
  <c r="V60" i="34" s="1"/>
  <c r="Y60" i="34" s="1"/>
  <c r="BK32" i="32"/>
  <c r="BK33" i="32"/>
  <c r="BL33" i="32"/>
  <c r="BL32" i="32"/>
  <c r="BL45" i="32"/>
  <c r="L42" i="32"/>
  <c r="N42" i="32"/>
  <c r="N104" i="32" s="1"/>
  <c r="BF42" i="32"/>
  <c r="BJ42" i="32" s="1"/>
  <c r="BN49" i="34"/>
  <c r="L49" i="24"/>
  <c r="BE49" i="24" s="1"/>
  <c r="BI49" i="24" s="1"/>
  <c r="N49" i="24"/>
  <c r="F48" i="53"/>
  <c r="N43" i="53"/>
  <c r="G43" i="53"/>
  <c r="BH46" i="32"/>
  <c r="BL46" i="32" s="1"/>
  <c r="BG46" i="32"/>
  <c r="BK46" i="32" s="1"/>
  <c r="H46" i="30"/>
  <c r="L74" i="32"/>
  <c r="AA12" i="24"/>
  <c r="AA35" i="24"/>
  <c r="AA31" i="24"/>
  <c r="AA56" i="24"/>
  <c r="AA33" i="24"/>
  <c r="AA28" i="24"/>
  <c r="AA62" i="24"/>
  <c r="AA19" i="24"/>
  <c r="AA36" i="24"/>
  <c r="AA20" i="24"/>
  <c r="AA11" i="24"/>
  <c r="AA21" i="24"/>
  <c r="AA30" i="24"/>
  <c r="AA22" i="24"/>
  <c r="AA25" i="24"/>
  <c r="AA15" i="24"/>
  <c r="AA17" i="24"/>
  <c r="AA14" i="24"/>
  <c r="AA23" i="24"/>
  <c r="AA24" i="24"/>
  <c r="AA34" i="24"/>
  <c r="AA51" i="24"/>
  <c r="AA26" i="24"/>
  <c r="AA16" i="24"/>
  <c r="AA27" i="24"/>
  <c r="AA18" i="24"/>
  <c r="AA13" i="24"/>
  <c r="AA10" i="24"/>
  <c r="AA29" i="24"/>
  <c r="AA63" i="24"/>
  <c r="AA39" i="24"/>
  <c r="AA37" i="24"/>
  <c r="AA44" i="24"/>
  <c r="AA32" i="24"/>
  <c r="AA38" i="24"/>
  <c r="AA40" i="24"/>
  <c r="AA45" i="24"/>
  <c r="BI48" i="24"/>
  <c r="I48" i="32"/>
  <c r="Z48" i="24"/>
  <c r="BF48" i="24"/>
  <c r="BJ48" i="24" s="1"/>
  <c r="BG48" i="24"/>
  <c r="Q48" i="24"/>
  <c r="AA48" i="24" s="1"/>
  <c r="BJ38" i="32"/>
  <c r="BE55" i="24"/>
  <c r="Z55" i="24"/>
  <c r="BF55" i="24"/>
  <c r="I55" i="32"/>
  <c r="BG55" i="24"/>
  <c r="Q55" i="24"/>
  <c r="AA55" i="24" s="1"/>
  <c r="AY61" i="34"/>
  <c r="AY62" i="34"/>
  <c r="AX62" i="34"/>
  <c r="AX61" i="34"/>
  <c r="BG50" i="34"/>
  <c r="AW61" i="32"/>
  <c r="AW51" i="32"/>
  <c r="BP26" i="30"/>
  <c r="BQ26" i="30" s="1"/>
  <c r="AS39" i="26"/>
  <c r="BH26" i="30"/>
  <c r="BI26" i="30" s="1"/>
  <c r="BI27" i="30" s="1"/>
  <c r="BI28" i="30" s="1"/>
  <c r="BN38" i="26"/>
  <c r="BO38" i="26" s="1"/>
  <c r="AQ40" i="26"/>
  <c r="AS40" i="26" s="1"/>
  <c r="BC42" i="19"/>
  <c r="BB41" i="19"/>
  <c r="J41" i="14" s="1"/>
  <c r="K41" i="14"/>
  <c r="F44" i="26" s="1"/>
  <c r="P44" i="26" s="1"/>
  <c r="E43" i="26"/>
  <c r="L40" i="14"/>
  <c r="AK41" i="26"/>
  <c r="AO41" i="26" s="1"/>
  <c r="AJ41" i="26"/>
  <c r="AN41" i="26" s="1"/>
  <c r="AL41" i="26"/>
  <c r="AP41" i="26" s="1"/>
  <c r="Q41" i="26"/>
  <c r="D41" i="29"/>
  <c r="L41" i="29" s="1"/>
  <c r="AU39" i="26"/>
  <c r="G42" i="26"/>
  <c r="O42" i="26"/>
  <c r="CA29" i="32"/>
  <c r="BS29" i="32"/>
  <c r="M70" i="33"/>
  <c r="Q70" i="33" s="1"/>
  <c r="J70" i="33"/>
  <c r="AT70" i="33" s="1"/>
  <c r="O72" i="1"/>
  <c r="T72" i="1" s="1"/>
  <c r="AY72" i="1" s="1"/>
  <c r="O403" i="36"/>
  <c r="B51" i="32"/>
  <c r="Q46" i="29"/>
  <c r="Q72" i="29"/>
  <c r="DE43" i="25"/>
  <c r="DA44" i="25"/>
  <c r="I69" i="33"/>
  <c r="J69" i="33" s="1"/>
  <c r="BK34" i="1"/>
  <c r="BM34" i="1"/>
  <c r="AX52" i="32"/>
  <c r="AY52" i="32"/>
  <c r="BP27" i="30"/>
  <c r="J68" i="33"/>
  <c r="M68" i="33"/>
  <c r="Q68" i="33" s="1"/>
  <c r="AQ68" i="33" s="1"/>
  <c r="AZ68" i="33" s="1"/>
  <c r="AQ67" i="33"/>
  <c r="AZ67" i="33" s="1"/>
  <c r="Q609" i="36"/>
  <c r="BD66" i="33"/>
  <c r="P68" i="32"/>
  <c r="P130" i="32" s="1"/>
  <c r="T67" i="33"/>
  <c r="P274" i="36" s="1"/>
  <c r="AS67" i="33"/>
  <c r="AV67" i="33" s="1"/>
  <c r="AT67" i="33"/>
  <c r="AW67" i="33" s="1"/>
  <c r="K69" i="32"/>
  <c r="N67" i="33"/>
  <c r="R67" i="33" s="1"/>
  <c r="U67" i="33" s="1"/>
  <c r="AD14" i="54"/>
  <c r="M36" i="18"/>
  <c r="AY51" i="32"/>
  <c r="AY56" i="32"/>
  <c r="AY30" i="32"/>
  <c r="AN30" i="30"/>
  <c r="AQ30" i="30" s="1"/>
  <c r="AX30" i="32"/>
  <c r="BZ30" i="32"/>
  <c r="BR30" i="32"/>
  <c r="BS30" i="32" s="1"/>
  <c r="BV30" i="32"/>
  <c r="AN29" i="30"/>
  <c r="AQ29" i="30" s="1"/>
  <c r="AW56" i="32"/>
  <c r="AX54" i="32"/>
  <c r="Q45" i="29"/>
  <c r="M44" i="29"/>
  <c r="Q44" i="29" s="1"/>
  <c r="AN47" i="32"/>
  <c r="AR48" i="32" s="1"/>
  <c r="D47" i="30"/>
  <c r="AP47" i="32"/>
  <c r="AT48" i="32" s="1"/>
  <c r="Q47" i="32"/>
  <c r="AT49" i="32"/>
  <c r="AS48" i="32"/>
  <c r="AS49" i="32"/>
  <c r="AO48" i="29"/>
  <c r="AP48" i="29"/>
  <c r="Q63" i="29"/>
  <c r="Q55" i="29"/>
  <c r="Q69" i="29"/>
  <c r="Q59" i="29"/>
  <c r="Q57" i="29"/>
  <c r="Q61" i="29"/>
  <c r="Q65" i="29"/>
  <c r="Q56" i="29"/>
  <c r="Q53" i="29"/>
  <c r="Q64" i="29"/>
  <c r="Q67" i="29"/>
  <c r="Q62" i="29"/>
  <c r="Q68" i="29"/>
  <c r="Q60" i="29"/>
  <c r="Q66" i="29"/>
  <c r="Q54" i="29"/>
  <c r="Q58" i="29"/>
  <c r="Q52" i="29"/>
  <c r="Q71" i="29"/>
  <c r="Q70" i="29"/>
  <c r="Q51" i="29"/>
  <c r="Q528" i="36" s="1"/>
  <c r="Q50" i="29"/>
  <c r="Q49" i="29"/>
  <c r="Q48" i="29"/>
  <c r="Q47" i="29"/>
  <c r="M40" i="14"/>
  <c r="E43" i="29" s="1"/>
  <c r="AY39" i="19"/>
  <c r="AR49" i="32"/>
  <c r="Q523" i="36"/>
  <c r="BP28" i="30"/>
  <c r="AW54" i="32"/>
  <c r="AX53" i="32"/>
  <c r="AY53" i="32"/>
  <c r="AY55" i="32"/>
  <c r="AX55" i="32"/>
  <c r="BB21" i="10"/>
  <c r="BF21" i="10"/>
  <c r="BW21" i="32"/>
  <c r="BE19" i="33"/>
  <c r="BO37" i="34"/>
  <c r="BK37" i="34"/>
  <c r="BW20" i="24"/>
  <c r="BA38" i="33"/>
  <c r="BX35" i="60" l="1"/>
  <c r="BV35" i="60"/>
  <c r="BB64" i="60"/>
  <c r="BD64" i="60" s="1"/>
  <c r="BU63" i="60"/>
  <c r="BA66" i="60"/>
  <c r="BZ39" i="60"/>
  <c r="AY65" i="60"/>
  <c r="F68" i="1"/>
  <c r="F68" i="60"/>
  <c r="O69" i="60"/>
  <c r="BO69" i="60" s="1"/>
  <c r="BS69" i="60" s="1"/>
  <c r="W71" i="60"/>
  <c r="AE71" i="60" s="1"/>
  <c r="BJ71" i="60" s="1"/>
  <c r="AU66" i="60"/>
  <c r="AY66" i="60" s="1"/>
  <c r="Y66" i="60"/>
  <c r="AG66" i="60" s="1"/>
  <c r="AJ66" i="60" s="1"/>
  <c r="AN66" i="60"/>
  <c r="AV66" i="60"/>
  <c r="AZ66" i="60" s="1"/>
  <c r="AZ65" i="60"/>
  <c r="AI68" i="60"/>
  <c r="BM68" i="60"/>
  <c r="BQ68" i="60" s="1"/>
  <c r="BN68" i="60"/>
  <c r="BR68" i="60" s="1"/>
  <c r="X67" i="60"/>
  <c r="AF67" i="60" s="1"/>
  <c r="BK67" i="60" s="1"/>
  <c r="G67" i="60"/>
  <c r="W72" i="60"/>
  <c r="AE72" i="60" s="1"/>
  <c r="BV44" i="24"/>
  <c r="BV43" i="24"/>
  <c r="CA30" i="32"/>
  <c r="AA75" i="24"/>
  <c r="P167" i="36"/>
  <c r="V182" i="36"/>
  <c r="P171" i="36"/>
  <c r="V186" i="36"/>
  <c r="P168" i="36"/>
  <c r="V183" i="36"/>
  <c r="P161" i="36"/>
  <c r="V176" i="36"/>
  <c r="BJ62" i="34"/>
  <c r="BE65" i="24"/>
  <c r="BI65" i="24" s="1"/>
  <c r="I65" i="32"/>
  <c r="BG65" i="24"/>
  <c r="BK65" i="24" s="1"/>
  <c r="Z65" i="24"/>
  <c r="AU62" i="32"/>
  <c r="AW62" i="32" s="1"/>
  <c r="AN63" i="32"/>
  <c r="AR63" i="32" s="1"/>
  <c r="AO63" i="32"/>
  <c r="AS63" i="32" s="1"/>
  <c r="AP63" i="32"/>
  <c r="AT63" i="32" s="1"/>
  <c r="Q63" i="32"/>
  <c r="D63" i="30"/>
  <c r="L63" i="30" s="1"/>
  <c r="BC67" i="1"/>
  <c r="BG67" i="1" s="1"/>
  <c r="J67" i="24"/>
  <c r="L67" i="24" s="1"/>
  <c r="X67" i="1"/>
  <c r="P244" i="36" s="1"/>
  <c r="BB67" i="1"/>
  <c r="BF67" i="1" s="1"/>
  <c r="BL63" i="32"/>
  <c r="O66" i="24"/>
  <c r="G66" i="24"/>
  <c r="AQ66" i="1"/>
  <c r="AU66" i="1" s="1"/>
  <c r="AF65" i="24"/>
  <c r="D65" i="32"/>
  <c r="AM65" i="24"/>
  <c r="AO65" i="24"/>
  <c r="Q65" i="24"/>
  <c r="AA65" i="24" s="1"/>
  <c r="AX63" i="24"/>
  <c r="P68" i="1"/>
  <c r="U68" i="1" s="1"/>
  <c r="AZ68" i="1" s="1"/>
  <c r="G68" i="1"/>
  <c r="AL68" i="1" s="1"/>
  <c r="AP68" i="1" s="1"/>
  <c r="N70" i="60"/>
  <c r="K69" i="1"/>
  <c r="AH66" i="19"/>
  <c r="AM67" i="13"/>
  <c r="AC67" i="1"/>
  <c r="S244" i="36" s="1"/>
  <c r="AJ67" i="1"/>
  <c r="AN67" i="1" s="1"/>
  <c r="E67" i="24"/>
  <c r="Q67" i="1"/>
  <c r="V67" i="1" s="1"/>
  <c r="Y67" i="1" s="1"/>
  <c r="AK67" i="1"/>
  <c r="AO67" i="1" s="1"/>
  <c r="BF65" i="24"/>
  <c r="BJ65" i="24" s="1"/>
  <c r="AQ65" i="1"/>
  <c r="AT65" i="1" s="1"/>
  <c r="AS64" i="1"/>
  <c r="AV63" i="24"/>
  <c r="BD67" i="1"/>
  <c r="BH67" i="1" s="1"/>
  <c r="L64" i="32"/>
  <c r="BK63" i="32"/>
  <c r="BF66" i="24"/>
  <c r="BE66" i="24"/>
  <c r="BI66" i="24" s="1"/>
  <c r="BG66" i="24"/>
  <c r="BK66" i="24" s="1"/>
  <c r="I66" i="32"/>
  <c r="Z66" i="24"/>
  <c r="AR65" i="24"/>
  <c r="AM64" i="24"/>
  <c r="AQ64" i="24" s="1"/>
  <c r="Q64" i="24"/>
  <c r="AA64" i="24" s="1"/>
  <c r="AO64" i="24"/>
  <c r="AS64" i="24" s="1"/>
  <c r="D64" i="32"/>
  <c r="AF64" i="24"/>
  <c r="AT64" i="1"/>
  <c r="L68" i="1"/>
  <c r="BD68" i="1" s="1"/>
  <c r="BK55" i="24"/>
  <c r="BK56" i="24"/>
  <c r="BJ56" i="24"/>
  <c r="BJ55" i="24"/>
  <c r="BI55" i="24"/>
  <c r="BI56" i="24"/>
  <c r="BK48" i="24"/>
  <c r="BV48" i="24" s="1"/>
  <c r="AA35" i="32"/>
  <c r="V58" i="36" s="1"/>
  <c r="AA51" i="32"/>
  <c r="AA31" i="32"/>
  <c r="V54" i="36" s="1"/>
  <c r="AA63" i="32"/>
  <c r="AA62" i="32"/>
  <c r="AA33" i="32"/>
  <c r="V56" i="36" s="1"/>
  <c r="AA36" i="32"/>
  <c r="V59" i="36" s="1"/>
  <c r="AA56" i="32"/>
  <c r="AA64" i="32"/>
  <c r="AA34" i="32"/>
  <c r="V57" i="36" s="1"/>
  <c r="AA44" i="32"/>
  <c r="V67" i="36" s="1"/>
  <c r="AA39" i="32"/>
  <c r="V62" i="36" s="1"/>
  <c r="AA40" i="32"/>
  <c r="V63" i="36" s="1"/>
  <c r="AA37" i="32"/>
  <c r="V60" i="36" s="1"/>
  <c r="AA38" i="32"/>
  <c r="V61" i="36" s="1"/>
  <c r="AA45" i="32"/>
  <c r="V68" i="36" s="1"/>
  <c r="AA32" i="32"/>
  <c r="V55" i="36" s="1"/>
  <c r="G47" i="53"/>
  <c r="G44" i="53"/>
  <c r="G45" i="53"/>
  <c r="G46" i="53"/>
  <c r="BN60" i="34"/>
  <c r="AA52" i="32"/>
  <c r="BF47" i="32"/>
  <c r="BJ47" i="32" s="1"/>
  <c r="H47" i="30"/>
  <c r="AA47" i="32"/>
  <c r="BG47" i="32"/>
  <c r="BK47" i="32" s="1"/>
  <c r="BH47" i="32"/>
  <c r="BL47" i="32" s="1"/>
  <c r="BH61" i="34"/>
  <c r="BH62" i="34"/>
  <c r="N61" i="24"/>
  <c r="L61" i="24"/>
  <c r="BE61" i="24" s="1"/>
  <c r="BF62" i="34"/>
  <c r="BF61" i="34"/>
  <c r="BN61" i="34" s="1"/>
  <c r="L58" i="32"/>
  <c r="N58" i="32"/>
  <c r="N120" i="32" s="1"/>
  <c r="BF53" i="32"/>
  <c r="BJ53" i="32" s="1"/>
  <c r="H53" i="30"/>
  <c r="BH53" i="32"/>
  <c r="BL53" i="32" s="1"/>
  <c r="AA53" i="32"/>
  <c r="BG53" i="32"/>
  <c r="BK53" i="32" s="1"/>
  <c r="Q53" i="32"/>
  <c r="L75" i="32"/>
  <c r="H57" i="30"/>
  <c r="Q57" i="32"/>
  <c r="Q75" i="32" s="1"/>
  <c r="BH57" i="32"/>
  <c r="BL57" i="32" s="1"/>
  <c r="AA57" i="32"/>
  <c r="BG57" i="32"/>
  <c r="BE59" i="24"/>
  <c r="BF59" i="24"/>
  <c r="BJ59" i="24" s="1"/>
  <c r="Q59" i="24"/>
  <c r="AA59" i="24" s="1"/>
  <c r="BG59" i="24"/>
  <c r="BK59" i="24" s="1"/>
  <c r="I59" i="32"/>
  <c r="Z59" i="24"/>
  <c r="BN50" i="34"/>
  <c r="BG50" i="24"/>
  <c r="Z50" i="24"/>
  <c r="I50" i="32"/>
  <c r="BF50" i="24"/>
  <c r="Q50" i="24"/>
  <c r="AA50" i="24" s="1"/>
  <c r="BJ61" i="34"/>
  <c r="L55" i="32"/>
  <c r="BF55" i="32" s="1"/>
  <c r="N55" i="32"/>
  <c r="N117" i="32" s="1"/>
  <c r="L48" i="32"/>
  <c r="N48" i="32"/>
  <c r="N110" i="32" s="1"/>
  <c r="AA46" i="32"/>
  <c r="H74" i="30"/>
  <c r="N48" i="53"/>
  <c r="I49" i="32"/>
  <c r="BG49" i="24"/>
  <c r="BK49" i="24" s="1"/>
  <c r="BF49" i="24"/>
  <c r="BJ49" i="24" s="1"/>
  <c r="Z49" i="24"/>
  <c r="Q49" i="24"/>
  <c r="AA49" i="24" s="1"/>
  <c r="BH42" i="32"/>
  <c r="BL42" i="32" s="1"/>
  <c r="BG42" i="32"/>
  <c r="BK42" i="32" s="1"/>
  <c r="AA42" i="32"/>
  <c r="V65" i="36" s="1"/>
  <c r="H42" i="30"/>
  <c r="AW42" i="30" s="1"/>
  <c r="L60" i="24"/>
  <c r="N60" i="24"/>
  <c r="BF43" i="32"/>
  <c r="BG43" i="32"/>
  <c r="AA43" i="32"/>
  <c r="V66" i="36" s="1"/>
  <c r="BH43" i="32"/>
  <c r="H43" i="30"/>
  <c r="L54" i="32"/>
  <c r="N54" i="32"/>
  <c r="N116" i="32" s="1"/>
  <c r="N119" i="32"/>
  <c r="N75" i="32"/>
  <c r="BI51" i="24"/>
  <c r="BI50" i="24"/>
  <c r="AA41" i="32"/>
  <c r="V64" i="36" s="1"/>
  <c r="AT46" i="29"/>
  <c r="M69" i="33"/>
  <c r="Q69" i="33" s="1"/>
  <c r="AQ69" i="33" s="1"/>
  <c r="AZ69" i="33" s="1"/>
  <c r="BQ27" i="30"/>
  <c r="BQ28" i="30" s="1"/>
  <c r="AQ41" i="26"/>
  <c r="AS41" i="26" s="1"/>
  <c r="AK42" i="26"/>
  <c r="AO42" i="26" s="1"/>
  <c r="Q42" i="26"/>
  <c r="AJ42" i="26"/>
  <c r="AN42" i="26" s="1"/>
  <c r="D42" i="29"/>
  <c r="L42" i="29" s="1"/>
  <c r="AL42" i="26"/>
  <c r="AP42" i="26" s="1"/>
  <c r="G43" i="26"/>
  <c r="O43" i="26"/>
  <c r="E44" i="26"/>
  <c r="L41" i="14"/>
  <c r="BB42" i="19"/>
  <c r="J42" i="14" s="1"/>
  <c r="K42" i="14"/>
  <c r="F45" i="26" s="1"/>
  <c r="P45" i="26" s="1"/>
  <c r="BC43" i="19"/>
  <c r="AU40" i="26"/>
  <c r="AT40" i="26"/>
  <c r="BN39" i="26"/>
  <c r="BO39" i="26" s="1"/>
  <c r="BV52" i="32"/>
  <c r="BD67" i="33"/>
  <c r="K72" i="32"/>
  <c r="AS70" i="33"/>
  <c r="T70" i="33"/>
  <c r="N70" i="33"/>
  <c r="R70" i="33" s="1"/>
  <c r="U70" i="33" s="1"/>
  <c r="AQ70" i="33"/>
  <c r="AZ70" i="33" s="1"/>
  <c r="O404" i="36"/>
  <c r="B52" i="32"/>
  <c r="AT45" i="29"/>
  <c r="AT72" i="29"/>
  <c r="DE44" i="25"/>
  <c r="DA45" i="25"/>
  <c r="BK35" i="1"/>
  <c r="BM35" i="1"/>
  <c r="AT70" i="29"/>
  <c r="P69" i="32"/>
  <c r="AT69" i="33"/>
  <c r="AW70" i="33" s="1"/>
  <c r="K71" i="32"/>
  <c r="T69" i="33"/>
  <c r="AS69" i="33"/>
  <c r="N69" i="33"/>
  <c r="R69" i="33" s="1"/>
  <c r="U69" i="33" s="1"/>
  <c r="AT68" i="33"/>
  <c r="AW68" i="33" s="1"/>
  <c r="AS68" i="33"/>
  <c r="AV68" i="33" s="1"/>
  <c r="N68" i="33"/>
  <c r="R68" i="33" s="1"/>
  <c r="U68" i="33" s="1"/>
  <c r="T68" i="33"/>
  <c r="K70" i="32"/>
  <c r="AD13" i="54"/>
  <c r="M35" i="18"/>
  <c r="AP29" i="30"/>
  <c r="BP29" i="30" s="1"/>
  <c r="AP30" i="30"/>
  <c r="BH29" i="30"/>
  <c r="BI29" i="30" s="1"/>
  <c r="AT71" i="29"/>
  <c r="AU48" i="32"/>
  <c r="AW48" i="32" s="1"/>
  <c r="M43" i="29"/>
  <c r="Q43" i="29" s="1"/>
  <c r="AT44" i="29" s="1"/>
  <c r="AT48" i="29"/>
  <c r="Q525" i="36"/>
  <c r="AT51" i="29"/>
  <c r="AT50" i="29"/>
  <c r="Q527" i="36"/>
  <c r="AT52" i="29"/>
  <c r="Q529" i="36"/>
  <c r="Q531" i="36"/>
  <c r="AT54" i="29"/>
  <c r="AT60" i="29"/>
  <c r="Q537" i="36"/>
  <c r="Q539" i="36"/>
  <c r="AT62" i="29"/>
  <c r="Q541" i="36"/>
  <c r="AT64" i="29"/>
  <c r="Q533" i="36"/>
  <c r="AT56" i="29"/>
  <c r="AT61" i="29"/>
  <c r="Q538" i="36"/>
  <c r="AT59" i="29"/>
  <c r="Q536" i="36"/>
  <c r="AT55" i="29"/>
  <c r="Q532" i="36"/>
  <c r="BK48" i="29"/>
  <c r="AU49" i="32"/>
  <c r="AX49" i="32" s="1"/>
  <c r="M39" i="14"/>
  <c r="E42" i="29" s="1"/>
  <c r="AY38" i="19"/>
  <c r="Q524" i="36"/>
  <c r="AT47" i="29"/>
  <c r="Q526" i="36"/>
  <c r="AT49" i="29"/>
  <c r="AT58" i="29"/>
  <c r="Q535" i="36"/>
  <c r="Q543" i="36"/>
  <c r="AT66" i="29"/>
  <c r="AT68" i="29"/>
  <c r="Q545" i="36"/>
  <c r="Q544" i="36"/>
  <c r="AT67" i="29"/>
  <c r="AT53" i="29"/>
  <c r="Q530" i="36"/>
  <c r="Q542" i="36"/>
  <c r="AT65" i="29"/>
  <c r="Q534" i="36"/>
  <c r="AT57" i="29"/>
  <c r="AT69" i="29"/>
  <c r="Q546" i="36"/>
  <c r="AT63" i="29"/>
  <c r="Q540" i="36"/>
  <c r="L47" i="30"/>
  <c r="BV53" i="32"/>
  <c r="BF22" i="10"/>
  <c r="BB22" i="10"/>
  <c r="BA39" i="33"/>
  <c r="BW21" i="24"/>
  <c r="BO38" i="34"/>
  <c r="BK38" i="34"/>
  <c r="BE20" i="33"/>
  <c r="BW22" i="32"/>
  <c r="BV36" i="60" l="1"/>
  <c r="BX36" i="60"/>
  <c r="BH68" i="1"/>
  <c r="BJ66" i="24"/>
  <c r="BV63" i="24"/>
  <c r="BJ72" i="60"/>
  <c r="AS65" i="1"/>
  <c r="BB65" i="60"/>
  <c r="BF65" i="60" s="1"/>
  <c r="BE64" i="60"/>
  <c r="BU64" i="60" s="1"/>
  <c r="BF64" i="60"/>
  <c r="F69" i="1"/>
  <c r="P69" i="1" s="1"/>
  <c r="U69" i="1" s="1"/>
  <c r="AZ69" i="1" s="1"/>
  <c r="F69" i="60"/>
  <c r="O70" i="60"/>
  <c r="BO70" i="60" s="1"/>
  <c r="BS70" i="60" s="1"/>
  <c r="Y67" i="60"/>
  <c r="AG67" i="60" s="1"/>
  <c r="AJ67" i="60" s="1"/>
  <c r="AU67" i="60"/>
  <c r="AY67" i="60" s="1"/>
  <c r="AN67" i="60"/>
  <c r="AV67" i="60"/>
  <c r="AZ67" i="60" s="1"/>
  <c r="AW67" i="60"/>
  <c r="BA67" i="60" s="1"/>
  <c r="BE65" i="60"/>
  <c r="BB66" i="60"/>
  <c r="BE66" i="60" s="1"/>
  <c r="AI69" i="60"/>
  <c r="BM69" i="60"/>
  <c r="BQ69" i="60" s="1"/>
  <c r="BN69" i="60"/>
  <c r="BR69" i="60" s="1"/>
  <c r="X68" i="60"/>
  <c r="AF68" i="60" s="1"/>
  <c r="BK68" i="60" s="1"/>
  <c r="G68" i="60"/>
  <c r="BZ40" i="60"/>
  <c r="BY64" i="60"/>
  <c r="S177" i="36"/>
  <c r="Y192" i="36"/>
  <c r="S178" i="36"/>
  <c r="Y193" i="36"/>
  <c r="P162" i="36"/>
  <c r="V177" i="36"/>
  <c r="P54" i="36"/>
  <c r="V69" i="36"/>
  <c r="P172" i="36"/>
  <c r="V187" i="36"/>
  <c r="P61" i="36"/>
  <c r="V76" i="36"/>
  <c r="P55" i="36"/>
  <c r="V70" i="36"/>
  <c r="P64" i="36"/>
  <c r="V79" i="36"/>
  <c r="P71" i="36"/>
  <c r="V86" i="36"/>
  <c r="P59" i="36"/>
  <c r="V74" i="36"/>
  <c r="P179" i="36"/>
  <c r="V194" i="36"/>
  <c r="P163" i="36"/>
  <c r="V178" i="36"/>
  <c r="P65" i="36"/>
  <c r="V80" i="36"/>
  <c r="P60" i="36"/>
  <c r="V75" i="36"/>
  <c r="P72" i="36"/>
  <c r="V87" i="36"/>
  <c r="P70" i="36"/>
  <c r="V85" i="36"/>
  <c r="P178" i="36"/>
  <c r="V193" i="36"/>
  <c r="AT66" i="1"/>
  <c r="N64" i="32"/>
  <c r="N126" i="32" s="1"/>
  <c r="G64" i="32"/>
  <c r="L66" i="32"/>
  <c r="BF66" i="32" s="1"/>
  <c r="BG64" i="32"/>
  <c r="BK64" i="32" s="1"/>
  <c r="BH64" i="32"/>
  <c r="BL64" i="32" s="1"/>
  <c r="H64" i="30"/>
  <c r="AQ67" i="1"/>
  <c r="AU67" i="1" s="1"/>
  <c r="L69" i="1"/>
  <c r="BD69" i="1" s="1"/>
  <c r="BH69" i="1" s="1"/>
  <c r="AQ65" i="24"/>
  <c r="AS66" i="1"/>
  <c r="AN66" i="24"/>
  <c r="AR66" i="24" s="1"/>
  <c r="Q66" i="24"/>
  <c r="AA66" i="24" s="1"/>
  <c r="AM66" i="24"/>
  <c r="AQ66" i="24" s="1"/>
  <c r="D66" i="32"/>
  <c r="AO66" i="24"/>
  <c r="AS66" i="24" s="1"/>
  <c r="AF66" i="24"/>
  <c r="AY62" i="32"/>
  <c r="BC68" i="1"/>
  <c r="BG68" i="1" s="1"/>
  <c r="BB68" i="1"/>
  <c r="BF68" i="1" s="1"/>
  <c r="X68" i="1"/>
  <c r="P245" i="36" s="1"/>
  <c r="J68" i="24"/>
  <c r="L68" i="24" s="1"/>
  <c r="AT64" i="24"/>
  <c r="AW64" i="24" s="1"/>
  <c r="BF64" i="32"/>
  <c r="BJ64" i="32" s="1"/>
  <c r="BJ64" i="1"/>
  <c r="BN64" i="1"/>
  <c r="O67" i="24"/>
  <c r="G67" i="24"/>
  <c r="AN67" i="24" s="1"/>
  <c r="G69" i="1"/>
  <c r="N71" i="60"/>
  <c r="K70" i="1"/>
  <c r="AH67" i="19"/>
  <c r="AM68" i="13"/>
  <c r="AK68" i="1"/>
  <c r="AO68" i="1" s="1"/>
  <c r="AJ68" i="1"/>
  <c r="AN68" i="1" s="1"/>
  <c r="Q68" i="1"/>
  <c r="V68" i="1" s="1"/>
  <c r="Y68" i="1" s="1"/>
  <c r="E68" i="24"/>
  <c r="AC68" i="1"/>
  <c r="S245" i="36" s="1"/>
  <c r="AS65" i="24"/>
  <c r="G65" i="32"/>
  <c r="N65" i="32"/>
  <c r="N127" i="32" s="1"/>
  <c r="AN65" i="32"/>
  <c r="BF67" i="24"/>
  <c r="BJ67" i="24" s="1"/>
  <c r="BG67" i="24"/>
  <c r="BK67" i="24" s="1"/>
  <c r="BE67" i="24"/>
  <c r="BI67" i="24" s="1"/>
  <c r="I67" i="32"/>
  <c r="Z67" i="24"/>
  <c r="AU63" i="32"/>
  <c r="AW63" i="32" s="1"/>
  <c r="AX62" i="32"/>
  <c r="L65" i="32"/>
  <c r="BF65" i="32" s="1"/>
  <c r="BJ65" i="32" s="1"/>
  <c r="AU65" i="1"/>
  <c r="BN62" i="34"/>
  <c r="AX48" i="32"/>
  <c r="BV56" i="24"/>
  <c r="BV49" i="24"/>
  <c r="BH54" i="32"/>
  <c r="BL54" i="32" s="1"/>
  <c r="BG54" i="32"/>
  <c r="BK54" i="32" s="1"/>
  <c r="H54" i="30"/>
  <c r="Q54" i="32"/>
  <c r="AA54" i="32"/>
  <c r="BL44" i="32"/>
  <c r="BL43" i="32"/>
  <c r="BK43" i="32"/>
  <c r="BK44" i="32"/>
  <c r="L49" i="32"/>
  <c r="BF49" i="32" s="1"/>
  <c r="N49" i="32"/>
  <c r="N111" i="32" s="1"/>
  <c r="O44" i="53"/>
  <c r="O47" i="53"/>
  <c r="O46" i="53"/>
  <c r="O45" i="53"/>
  <c r="AW52" i="30"/>
  <c r="AW24" i="30"/>
  <c r="AW16" i="30"/>
  <c r="AW20" i="30"/>
  <c r="AW11" i="30"/>
  <c r="AW26" i="30"/>
  <c r="AW25" i="30"/>
  <c r="AW14" i="30"/>
  <c r="AW13" i="30"/>
  <c r="AW17" i="30"/>
  <c r="AW35" i="30"/>
  <c r="AW12" i="30"/>
  <c r="AW21" i="30"/>
  <c r="AW31" i="30"/>
  <c r="AW63" i="30"/>
  <c r="AW56" i="30"/>
  <c r="AW23" i="30"/>
  <c r="AW19" i="30"/>
  <c r="AW10" i="30"/>
  <c r="AW15" i="30"/>
  <c r="AZ15" i="30" s="1"/>
  <c r="BL15" i="30" s="1"/>
  <c r="AW22" i="30"/>
  <c r="AZ22" i="30" s="1"/>
  <c r="AW27" i="30"/>
  <c r="AZ27" i="30" s="1"/>
  <c r="BL27" i="30" s="1"/>
  <c r="AW62" i="30"/>
  <c r="AW51" i="30"/>
  <c r="AW33" i="30"/>
  <c r="AW18" i="30"/>
  <c r="AZ18" i="30" s="1"/>
  <c r="BL18" i="30" s="1"/>
  <c r="AW28" i="30"/>
  <c r="AW36" i="30"/>
  <c r="AW29" i="30"/>
  <c r="AZ29" i="30" s="1"/>
  <c r="BL29" i="30" s="1"/>
  <c r="AW64" i="30"/>
  <c r="AW30" i="30"/>
  <c r="AW34" i="30"/>
  <c r="AW37" i="30"/>
  <c r="AW39" i="30"/>
  <c r="AW32" i="30"/>
  <c r="AW44" i="30"/>
  <c r="AW40" i="30"/>
  <c r="AW45" i="30"/>
  <c r="AZ45" i="30" s="1"/>
  <c r="AW38" i="30"/>
  <c r="BF48" i="32"/>
  <c r="BJ48" i="32" s="1"/>
  <c r="H48" i="30"/>
  <c r="AA48" i="32"/>
  <c r="BH48" i="32"/>
  <c r="BG48" i="32"/>
  <c r="Q48" i="32"/>
  <c r="BJ56" i="32"/>
  <c r="AW41" i="30"/>
  <c r="AZ41" i="30" s="1"/>
  <c r="BJ50" i="24"/>
  <c r="BJ51" i="24"/>
  <c r="N59" i="32"/>
  <c r="N121" i="32" s="1"/>
  <c r="L59" i="32"/>
  <c r="BF59" i="32" s="1"/>
  <c r="BI59" i="24"/>
  <c r="BV59" i="24" s="1"/>
  <c r="BF58" i="32"/>
  <c r="BJ58" i="32" s="1"/>
  <c r="BH58" i="32"/>
  <c r="BL58" i="32" s="1"/>
  <c r="AA58" i="32"/>
  <c r="H58" i="30"/>
  <c r="BG58" i="32"/>
  <c r="Q58" i="32"/>
  <c r="I61" i="32"/>
  <c r="Z61" i="24"/>
  <c r="Q61" i="24"/>
  <c r="AA61" i="24" s="1"/>
  <c r="BG61" i="24"/>
  <c r="BF61" i="24"/>
  <c r="BV55" i="24"/>
  <c r="BF54" i="32"/>
  <c r="BJ54" i="32" s="1"/>
  <c r="AW43" i="30"/>
  <c r="AZ43" i="30" s="1"/>
  <c r="BJ43" i="32"/>
  <c r="BJ44" i="32"/>
  <c r="BE60" i="24"/>
  <c r="BI60" i="24" s="1"/>
  <c r="BG60" i="24"/>
  <c r="BK60" i="24" s="1"/>
  <c r="BF60" i="24"/>
  <c r="BJ60" i="24" s="1"/>
  <c r="I60" i="32"/>
  <c r="Z60" i="24"/>
  <c r="Q60" i="24"/>
  <c r="AA60" i="24" s="1"/>
  <c r="O43" i="53"/>
  <c r="AW46" i="30"/>
  <c r="AA55" i="32"/>
  <c r="BG55" i="32"/>
  <c r="H55" i="30"/>
  <c r="BH55" i="32"/>
  <c r="Q55" i="32"/>
  <c r="L50" i="32"/>
  <c r="BF50" i="32" s="1"/>
  <c r="N50" i="32"/>
  <c r="N112" i="32" s="1"/>
  <c r="BK51" i="24"/>
  <c r="BK50" i="24"/>
  <c r="BK58" i="32"/>
  <c r="BK57" i="32"/>
  <c r="BV57" i="32" s="1"/>
  <c r="AW57" i="30"/>
  <c r="AZ57" i="30" s="1"/>
  <c r="L57" i="30"/>
  <c r="L75" i="30" s="1"/>
  <c r="AW53" i="30"/>
  <c r="AZ53" i="30" s="1"/>
  <c r="L53" i="30"/>
  <c r="BI62" i="24"/>
  <c r="BI61" i="24"/>
  <c r="AW47" i="30"/>
  <c r="AT41" i="26"/>
  <c r="AY49" i="32"/>
  <c r="AY48" i="32"/>
  <c r="AU41" i="26"/>
  <c r="BQ29" i="30"/>
  <c r="AQ42" i="26"/>
  <c r="AU42" i="26" s="1"/>
  <c r="BN40" i="26"/>
  <c r="BO40" i="26" s="1"/>
  <c r="K43" i="14"/>
  <c r="F46" i="26" s="1"/>
  <c r="P46" i="26" s="1"/>
  <c r="P74" i="26" s="1"/>
  <c r="U72" i="26" s="1"/>
  <c r="BB43" i="19"/>
  <c r="J43" i="14" s="1"/>
  <c r="E45" i="26"/>
  <c r="L42" i="14"/>
  <c r="G44" i="26"/>
  <c r="O44" i="26"/>
  <c r="AK43" i="26"/>
  <c r="AO43" i="26" s="1"/>
  <c r="AJ43" i="26"/>
  <c r="AN43" i="26" s="1"/>
  <c r="D43" i="29"/>
  <c r="Q43" i="26"/>
  <c r="AL43" i="26"/>
  <c r="AP43" i="26" s="1"/>
  <c r="P72" i="32"/>
  <c r="P134" i="32" s="1"/>
  <c r="H46" i="53"/>
  <c r="AV70" i="33"/>
  <c r="BD70" i="33" s="1"/>
  <c r="U46" i="26"/>
  <c r="O405" i="36"/>
  <c r="B53" i="32"/>
  <c r="DE45" i="25"/>
  <c r="DA46" i="25"/>
  <c r="BK36" i="1"/>
  <c r="BM36" i="1"/>
  <c r="BD68" i="33"/>
  <c r="AW69" i="33"/>
  <c r="P131" i="32"/>
  <c r="P70" i="32"/>
  <c r="P132" i="32" s="1"/>
  <c r="AV69" i="33"/>
  <c r="P71" i="32"/>
  <c r="P133" i="32" s="1"/>
  <c r="AD12" i="54"/>
  <c r="M34" i="18"/>
  <c r="BP30" i="30"/>
  <c r="BQ30" i="30" s="1"/>
  <c r="BH30" i="30"/>
  <c r="BI30" i="30" s="1"/>
  <c r="AW49" i="32"/>
  <c r="U48" i="26"/>
  <c r="U36" i="26"/>
  <c r="U39" i="26"/>
  <c r="M42" i="29"/>
  <c r="Q42" i="29" s="1"/>
  <c r="AT43" i="29" s="1"/>
  <c r="F42" i="29"/>
  <c r="AI42" i="29" s="1"/>
  <c r="AY37" i="19"/>
  <c r="M38" i="14"/>
  <c r="E41" i="29" s="1"/>
  <c r="BF23" i="10"/>
  <c r="BB23" i="10"/>
  <c r="BW22" i="24"/>
  <c r="BW23" i="32"/>
  <c r="BE21" i="33"/>
  <c r="BK39" i="34"/>
  <c r="BO39" i="34"/>
  <c r="BA40" i="33"/>
  <c r="AR67" i="24" l="1"/>
  <c r="AT67" i="1"/>
  <c r="U44" i="26"/>
  <c r="U62" i="26"/>
  <c r="U50" i="26"/>
  <c r="BX37" i="60"/>
  <c r="BV37" i="60"/>
  <c r="U43" i="26"/>
  <c r="U58" i="26"/>
  <c r="U49" i="26"/>
  <c r="AZ49" i="26" s="1"/>
  <c r="U33" i="26"/>
  <c r="U55" i="26"/>
  <c r="BN65" i="1"/>
  <c r="AL69" i="1"/>
  <c r="AP69" i="1" s="1"/>
  <c r="BN41" i="26"/>
  <c r="BF66" i="60"/>
  <c r="F70" i="1"/>
  <c r="P70" i="1" s="1"/>
  <c r="U70" i="1" s="1"/>
  <c r="AZ70" i="1" s="1"/>
  <c r="F70" i="60"/>
  <c r="O71" i="60"/>
  <c r="BO71" i="60" s="1"/>
  <c r="BS71" i="60" s="1"/>
  <c r="BZ41" i="60"/>
  <c r="BD66" i="60"/>
  <c r="BB67" i="60"/>
  <c r="BE67" i="60" s="1"/>
  <c r="AI70" i="60"/>
  <c r="BM70" i="60"/>
  <c r="BQ70" i="60" s="1"/>
  <c r="BN70" i="60"/>
  <c r="BR70" i="60" s="1"/>
  <c r="X69" i="60"/>
  <c r="AF69" i="60" s="1"/>
  <c r="BK69" i="60" s="1"/>
  <c r="G69" i="60"/>
  <c r="AW69" i="60" s="1"/>
  <c r="BD65" i="60"/>
  <c r="AW68" i="60"/>
  <c r="BA68" i="60" s="1"/>
  <c r="AU68" i="60"/>
  <c r="AY68" i="60" s="1"/>
  <c r="Y68" i="60"/>
  <c r="AG68" i="60" s="1"/>
  <c r="AJ68" i="60" s="1"/>
  <c r="AN68" i="60"/>
  <c r="AV68" i="60"/>
  <c r="AZ68" i="60" s="1"/>
  <c r="U41" i="26"/>
  <c r="U56" i="26"/>
  <c r="U71" i="26"/>
  <c r="U66" i="26"/>
  <c r="U51" i="26"/>
  <c r="AZ51" i="26" s="1"/>
  <c r="U34" i="26"/>
  <c r="U35" i="26"/>
  <c r="AZ36" i="26" s="1"/>
  <c r="U68" i="26"/>
  <c r="U53" i="26"/>
  <c r="AZ34" i="30"/>
  <c r="BV54" i="32"/>
  <c r="AZ32" i="30"/>
  <c r="S179" i="36"/>
  <c r="Y194" i="36"/>
  <c r="P174" i="36"/>
  <c r="V189" i="36"/>
  <c r="P56" i="36"/>
  <c r="V71" i="36"/>
  <c r="P62" i="36"/>
  <c r="V77" i="36"/>
  <c r="P63" i="36"/>
  <c r="V78" i="36"/>
  <c r="P173" i="36"/>
  <c r="V188" i="36"/>
  <c r="P66" i="36"/>
  <c r="V81" i="36"/>
  <c r="P180" i="36"/>
  <c r="V195" i="36"/>
  <c r="AV64" i="24"/>
  <c r="AX64" i="24"/>
  <c r="AY63" i="32"/>
  <c r="L67" i="32"/>
  <c r="BF67" i="32" s="1"/>
  <c r="BJ67" i="32" s="1"/>
  <c r="AP65" i="32"/>
  <c r="Q65" i="32"/>
  <c r="AO65" i="32"/>
  <c r="D65" i="30"/>
  <c r="G70" i="1"/>
  <c r="AL70" i="1" s="1"/>
  <c r="N72" i="60"/>
  <c r="K71" i="1"/>
  <c r="AH68" i="19"/>
  <c r="AM69" i="13"/>
  <c r="AK69" i="1"/>
  <c r="AO69" i="1" s="1"/>
  <c r="AJ69" i="1"/>
  <c r="AN69" i="1" s="1"/>
  <c r="Q69" i="1"/>
  <c r="V69" i="1" s="1"/>
  <c r="Y69" i="1" s="1"/>
  <c r="E69" i="24"/>
  <c r="AC69" i="1"/>
  <c r="S246" i="36" s="1"/>
  <c r="BF68" i="24"/>
  <c r="BJ68" i="24" s="1"/>
  <c r="BE68" i="24"/>
  <c r="BI68" i="24" s="1"/>
  <c r="I68" i="32"/>
  <c r="BG68" i="24"/>
  <c r="BK68" i="24" s="1"/>
  <c r="Z68" i="24"/>
  <c r="N66" i="32"/>
  <c r="N128" i="32" s="1"/>
  <c r="G66" i="32"/>
  <c r="AN66" i="32" s="1"/>
  <c r="AR66" i="32" s="1"/>
  <c r="BJ66" i="1"/>
  <c r="BN66" i="1"/>
  <c r="AS67" i="1"/>
  <c r="BJ65" i="1"/>
  <c r="H66" i="30"/>
  <c r="AW66" i="30" s="1"/>
  <c r="BG66" i="32"/>
  <c r="BH66" i="32"/>
  <c r="AA66" i="32"/>
  <c r="AN64" i="32"/>
  <c r="AR64" i="32" s="1"/>
  <c r="D64" i="30"/>
  <c r="L64" i="30" s="1"/>
  <c r="Q64" i="32"/>
  <c r="AO64" i="32"/>
  <c r="AS64" i="32" s="1"/>
  <c r="AP64" i="32"/>
  <c r="AT64" i="32" s="1"/>
  <c r="BH65" i="32"/>
  <c r="BL65" i="32" s="1"/>
  <c r="BG65" i="32"/>
  <c r="BK65" i="32" s="1"/>
  <c r="H65" i="30"/>
  <c r="AW65" i="30" s="1"/>
  <c r="AZ65" i="30" s="1"/>
  <c r="AA65" i="32"/>
  <c r="O68" i="24"/>
  <c r="G68" i="24"/>
  <c r="AN68" i="24" s="1"/>
  <c r="AR68" i="24" s="1"/>
  <c r="AQ68" i="1"/>
  <c r="AU68" i="1" s="1"/>
  <c r="L70" i="1"/>
  <c r="BD70" i="1" s="1"/>
  <c r="BH70" i="1" s="1"/>
  <c r="AF67" i="24"/>
  <c r="Q67" i="24"/>
  <c r="AA67" i="24" s="1"/>
  <c r="D67" i="32"/>
  <c r="AO67" i="24"/>
  <c r="AS67" i="24" s="1"/>
  <c r="AM67" i="24"/>
  <c r="AQ67" i="24" s="1"/>
  <c r="AX63" i="32"/>
  <c r="AT66" i="24"/>
  <c r="AX66" i="24" s="1"/>
  <c r="AT65" i="24"/>
  <c r="AX65" i="24" s="1"/>
  <c r="BC69" i="1"/>
  <c r="BG69" i="1" s="1"/>
  <c r="BB69" i="1"/>
  <c r="BF69" i="1" s="1"/>
  <c r="J69" i="24"/>
  <c r="X69" i="1"/>
  <c r="P246" i="36" s="1"/>
  <c r="BJ66" i="32"/>
  <c r="AZ40" i="30"/>
  <c r="AZ28" i="30"/>
  <c r="BL28" i="30" s="1"/>
  <c r="AZ21" i="30"/>
  <c r="BL21" i="30" s="1"/>
  <c r="AZ25" i="30"/>
  <c r="BL25" i="30" s="1"/>
  <c r="BJ59" i="32"/>
  <c r="BV51" i="24"/>
  <c r="BV60" i="24"/>
  <c r="BV50" i="24"/>
  <c r="AZ64" i="30"/>
  <c r="AZ36" i="30"/>
  <c r="BH50" i="32"/>
  <c r="BG50" i="32"/>
  <c r="H50" i="30"/>
  <c r="AA50" i="32"/>
  <c r="Q50" i="32"/>
  <c r="BL56" i="32"/>
  <c r="BL55" i="32"/>
  <c r="BK56" i="32"/>
  <c r="BV56" i="32" s="1"/>
  <c r="BK55" i="32"/>
  <c r="AZ47" i="30"/>
  <c r="AZ46" i="30"/>
  <c r="N60" i="32"/>
  <c r="N122" i="32" s="1"/>
  <c r="L60" i="32"/>
  <c r="BF60" i="32" s="1"/>
  <c r="BJ60" i="32" s="1"/>
  <c r="BJ61" i="24"/>
  <c r="BJ62" i="24"/>
  <c r="L61" i="32"/>
  <c r="N61" i="32"/>
  <c r="N123" i="32" s="1"/>
  <c r="BF61" i="32"/>
  <c r="BV58" i="32"/>
  <c r="H59" i="30"/>
  <c r="BG59" i="32"/>
  <c r="BK59" i="32" s="1"/>
  <c r="BH59" i="32"/>
  <c r="BL59" i="32" s="1"/>
  <c r="Q59" i="32"/>
  <c r="AA59" i="32"/>
  <c r="BK48" i="32"/>
  <c r="AZ44" i="30"/>
  <c r="AZ39" i="30"/>
  <c r="AZ30" i="30"/>
  <c r="BL30" i="30" s="1"/>
  <c r="AZ20" i="30"/>
  <c r="AZ19" i="30"/>
  <c r="AZ31" i="30"/>
  <c r="AZ13" i="30"/>
  <c r="BL13" i="30" s="1"/>
  <c r="AZ12" i="30"/>
  <c r="BL12" i="30" s="1"/>
  <c r="AZ17" i="30"/>
  <c r="AZ14" i="30"/>
  <c r="BL14" i="30" s="1"/>
  <c r="AZ26" i="30"/>
  <c r="BL26" i="30" s="1"/>
  <c r="AZ24" i="30"/>
  <c r="BL24" i="30" s="1"/>
  <c r="BG49" i="32"/>
  <c r="BK49" i="32" s="1"/>
  <c r="H49" i="30"/>
  <c r="BH49" i="32"/>
  <c r="BL49" i="32" s="1"/>
  <c r="AA49" i="32"/>
  <c r="Q49" i="32"/>
  <c r="L54" i="30"/>
  <c r="AW54" i="30"/>
  <c r="BJ51" i="32"/>
  <c r="BJ50" i="32"/>
  <c r="AW55" i="30"/>
  <c r="AZ56" i="30" s="1"/>
  <c r="L55" i="30"/>
  <c r="BK61" i="24"/>
  <c r="BK62" i="24"/>
  <c r="BV62" i="24" s="1"/>
  <c r="AW58" i="30"/>
  <c r="AZ58" i="30" s="1"/>
  <c r="L58" i="30"/>
  <c r="BJ55" i="32"/>
  <c r="BV55" i="32" s="1"/>
  <c r="BL48" i="32"/>
  <c r="BV48" i="32" s="1"/>
  <c r="AW48" i="30"/>
  <c r="AZ48" i="30" s="1"/>
  <c r="L48" i="30"/>
  <c r="AZ38" i="30"/>
  <c r="AZ37" i="30"/>
  <c r="AZ33" i="30"/>
  <c r="AZ23" i="30"/>
  <c r="BL23" i="30" s="1"/>
  <c r="AZ63" i="30"/>
  <c r="AZ35" i="30"/>
  <c r="AZ11" i="30"/>
  <c r="BL11" i="30" s="1"/>
  <c r="BM11" i="30" s="1"/>
  <c r="BM12" i="30" s="1"/>
  <c r="AZ16" i="30"/>
  <c r="AZ52" i="30"/>
  <c r="BJ49" i="32"/>
  <c r="AZ42" i="30"/>
  <c r="BO41" i="26"/>
  <c r="AZ44" i="26"/>
  <c r="AZ34" i="26"/>
  <c r="U45" i="26"/>
  <c r="U42" i="26"/>
  <c r="AZ43" i="26" s="1"/>
  <c r="U40" i="26"/>
  <c r="U64" i="26"/>
  <c r="U47" i="26"/>
  <c r="AZ47" i="26" s="1"/>
  <c r="U70" i="26"/>
  <c r="U59" i="26"/>
  <c r="U63" i="26"/>
  <c r="AZ63" i="26" s="1"/>
  <c r="U60" i="26"/>
  <c r="AZ60" i="26" s="1"/>
  <c r="U31" i="26"/>
  <c r="AZ31" i="26" s="1"/>
  <c r="U37" i="26"/>
  <c r="U61" i="26"/>
  <c r="AZ62" i="26" s="1"/>
  <c r="U54" i="26"/>
  <c r="U32" i="26"/>
  <c r="AZ33" i="26" s="1"/>
  <c r="U67" i="26"/>
  <c r="AZ68" i="26" s="1"/>
  <c r="U65" i="26"/>
  <c r="AZ66" i="26" s="1"/>
  <c r="U38" i="26"/>
  <c r="AZ39" i="26" s="1"/>
  <c r="U57" i="26"/>
  <c r="AZ58" i="26" s="1"/>
  <c r="U52" i="26"/>
  <c r="U69" i="26"/>
  <c r="AT42" i="26"/>
  <c r="L43" i="29"/>
  <c r="F43" i="29"/>
  <c r="AK44" i="26"/>
  <c r="AO44" i="26" s="1"/>
  <c r="D44" i="29"/>
  <c r="AJ44" i="26"/>
  <c r="AN44" i="26" s="1"/>
  <c r="Q44" i="26"/>
  <c r="AL44" i="26"/>
  <c r="AP44" i="26" s="1"/>
  <c r="G45" i="26"/>
  <c r="O45" i="26"/>
  <c r="AK45" i="26"/>
  <c r="AQ43" i="26"/>
  <c r="AT43" i="26" s="1"/>
  <c r="E46" i="26"/>
  <c r="L43" i="14"/>
  <c r="AS42" i="26"/>
  <c r="BN42" i="26" s="1"/>
  <c r="AZ72" i="26"/>
  <c r="BD69" i="33"/>
  <c r="O406" i="36"/>
  <c r="B54" i="32"/>
  <c r="DE46" i="25"/>
  <c r="DA47" i="25"/>
  <c r="BM37" i="1"/>
  <c r="BK37" i="1"/>
  <c r="P46" i="53"/>
  <c r="AD11" i="54"/>
  <c r="M33" i="18"/>
  <c r="AZ35" i="26"/>
  <c r="AZ69" i="26"/>
  <c r="AZ46" i="26"/>
  <c r="AZ45" i="26"/>
  <c r="AZ42" i="26"/>
  <c r="AZ40" i="26"/>
  <c r="AZ59" i="26"/>
  <c r="AZ61" i="26"/>
  <c r="AZ38" i="26"/>
  <c r="AZ37" i="26"/>
  <c r="AZ67" i="26"/>
  <c r="AZ57" i="26"/>
  <c r="M37" i="14"/>
  <c r="E40" i="29" s="1"/>
  <c r="AY36" i="19"/>
  <c r="F41" i="29"/>
  <c r="M41" i="29"/>
  <c r="Q41" i="29" s="1"/>
  <c r="AI41" i="29"/>
  <c r="AH42" i="29"/>
  <c r="E42" i="32"/>
  <c r="N42" i="29"/>
  <c r="BB24" i="10"/>
  <c r="BF24" i="10"/>
  <c r="BO40" i="34"/>
  <c r="BK40" i="34"/>
  <c r="BW24" i="32"/>
  <c r="BW23" i="24"/>
  <c r="BO42" i="26"/>
  <c r="BA41" i="33"/>
  <c r="BO25" i="1"/>
  <c r="BE22" i="33"/>
  <c r="BV38" i="60" l="1"/>
  <c r="BX38" i="60"/>
  <c r="BV59" i="32"/>
  <c r="AZ66" i="30"/>
  <c r="AZ56" i="26"/>
  <c r="AZ52" i="26"/>
  <c r="AZ65" i="26"/>
  <c r="AZ32" i="26"/>
  <c r="AZ55" i="26"/>
  <c r="AZ50" i="26"/>
  <c r="AZ53" i="26"/>
  <c r="AZ54" i="26"/>
  <c r="AZ41" i="26"/>
  <c r="BM13" i="30"/>
  <c r="BM14" i="30" s="1"/>
  <c r="BM15" i="30" s="1"/>
  <c r="BM16" i="30" s="1"/>
  <c r="BM17" i="30" s="1"/>
  <c r="BM18" i="30" s="1"/>
  <c r="BM19" i="30" s="1"/>
  <c r="BM20" i="30" s="1"/>
  <c r="BM21" i="30" s="1"/>
  <c r="BM22" i="30" s="1"/>
  <c r="BM23" i="30" s="1"/>
  <c r="BM24" i="30" s="1"/>
  <c r="BM25" i="30" s="1"/>
  <c r="BM26" i="30" s="1"/>
  <c r="BM27" i="30" s="1"/>
  <c r="BM28" i="30" s="1"/>
  <c r="BM29" i="30" s="1"/>
  <c r="BM30" i="30" s="1"/>
  <c r="AP70" i="1"/>
  <c r="BF67" i="60"/>
  <c r="F71" i="1"/>
  <c r="P71" i="1" s="1"/>
  <c r="U71" i="1" s="1"/>
  <c r="AZ71" i="1" s="1"/>
  <c r="F71" i="60"/>
  <c r="O72" i="60"/>
  <c r="AU69" i="60"/>
  <c r="AY69" i="60" s="1"/>
  <c r="Y69" i="60"/>
  <c r="AG69" i="60" s="1"/>
  <c r="AJ69" i="60" s="1"/>
  <c r="AN69" i="60"/>
  <c r="AV69" i="60"/>
  <c r="AZ69" i="60" s="1"/>
  <c r="BD67" i="60"/>
  <c r="BZ42" i="60"/>
  <c r="BN71" i="60"/>
  <c r="BR71" i="60" s="1"/>
  <c r="AI71" i="60"/>
  <c r="BM71" i="60"/>
  <c r="BQ71" i="60" s="1"/>
  <c r="X70" i="60"/>
  <c r="AF70" i="60" s="1"/>
  <c r="BK70" i="60" s="1"/>
  <c r="G70" i="60"/>
  <c r="AW70" i="60" s="1"/>
  <c r="BA70" i="60" s="1"/>
  <c r="BB68" i="60"/>
  <c r="BE68" i="60" s="1"/>
  <c r="BU65" i="60"/>
  <c r="BY65" i="60"/>
  <c r="BA69" i="60"/>
  <c r="BY66" i="60"/>
  <c r="BU66" i="60"/>
  <c r="AW66" i="24"/>
  <c r="AV66" i="24"/>
  <c r="BV64" i="24"/>
  <c r="S180" i="36"/>
  <c r="Y195" i="36"/>
  <c r="P67" i="36"/>
  <c r="V82" i="36"/>
  <c r="P58" i="36"/>
  <c r="V73" i="36"/>
  <c r="P73" i="36"/>
  <c r="V88" i="36"/>
  <c r="P57" i="36"/>
  <c r="V72" i="36"/>
  <c r="P74" i="36"/>
  <c r="V89" i="36"/>
  <c r="P181" i="36"/>
  <c r="V196" i="36"/>
  <c r="BV63" i="32"/>
  <c r="BK66" i="32"/>
  <c r="AS68" i="1"/>
  <c r="L69" i="24"/>
  <c r="BF69" i="24" s="1"/>
  <c r="BJ69" i="24" s="1"/>
  <c r="BC70" i="1"/>
  <c r="BG70" i="1" s="1"/>
  <c r="BB70" i="1"/>
  <c r="BF70" i="1" s="1"/>
  <c r="J70" i="24"/>
  <c r="X70" i="1"/>
  <c r="AO68" i="24"/>
  <c r="AS68" i="24" s="1"/>
  <c r="AF68" i="24"/>
  <c r="D68" i="32"/>
  <c r="Q68" i="24"/>
  <c r="AA68" i="24" s="1"/>
  <c r="AM68" i="24"/>
  <c r="AQ68" i="24" s="1"/>
  <c r="AT68" i="24" s="1"/>
  <c r="AV68" i="24" s="1"/>
  <c r="AU64" i="32"/>
  <c r="AW64" i="32" s="1"/>
  <c r="BL66" i="32"/>
  <c r="BJ67" i="1"/>
  <c r="BN67" i="1"/>
  <c r="Q66" i="32"/>
  <c r="AO66" i="32"/>
  <c r="AS66" i="32" s="1"/>
  <c r="D66" i="30"/>
  <c r="L66" i="30" s="1"/>
  <c r="AP66" i="32"/>
  <c r="AT66" i="32" s="1"/>
  <c r="L68" i="32"/>
  <c r="BF68" i="32" s="1"/>
  <c r="BJ68" i="32" s="1"/>
  <c r="G69" i="24"/>
  <c r="O69" i="24"/>
  <c r="AN69" i="24"/>
  <c r="AR69" i="24" s="1"/>
  <c r="AQ69" i="1"/>
  <c r="AU69" i="1" s="1"/>
  <c r="L71" i="1"/>
  <c r="BD71" i="1" s="1"/>
  <c r="BH71" i="1" s="1"/>
  <c r="L65" i="30"/>
  <c r="AR65" i="32"/>
  <c r="BG67" i="32"/>
  <c r="BK67" i="32" s="1"/>
  <c r="BH67" i="32"/>
  <c r="BL67" i="32" s="1"/>
  <c r="H67" i="30"/>
  <c r="AW67" i="30" s="1"/>
  <c r="AZ67" i="30" s="1"/>
  <c r="AA67" i="32"/>
  <c r="AV65" i="24"/>
  <c r="AW65" i="24"/>
  <c r="AT67" i="24"/>
  <c r="AW67" i="24" s="1"/>
  <c r="G67" i="32"/>
  <c r="N67" i="32"/>
  <c r="N129" i="32" s="1"/>
  <c r="AN67" i="32"/>
  <c r="AR67" i="32" s="1"/>
  <c r="AT69" i="1"/>
  <c r="G71" i="1"/>
  <c r="AL71" i="1" s="1"/>
  <c r="K72" i="1"/>
  <c r="AM70" i="13"/>
  <c r="AH69" i="19"/>
  <c r="AJ70" i="1"/>
  <c r="AN70" i="1" s="1"/>
  <c r="Q70" i="1"/>
  <c r="V70" i="1" s="1"/>
  <c r="Y70" i="1" s="1"/>
  <c r="E70" i="24"/>
  <c r="O70" i="24" s="1"/>
  <c r="AK70" i="1"/>
  <c r="AO70" i="1" s="1"/>
  <c r="AC70" i="1"/>
  <c r="AT68" i="1"/>
  <c r="AS65" i="32"/>
  <c r="AT65" i="32"/>
  <c r="BV49" i="32"/>
  <c r="AZ48" i="26"/>
  <c r="BV61" i="24"/>
  <c r="AW49" i="30"/>
  <c r="AZ49" i="30" s="1"/>
  <c r="L49" i="30"/>
  <c r="BK50" i="32"/>
  <c r="BK51" i="32"/>
  <c r="AZ55" i="30"/>
  <c r="AZ54" i="30"/>
  <c r="L59" i="30"/>
  <c r="AW59" i="30"/>
  <c r="BJ61" i="32"/>
  <c r="BJ62" i="32"/>
  <c r="AA61" i="32"/>
  <c r="BH61" i="32"/>
  <c r="H61" i="30"/>
  <c r="BG61" i="32"/>
  <c r="Q61" i="32"/>
  <c r="AA60" i="32"/>
  <c r="H60" i="30"/>
  <c r="BG60" i="32"/>
  <c r="BK60" i="32" s="1"/>
  <c r="BH60" i="32"/>
  <c r="BL60" i="32" s="1"/>
  <c r="Q60" i="32"/>
  <c r="AW50" i="30"/>
  <c r="L50" i="30"/>
  <c r="BL50" i="32"/>
  <c r="BV50" i="32" s="1"/>
  <c r="BL51" i="32"/>
  <c r="AZ70" i="26"/>
  <c r="AZ64" i="26"/>
  <c r="AZ71" i="26"/>
  <c r="AO45" i="26"/>
  <c r="AS43" i="26"/>
  <c r="AJ45" i="26"/>
  <c r="AN45" i="26" s="1"/>
  <c r="D45" i="29"/>
  <c r="AL45" i="26"/>
  <c r="AP45" i="26" s="1"/>
  <c r="Q45" i="26"/>
  <c r="L44" i="29"/>
  <c r="F44" i="29"/>
  <c r="AH44" i="29" s="1"/>
  <c r="AI43" i="29"/>
  <c r="AL43" i="29" s="1"/>
  <c r="E43" i="32"/>
  <c r="AH43" i="29"/>
  <c r="AK43" i="29" s="1"/>
  <c r="AM43" i="29" s="1"/>
  <c r="AP43" i="29" s="1"/>
  <c r="N43" i="29"/>
  <c r="AU43" i="26"/>
  <c r="G46" i="26"/>
  <c r="O46" i="26"/>
  <c r="AK46" i="26"/>
  <c r="AQ44" i="26"/>
  <c r="AT44" i="26" s="1"/>
  <c r="O407" i="36"/>
  <c r="B55" i="32"/>
  <c r="DE47" i="25"/>
  <c r="DA48" i="25"/>
  <c r="BK38" i="1"/>
  <c r="BM38" i="1"/>
  <c r="AD10" i="54"/>
  <c r="M32" i="18"/>
  <c r="G42" i="32"/>
  <c r="O42" i="32"/>
  <c r="O104" i="32" s="1"/>
  <c r="E41" i="32"/>
  <c r="AH41" i="29"/>
  <c r="AK42" i="29" s="1"/>
  <c r="N41" i="29"/>
  <c r="AY35" i="19"/>
  <c r="M36" i="14"/>
  <c r="E39" i="29" s="1"/>
  <c r="AT42" i="29"/>
  <c r="AL42" i="29"/>
  <c r="F40" i="29"/>
  <c r="AI40" i="29" s="1"/>
  <c r="M40" i="29"/>
  <c r="Q40" i="29" s="1"/>
  <c r="BF25" i="10"/>
  <c r="BB25" i="10"/>
  <c r="BO26" i="1"/>
  <c r="BW24" i="24"/>
  <c r="BK41" i="34"/>
  <c r="BO41" i="34"/>
  <c r="BE23" i="33"/>
  <c r="BA42" i="33"/>
  <c r="BW25" i="32"/>
  <c r="AX64" i="32" l="1"/>
  <c r="AS69" i="1"/>
  <c r="BV39" i="60"/>
  <c r="BX39" i="60"/>
  <c r="AU66" i="32"/>
  <c r="AW66" i="32" s="1"/>
  <c r="BV60" i="32"/>
  <c r="BJ68" i="1"/>
  <c r="AW68" i="24"/>
  <c r="AV67" i="24"/>
  <c r="BV66" i="24"/>
  <c r="BD68" i="60"/>
  <c r="AU70" i="60"/>
  <c r="AY70" i="60" s="1"/>
  <c r="Y70" i="60"/>
  <c r="AG70" i="60" s="1"/>
  <c r="AJ70" i="60" s="1"/>
  <c r="AN70" i="60"/>
  <c r="AV70" i="60"/>
  <c r="AZ70" i="60" s="1"/>
  <c r="BY67" i="60"/>
  <c r="BU67" i="60"/>
  <c r="BB69" i="60"/>
  <c r="BF69" i="60" s="1"/>
  <c r="BF68" i="60"/>
  <c r="BM72" i="60"/>
  <c r="BQ72" i="60" s="1"/>
  <c r="AI72" i="60"/>
  <c r="BN72" i="60"/>
  <c r="BR72" i="60" s="1"/>
  <c r="X71" i="60"/>
  <c r="AF71" i="60" s="1"/>
  <c r="BK71" i="60" s="1"/>
  <c r="G71" i="60"/>
  <c r="AW71" i="60" s="1"/>
  <c r="BA71" i="60" s="1"/>
  <c r="F72" i="1"/>
  <c r="F72" i="60"/>
  <c r="BZ43" i="60"/>
  <c r="BE69" i="60"/>
  <c r="BO72" i="60"/>
  <c r="BS72" i="60" s="1"/>
  <c r="S181" i="36"/>
  <c r="Y196" i="36"/>
  <c r="P68" i="36"/>
  <c r="V83" i="36"/>
  <c r="P69" i="36"/>
  <c r="V84" i="36"/>
  <c r="P75" i="36"/>
  <c r="V90" i="36"/>
  <c r="R23" i="57"/>
  <c r="AP71" i="1"/>
  <c r="AQ70" i="1"/>
  <c r="AS70" i="1" s="1"/>
  <c r="BN68" i="1"/>
  <c r="AO67" i="32"/>
  <c r="AS67" i="32" s="1"/>
  <c r="D67" i="30"/>
  <c r="L67" i="30" s="1"/>
  <c r="Q67" i="32"/>
  <c r="AP67" i="32"/>
  <c r="AT67" i="32" s="1"/>
  <c r="BV65" i="24"/>
  <c r="J71" i="24"/>
  <c r="X71" i="1"/>
  <c r="BC71" i="1"/>
  <c r="BG71" i="1" s="1"/>
  <c r="BB71" i="1"/>
  <c r="BF71" i="1" s="1"/>
  <c r="AY66" i="32"/>
  <c r="AX66" i="32"/>
  <c r="AY64" i="32"/>
  <c r="AX67" i="24"/>
  <c r="BV67" i="24" s="1"/>
  <c r="BG69" i="24"/>
  <c r="BK69" i="24" s="1"/>
  <c r="I69" i="32"/>
  <c r="BE69" i="24"/>
  <c r="BI69" i="24" s="1"/>
  <c r="Z69" i="24"/>
  <c r="P72" i="1"/>
  <c r="U72" i="1" s="1"/>
  <c r="AZ72" i="1" s="1"/>
  <c r="G72" i="1"/>
  <c r="AL72" i="1" s="1"/>
  <c r="AP72" i="1" s="1"/>
  <c r="L72" i="1"/>
  <c r="BD72" i="1" s="1"/>
  <c r="BH72" i="1" s="1"/>
  <c r="AJ71" i="1"/>
  <c r="Q71" i="1"/>
  <c r="V71" i="1" s="1"/>
  <c r="Y71" i="1" s="1"/>
  <c r="E71" i="24"/>
  <c r="O71" i="24" s="1"/>
  <c r="AC71" i="1"/>
  <c r="AK71" i="1"/>
  <c r="AU65" i="32"/>
  <c r="AY65" i="32" s="1"/>
  <c r="BJ69" i="1"/>
  <c r="BN69" i="1"/>
  <c r="AM69" i="24"/>
  <c r="AQ69" i="24" s="1"/>
  <c r="AO69" i="24"/>
  <c r="AS69" i="24" s="1"/>
  <c r="D69" i="32"/>
  <c r="AF69" i="24"/>
  <c r="Q69" i="24"/>
  <c r="AA69" i="24" s="1"/>
  <c r="BH68" i="32"/>
  <c r="BL68" i="32" s="1"/>
  <c r="H68" i="30"/>
  <c r="AW68" i="30" s="1"/>
  <c r="AZ68" i="30" s="1"/>
  <c r="BG68" i="32"/>
  <c r="BK68" i="32" s="1"/>
  <c r="AA68" i="32"/>
  <c r="BV64" i="32"/>
  <c r="G68" i="32"/>
  <c r="N68" i="32"/>
  <c r="N130" i="32" s="1"/>
  <c r="AN68" i="32"/>
  <c r="AR68" i="32" s="1"/>
  <c r="AX68" i="24"/>
  <c r="BV51" i="32"/>
  <c r="AZ50" i="30"/>
  <c r="AZ51" i="30"/>
  <c r="L60" i="30"/>
  <c r="AW60" i="30"/>
  <c r="AZ60" i="30" s="1"/>
  <c r="AW61" i="30"/>
  <c r="L61" i="30"/>
  <c r="BK62" i="32"/>
  <c r="BK61" i="32"/>
  <c r="BL61" i="32"/>
  <c r="BL62" i="32"/>
  <c r="BV62" i="32" s="1"/>
  <c r="AZ59" i="30"/>
  <c r="AS44" i="26"/>
  <c r="AU44" i="26"/>
  <c r="O74" i="26"/>
  <c r="T46" i="26" s="1"/>
  <c r="O43" i="32"/>
  <c r="O105" i="32" s="1"/>
  <c r="G43" i="32"/>
  <c r="AO43" i="32" s="1"/>
  <c r="AQ45" i="26"/>
  <c r="AT45" i="26" s="1"/>
  <c r="AO47" i="26"/>
  <c r="AO46" i="26"/>
  <c r="Q46" i="26"/>
  <c r="AJ46" i="26"/>
  <c r="AL46" i="26"/>
  <c r="G74" i="26"/>
  <c r="D46" i="29"/>
  <c r="AC46" i="26"/>
  <c r="S307" i="36" s="1"/>
  <c r="AK44" i="29"/>
  <c r="AI44" i="29"/>
  <c r="AL44" i="29" s="1"/>
  <c r="E44" i="32"/>
  <c r="N44" i="29"/>
  <c r="L45" i="29"/>
  <c r="F45" i="29"/>
  <c r="AH45" i="29" s="1"/>
  <c r="AK45" i="29" s="1"/>
  <c r="BN43" i="26"/>
  <c r="BO43" i="26" s="1"/>
  <c r="O408" i="36"/>
  <c r="B56" i="32"/>
  <c r="DE48" i="25"/>
  <c r="DA49" i="25"/>
  <c r="BM39" i="1"/>
  <c r="BK39" i="1"/>
  <c r="AD9" i="54"/>
  <c r="M31" i="18"/>
  <c r="AO43" i="29"/>
  <c r="AL41" i="29"/>
  <c r="AT41" i="29"/>
  <c r="AM42" i="29"/>
  <c r="AP42" i="29" s="1"/>
  <c r="M35" i="14"/>
  <c r="E38" i="29" s="1"/>
  <c r="AY34" i="19"/>
  <c r="AO42" i="32"/>
  <c r="Q42" i="32"/>
  <c r="D42" i="30"/>
  <c r="AP42" i="32"/>
  <c r="AN42" i="32"/>
  <c r="N40" i="29"/>
  <c r="AH40" i="29"/>
  <c r="AK41" i="29" s="1"/>
  <c r="E40" i="32"/>
  <c r="F39" i="29"/>
  <c r="M39" i="29"/>
  <c r="Q39" i="29" s="1"/>
  <c r="AT40" i="29" s="1"/>
  <c r="AI39" i="29"/>
  <c r="G41" i="32"/>
  <c r="O41" i="32"/>
  <c r="O103" i="32" s="1"/>
  <c r="BK43" i="29"/>
  <c r="BB26" i="10"/>
  <c r="BF26" i="10"/>
  <c r="BW26" i="32"/>
  <c r="BA43" i="33"/>
  <c r="BW25" i="24"/>
  <c r="BO27" i="1"/>
  <c r="BE24" i="33"/>
  <c r="BO42" i="34"/>
  <c r="BK42" i="34"/>
  <c r="BV40" i="60" l="1"/>
  <c r="BX40" i="60"/>
  <c r="BV68" i="24"/>
  <c r="BD69" i="60"/>
  <c r="BY69" i="60" s="1"/>
  <c r="BB70" i="60"/>
  <c r="BF70" i="60" s="1"/>
  <c r="BU69" i="60"/>
  <c r="BZ44" i="60"/>
  <c r="X72" i="60"/>
  <c r="AF72" i="60" s="1"/>
  <c r="BK72" i="60" s="1"/>
  <c r="G72" i="60"/>
  <c r="AU71" i="60"/>
  <c r="AY71" i="60" s="1"/>
  <c r="Y71" i="60"/>
  <c r="AG71" i="60" s="1"/>
  <c r="AJ71" i="60" s="1"/>
  <c r="AN71" i="60"/>
  <c r="AV71" i="60"/>
  <c r="AZ71" i="60" s="1"/>
  <c r="BY68" i="60"/>
  <c r="BU68" i="60"/>
  <c r="S182" i="36"/>
  <c r="Y197" i="36"/>
  <c r="P76" i="36"/>
  <c r="V91" i="36"/>
  <c r="P182" i="36"/>
  <c r="V197" i="36"/>
  <c r="BV66" i="32"/>
  <c r="N69" i="32"/>
  <c r="N131" i="32" s="1"/>
  <c r="G69" i="32"/>
  <c r="AN69" i="32" s="1"/>
  <c r="AR69" i="32" s="1"/>
  <c r="AT69" i="24"/>
  <c r="AV69" i="24" s="1"/>
  <c r="AW65" i="32"/>
  <c r="R22" i="57"/>
  <c r="AO71" i="1"/>
  <c r="R21" i="57"/>
  <c r="AN71" i="1"/>
  <c r="BC72" i="1"/>
  <c r="BG72" i="1" s="1"/>
  <c r="BB72" i="1"/>
  <c r="BF72" i="1" s="1"/>
  <c r="J72" i="24"/>
  <c r="X72" i="1"/>
  <c r="AK72" i="1"/>
  <c r="AO72" i="1" s="1"/>
  <c r="E72" i="24"/>
  <c r="Q72" i="1"/>
  <c r="V72" i="1" s="1"/>
  <c r="Y72" i="1" s="1"/>
  <c r="AJ72" i="1"/>
  <c r="AN72" i="1" s="1"/>
  <c r="AC72" i="1"/>
  <c r="L69" i="32"/>
  <c r="BF69" i="32" s="1"/>
  <c r="BJ69" i="32" s="1"/>
  <c r="AU67" i="32"/>
  <c r="AX67" i="32" s="1"/>
  <c r="AX65" i="32"/>
  <c r="Q68" i="32"/>
  <c r="AO68" i="32"/>
  <c r="AS68" i="32" s="1"/>
  <c r="AP68" i="32"/>
  <c r="AT68" i="32" s="1"/>
  <c r="D68" i="30"/>
  <c r="L68" i="30" s="1"/>
  <c r="AT70" i="1"/>
  <c r="AU70" i="1"/>
  <c r="BV61" i="32"/>
  <c r="AZ61" i="30"/>
  <c r="AZ62" i="30"/>
  <c r="BN44" i="26"/>
  <c r="BO44" i="26" s="1"/>
  <c r="AS43" i="32"/>
  <c r="AC43" i="26"/>
  <c r="AC55" i="26"/>
  <c r="S316" i="36" s="1"/>
  <c r="AC33" i="26"/>
  <c r="AC51" i="26"/>
  <c r="S312" i="36" s="1"/>
  <c r="AC52" i="26"/>
  <c r="S313" i="36" s="1"/>
  <c r="AC53" i="26"/>
  <c r="S314" i="36" s="1"/>
  <c r="AC56" i="26"/>
  <c r="S317" i="36" s="1"/>
  <c r="AC64" i="26"/>
  <c r="S325" i="36" s="1"/>
  <c r="AC32" i="26"/>
  <c r="AC70" i="26"/>
  <c r="AC61" i="26"/>
  <c r="S322" i="36" s="1"/>
  <c r="AC50" i="26"/>
  <c r="S311" i="36" s="1"/>
  <c r="AC49" i="26"/>
  <c r="S310" i="36" s="1"/>
  <c r="AC69" i="26"/>
  <c r="S330" i="36" s="1"/>
  <c r="AC71" i="26"/>
  <c r="AC62" i="26"/>
  <c r="S323" i="36" s="1"/>
  <c r="AC68" i="26"/>
  <c r="S329" i="36" s="1"/>
  <c r="AC39" i="26"/>
  <c r="AC41" i="26"/>
  <c r="AC44" i="26"/>
  <c r="AC72" i="26"/>
  <c r="AC47" i="26"/>
  <c r="S308" i="36" s="1"/>
  <c r="AC48" i="26"/>
  <c r="S309" i="36" s="1"/>
  <c r="AC63" i="26"/>
  <c r="S324" i="36" s="1"/>
  <c r="AC59" i="26"/>
  <c r="S320" i="36" s="1"/>
  <c r="AC66" i="26"/>
  <c r="S327" i="36" s="1"/>
  <c r="AC38" i="26"/>
  <c r="AC34" i="26"/>
  <c r="AC36" i="26"/>
  <c r="AC65" i="26"/>
  <c r="S326" i="36" s="1"/>
  <c r="AC54" i="26"/>
  <c r="S315" i="36" s="1"/>
  <c r="AC35" i="26"/>
  <c r="AC57" i="26"/>
  <c r="S318" i="36" s="1"/>
  <c r="AC58" i="26"/>
  <c r="S319" i="36" s="1"/>
  <c r="AC31" i="26"/>
  <c r="AC67" i="26"/>
  <c r="S328" i="36" s="1"/>
  <c r="AC60" i="26"/>
  <c r="S321" i="36" s="1"/>
  <c r="AC37" i="26"/>
  <c r="AC40" i="26"/>
  <c r="AC42" i="26"/>
  <c r="AC45" i="26"/>
  <c r="AN46" i="26"/>
  <c r="AN47" i="26"/>
  <c r="AS45" i="26"/>
  <c r="AU45" i="26"/>
  <c r="AP43" i="32"/>
  <c r="AT43" i="32" s="1"/>
  <c r="D43" i="30"/>
  <c r="L43" i="30" s="1"/>
  <c r="AN43" i="32"/>
  <c r="AR43" i="32" s="1"/>
  <c r="Q43" i="32"/>
  <c r="E45" i="32"/>
  <c r="AI45" i="29"/>
  <c r="AL45" i="29" s="1"/>
  <c r="AM45" i="29" s="1"/>
  <c r="AP45" i="29" s="1"/>
  <c r="N45" i="29"/>
  <c r="O44" i="32"/>
  <c r="O106" i="32" s="1"/>
  <c r="G44" i="32"/>
  <c r="AM44" i="29"/>
  <c r="AP44" i="29" s="1"/>
  <c r="L46" i="29"/>
  <c r="L74" i="29" s="1"/>
  <c r="F46" i="29"/>
  <c r="AH46" i="29" s="1"/>
  <c r="AP46" i="26"/>
  <c r="AP47" i="26"/>
  <c r="Q74" i="26"/>
  <c r="V46" i="26" s="1"/>
  <c r="Y46" i="26" s="1"/>
  <c r="T72" i="26"/>
  <c r="T48" i="26"/>
  <c r="T35" i="26"/>
  <c r="T62" i="26"/>
  <c r="T58" i="26"/>
  <c r="T66" i="26"/>
  <c r="T34" i="26"/>
  <c r="T32" i="26"/>
  <c r="T51" i="26"/>
  <c r="T55" i="26"/>
  <c r="T53" i="26"/>
  <c r="T36" i="26"/>
  <c r="T71" i="26"/>
  <c r="T67" i="26"/>
  <c r="AY67" i="26" s="1"/>
  <c r="BJ67" i="26" s="1"/>
  <c r="T52" i="26"/>
  <c r="AY52" i="26" s="1"/>
  <c r="BJ52" i="26" s="1"/>
  <c r="T60" i="26"/>
  <c r="T70" i="26"/>
  <c r="T39" i="26"/>
  <c r="T41" i="26"/>
  <c r="T43" i="26"/>
  <c r="T45" i="26"/>
  <c r="T59" i="26"/>
  <c r="T37" i="26"/>
  <c r="T56" i="26"/>
  <c r="AY56" i="26" s="1"/>
  <c r="BJ56" i="26" s="1"/>
  <c r="T64" i="26"/>
  <c r="T47" i="26"/>
  <c r="AY47" i="26" s="1"/>
  <c r="T33" i="26"/>
  <c r="T31" i="26"/>
  <c r="AY31" i="26" s="1"/>
  <c r="T49" i="26"/>
  <c r="T54" i="26"/>
  <c r="T63" i="26"/>
  <c r="T38" i="26"/>
  <c r="T68" i="26"/>
  <c r="T50" i="26"/>
  <c r="T61" i="26"/>
  <c r="T69" i="26"/>
  <c r="T65" i="26"/>
  <c r="AY65" i="26" s="1"/>
  <c r="BJ65" i="26" s="1"/>
  <c r="T57" i="26"/>
  <c r="AY57" i="26" s="1"/>
  <c r="BJ57" i="26" s="1"/>
  <c r="T40" i="26"/>
  <c r="T42" i="26"/>
  <c r="T44" i="26"/>
  <c r="O409" i="36"/>
  <c r="B57" i="32"/>
  <c r="DE49" i="25"/>
  <c r="DA50" i="25"/>
  <c r="BM40" i="1"/>
  <c r="BK40" i="1"/>
  <c r="AD8" i="54"/>
  <c r="M30" i="18"/>
  <c r="AO42" i="29"/>
  <c r="AO41" i="32"/>
  <c r="Q41" i="32"/>
  <c r="AN41" i="32"/>
  <c r="AR42" i="32" s="1"/>
  <c r="AP41" i="32"/>
  <c r="AT42" i="32" s="1"/>
  <c r="D41" i="30"/>
  <c r="E39" i="32"/>
  <c r="N39" i="29"/>
  <c r="AH39" i="29"/>
  <c r="AK40" i="29" s="1"/>
  <c r="O40" i="32"/>
  <c r="O102" i="32" s="1"/>
  <c r="G40" i="32"/>
  <c r="L42" i="30"/>
  <c r="F38" i="29"/>
  <c r="M38" i="29"/>
  <c r="Q38" i="29" s="1"/>
  <c r="AT39" i="29" s="1"/>
  <c r="AI38" i="29"/>
  <c r="AL39" i="29" s="1"/>
  <c r="AM41" i="29"/>
  <c r="AP41" i="29" s="1"/>
  <c r="M34" i="14"/>
  <c r="E37" i="29" s="1"/>
  <c r="AY33" i="19"/>
  <c r="BK42" i="29"/>
  <c r="AL40" i="29"/>
  <c r="BF27" i="10"/>
  <c r="BB27" i="10"/>
  <c r="BE25" i="33"/>
  <c r="BK43" i="34"/>
  <c r="BO43" i="34"/>
  <c r="BW26" i="24"/>
  <c r="BW27" i="32"/>
  <c r="BO28" i="1"/>
  <c r="BA44" i="33"/>
  <c r="BE70" i="60" l="1"/>
  <c r="BX41" i="60"/>
  <c r="BV41" i="60"/>
  <c r="AY42" i="26"/>
  <c r="BJ42" i="26" s="1"/>
  <c r="AY69" i="26"/>
  <c r="BJ69" i="26" s="1"/>
  <c r="AY50" i="26"/>
  <c r="BJ50" i="26" s="1"/>
  <c r="AY38" i="26"/>
  <c r="BJ38" i="26" s="1"/>
  <c r="AY54" i="26"/>
  <c r="BJ54" i="26" s="1"/>
  <c r="AY59" i="26"/>
  <c r="BJ59" i="26" s="1"/>
  <c r="AY36" i="26"/>
  <c r="BJ36" i="26" s="1"/>
  <c r="BN70" i="1"/>
  <c r="BD70" i="60"/>
  <c r="BU70" i="60" s="1"/>
  <c r="AQ72" i="1"/>
  <c r="BB71" i="60"/>
  <c r="BE71" i="60" s="1"/>
  <c r="Y72" i="60"/>
  <c r="AG72" i="60" s="1"/>
  <c r="AJ72" i="60" s="1"/>
  <c r="AU72" i="60"/>
  <c r="AY72" i="60" s="1"/>
  <c r="AN72" i="60"/>
  <c r="AV72" i="60"/>
  <c r="AZ72" i="60" s="1"/>
  <c r="BZ45" i="60"/>
  <c r="BY70" i="60"/>
  <c r="AW72" i="60"/>
  <c r="BA72" i="60" s="1"/>
  <c r="AU68" i="32"/>
  <c r="AW68" i="32" s="1"/>
  <c r="O72" i="24"/>
  <c r="AY68" i="32"/>
  <c r="AA69" i="32"/>
  <c r="BG69" i="32"/>
  <c r="BK69" i="32" s="1"/>
  <c r="BH69" i="32"/>
  <c r="BL69" i="32" s="1"/>
  <c r="H69" i="30"/>
  <c r="AW69" i="30" s="1"/>
  <c r="AZ69" i="30" s="1"/>
  <c r="AQ71" i="1"/>
  <c r="AS71" i="1" s="1"/>
  <c r="BV65" i="32"/>
  <c r="AX69" i="24"/>
  <c r="AW69" i="24"/>
  <c r="Q69" i="32"/>
  <c r="AO69" i="32"/>
  <c r="AS69" i="32" s="1"/>
  <c r="D69" i="30"/>
  <c r="AP69" i="32"/>
  <c r="AT69" i="32" s="1"/>
  <c r="BJ70" i="1"/>
  <c r="AX68" i="32"/>
  <c r="BV68" i="32" s="1"/>
  <c r="AY67" i="32"/>
  <c r="AW67" i="32"/>
  <c r="AT72" i="1"/>
  <c r="BV69" i="24"/>
  <c r="AY44" i="26"/>
  <c r="BJ44" i="26" s="1"/>
  <c r="AY40" i="26"/>
  <c r="BJ40" i="26" s="1"/>
  <c r="AY61" i="26"/>
  <c r="BJ61" i="26" s="1"/>
  <c r="AY68" i="26"/>
  <c r="BJ68" i="26" s="1"/>
  <c r="AY63" i="26"/>
  <c r="BJ63" i="26" s="1"/>
  <c r="AY49" i="26"/>
  <c r="BJ49" i="26" s="1"/>
  <c r="AY33" i="26"/>
  <c r="BJ33" i="26" s="1"/>
  <c r="BN45" i="26"/>
  <c r="BO45" i="26" s="1"/>
  <c r="AY43" i="26"/>
  <c r="BJ43" i="26" s="1"/>
  <c r="AY39" i="26"/>
  <c r="BJ39" i="26" s="1"/>
  <c r="AY60" i="26"/>
  <c r="BJ60" i="26" s="1"/>
  <c r="AY55" i="26"/>
  <c r="BJ55" i="26" s="1"/>
  <c r="AY32" i="26"/>
  <c r="BJ32" i="26" s="1"/>
  <c r="BK32" i="26" s="1"/>
  <c r="BK33" i="26" s="1"/>
  <c r="AY66" i="26"/>
  <c r="BJ66" i="26" s="1"/>
  <c r="AY62" i="26"/>
  <c r="BJ62" i="26" s="1"/>
  <c r="AY48" i="26"/>
  <c r="BJ48" i="26" s="1"/>
  <c r="AK46" i="29"/>
  <c r="AK47" i="29"/>
  <c r="AQ46" i="26"/>
  <c r="AT46" i="26" s="1"/>
  <c r="AU43" i="32"/>
  <c r="AX43" i="32" s="1"/>
  <c r="AY64" i="26"/>
  <c r="BJ64" i="26" s="1"/>
  <c r="AY37" i="26"/>
  <c r="BJ37" i="26" s="1"/>
  <c r="AY46" i="26"/>
  <c r="AY45" i="26"/>
  <c r="BJ45" i="26" s="1"/>
  <c r="AY41" i="26"/>
  <c r="BJ41" i="26" s="1"/>
  <c r="AY70" i="26"/>
  <c r="BJ70" i="26" s="1"/>
  <c r="AY71" i="26"/>
  <c r="BJ71" i="26" s="1"/>
  <c r="AY53" i="26"/>
  <c r="BJ53" i="26" s="1"/>
  <c r="AY51" i="26"/>
  <c r="BJ51" i="26" s="1"/>
  <c r="AY34" i="26"/>
  <c r="BJ34" i="26" s="1"/>
  <c r="AY58" i="26"/>
  <c r="BJ58" i="26" s="1"/>
  <c r="AY35" i="26"/>
  <c r="BJ35" i="26" s="1"/>
  <c r="AY72" i="26"/>
  <c r="BJ72" i="26" s="1"/>
  <c r="V72" i="26"/>
  <c r="Y72" i="26" s="1"/>
  <c r="V64" i="26"/>
  <c r="Y64" i="26" s="1"/>
  <c r="V61" i="26"/>
  <c r="Y61" i="26" s="1"/>
  <c r="V47" i="26"/>
  <c r="Y47" i="26" s="1"/>
  <c r="V54" i="26"/>
  <c r="Y54" i="26" s="1"/>
  <c r="V69" i="26"/>
  <c r="Y69" i="26" s="1"/>
  <c r="V57" i="26"/>
  <c r="Y57" i="26" s="1"/>
  <c r="V56" i="26"/>
  <c r="Y56" i="26" s="1"/>
  <c r="V48" i="26"/>
  <c r="Y48" i="26" s="1"/>
  <c r="V49" i="26"/>
  <c r="Y49" i="26" s="1"/>
  <c r="V35" i="26"/>
  <c r="Y35" i="26" s="1"/>
  <c r="V51" i="26"/>
  <c r="Y51" i="26" s="1"/>
  <c r="V59" i="26"/>
  <c r="Y59" i="26" s="1"/>
  <c r="V38" i="26"/>
  <c r="Y38" i="26" s="1"/>
  <c r="V60" i="26"/>
  <c r="Y60" i="26" s="1"/>
  <c r="V68" i="26"/>
  <c r="Y68" i="26" s="1"/>
  <c r="V37" i="26"/>
  <c r="Y37" i="26" s="1"/>
  <c r="V39" i="26"/>
  <c r="Y39" i="26" s="1"/>
  <c r="V41" i="26"/>
  <c r="Y41" i="26" s="1"/>
  <c r="V43" i="26"/>
  <c r="Y43" i="26" s="1"/>
  <c r="V52" i="26"/>
  <c r="Y52" i="26" s="1"/>
  <c r="V53" i="26"/>
  <c r="Y53" i="26" s="1"/>
  <c r="V63" i="26"/>
  <c r="Y63" i="26" s="1"/>
  <c r="V66" i="26"/>
  <c r="Y66" i="26" s="1"/>
  <c r="V58" i="26"/>
  <c r="Y58" i="26" s="1"/>
  <c r="V50" i="26"/>
  <c r="Y50" i="26" s="1"/>
  <c r="V36" i="26"/>
  <c r="Y36" i="26" s="1"/>
  <c r="V55" i="26"/>
  <c r="Y55" i="26" s="1"/>
  <c r="V65" i="26"/>
  <c r="Y65" i="26" s="1"/>
  <c r="V32" i="26"/>
  <c r="Y32" i="26" s="1"/>
  <c r="V34" i="26"/>
  <c r="Y34" i="26" s="1"/>
  <c r="V33" i="26"/>
  <c r="Y33" i="26" s="1"/>
  <c r="V31" i="26"/>
  <c r="Y31" i="26" s="1"/>
  <c r="V67" i="26"/>
  <c r="Y67" i="26" s="1"/>
  <c r="V70" i="26"/>
  <c r="Y70" i="26" s="1"/>
  <c r="V71" i="26"/>
  <c r="Y71" i="26" s="1"/>
  <c r="V62" i="26"/>
  <c r="Y62" i="26" s="1"/>
  <c r="V40" i="26"/>
  <c r="Y40" i="26" s="1"/>
  <c r="V42" i="26"/>
  <c r="Y42" i="26" s="1"/>
  <c r="V44" i="26"/>
  <c r="Y44" i="26" s="1"/>
  <c r="V45" i="26"/>
  <c r="Y45" i="26" s="1"/>
  <c r="AU46" i="26"/>
  <c r="E46" i="32"/>
  <c r="N46" i="29"/>
  <c r="AI46" i="29"/>
  <c r="F74" i="29"/>
  <c r="AB46" i="29" s="1"/>
  <c r="S279" i="36" s="1"/>
  <c r="AO44" i="29"/>
  <c r="BK44" i="29" s="1"/>
  <c r="AO44" i="32"/>
  <c r="AS44" i="32" s="1"/>
  <c r="AN44" i="32"/>
  <c r="AR44" i="32" s="1"/>
  <c r="D44" i="30"/>
  <c r="L44" i="30" s="1"/>
  <c r="Q44" i="32"/>
  <c r="AP44" i="32"/>
  <c r="AT44" i="32" s="1"/>
  <c r="O45" i="32"/>
  <c r="O107" i="32" s="1"/>
  <c r="G45" i="32"/>
  <c r="AO45" i="32" s="1"/>
  <c r="AS45" i="32" s="1"/>
  <c r="AQ47" i="26"/>
  <c r="AT47" i="26" s="1"/>
  <c r="AO45" i="29"/>
  <c r="BK45" i="29" s="1"/>
  <c r="O410" i="36"/>
  <c r="B58" i="32"/>
  <c r="DE50" i="25"/>
  <c r="DA51" i="25"/>
  <c r="BK41" i="1"/>
  <c r="BM41" i="1"/>
  <c r="AD7" i="54"/>
  <c r="M29" i="18"/>
  <c r="AO41" i="29"/>
  <c r="BK41" i="29" s="1"/>
  <c r="AM40" i="29"/>
  <c r="AP40" i="29" s="1"/>
  <c r="M37" i="29"/>
  <c r="Q37" i="29" s="1"/>
  <c r="AT38" i="29" s="1"/>
  <c r="F37" i="29"/>
  <c r="AO40" i="32"/>
  <c r="AS41" i="32" s="1"/>
  <c r="Q40" i="32"/>
  <c r="AP40" i="32"/>
  <c r="AT41" i="32" s="1"/>
  <c r="D40" i="30"/>
  <c r="AN40" i="32"/>
  <c r="AR41" i="32" s="1"/>
  <c r="M33" i="14"/>
  <c r="E36" i="29" s="1"/>
  <c r="AY32" i="19"/>
  <c r="AY43" i="32"/>
  <c r="N38" i="29"/>
  <c r="AB38" i="29"/>
  <c r="E38" i="32"/>
  <c r="AH38" i="29"/>
  <c r="AK39" i="29" s="1"/>
  <c r="O39" i="32"/>
  <c r="O101" i="32" s="1"/>
  <c r="G39" i="32"/>
  <c r="L41" i="30"/>
  <c r="AS42" i="32"/>
  <c r="BB28" i="10"/>
  <c r="BF28" i="10"/>
  <c r="BO29" i="1"/>
  <c r="BW28" i="32"/>
  <c r="BW27" i="24"/>
  <c r="BO44" i="34"/>
  <c r="BK44" i="34"/>
  <c r="BA45" i="33"/>
  <c r="BA72" i="33"/>
  <c r="BE26" i="33"/>
  <c r="BV42" i="60" l="1"/>
  <c r="BX42" i="60"/>
  <c r="BV67" i="32"/>
  <c r="L69" i="30"/>
  <c r="AS72" i="1"/>
  <c r="AU72" i="1"/>
  <c r="BZ46" i="60"/>
  <c r="BD71" i="60"/>
  <c r="BF71" i="60"/>
  <c r="BB72" i="60"/>
  <c r="BD72" i="60" s="1"/>
  <c r="P77" i="36"/>
  <c r="V92" i="36"/>
  <c r="BK34" i="26"/>
  <c r="BK35" i="26" s="1"/>
  <c r="BK36" i="26" s="1"/>
  <c r="AW43" i="32"/>
  <c r="BV43" i="32" s="1"/>
  <c r="AU69" i="32"/>
  <c r="AY69" i="32" s="1"/>
  <c r="AT71" i="1"/>
  <c r="AU71" i="1"/>
  <c r="AO40" i="29"/>
  <c r="AS47" i="26"/>
  <c r="AL47" i="29"/>
  <c r="AL46" i="29"/>
  <c r="F35" i="53"/>
  <c r="O46" i="32"/>
  <c r="N35" i="53"/>
  <c r="G46" i="32"/>
  <c r="AO46" i="32" s="1"/>
  <c r="AS46" i="26"/>
  <c r="AM46" i="29"/>
  <c r="D45" i="30"/>
  <c r="L45" i="30" s="1"/>
  <c r="AN45" i="32"/>
  <c r="AR45" i="32" s="1"/>
  <c r="AP45" i="32"/>
  <c r="AT45" i="32" s="1"/>
  <c r="Q45" i="32"/>
  <c r="AU44" i="32"/>
  <c r="AY44" i="32" s="1"/>
  <c r="AB72" i="29"/>
  <c r="AB41" i="29"/>
  <c r="AB68" i="29"/>
  <c r="S301" i="36" s="1"/>
  <c r="AB52" i="29"/>
  <c r="S285" i="36" s="1"/>
  <c r="AB57" i="29"/>
  <c r="S290" i="36" s="1"/>
  <c r="AB66" i="29"/>
  <c r="S299" i="36" s="1"/>
  <c r="AB54" i="29"/>
  <c r="S287" i="36" s="1"/>
  <c r="AB71" i="29"/>
  <c r="AB47" i="29"/>
  <c r="S280" i="36" s="1"/>
  <c r="AB61" i="29"/>
  <c r="S294" i="36" s="1"/>
  <c r="AB56" i="29"/>
  <c r="S289" i="36" s="1"/>
  <c r="AB55" i="29"/>
  <c r="S288" i="36" s="1"/>
  <c r="AB63" i="29"/>
  <c r="S296" i="36" s="1"/>
  <c r="AB70" i="29"/>
  <c r="AB48" i="29"/>
  <c r="S281" i="36" s="1"/>
  <c r="AB43" i="29"/>
  <c r="AB42" i="29"/>
  <c r="AB59" i="29"/>
  <c r="S292" i="36" s="1"/>
  <c r="AB65" i="29"/>
  <c r="S298" i="36" s="1"/>
  <c r="AB67" i="29"/>
  <c r="S300" i="36" s="1"/>
  <c r="AB60" i="29"/>
  <c r="S293" i="36" s="1"/>
  <c r="AB51" i="29"/>
  <c r="S284" i="36" s="1"/>
  <c r="AB49" i="29"/>
  <c r="S282" i="36" s="1"/>
  <c r="AB53" i="29"/>
  <c r="S286" i="36" s="1"/>
  <c r="AB62" i="29"/>
  <c r="S295" i="36" s="1"/>
  <c r="AB58" i="29"/>
  <c r="S291" i="36" s="1"/>
  <c r="AB64" i="29"/>
  <c r="S297" i="36" s="1"/>
  <c r="AB69" i="29"/>
  <c r="S302" i="36" s="1"/>
  <c r="AB50" i="29"/>
  <c r="S283" i="36" s="1"/>
  <c r="AB44" i="29"/>
  <c r="AB45" i="29"/>
  <c r="AB40" i="29"/>
  <c r="AB39" i="29"/>
  <c r="N74" i="29"/>
  <c r="W38" i="29" s="1"/>
  <c r="AM47" i="29"/>
  <c r="AU47" i="26"/>
  <c r="O411" i="36"/>
  <c r="B59" i="32"/>
  <c r="DE51" i="25"/>
  <c r="DA52" i="25"/>
  <c r="BM42" i="1"/>
  <c r="BK42" i="1"/>
  <c r="AD6" i="54"/>
  <c r="M28" i="18"/>
  <c r="AD5" i="54" s="1"/>
  <c r="AM39" i="29"/>
  <c r="AP39" i="29" s="1"/>
  <c r="AO39" i="32"/>
  <c r="AS40" i="32" s="1"/>
  <c r="Q39" i="32"/>
  <c r="AP39" i="32"/>
  <c r="AT40" i="32" s="1"/>
  <c r="AN39" i="32"/>
  <c r="AR40" i="32" s="1"/>
  <c r="D39" i="30"/>
  <c r="G38" i="32"/>
  <c r="O38" i="32"/>
  <c r="O100" i="32" s="1"/>
  <c r="AY31" i="19"/>
  <c r="M32" i="14"/>
  <c r="E35" i="29" s="1"/>
  <c r="BK40" i="29"/>
  <c r="AI37" i="29"/>
  <c r="N37" i="29"/>
  <c r="W37" i="29" s="1"/>
  <c r="AH37" i="29"/>
  <c r="AK38" i="29" s="1"/>
  <c r="AB37" i="29"/>
  <c r="E37" i="32"/>
  <c r="AU41" i="32"/>
  <c r="AW41" i="32" s="1"/>
  <c r="AU42" i="32"/>
  <c r="F36" i="29"/>
  <c r="M36" i="29"/>
  <c r="Q36" i="29" s="1"/>
  <c r="AI36" i="29"/>
  <c r="L40" i="30"/>
  <c r="BB29" i="10"/>
  <c r="BF29" i="10"/>
  <c r="BE27" i="33"/>
  <c r="BB20" i="33"/>
  <c r="BB21" i="33"/>
  <c r="BB13" i="33"/>
  <c r="BB8" i="33"/>
  <c r="BB12" i="33"/>
  <c r="BB28" i="33"/>
  <c r="BB22" i="33"/>
  <c r="BB17" i="33"/>
  <c r="BB26" i="33"/>
  <c r="BB11" i="33"/>
  <c r="BB15" i="33"/>
  <c r="BB24" i="33"/>
  <c r="BB19" i="33"/>
  <c r="BB10" i="33"/>
  <c r="BB14" i="33"/>
  <c r="BB27" i="33"/>
  <c r="BB25" i="33"/>
  <c r="BB23" i="33"/>
  <c r="BB9" i="33"/>
  <c r="BB18" i="33"/>
  <c r="BB16" i="33"/>
  <c r="BB29" i="33"/>
  <c r="W29" i="33" s="1"/>
  <c r="U31" i="32" s="1"/>
  <c r="BB30" i="33"/>
  <c r="W30" i="33" s="1"/>
  <c r="U32" i="32" s="1"/>
  <c r="BB31" i="33"/>
  <c r="W31" i="33" s="1"/>
  <c r="U33" i="32" s="1"/>
  <c r="BB32" i="33"/>
  <c r="W32" i="33" s="1"/>
  <c r="U34" i="32" s="1"/>
  <c r="BB33" i="33"/>
  <c r="W33" i="33" s="1"/>
  <c r="U35" i="32" s="1"/>
  <c r="BB34" i="33"/>
  <c r="W34" i="33" s="1"/>
  <c r="U36" i="32" s="1"/>
  <c r="BB35" i="33"/>
  <c r="W35" i="33" s="1"/>
  <c r="U37" i="32" s="1"/>
  <c r="BB36" i="33"/>
  <c r="W36" i="33" s="1"/>
  <c r="U38" i="32" s="1"/>
  <c r="BB37" i="33"/>
  <c r="W37" i="33" s="1"/>
  <c r="U39" i="32" s="1"/>
  <c r="BB38" i="33"/>
  <c r="W38" i="33" s="1"/>
  <c r="U40" i="32" s="1"/>
  <c r="BB39" i="33"/>
  <c r="W39" i="33" s="1"/>
  <c r="U41" i="32" s="1"/>
  <c r="BB40" i="33"/>
  <c r="W40" i="33" s="1"/>
  <c r="U42" i="32" s="1"/>
  <c r="BB41" i="33"/>
  <c r="W41" i="33" s="1"/>
  <c r="U43" i="32" s="1"/>
  <c r="BB42" i="33"/>
  <c r="W42" i="33" s="1"/>
  <c r="U44" i="32" s="1"/>
  <c r="BB43" i="33"/>
  <c r="W43" i="33" s="1"/>
  <c r="U45" i="32" s="1"/>
  <c r="BB44" i="33"/>
  <c r="W44" i="33" s="1"/>
  <c r="BK45" i="34"/>
  <c r="BO45" i="34"/>
  <c r="BW28" i="24"/>
  <c r="BB45" i="33"/>
  <c r="W45" i="33" s="1"/>
  <c r="BA46" i="33"/>
  <c r="BW29" i="32"/>
  <c r="BO30" i="1"/>
  <c r="BJ72" i="1" l="1"/>
  <c r="BV43" i="60"/>
  <c r="BX43" i="60"/>
  <c r="BE72" i="60"/>
  <c r="BN72" i="1"/>
  <c r="BN71" i="1"/>
  <c r="BY71" i="60"/>
  <c r="BU71" i="60"/>
  <c r="BZ47" i="60"/>
  <c r="BZ74" i="60"/>
  <c r="BF72" i="60"/>
  <c r="BU72" i="60" s="1"/>
  <c r="AX69" i="32"/>
  <c r="AW69" i="32"/>
  <c r="BJ71" i="1"/>
  <c r="AW44" i="32"/>
  <c r="W46" i="29"/>
  <c r="AU45" i="32"/>
  <c r="AY45" i="32" s="1"/>
  <c r="BN46" i="26"/>
  <c r="BO46" i="26" s="1"/>
  <c r="BO74" i="26" s="1"/>
  <c r="BP19" i="26" s="1"/>
  <c r="BJ46" i="26"/>
  <c r="G74" i="32"/>
  <c r="AG46" i="32" s="1"/>
  <c r="AN46" i="32"/>
  <c r="AP46" i="32"/>
  <c r="D46" i="30"/>
  <c r="Q46" i="32"/>
  <c r="O74" i="32"/>
  <c r="O108" i="32"/>
  <c r="AX44" i="32"/>
  <c r="AP47" i="29"/>
  <c r="AO47" i="29"/>
  <c r="W72" i="29"/>
  <c r="W41" i="29"/>
  <c r="W63" i="29"/>
  <c r="W54" i="29"/>
  <c r="W61" i="29"/>
  <c r="W62" i="29"/>
  <c r="W71" i="29"/>
  <c r="W51" i="29"/>
  <c r="W47" i="29"/>
  <c r="W52" i="29"/>
  <c r="W53" i="29"/>
  <c r="W66" i="29"/>
  <c r="W70" i="29"/>
  <c r="W67" i="29"/>
  <c r="W48" i="29"/>
  <c r="W43" i="29"/>
  <c r="W64" i="29"/>
  <c r="W57" i="29"/>
  <c r="W55" i="29"/>
  <c r="W69" i="29"/>
  <c r="W68" i="29"/>
  <c r="W49" i="29"/>
  <c r="W58" i="29"/>
  <c r="W59" i="29"/>
  <c r="W65" i="29"/>
  <c r="W56" i="29"/>
  <c r="W60" i="29"/>
  <c r="W50" i="29"/>
  <c r="W44" i="29"/>
  <c r="W42" i="29"/>
  <c r="W40" i="29"/>
  <c r="W45" i="29"/>
  <c r="W39" i="29"/>
  <c r="BV44" i="32"/>
  <c r="AP46" i="29"/>
  <c r="AO46" i="29"/>
  <c r="AS46" i="32"/>
  <c r="AS47" i="32"/>
  <c r="N36" i="53"/>
  <c r="O35" i="53" s="1"/>
  <c r="F36" i="53"/>
  <c r="G35" i="53" s="1"/>
  <c r="BJ47" i="26"/>
  <c r="BN47" i="26"/>
  <c r="O412" i="36"/>
  <c r="B60" i="32"/>
  <c r="DE52" i="25"/>
  <c r="DA53" i="25"/>
  <c r="BK43" i="1"/>
  <c r="BM43" i="1"/>
  <c r="BK37" i="26"/>
  <c r="AH36" i="29"/>
  <c r="AK37" i="29" s="1"/>
  <c r="E36" i="32"/>
  <c r="N36" i="29"/>
  <c r="W36" i="29" s="1"/>
  <c r="AB36" i="29"/>
  <c r="O37" i="32"/>
  <c r="O99" i="32" s="1"/>
  <c r="G37" i="32"/>
  <c r="AL37" i="29"/>
  <c r="AL38" i="29"/>
  <c r="AM38" i="29" s="1"/>
  <c r="AU40" i="32"/>
  <c r="AX40" i="32" s="1"/>
  <c r="F35" i="29"/>
  <c r="M35" i="29"/>
  <c r="Q35" i="29" s="1"/>
  <c r="L39" i="30"/>
  <c r="AY40" i="32"/>
  <c r="AT37" i="29"/>
  <c r="AT36" i="29"/>
  <c r="AY42" i="32"/>
  <c r="AW42" i="32"/>
  <c r="AX41" i="32"/>
  <c r="AY41" i="32"/>
  <c r="AY30" i="19"/>
  <c r="M31" i="14"/>
  <c r="E34" i="29" s="1"/>
  <c r="AO38" i="32"/>
  <c r="Q38" i="32"/>
  <c r="D38" i="30"/>
  <c r="AN38" i="32"/>
  <c r="AR39" i="32" s="1"/>
  <c r="AP38" i="32"/>
  <c r="AT39" i="32" s="1"/>
  <c r="AX42" i="32"/>
  <c r="AO39" i="29"/>
  <c r="BD45" i="32"/>
  <c r="BD43" i="32"/>
  <c r="BD41" i="32"/>
  <c r="BD39" i="32"/>
  <c r="BF30" i="10"/>
  <c r="BB30" i="10"/>
  <c r="BD37" i="32"/>
  <c r="BD35" i="32"/>
  <c r="BD33" i="32"/>
  <c r="BB46" i="33"/>
  <c r="W46" i="33" s="1"/>
  <c r="BA47" i="33"/>
  <c r="BW29" i="24"/>
  <c r="BO46" i="34"/>
  <c r="BE28" i="33"/>
  <c r="BO31" i="1"/>
  <c r="BW30" i="32"/>
  <c r="R252" i="36"/>
  <c r="U47" i="32"/>
  <c r="BK46" i="34"/>
  <c r="R251" i="36"/>
  <c r="U46" i="32"/>
  <c r="BD46" i="32" s="1"/>
  <c r="BD44" i="32"/>
  <c r="BD42" i="32"/>
  <c r="BD40" i="32"/>
  <c r="BD38" i="32"/>
  <c r="BD36" i="32"/>
  <c r="BD34" i="32"/>
  <c r="BD32" i="32"/>
  <c r="BP25" i="26"/>
  <c r="BP26" i="26"/>
  <c r="BP27" i="26"/>
  <c r="BP28" i="26"/>
  <c r="BP29" i="26"/>
  <c r="BP33" i="26"/>
  <c r="Z33" i="26" s="1"/>
  <c r="BP37" i="26"/>
  <c r="Z37" i="26" s="1"/>
  <c r="BP41" i="26"/>
  <c r="Z41" i="26" s="1"/>
  <c r="BP45" i="26"/>
  <c r="Z45" i="26" s="1"/>
  <c r="BX44" i="60" l="1"/>
  <c r="BV44" i="60"/>
  <c r="BY72" i="60"/>
  <c r="BZ48" i="60"/>
  <c r="CA47" i="60"/>
  <c r="AK47" i="60" s="1"/>
  <c r="CA46" i="60"/>
  <c r="AK46" i="60" s="1"/>
  <c r="CA11" i="60"/>
  <c r="CA13" i="60"/>
  <c r="CA15" i="60"/>
  <c r="CA17" i="60"/>
  <c r="CA19" i="60"/>
  <c r="CA21" i="60"/>
  <c r="CA23" i="60"/>
  <c r="CA25" i="60"/>
  <c r="CA27" i="60"/>
  <c r="CA29" i="60"/>
  <c r="CA31" i="60"/>
  <c r="AK31" i="60" s="1"/>
  <c r="CA10" i="60"/>
  <c r="CA12" i="60"/>
  <c r="CA14" i="60"/>
  <c r="CA16" i="60"/>
  <c r="CA18" i="60"/>
  <c r="CA20" i="60"/>
  <c r="CA22" i="60"/>
  <c r="CA24" i="60"/>
  <c r="CA26" i="60"/>
  <c r="CA28" i="60"/>
  <c r="CA30" i="60"/>
  <c r="CA32" i="60"/>
  <c r="AK32" i="60" s="1"/>
  <c r="CA33" i="60"/>
  <c r="AK33" i="60" s="1"/>
  <c r="CA34" i="60"/>
  <c r="AK34" i="60" s="1"/>
  <c r="CA35" i="60"/>
  <c r="AK35" i="60" s="1"/>
  <c r="CA36" i="60"/>
  <c r="AK36" i="60" s="1"/>
  <c r="CA37" i="60"/>
  <c r="AK37" i="60" s="1"/>
  <c r="CA38" i="60"/>
  <c r="AK38" i="60" s="1"/>
  <c r="CA39" i="60"/>
  <c r="AK39" i="60" s="1"/>
  <c r="CA40" i="60"/>
  <c r="AK40" i="60" s="1"/>
  <c r="CA41" i="60"/>
  <c r="AK41" i="60" s="1"/>
  <c r="CA42" i="60"/>
  <c r="AK42" i="60" s="1"/>
  <c r="CA43" i="60"/>
  <c r="AK43" i="60" s="1"/>
  <c r="CA44" i="60"/>
  <c r="AK44" i="60" s="1"/>
  <c r="CA45" i="60"/>
  <c r="AK45" i="60" s="1"/>
  <c r="S54" i="36"/>
  <c r="Y69" i="36"/>
  <c r="BP43" i="26"/>
  <c r="Z43" i="26" s="1"/>
  <c r="S43" i="29" s="1"/>
  <c r="BP39" i="26"/>
  <c r="Z39" i="26" s="1"/>
  <c r="BP35" i="26"/>
  <c r="Z35" i="26" s="1"/>
  <c r="S35" i="29" s="1"/>
  <c r="BP31" i="26"/>
  <c r="Z31" i="26" s="1"/>
  <c r="BP18" i="26"/>
  <c r="BP17" i="26"/>
  <c r="BP16" i="26"/>
  <c r="BP15" i="26"/>
  <c r="BP14" i="26"/>
  <c r="AG38" i="32"/>
  <c r="Y61" i="36" s="1"/>
  <c r="BV69" i="32"/>
  <c r="BP44" i="26"/>
  <c r="Z44" i="26" s="1"/>
  <c r="BP42" i="26"/>
  <c r="Z42" i="26" s="1"/>
  <c r="S42" i="29" s="1"/>
  <c r="BP40" i="26"/>
  <c r="Z40" i="26" s="1"/>
  <c r="S40" i="29" s="1"/>
  <c r="BP38" i="26"/>
  <c r="Z38" i="26" s="1"/>
  <c r="BP36" i="26"/>
  <c r="Z36" i="26" s="1"/>
  <c r="S36" i="29" s="1"/>
  <c r="BP34" i="26"/>
  <c r="Z34" i="26" s="1"/>
  <c r="S34" i="29" s="1"/>
  <c r="BP32" i="26"/>
  <c r="Z32" i="26" s="1"/>
  <c r="S32" i="29" s="1"/>
  <c r="BP24" i="26"/>
  <c r="BP13" i="26"/>
  <c r="BP23" i="26"/>
  <c r="BP12" i="26"/>
  <c r="BP22" i="26"/>
  <c r="BP11" i="26"/>
  <c r="BP21" i="26"/>
  <c r="BP10" i="26"/>
  <c r="BP20" i="26"/>
  <c r="BP30" i="26"/>
  <c r="BP46" i="26"/>
  <c r="Z46" i="26" s="1"/>
  <c r="S46" i="29" s="1"/>
  <c r="BO47" i="26"/>
  <c r="BK46" i="29"/>
  <c r="BK47" i="29"/>
  <c r="G32" i="53"/>
  <c r="G33" i="53"/>
  <c r="G31" i="53"/>
  <c r="G34" i="53"/>
  <c r="O34" i="53"/>
  <c r="O32" i="53"/>
  <c r="O31" i="53"/>
  <c r="O33" i="53"/>
  <c r="L46" i="30"/>
  <c r="L74" i="30" s="1"/>
  <c r="D74" i="30"/>
  <c r="AR46" i="32"/>
  <c r="AR47" i="32"/>
  <c r="Q74" i="32"/>
  <c r="AB46" i="32" s="1"/>
  <c r="AT47" i="32"/>
  <c r="AT46" i="32"/>
  <c r="AG57" i="32"/>
  <c r="AG60" i="32"/>
  <c r="AG55" i="32"/>
  <c r="AG59" i="32"/>
  <c r="AG50" i="32"/>
  <c r="AG47" i="32"/>
  <c r="AG49" i="32"/>
  <c r="AG62" i="32"/>
  <c r="AG53" i="32"/>
  <c r="AG68" i="32"/>
  <c r="AG56" i="32"/>
  <c r="AG63" i="32"/>
  <c r="AG43" i="32"/>
  <c r="Y66" i="36" s="1"/>
  <c r="AG45" i="32"/>
  <c r="Y68" i="36" s="1"/>
  <c r="AG40" i="32"/>
  <c r="Y63" i="36" s="1"/>
  <c r="AG41" i="32"/>
  <c r="Y64" i="36" s="1"/>
  <c r="AG64" i="32"/>
  <c r="AG51" i="32"/>
  <c r="AG48" i="32"/>
  <c r="AG58" i="32"/>
  <c r="AG52" i="32"/>
  <c r="AG65" i="32"/>
  <c r="AG61" i="32"/>
  <c r="AG66" i="32"/>
  <c r="AG67" i="32"/>
  <c r="AG69" i="32"/>
  <c r="AG54" i="32"/>
  <c r="AG44" i="32"/>
  <c r="Y67" i="36" s="1"/>
  <c r="AG42" i="32"/>
  <c r="Y65" i="36" s="1"/>
  <c r="AG39" i="32"/>
  <c r="Y62" i="36" s="1"/>
  <c r="AW45" i="32"/>
  <c r="AX45" i="32"/>
  <c r="O413" i="36"/>
  <c r="B61" i="32"/>
  <c r="DE53" i="25"/>
  <c r="DA54" i="25"/>
  <c r="BK44" i="1"/>
  <c r="BM44" i="1"/>
  <c r="BK38" i="26"/>
  <c r="BV41" i="32"/>
  <c r="BV42" i="32"/>
  <c r="AP38" i="29"/>
  <c r="AO38" i="29"/>
  <c r="L38" i="30"/>
  <c r="M30" i="14"/>
  <c r="E33" i="29" s="1"/>
  <c r="AY29" i="19"/>
  <c r="N35" i="29"/>
  <c r="W35" i="29" s="1"/>
  <c r="AH35" i="29"/>
  <c r="AB35" i="29"/>
  <c r="E35" i="32"/>
  <c r="AM37" i="29"/>
  <c r="AP37" i="29" s="1"/>
  <c r="D37" i="30"/>
  <c r="AN37" i="32"/>
  <c r="Q37" i="32"/>
  <c r="AB37" i="32" s="1"/>
  <c r="AG37" i="32"/>
  <c r="Y60" i="36" s="1"/>
  <c r="AP37" i="32"/>
  <c r="AT38" i="32" s="1"/>
  <c r="O36" i="32"/>
  <c r="O98" i="32" s="1"/>
  <c r="G36" i="32"/>
  <c r="BK39" i="29"/>
  <c r="AS39" i="32"/>
  <c r="AU39" i="32" s="1"/>
  <c r="AX39" i="32" s="1"/>
  <c r="M34" i="29"/>
  <c r="Q34" i="29" s="1"/>
  <c r="AT35" i="29" s="1"/>
  <c r="F34" i="29"/>
  <c r="AI34" i="29" s="1"/>
  <c r="AI35" i="29"/>
  <c r="AW40" i="32"/>
  <c r="BV40" i="32" s="1"/>
  <c r="AO37" i="32"/>
  <c r="AS38" i="32" s="1"/>
  <c r="AO37" i="29"/>
  <c r="BB31" i="10"/>
  <c r="BF31" i="10"/>
  <c r="S44" i="29"/>
  <c r="S38" i="29"/>
  <c r="BK74" i="34"/>
  <c r="BL46" i="34" s="1"/>
  <c r="AA46" i="34" s="1"/>
  <c r="BK47" i="34"/>
  <c r="BO74" i="34"/>
  <c r="BP46" i="34" s="1"/>
  <c r="Z46" i="34" s="1"/>
  <c r="BO47" i="34"/>
  <c r="BW30" i="24"/>
  <c r="BW31" i="24" s="1"/>
  <c r="BW32" i="24" s="1"/>
  <c r="BW33" i="24" s="1"/>
  <c r="BW34" i="24" s="1"/>
  <c r="BW35" i="24" s="1"/>
  <c r="BW36" i="24" s="1"/>
  <c r="BW37" i="24" s="1"/>
  <c r="BW38" i="24" s="1"/>
  <c r="BW39" i="24" s="1"/>
  <c r="BW40" i="24" s="1"/>
  <c r="BW41" i="24" s="1"/>
  <c r="BW42" i="24" s="1"/>
  <c r="BW43" i="24" s="1"/>
  <c r="BW44" i="24" s="1"/>
  <c r="BW45" i="24" s="1"/>
  <c r="BW46" i="24" s="1"/>
  <c r="BB47" i="33"/>
  <c r="W47" i="33" s="1"/>
  <c r="BA48" i="33"/>
  <c r="S45" i="29"/>
  <c r="BC46" i="29" s="1"/>
  <c r="BO46" i="29" s="1"/>
  <c r="S41" i="29"/>
  <c r="S39" i="29"/>
  <c r="S37" i="29"/>
  <c r="S33" i="29"/>
  <c r="S31" i="29"/>
  <c r="BC31" i="29" s="1"/>
  <c r="BD47" i="32"/>
  <c r="BO32" i="1"/>
  <c r="BE29" i="33"/>
  <c r="R253" i="36"/>
  <c r="U48" i="32"/>
  <c r="BD48" i="32" s="1"/>
  <c r="BV45" i="60" l="1"/>
  <c r="BX45" i="60"/>
  <c r="BC43" i="29"/>
  <c r="BO43" i="29" s="1"/>
  <c r="BZ49" i="60"/>
  <c r="CA48" i="60"/>
  <c r="AK48" i="60" s="1"/>
  <c r="S62" i="36"/>
  <c r="Y77" i="36"/>
  <c r="S75" i="36"/>
  <c r="Y90" i="36"/>
  <c r="S69" i="36"/>
  <c r="Y84" i="36"/>
  <c r="S60" i="36"/>
  <c r="Y75" i="36"/>
  <c r="S56" i="36"/>
  <c r="Y71" i="36"/>
  <c r="S72" i="36"/>
  <c r="Y87" i="36"/>
  <c r="S64" i="36"/>
  <c r="Y79" i="36"/>
  <c r="S61" i="36"/>
  <c r="Y76" i="36"/>
  <c r="S57" i="36"/>
  <c r="Y72" i="36"/>
  <c r="S58" i="36"/>
  <c r="Y73" i="36"/>
  <c r="S63" i="36"/>
  <c r="Y78" i="36"/>
  <c r="S65" i="36"/>
  <c r="Y80" i="36"/>
  <c r="S77" i="36"/>
  <c r="Y92" i="36"/>
  <c r="S74" i="36"/>
  <c r="Y89" i="36"/>
  <c r="S73" i="36"/>
  <c r="Y88" i="36"/>
  <c r="S66" i="36"/>
  <c r="Y81" i="36"/>
  <c r="S59" i="36"/>
  <c r="Y74" i="36"/>
  <c r="S71" i="36"/>
  <c r="Y86" i="36"/>
  <c r="S76" i="36"/>
  <c r="Y91" i="36"/>
  <c r="S70" i="36"/>
  <c r="Y85" i="36"/>
  <c r="S55" i="36"/>
  <c r="Y70" i="36"/>
  <c r="S67" i="36"/>
  <c r="Y82" i="36"/>
  <c r="S68" i="36"/>
  <c r="Y83" i="36"/>
  <c r="BP47" i="26"/>
  <c r="Z47" i="26" s="1"/>
  <c r="S47" i="29" s="1"/>
  <c r="BC47" i="29" s="1"/>
  <c r="BO47" i="29" s="1"/>
  <c r="BO48" i="26"/>
  <c r="BC39" i="29"/>
  <c r="BO39" i="29" s="1"/>
  <c r="AB40" i="32"/>
  <c r="AB48" i="32"/>
  <c r="AB63" i="32"/>
  <c r="AB50" i="32"/>
  <c r="AB57" i="32"/>
  <c r="AB66" i="32"/>
  <c r="AB54" i="32"/>
  <c r="AB59" i="32"/>
  <c r="AB65" i="32"/>
  <c r="AB55" i="32"/>
  <c r="AB64" i="32"/>
  <c r="AB56" i="32"/>
  <c r="AB44" i="32"/>
  <c r="AB45" i="32"/>
  <c r="AB53" i="32"/>
  <c r="AB52" i="32"/>
  <c r="AB67" i="32"/>
  <c r="AB61" i="32"/>
  <c r="AB62" i="32"/>
  <c r="AB69" i="32"/>
  <c r="AB49" i="32"/>
  <c r="AB58" i="32"/>
  <c r="AB68" i="32"/>
  <c r="AB60" i="32"/>
  <c r="AB51" i="32"/>
  <c r="AB47" i="32"/>
  <c r="AB43" i="32"/>
  <c r="AB42" i="32"/>
  <c r="AB41" i="32"/>
  <c r="AB39" i="32"/>
  <c r="AU47" i="32"/>
  <c r="BV45" i="32"/>
  <c r="AB38" i="32"/>
  <c r="AU46" i="32"/>
  <c r="AX46" i="32" s="1"/>
  <c r="O414" i="36"/>
  <c r="B62" i="32"/>
  <c r="DE54" i="25"/>
  <c r="DA55" i="25"/>
  <c r="BK45" i="1"/>
  <c r="BM45" i="1"/>
  <c r="BC41" i="29"/>
  <c r="BO41" i="29" s="1"/>
  <c r="BK39" i="26"/>
  <c r="AL35" i="29"/>
  <c r="AL36" i="29"/>
  <c r="AP36" i="32"/>
  <c r="AT37" i="32" s="1"/>
  <c r="AN36" i="32"/>
  <c r="AR37" i="32" s="1"/>
  <c r="AG36" i="32"/>
  <c r="Y59" i="36" s="1"/>
  <c r="D36" i="30"/>
  <c r="Q36" i="32"/>
  <c r="AB36" i="32" s="1"/>
  <c r="L37" i="30"/>
  <c r="M29" i="14"/>
  <c r="E32" i="29" s="1"/>
  <c r="AY28" i="19"/>
  <c r="M28" i="14" s="1"/>
  <c r="E31" i="29" s="1"/>
  <c r="AY39" i="32"/>
  <c r="BK38" i="29"/>
  <c r="BK37" i="29"/>
  <c r="N34" i="29"/>
  <c r="W34" i="29" s="1"/>
  <c r="AH34" i="29"/>
  <c r="AK35" i="29" s="1"/>
  <c r="AB34" i="29"/>
  <c r="E34" i="32"/>
  <c r="AW39" i="32"/>
  <c r="AO36" i="32"/>
  <c r="AR38" i="32"/>
  <c r="G35" i="32"/>
  <c r="O35" i="32"/>
  <c r="O97" i="32" s="1"/>
  <c r="AK36" i="29"/>
  <c r="M33" i="29"/>
  <c r="Q33" i="29" s="1"/>
  <c r="AT34" i="29" s="1"/>
  <c r="F33" i="29"/>
  <c r="BC33" i="29"/>
  <c r="BC35" i="29"/>
  <c r="BC37" i="29"/>
  <c r="BO37" i="29" s="1"/>
  <c r="BC45" i="29"/>
  <c r="BO45" i="29" s="1"/>
  <c r="BB32" i="10"/>
  <c r="BF32" i="10"/>
  <c r="R46" i="24"/>
  <c r="R194" i="36"/>
  <c r="BE30" i="33"/>
  <c r="BO33" i="1"/>
  <c r="BC42" i="29"/>
  <c r="BO42" i="29" s="1"/>
  <c r="R254" i="36"/>
  <c r="U49" i="32"/>
  <c r="BD49" i="32" s="1"/>
  <c r="AE46" i="34"/>
  <c r="Q194" i="36"/>
  <c r="V46" i="24"/>
  <c r="AB46" i="34"/>
  <c r="BP22" i="34"/>
  <c r="BP15" i="34"/>
  <c r="BP12" i="34"/>
  <c r="BP28" i="34"/>
  <c r="BP19" i="34"/>
  <c r="BP18" i="34"/>
  <c r="BP21" i="34"/>
  <c r="BP27" i="34"/>
  <c r="BP24" i="34"/>
  <c r="BP23" i="34"/>
  <c r="BP31" i="34"/>
  <c r="Z31" i="34" s="1"/>
  <c r="BP14" i="34"/>
  <c r="BP30" i="34"/>
  <c r="BP11" i="34"/>
  <c r="BP20" i="34"/>
  <c r="BP29" i="34"/>
  <c r="BP10" i="34"/>
  <c r="BP26" i="34"/>
  <c r="BP17" i="34"/>
  <c r="BP16" i="34"/>
  <c r="BP13" i="34"/>
  <c r="BP25" i="34"/>
  <c r="BP32" i="34"/>
  <c r="Z32" i="34" s="1"/>
  <c r="BP33" i="34"/>
  <c r="Z33" i="34" s="1"/>
  <c r="BP34" i="34"/>
  <c r="Z34" i="34" s="1"/>
  <c r="BP35" i="34"/>
  <c r="Z35" i="34" s="1"/>
  <c r="BP36" i="34"/>
  <c r="Z36" i="34" s="1"/>
  <c r="BP37" i="34"/>
  <c r="Z37" i="34" s="1"/>
  <c r="BP38" i="34"/>
  <c r="Z38" i="34" s="1"/>
  <c r="BP39" i="34"/>
  <c r="Z39" i="34" s="1"/>
  <c r="BP40" i="34"/>
  <c r="Z40" i="34" s="1"/>
  <c r="BP41" i="34"/>
  <c r="Z41" i="34" s="1"/>
  <c r="BP42" i="34"/>
  <c r="Z42" i="34" s="1"/>
  <c r="BP43" i="34"/>
  <c r="Z43" i="34" s="1"/>
  <c r="BP44" i="34"/>
  <c r="Z44" i="34" s="1"/>
  <c r="BP45" i="34"/>
  <c r="Z45" i="34" s="1"/>
  <c r="BC32" i="29"/>
  <c r="BC34" i="29"/>
  <c r="BC36" i="29"/>
  <c r="BC38" i="29"/>
  <c r="BO38" i="29" s="1"/>
  <c r="BC40" i="29"/>
  <c r="BO40" i="29" s="1"/>
  <c r="BB48" i="33"/>
  <c r="W48" i="33" s="1"/>
  <c r="BA49" i="33"/>
  <c r="BP47" i="34"/>
  <c r="Z47" i="34" s="1"/>
  <c r="BO48" i="34"/>
  <c r="BL47" i="34"/>
  <c r="AA47" i="34" s="1"/>
  <c r="BK48" i="34"/>
  <c r="BL18" i="34"/>
  <c r="BL20" i="34"/>
  <c r="BL13" i="34"/>
  <c r="BL29" i="34"/>
  <c r="BL27" i="34"/>
  <c r="BL14" i="34"/>
  <c r="BL16" i="34"/>
  <c r="BL10" i="34"/>
  <c r="BL25" i="34"/>
  <c r="BL19" i="34"/>
  <c r="BL23" i="34"/>
  <c r="BL12" i="34"/>
  <c r="BL28" i="34"/>
  <c r="BL21" i="34"/>
  <c r="BL11" i="34"/>
  <c r="BL15" i="34"/>
  <c r="BL22" i="34"/>
  <c r="BL24" i="34"/>
  <c r="BL17" i="34"/>
  <c r="BL26" i="34"/>
  <c r="BL30" i="34"/>
  <c r="BL31" i="34"/>
  <c r="AA31" i="34" s="1"/>
  <c r="BL32" i="34"/>
  <c r="AA32" i="34" s="1"/>
  <c r="BL33" i="34"/>
  <c r="AA33" i="34" s="1"/>
  <c r="BL34" i="34"/>
  <c r="AA34" i="34" s="1"/>
  <c r="BL35" i="34"/>
  <c r="AA35" i="34" s="1"/>
  <c r="BL36" i="34"/>
  <c r="AA36" i="34" s="1"/>
  <c r="BL37" i="34"/>
  <c r="AA37" i="34" s="1"/>
  <c r="BL38" i="34"/>
  <c r="AA38" i="34" s="1"/>
  <c r="BL39" i="34"/>
  <c r="AA39" i="34" s="1"/>
  <c r="BL40" i="34"/>
  <c r="AA40" i="34" s="1"/>
  <c r="BL41" i="34"/>
  <c r="AA41" i="34" s="1"/>
  <c r="BL42" i="34"/>
  <c r="AA42" i="34" s="1"/>
  <c r="BL43" i="34"/>
  <c r="AA43" i="34" s="1"/>
  <c r="BL44" i="34"/>
  <c r="AA44" i="34" s="1"/>
  <c r="BL45" i="34"/>
  <c r="AA45" i="34" s="1"/>
  <c r="BC44" i="29"/>
  <c r="BO44" i="29" s="1"/>
  <c r="BX46" i="60" l="1"/>
  <c r="BV46" i="60"/>
  <c r="CA49" i="60"/>
  <c r="AK49" i="60" s="1"/>
  <c r="BZ50" i="60"/>
  <c r="BO49" i="26"/>
  <c r="BP48" i="26"/>
  <c r="Z48" i="26" s="1"/>
  <c r="S48" i="29" s="1"/>
  <c r="BC48" i="29" s="1"/>
  <c r="BO48" i="29" s="1"/>
  <c r="AW46" i="32"/>
  <c r="AY46" i="32"/>
  <c r="AW47" i="32"/>
  <c r="AX47" i="32"/>
  <c r="AY47" i="32"/>
  <c r="O415" i="36"/>
  <c r="B63" i="32"/>
  <c r="DE55" i="25"/>
  <c r="DA56" i="25"/>
  <c r="BK46" i="1"/>
  <c r="BM46" i="1"/>
  <c r="BV39" i="32"/>
  <c r="R44" i="24"/>
  <c r="R40" i="24"/>
  <c r="R36" i="24"/>
  <c r="R32" i="24"/>
  <c r="R45" i="24"/>
  <c r="BA45" i="24" s="1"/>
  <c r="R43" i="24"/>
  <c r="R41" i="24"/>
  <c r="R39" i="24"/>
  <c r="R37" i="24"/>
  <c r="BA37" i="24" s="1"/>
  <c r="R35" i="24"/>
  <c r="R33" i="24"/>
  <c r="R31" i="24"/>
  <c r="R42" i="24"/>
  <c r="BA42" i="24" s="1"/>
  <c r="R38" i="24"/>
  <c r="R34" i="24"/>
  <c r="BK40" i="26"/>
  <c r="AI33" i="29"/>
  <c r="N33" i="29"/>
  <c r="W33" i="29" s="1"/>
  <c r="AB33" i="29"/>
  <c r="AH33" i="29"/>
  <c r="E33" i="32"/>
  <c r="AM35" i="29"/>
  <c r="AP35" i="29" s="1"/>
  <c r="AS37" i="32"/>
  <c r="G34" i="32"/>
  <c r="O34" i="32"/>
  <c r="O96" i="32" s="1"/>
  <c r="AK34" i="29"/>
  <c r="M31" i="29"/>
  <c r="Q31" i="29" s="1"/>
  <c r="AT31" i="29" s="1"/>
  <c r="F31" i="29"/>
  <c r="AI31" i="29" s="1"/>
  <c r="AL31" i="29" s="1"/>
  <c r="AM36" i="29"/>
  <c r="AP36" i="29" s="1"/>
  <c r="AO35" i="32"/>
  <c r="D35" i="30"/>
  <c r="AN35" i="32"/>
  <c r="Q35" i="32"/>
  <c r="AB35" i="32" s="1"/>
  <c r="AP35" i="32"/>
  <c r="AT36" i="32" s="1"/>
  <c r="AG35" i="32"/>
  <c r="Y58" i="36" s="1"/>
  <c r="AU38" i="32"/>
  <c r="AW38" i="32" s="1"/>
  <c r="M32" i="29"/>
  <c r="Q32" i="29" s="1"/>
  <c r="F32" i="29"/>
  <c r="L36" i="30"/>
  <c r="BF33" i="10"/>
  <c r="BB33" i="10"/>
  <c r="BA39" i="24"/>
  <c r="BL48" i="34"/>
  <c r="AA48" i="34" s="1"/>
  <c r="BK49" i="34"/>
  <c r="BP48" i="34"/>
  <c r="Z48" i="34" s="1"/>
  <c r="BO49" i="34"/>
  <c r="BB49" i="33"/>
  <c r="W49" i="33" s="1"/>
  <c r="BA50" i="33"/>
  <c r="AB45" i="34"/>
  <c r="V45" i="24"/>
  <c r="AE45" i="34"/>
  <c r="AB43" i="34"/>
  <c r="AE43" i="34"/>
  <c r="V43" i="24"/>
  <c r="AB41" i="34"/>
  <c r="V41" i="24"/>
  <c r="AE41" i="34"/>
  <c r="AE39" i="34"/>
  <c r="AB39" i="34"/>
  <c r="V39" i="24"/>
  <c r="AE37" i="34"/>
  <c r="V37" i="24"/>
  <c r="AB37" i="34"/>
  <c r="AB35" i="34"/>
  <c r="AE35" i="34"/>
  <c r="V35" i="24"/>
  <c r="AB33" i="34"/>
  <c r="V33" i="24"/>
  <c r="AE33" i="34"/>
  <c r="BO34" i="1"/>
  <c r="BO35" i="1" s="1"/>
  <c r="BO36" i="1" s="1"/>
  <c r="BO37" i="1" s="1"/>
  <c r="BO38" i="1" s="1"/>
  <c r="BO39" i="1" s="1"/>
  <c r="BO40" i="1" s="1"/>
  <c r="BO41" i="1" s="1"/>
  <c r="BO42" i="1" s="1"/>
  <c r="BO43" i="1" s="1"/>
  <c r="BO44" i="1" s="1"/>
  <c r="BO45" i="1" s="1"/>
  <c r="BO46" i="1" s="1"/>
  <c r="BO47" i="1" s="1"/>
  <c r="BO48" i="1" s="1"/>
  <c r="BO49" i="1" s="1"/>
  <c r="BO50" i="1" s="1"/>
  <c r="BO51" i="1" s="1"/>
  <c r="BO52" i="1" s="1"/>
  <c r="BO53" i="1" s="1"/>
  <c r="BO54" i="1" s="1"/>
  <c r="BO55" i="1" s="1"/>
  <c r="BO56" i="1" s="1"/>
  <c r="BO57" i="1" s="1"/>
  <c r="BO58" i="1" s="1"/>
  <c r="BO59" i="1" s="1"/>
  <c r="BO60" i="1" s="1"/>
  <c r="BO61" i="1" s="1"/>
  <c r="BO62" i="1" s="1"/>
  <c r="BO63" i="1" s="1"/>
  <c r="BO64" i="1" s="1"/>
  <c r="BO65" i="1" s="1"/>
  <c r="BO66" i="1" s="1"/>
  <c r="BO67" i="1" s="1"/>
  <c r="BO68" i="1" s="1"/>
  <c r="BO69" i="1" s="1"/>
  <c r="BO70" i="1" s="1"/>
  <c r="BO71" i="1" s="1"/>
  <c r="BO72" i="1" s="1"/>
  <c r="BE31" i="33"/>
  <c r="BA40" i="24"/>
  <c r="BA34" i="24"/>
  <c r="BA32" i="24"/>
  <c r="R195" i="36"/>
  <c r="R47" i="24"/>
  <c r="BA47" i="24" s="1"/>
  <c r="AE47" i="34"/>
  <c r="AB47" i="34"/>
  <c r="Q195" i="36"/>
  <c r="V47" i="24"/>
  <c r="BM47" i="24" s="1"/>
  <c r="U50" i="32"/>
  <c r="BD50" i="32" s="1"/>
  <c r="R255" i="36"/>
  <c r="V44" i="24"/>
  <c r="BM44" i="24" s="1"/>
  <c r="AB44" i="34"/>
  <c r="AE44" i="34"/>
  <c r="V42" i="24"/>
  <c r="BM42" i="24" s="1"/>
  <c r="AB42" i="34"/>
  <c r="AE42" i="34"/>
  <c r="V40" i="24"/>
  <c r="BM40" i="24" s="1"/>
  <c r="AB40" i="34"/>
  <c r="AE40" i="34"/>
  <c r="V38" i="24"/>
  <c r="BM38" i="24" s="1"/>
  <c r="AB38" i="34"/>
  <c r="AE38" i="34"/>
  <c r="V36" i="24"/>
  <c r="BM36" i="24" s="1"/>
  <c r="AE36" i="34"/>
  <c r="AB36" i="34"/>
  <c r="V34" i="24"/>
  <c r="BM34" i="24" s="1"/>
  <c r="AE34" i="34"/>
  <c r="AB34" i="34"/>
  <c r="V32" i="24"/>
  <c r="AE32" i="34"/>
  <c r="AB32" i="34"/>
  <c r="AB31" i="34"/>
  <c r="AE31" i="34"/>
  <c r="V31" i="24"/>
  <c r="BM31" i="24" s="1"/>
  <c r="BZ31" i="24" s="1"/>
  <c r="CA31" i="24" s="1"/>
  <c r="BV47" i="60" l="1"/>
  <c r="BV74" i="60"/>
  <c r="CA50" i="60"/>
  <c r="AK50" i="60" s="1"/>
  <c r="BZ51" i="60"/>
  <c r="BM32" i="24"/>
  <c r="BM33" i="24"/>
  <c r="BM35" i="24"/>
  <c r="BM37" i="24"/>
  <c r="BM39" i="24"/>
  <c r="BM41" i="24"/>
  <c r="BM43" i="24"/>
  <c r="BM45" i="24"/>
  <c r="BM46" i="24"/>
  <c r="BA46" i="24"/>
  <c r="BA38" i="24"/>
  <c r="BP49" i="26"/>
  <c r="Z49" i="26" s="1"/>
  <c r="S49" i="29" s="1"/>
  <c r="BC49" i="29" s="1"/>
  <c r="BO49" i="29" s="1"/>
  <c r="BO50" i="26"/>
  <c r="BV46" i="32"/>
  <c r="BV47" i="32"/>
  <c r="BA36" i="24"/>
  <c r="BA44" i="24"/>
  <c r="BA35" i="24"/>
  <c r="BA33" i="24"/>
  <c r="BA41" i="24"/>
  <c r="O416" i="36"/>
  <c r="B64" i="32"/>
  <c r="DE56" i="25"/>
  <c r="DA57" i="25"/>
  <c r="BA43" i="24"/>
  <c r="BK47" i="1"/>
  <c r="BK74" i="1"/>
  <c r="BK41" i="26"/>
  <c r="AO35" i="29"/>
  <c r="BO35" i="29" s="1"/>
  <c r="AO36" i="29"/>
  <c r="BO36" i="29" s="1"/>
  <c r="AT33" i="29"/>
  <c r="AT32" i="29"/>
  <c r="AX38" i="32"/>
  <c r="AY38" i="32"/>
  <c r="AR36" i="32"/>
  <c r="AH31" i="29"/>
  <c r="AK31" i="29" s="1"/>
  <c r="N31" i="29"/>
  <c r="W31" i="29" s="1"/>
  <c r="E31" i="32"/>
  <c r="AB31" i="29"/>
  <c r="AO34" i="32"/>
  <c r="AG34" i="32"/>
  <c r="Y57" i="36" s="1"/>
  <c r="D34" i="30"/>
  <c r="AP34" i="32"/>
  <c r="Q34" i="32"/>
  <c r="AB34" i="32" s="1"/>
  <c r="AN34" i="32"/>
  <c r="AR35" i="32" s="1"/>
  <c r="AU37" i="32"/>
  <c r="AX37" i="32" s="1"/>
  <c r="AI32" i="29"/>
  <c r="AL32" i="29" s="1"/>
  <c r="AH32" i="29"/>
  <c r="AK32" i="29" s="1"/>
  <c r="AB32" i="29"/>
  <c r="N32" i="29"/>
  <c r="W32" i="29" s="1"/>
  <c r="E32" i="32"/>
  <c r="L35" i="30"/>
  <c r="BK36" i="29"/>
  <c r="AS36" i="32"/>
  <c r="BK35" i="29"/>
  <c r="O33" i="32"/>
  <c r="O95" i="32" s="1"/>
  <c r="G33" i="32"/>
  <c r="AO33" i="32" s="1"/>
  <c r="AL34" i="29"/>
  <c r="BB34" i="10"/>
  <c r="BF34" i="10"/>
  <c r="BB50" i="33"/>
  <c r="W50" i="33" s="1"/>
  <c r="BA51" i="33"/>
  <c r="BP49" i="34"/>
  <c r="Z49" i="34" s="1"/>
  <c r="BO50" i="34"/>
  <c r="R196" i="36"/>
  <c r="R48" i="24"/>
  <c r="BA48" i="24" s="1"/>
  <c r="BE32" i="33"/>
  <c r="R256" i="36"/>
  <c r="U51" i="32"/>
  <c r="BD51" i="32" s="1"/>
  <c r="Q196" i="36"/>
  <c r="V48" i="24"/>
  <c r="BM48" i="24" s="1"/>
  <c r="AE48" i="34"/>
  <c r="AB48" i="34"/>
  <c r="BL49" i="34"/>
  <c r="AA49" i="34" s="1"/>
  <c r="BK50" i="34"/>
  <c r="BW11" i="60" l="1"/>
  <c r="BW15" i="60"/>
  <c r="BW19" i="60"/>
  <c r="BW23" i="60"/>
  <c r="BW27" i="60"/>
  <c r="BW31" i="60"/>
  <c r="AL31" i="60" s="1"/>
  <c r="BW12" i="60"/>
  <c r="BW16" i="60"/>
  <c r="BW20" i="60"/>
  <c r="BW24" i="60"/>
  <c r="BW28" i="60"/>
  <c r="BW32" i="60"/>
  <c r="AL32" i="60" s="1"/>
  <c r="BW33" i="60"/>
  <c r="AL33" i="60" s="1"/>
  <c r="BW36" i="60"/>
  <c r="AL36" i="60" s="1"/>
  <c r="BW38" i="60"/>
  <c r="AL38" i="60" s="1"/>
  <c r="BW40" i="60"/>
  <c r="AL40" i="60" s="1"/>
  <c r="BW42" i="60"/>
  <c r="AL42" i="60" s="1"/>
  <c r="BW13" i="60"/>
  <c r="BW17" i="60"/>
  <c r="BW21" i="60"/>
  <c r="BW25" i="60"/>
  <c r="BW29" i="60"/>
  <c r="BW10" i="60"/>
  <c r="BW14" i="60"/>
  <c r="BW18" i="60"/>
  <c r="BW22" i="60"/>
  <c r="BW26" i="60"/>
  <c r="BW30" i="60"/>
  <c r="BW34" i="60"/>
  <c r="AL34" i="60" s="1"/>
  <c r="BW35" i="60"/>
  <c r="AL35" i="60" s="1"/>
  <c r="BW37" i="60"/>
  <c r="AL37" i="60" s="1"/>
  <c r="BW39" i="60"/>
  <c r="AL39" i="60" s="1"/>
  <c r="BW41" i="60"/>
  <c r="AL41" i="60" s="1"/>
  <c r="BW43" i="60"/>
  <c r="AL43" i="60" s="1"/>
  <c r="BW44" i="60"/>
  <c r="AL44" i="60" s="1"/>
  <c r="BW45" i="60"/>
  <c r="AL45" i="60" s="1"/>
  <c r="BW46" i="60"/>
  <c r="AL46" i="60" s="1"/>
  <c r="BV48" i="60"/>
  <c r="BW47" i="60"/>
  <c r="AL47" i="60" s="1"/>
  <c r="BZ52" i="60"/>
  <c r="CA51" i="60"/>
  <c r="AK51" i="60" s="1"/>
  <c r="BP50" i="26"/>
  <c r="Z50" i="26" s="1"/>
  <c r="S50" i="29" s="1"/>
  <c r="BC50" i="29" s="1"/>
  <c r="BO50" i="29" s="1"/>
  <c r="BO51" i="26"/>
  <c r="O417" i="36"/>
  <c r="B65" i="32"/>
  <c r="DE57" i="25"/>
  <c r="DA58" i="25"/>
  <c r="BL46" i="1"/>
  <c r="AA46" i="1" s="1"/>
  <c r="BL11" i="1"/>
  <c r="BL13" i="1"/>
  <c r="BL19" i="1"/>
  <c r="BL23" i="1"/>
  <c r="BL38" i="1"/>
  <c r="AA38" i="1" s="1"/>
  <c r="S38" i="24" s="1"/>
  <c r="BL10" i="1"/>
  <c r="BL26" i="1"/>
  <c r="BL29" i="1"/>
  <c r="BL14" i="1"/>
  <c r="BL16" i="1"/>
  <c r="BL20" i="1"/>
  <c r="BL24" i="1"/>
  <c r="BL37" i="1"/>
  <c r="AA37" i="1" s="1"/>
  <c r="S37" i="24" s="1"/>
  <c r="BL41" i="1"/>
  <c r="AA41" i="1" s="1"/>
  <c r="S41" i="24" s="1"/>
  <c r="BL33" i="1"/>
  <c r="AA33" i="1" s="1"/>
  <c r="S33" i="24" s="1"/>
  <c r="BL34" i="1"/>
  <c r="AA34" i="1" s="1"/>
  <c r="S34" i="24" s="1"/>
  <c r="BL42" i="1"/>
  <c r="AA42" i="1" s="1"/>
  <c r="S42" i="24" s="1"/>
  <c r="BL44" i="1"/>
  <c r="AA44" i="1" s="1"/>
  <c r="S44" i="24" s="1"/>
  <c r="BL12" i="1"/>
  <c r="BL17" i="1"/>
  <c r="BL21" i="1"/>
  <c r="BL36" i="1"/>
  <c r="AA36" i="1" s="1"/>
  <c r="S36" i="24" s="1"/>
  <c r="BL40" i="1"/>
  <c r="AA40" i="1" s="1"/>
  <c r="S40" i="24" s="1"/>
  <c r="BL32" i="1"/>
  <c r="AA32" i="1" s="1"/>
  <c r="S32" i="24" s="1"/>
  <c r="BL25" i="1"/>
  <c r="BL30" i="1"/>
  <c r="BL15" i="1"/>
  <c r="BL18" i="1"/>
  <c r="BL22" i="1"/>
  <c r="BL35" i="1"/>
  <c r="AA35" i="1" s="1"/>
  <c r="S35" i="24" s="1"/>
  <c r="BB35" i="24" s="1"/>
  <c r="BR35" i="24" s="1"/>
  <c r="BL39" i="1"/>
  <c r="AA39" i="1" s="1"/>
  <c r="S39" i="24" s="1"/>
  <c r="BB39" i="24" s="1"/>
  <c r="BR39" i="24" s="1"/>
  <c r="BL27" i="1"/>
  <c r="BL28" i="1"/>
  <c r="BL31" i="1"/>
  <c r="AA31" i="1" s="1"/>
  <c r="S31" i="24" s="1"/>
  <c r="BL43" i="1"/>
  <c r="AA43" i="1" s="1"/>
  <c r="S43" i="24" s="1"/>
  <c r="BB43" i="24" s="1"/>
  <c r="BR43" i="24" s="1"/>
  <c r="BL45" i="1"/>
  <c r="AA45" i="1" s="1"/>
  <c r="S45" i="24" s="1"/>
  <c r="BB45" i="24" s="1"/>
  <c r="BR45" i="24" s="1"/>
  <c r="BK48" i="1"/>
  <c r="BL47" i="1"/>
  <c r="AA47" i="1" s="1"/>
  <c r="AL33" i="29"/>
  <c r="L35" i="53"/>
  <c r="D35" i="53"/>
  <c r="BK42" i="26"/>
  <c r="BV38" i="32"/>
  <c r="AM32" i="29"/>
  <c r="AP32" i="29" s="1"/>
  <c r="AK33" i="29"/>
  <c r="L34" i="30"/>
  <c r="AS34" i="32"/>
  <c r="O31" i="32"/>
  <c r="O93" i="32" s="1"/>
  <c r="G31" i="32"/>
  <c r="AO31" i="32" s="1"/>
  <c r="AM31" i="29"/>
  <c r="AP31" i="29" s="1"/>
  <c r="D33" i="30"/>
  <c r="Q33" i="32"/>
  <c r="AB33" i="32" s="1"/>
  <c r="AG33" i="32"/>
  <c r="Y56" i="36" s="1"/>
  <c r="AN33" i="32"/>
  <c r="AR34" i="32" s="1"/>
  <c r="AP33" i="32"/>
  <c r="O32" i="32"/>
  <c r="O94" i="32" s="1"/>
  <c r="G32" i="32"/>
  <c r="AY37" i="32"/>
  <c r="AW37" i="32"/>
  <c r="AT35" i="32"/>
  <c r="AT34" i="32"/>
  <c r="AM34" i="29"/>
  <c r="AO34" i="29" s="1"/>
  <c r="AS35" i="32"/>
  <c r="AU36" i="32"/>
  <c r="AY36" i="32" s="1"/>
  <c r="BB35" i="10"/>
  <c r="BF35" i="10"/>
  <c r="BP50" i="34"/>
  <c r="Z50" i="34" s="1"/>
  <c r="BO51" i="34"/>
  <c r="BA52" i="33"/>
  <c r="BB51" i="33"/>
  <c r="W51" i="33" s="1"/>
  <c r="R197" i="36"/>
  <c r="R49" i="24"/>
  <c r="BA49" i="24" s="1"/>
  <c r="BL50" i="34"/>
  <c r="AA50" i="34" s="1"/>
  <c r="BK51" i="34"/>
  <c r="BE33" i="33"/>
  <c r="V49" i="24"/>
  <c r="BM49" i="24" s="1"/>
  <c r="Q197" i="36"/>
  <c r="AE49" i="34"/>
  <c r="AB49" i="34"/>
  <c r="U52" i="32"/>
  <c r="BD52" i="32" s="1"/>
  <c r="R257" i="36"/>
  <c r="BW48" i="60" l="1"/>
  <c r="AL48" i="60" s="1"/>
  <c r="BV49" i="60"/>
  <c r="AM45" i="60"/>
  <c r="AP45" i="60"/>
  <c r="AM43" i="60"/>
  <c r="AP43" i="60"/>
  <c r="AM39" i="60"/>
  <c r="AP39" i="60"/>
  <c r="AM35" i="60"/>
  <c r="AP35" i="60"/>
  <c r="AM40" i="60"/>
  <c r="AP40" i="60"/>
  <c r="AM36" i="60"/>
  <c r="AP36" i="60"/>
  <c r="AM32" i="60"/>
  <c r="AP32" i="60"/>
  <c r="AM31" i="60"/>
  <c r="AP31" i="60"/>
  <c r="AM47" i="60"/>
  <c r="AP47" i="60"/>
  <c r="AM46" i="60"/>
  <c r="AP46" i="60"/>
  <c r="AM44" i="60"/>
  <c r="AP44" i="60"/>
  <c r="AM41" i="60"/>
  <c r="AP41" i="60"/>
  <c r="AM37" i="60"/>
  <c r="AP37" i="60"/>
  <c r="AM34" i="60"/>
  <c r="AP34" i="60"/>
  <c r="AM42" i="60"/>
  <c r="AP42" i="60"/>
  <c r="AM38" i="60"/>
  <c r="AP38" i="60"/>
  <c r="AM33" i="60"/>
  <c r="AP33" i="60"/>
  <c r="BZ53" i="60"/>
  <c r="CA52" i="60"/>
  <c r="AK52" i="60" s="1"/>
  <c r="BP51" i="26"/>
  <c r="Z51" i="26" s="1"/>
  <c r="S51" i="29" s="1"/>
  <c r="BC51" i="29" s="1"/>
  <c r="BO51" i="29" s="1"/>
  <c r="BO52" i="26"/>
  <c r="O418" i="36"/>
  <c r="B66" i="32"/>
  <c r="BB42" i="24"/>
  <c r="BR42" i="24" s="1"/>
  <c r="DE58" i="25"/>
  <c r="DA59" i="25"/>
  <c r="D36" i="53"/>
  <c r="R224" i="36"/>
  <c r="S47" i="24"/>
  <c r="BB32" i="24"/>
  <c r="BR32" i="24" s="1"/>
  <c r="BS32" i="24" s="1"/>
  <c r="BB36" i="24"/>
  <c r="BR36" i="24" s="1"/>
  <c r="BB44" i="24"/>
  <c r="BR44" i="24" s="1"/>
  <c r="BB34" i="24"/>
  <c r="BR34" i="24" s="1"/>
  <c r="BB41" i="24"/>
  <c r="BR41" i="24" s="1"/>
  <c r="S46" i="24"/>
  <c r="BB46" i="24" s="1"/>
  <c r="BR46" i="24" s="1"/>
  <c r="R223" i="36"/>
  <c r="L36" i="53"/>
  <c r="BL48" i="1"/>
  <c r="AA48" i="1" s="1"/>
  <c r="BK49" i="1"/>
  <c r="BB40" i="24"/>
  <c r="BR40" i="24" s="1"/>
  <c r="BB33" i="24"/>
  <c r="BR33" i="24" s="1"/>
  <c r="BB37" i="24"/>
  <c r="BR37" i="24" s="1"/>
  <c r="BB38" i="24"/>
  <c r="BR38" i="24" s="1"/>
  <c r="BV37" i="32"/>
  <c r="BK43" i="26"/>
  <c r="AO31" i="29"/>
  <c r="BG31" i="29" s="1"/>
  <c r="BH31" i="29" s="1"/>
  <c r="AO32" i="29"/>
  <c r="BK32" i="29" s="1"/>
  <c r="AW36" i="32"/>
  <c r="AU34" i="32"/>
  <c r="AX34" i="32" s="1"/>
  <c r="AX36" i="32"/>
  <c r="AP31" i="32"/>
  <c r="AT31" i="32" s="1"/>
  <c r="Q31" i="32"/>
  <c r="AB31" i="32" s="1"/>
  <c r="AG31" i="32"/>
  <c r="Y54" i="36" s="1"/>
  <c r="AN31" i="32"/>
  <c r="AR31" i="32" s="1"/>
  <c r="D31" i="30"/>
  <c r="BO32" i="29"/>
  <c r="AO32" i="32"/>
  <c r="AG32" i="32"/>
  <c r="Y55" i="36" s="1"/>
  <c r="D32" i="30"/>
  <c r="AN32" i="32"/>
  <c r="Q32" i="32"/>
  <c r="AB32" i="32" s="1"/>
  <c r="AP32" i="32"/>
  <c r="AT32" i="32" s="1"/>
  <c r="L33" i="30"/>
  <c r="BK31" i="29"/>
  <c r="BL31" i="29" s="1"/>
  <c r="AM33" i="29"/>
  <c r="AP33" i="29" s="1"/>
  <c r="AP34" i="29"/>
  <c r="BK34" i="29" s="1"/>
  <c r="AU35" i="32"/>
  <c r="BF36" i="10"/>
  <c r="BB36" i="10"/>
  <c r="R50" i="24"/>
  <c r="BA50" i="24" s="1"/>
  <c r="R198" i="36"/>
  <c r="U53" i="32"/>
  <c r="BD53" i="32" s="1"/>
  <c r="R258" i="36"/>
  <c r="BP51" i="34"/>
  <c r="Z51" i="34" s="1"/>
  <c r="BO52" i="34"/>
  <c r="BE34" i="33"/>
  <c r="BL51" i="34"/>
  <c r="AA51" i="34" s="1"/>
  <c r="BK52" i="34"/>
  <c r="BB52" i="33"/>
  <c r="W52" i="33" s="1"/>
  <c r="BA53" i="33"/>
  <c r="AB50" i="34"/>
  <c r="AE50" i="34"/>
  <c r="V50" i="24"/>
  <c r="BM50" i="24" s="1"/>
  <c r="Q198" i="36"/>
  <c r="BV50" i="60" l="1"/>
  <c r="BW49" i="60"/>
  <c r="AL49" i="60" s="1"/>
  <c r="AM48" i="60"/>
  <c r="AP48" i="60"/>
  <c r="CA53" i="60"/>
  <c r="AK53" i="60" s="1"/>
  <c r="BZ54" i="60"/>
  <c r="BS33" i="24"/>
  <c r="BS34" i="24" s="1"/>
  <c r="BS35" i="24" s="1"/>
  <c r="BS36" i="24" s="1"/>
  <c r="BS37" i="24" s="1"/>
  <c r="BS38" i="24" s="1"/>
  <c r="BS39" i="24" s="1"/>
  <c r="BS40" i="24" s="1"/>
  <c r="BS41" i="24" s="1"/>
  <c r="BS42" i="24" s="1"/>
  <c r="BS43" i="24" s="1"/>
  <c r="BS44" i="24" s="1"/>
  <c r="BS45" i="24" s="1"/>
  <c r="BS46" i="24" s="1"/>
  <c r="BO53" i="26"/>
  <c r="BP52" i="26"/>
  <c r="Z52" i="26" s="1"/>
  <c r="S52" i="29" s="1"/>
  <c r="BC52" i="29" s="1"/>
  <c r="BO52" i="29" s="1"/>
  <c r="O419" i="36"/>
  <c r="B67" i="32"/>
  <c r="DE59" i="25"/>
  <c r="DA60" i="25"/>
  <c r="BL49" i="1"/>
  <c r="AA49" i="1" s="1"/>
  <c r="BK50" i="1"/>
  <c r="M31" i="53"/>
  <c r="M32" i="53"/>
  <c r="M33" i="53"/>
  <c r="M34" i="53"/>
  <c r="BB47" i="24"/>
  <c r="BR47" i="24" s="1"/>
  <c r="E31" i="53"/>
  <c r="E33" i="53"/>
  <c r="E34" i="53"/>
  <c r="E32" i="53"/>
  <c r="R225" i="36"/>
  <c r="S48" i="24"/>
  <c r="BB48" i="24" s="1"/>
  <c r="BR48" i="24" s="1"/>
  <c r="M35" i="53"/>
  <c r="E35" i="53"/>
  <c r="BO31" i="29"/>
  <c r="BP31" i="29" s="1"/>
  <c r="BP32" i="29" s="1"/>
  <c r="AR32" i="32"/>
  <c r="BK44" i="26"/>
  <c r="AT33" i="32"/>
  <c r="BV36" i="32"/>
  <c r="BO34" i="29"/>
  <c r="AY35" i="32"/>
  <c r="AW35" i="32"/>
  <c r="AO33" i="29"/>
  <c r="L31" i="30"/>
  <c r="AW34" i="32"/>
  <c r="AX35" i="32"/>
  <c r="L32" i="30"/>
  <c r="AS32" i="32"/>
  <c r="AS33" i="32"/>
  <c r="BL32" i="29"/>
  <c r="AU31" i="32"/>
  <c r="AX31" i="32" s="1"/>
  <c r="AR33" i="32"/>
  <c r="AY34" i="32"/>
  <c r="BB37" i="10"/>
  <c r="BF37" i="10"/>
  <c r="R259" i="36"/>
  <c r="U54" i="32"/>
  <c r="BD54" i="32" s="1"/>
  <c r="R199" i="36"/>
  <c r="R51" i="24"/>
  <c r="BA51" i="24" s="1"/>
  <c r="BE35" i="33"/>
  <c r="V51" i="24"/>
  <c r="BM51" i="24" s="1"/>
  <c r="Q199" i="36"/>
  <c r="AB51" i="34"/>
  <c r="AE51" i="34"/>
  <c r="BB53" i="33"/>
  <c r="W53" i="33" s="1"/>
  <c r="BA54" i="33"/>
  <c r="BL52" i="34"/>
  <c r="AA52" i="34" s="1"/>
  <c r="BK53" i="34"/>
  <c r="BP52" i="34"/>
  <c r="Z52" i="34" s="1"/>
  <c r="BO53" i="34"/>
  <c r="AM49" i="60" l="1"/>
  <c r="AP49" i="60"/>
  <c r="BV51" i="60"/>
  <c r="BW50" i="60"/>
  <c r="AL50" i="60" s="1"/>
  <c r="BZ55" i="60"/>
  <c r="CA54" i="60"/>
  <c r="AK54" i="60" s="1"/>
  <c r="BO54" i="26"/>
  <c r="BP53" i="26"/>
  <c r="Z53" i="26" s="1"/>
  <c r="S53" i="29" s="1"/>
  <c r="BC53" i="29" s="1"/>
  <c r="BO53" i="29" s="1"/>
  <c r="O420" i="36"/>
  <c r="B68" i="32"/>
  <c r="DE60" i="25"/>
  <c r="DA61" i="25"/>
  <c r="S49" i="24"/>
  <c r="BB49" i="24" s="1"/>
  <c r="BR49" i="24" s="1"/>
  <c r="R226" i="36"/>
  <c r="BL50" i="1"/>
  <c r="AA50" i="1" s="1"/>
  <c r="BK51" i="1"/>
  <c r="AU33" i="32"/>
  <c r="AW33" i="32" s="1"/>
  <c r="BK45" i="26"/>
  <c r="AW31" i="32"/>
  <c r="BV35" i="32"/>
  <c r="BV34" i="32"/>
  <c r="AU32" i="32"/>
  <c r="AX32" i="32" s="1"/>
  <c r="BK33" i="29"/>
  <c r="BL33" i="29" s="1"/>
  <c r="BO33" i="29"/>
  <c r="BP33" i="29" s="1"/>
  <c r="BP34" i="29" s="1"/>
  <c r="BP35" i="29" s="1"/>
  <c r="BP36" i="29" s="1"/>
  <c r="BP37" i="29" s="1"/>
  <c r="BP38" i="29" s="1"/>
  <c r="AY31" i="32"/>
  <c r="BR31" i="32" s="1"/>
  <c r="BS31" i="32" s="1"/>
  <c r="BB38" i="10"/>
  <c r="BF38" i="10"/>
  <c r="BP53" i="34"/>
  <c r="Z53" i="34" s="1"/>
  <c r="BO54" i="34"/>
  <c r="BL53" i="34"/>
  <c r="AA53" i="34" s="1"/>
  <c r="BK54" i="34"/>
  <c r="BB54" i="33"/>
  <c r="W54" i="33" s="1"/>
  <c r="BA55" i="33"/>
  <c r="Q200" i="36"/>
  <c r="V52" i="24"/>
  <c r="BM52" i="24" s="1"/>
  <c r="AE52" i="34"/>
  <c r="AB52" i="34"/>
  <c r="R200" i="36"/>
  <c r="R52" i="24"/>
  <c r="BA52" i="24" s="1"/>
  <c r="U55" i="32"/>
  <c r="BD55" i="32" s="1"/>
  <c r="R260" i="36"/>
  <c r="BE36" i="33"/>
  <c r="AM50" i="60" l="1"/>
  <c r="AP50" i="60"/>
  <c r="BV52" i="60"/>
  <c r="BW51" i="60"/>
  <c r="AL51" i="60" s="1"/>
  <c r="CA55" i="60"/>
  <c r="AK55" i="60" s="1"/>
  <c r="BZ56" i="60"/>
  <c r="BP54" i="26"/>
  <c r="Z54" i="26" s="1"/>
  <c r="S54" i="29" s="1"/>
  <c r="BC54" i="29" s="1"/>
  <c r="BO54" i="29" s="1"/>
  <c r="BO55" i="26"/>
  <c r="O421" i="36"/>
  <c r="B69" i="32"/>
  <c r="DE61" i="25"/>
  <c r="DA62" i="25"/>
  <c r="R227" i="36"/>
  <c r="S50" i="24"/>
  <c r="BB50" i="24" s="1"/>
  <c r="BR50" i="24" s="1"/>
  <c r="BK52" i="1"/>
  <c r="BL51" i="1"/>
  <c r="AA51" i="1" s="1"/>
  <c r="AX33" i="32"/>
  <c r="AY33" i="32"/>
  <c r="BK46" i="26"/>
  <c r="BV31" i="32"/>
  <c r="BW31" i="32" s="1"/>
  <c r="BZ31" i="32"/>
  <c r="CA31" i="32" s="1"/>
  <c r="BL34" i="29"/>
  <c r="AW32" i="32"/>
  <c r="AY32" i="32"/>
  <c r="BF39" i="10"/>
  <c r="BB39" i="10"/>
  <c r="BE37" i="33"/>
  <c r="BA56" i="33"/>
  <c r="BB55" i="33"/>
  <c r="W55" i="33" s="1"/>
  <c r="BL54" i="34"/>
  <c r="AA54" i="34" s="1"/>
  <c r="BK55" i="34"/>
  <c r="BP54" i="34"/>
  <c r="Z54" i="34" s="1"/>
  <c r="BO55" i="34"/>
  <c r="BP39" i="29"/>
  <c r="U56" i="32"/>
  <c r="BD56" i="32" s="1"/>
  <c r="R261" i="36"/>
  <c r="R53" i="24"/>
  <c r="BA53" i="24" s="1"/>
  <c r="R201" i="36"/>
  <c r="V53" i="24"/>
  <c r="BM53" i="24" s="1"/>
  <c r="Q201" i="36"/>
  <c r="AE53" i="34"/>
  <c r="AB53" i="34"/>
  <c r="AM51" i="60" l="1"/>
  <c r="AP51" i="60"/>
  <c r="BW52" i="60"/>
  <c r="AL52" i="60" s="1"/>
  <c r="BV53" i="60"/>
  <c r="BZ57" i="60"/>
  <c r="CA56" i="60"/>
  <c r="AK56" i="60" s="1"/>
  <c r="BO56" i="26"/>
  <c r="BP55" i="26"/>
  <c r="Z55" i="26" s="1"/>
  <c r="S55" i="29" s="1"/>
  <c r="BC55" i="29" s="1"/>
  <c r="BO55" i="29" s="1"/>
  <c r="O422" i="36"/>
  <c r="B70" i="32"/>
  <c r="B71" i="32" s="1"/>
  <c r="DE62" i="25"/>
  <c r="DA63" i="25"/>
  <c r="BL52" i="1"/>
  <c r="AA52" i="1" s="1"/>
  <c r="BK53" i="1"/>
  <c r="R228" i="36"/>
  <c r="S51" i="24"/>
  <c r="BB51" i="24" s="1"/>
  <c r="BR51" i="24" s="1"/>
  <c r="BV33" i="32"/>
  <c r="BK74" i="26"/>
  <c r="BL46" i="26" s="1"/>
  <c r="AA46" i="26" s="1"/>
  <c r="BK47" i="26"/>
  <c r="BV32" i="32"/>
  <c r="BW32" i="32" s="1"/>
  <c r="BL35" i="29"/>
  <c r="BF40" i="10"/>
  <c r="BB40" i="10"/>
  <c r="Q202" i="36"/>
  <c r="V54" i="24"/>
  <c r="BM54" i="24" s="1"/>
  <c r="AB54" i="34"/>
  <c r="AE54" i="34"/>
  <c r="BL55" i="34"/>
  <c r="AA55" i="34" s="1"/>
  <c r="BK56" i="34"/>
  <c r="R262" i="36"/>
  <c r="U57" i="32"/>
  <c r="BD57" i="32" s="1"/>
  <c r="BP40" i="29"/>
  <c r="BP55" i="34"/>
  <c r="Z55" i="34" s="1"/>
  <c r="BO56" i="34"/>
  <c r="R54" i="24"/>
  <c r="BA54" i="24" s="1"/>
  <c r="R202" i="36"/>
  <c r="BB56" i="33"/>
  <c r="W56" i="33" s="1"/>
  <c r="BA57" i="33"/>
  <c r="BE38" i="33"/>
  <c r="BV54" i="60" l="1"/>
  <c r="BW53" i="60"/>
  <c r="AL53" i="60" s="1"/>
  <c r="AP52" i="60"/>
  <c r="AM52" i="60"/>
  <c r="CA57" i="60"/>
  <c r="AK57" i="60" s="1"/>
  <c r="BZ58" i="60"/>
  <c r="BO57" i="26"/>
  <c r="BP56" i="26"/>
  <c r="Z56" i="26" s="1"/>
  <c r="S56" i="29" s="1"/>
  <c r="BC56" i="29" s="1"/>
  <c r="BO56" i="29" s="1"/>
  <c r="DE63" i="25"/>
  <c r="DA64" i="25"/>
  <c r="S52" i="24"/>
  <c r="BB52" i="24" s="1"/>
  <c r="BR52" i="24" s="1"/>
  <c r="R229" i="36"/>
  <c r="BL53" i="1"/>
  <c r="AA53" i="1" s="1"/>
  <c r="BK54" i="1"/>
  <c r="BW33" i="32"/>
  <c r="BW34" i="32" s="1"/>
  <c r="BW35" i="32" s="1"/>
  <c r="BW36" i="32" s="1"/>
  <c r="BW37" i="32" s="1"/>
  <c r="BW38" i="32" s="1"/>
  <c r="BW39" i="32" s="1"/>
  <c r="BW40" i="32" s="1"/>
  <c r="BW41" i="32" s="1"/>
  <c r="R307" i="36"/>
  <c r="P46" i="29"/>
  <c r="AE46" i="26"/>
  <c r="Q307" i="36" s="1"/>
  <c r="AB46" i="26"/>
  <c r="BK48" i="26"/>
  <c r="BL47" i="26"/>
  <c r="AA47" i="26" s="1"/>
  <c r="BL11" i="26"/>
  <c r="BL14" i="26"/>
  <c r="BL13" i="26"/>
  <c r="BL19" i="26"/>
  <c r="BL22" i="26"/>
  <c r="BL28" i="26"/>
  <c r="BL27" i="26"/>
  <c r="BL30" i="26"/>
  <c r="BL29" i="26"/>
  <c r="BL16" i="26"/>
  <c r="BL15" i="26"/>
  <c r="BL21" i="26"/>
  <c r="BL24" i="26"/>
  <c r="BL23" i="26"/>
  <c r="BL10" i="26"/>
  <c r="BL31" i="26"/>
  <c r="AA31" i="26" s="1"/>
  <c r="BL18" i="26"/>
  <c r="BL17" i="26"/>
  <c r="BL20" i="26"/>
  <c r="BL26" i="26"/>
  <c r="BL25" i="26"/>
  <c r="BL12" i="26"/>
  <c r="BL32" i="26"/>
  <c r="AA32" i="26" s="1"/>
  <c r="BL33" i="26"/>
  <c r="AA33" i="26" s="1"/>
  <c r="BL34" i="26"/>
  <c r="AA34" i="26" s="1"/>
  <c r="BL35" i="26"/>
  <c r="AA35" i="26" s="1"/>
  <c r="BL36" i="26"/>
  <c r="AA36" i="26" s="1"/>
  <c r="BL37" i="26"/>
  <c r="AA37" i="26" s="1"/>
  <c r="BL38" i="26"/>
  <c r="AA38" i="26" s="1"/>
  <c r="BL39" i="26"/>
  <c r="AA39" i="26" s="1"/>
  <c r="BL40" i="26"/>
  <c r="AA40" i="26" s="1"/>
  <c r="BL41" i="26"/>
  <c r="AA41" i="26" s="1"/>
  <c r="BL42" i="26"/>
  <c r="AA42" i="26" s="1"/>
  <c r="BL43" i="26"/>
  <c r="AA43" i="26" s="1"/>
  <c r="BL44" i="26"/>
  <c r="AA44" i="26" s="1"/>
  <c r="BL45" i="26"/>
  <c r="AA45" i="26" s="1"/>
  <c r="BL36" i="29"/>
  <c r="BF41" i="10"/>
  <c r="BB41" i="10"/>
  <c r="R263" i="36"/>
  <c r="U58" i="32"/>
  <c r="BD58" i="32" s="1"/>
  <c r="BE39" i="33"/>
  <c r="BB57" i="33"/>
  <c r="W57" i="33" s="1"/>
  <c r="BA58" i="33"/>
  <c r="BP56" i="34"/>
  <c r="Z56" i="34" s="1"/>
  <c r="BO57" i="34"/>
  <c r="BP41" i="29"/>
  <c r="BL56" i="34"/>
  <c r="AA56" i="34" s="1"/>
  <c r="BK57" i="34"/>
  <c r="V55" i="24"/>
  <c r="BM55" i="24" s="1"/>
  <c r="Q203" i="36"/>
  <c r="AE55" i="34"/>
  <c r="AB55" i="34"/>
  <c r="R55" i="24"/>
  <c r="BA55" i="24" s="1"/>
  <c r="R203" i="36"/>
  <c r="AP53" i="60" l="1"/>
  <c r="AM53" i="60"/>
  <c r="BW54" i="60"/>
  <c r="AL54" i="60" s="1"/>
  <c r="BV55" i="60"/>
  <c r="BZ59" i="60"/>
  <c r="CA58" i="60"/>
  <c r="AK58" i="60" s="1"/>
  <c r="BP57" i="26"/>
  <c r="Z57" i="26" s="1"/>
  <c r="S57" i="29" s="1"/>
  <c r="BC57" i="29" s="1"/>
  <c r="BO57" i="29" s="1"/>
  <c r="BO58" i="26"/>
  <c r="DE64" i="25"/>
  <c r="DA65" i="25"/>
  <c r="S53" i="24"/>
  <c r="BB53" i="24" s="1"/>
  <c r="BR53" i="24" s="1"/>
  <c r="R230" i="36"/>
  <c r="BL54" i="1"/>
  <c r="AA54" i="1" s="1"/>
  <c r="BK55" i="1"/>
  <c r="P45" i="29"/>
  <c r="AE45" i="26"/>
  <c r="AB45" i="26"/>
  <c r="P43" i="29"/>
  <c r="AE43" i="26"/>
  <c r="AB43" i="26"/>
  <c r="P41" i="29"/>
  <c r="AE41" i="26"/>
  <c r="AB41" i="26"/>
  <c r="P39" i="29"/>
  <c r="AE39" i="26"/>
  <c r="AB39" i="26"/>
  <c r="P37" i="29"/>
  <c r="AE37" i="26"/>
  <c r="AB37" i="26"/>
  <c r="P35" i="29"/>
  <c r="AE35" i="26"/>
  <c r="AB35" i="26"/>
  <c r="P33" i="29"/>
  <c r="AB33" i="26"/>
  <c r="AE33" i="26"/>
  <c r="P31" i="29"/>
  <c r="AS31" i="29" s="1"/>
  <c r="AB31" i="26"/>
  <c r="AE31" i="26"/>
  <c r="P47" i="29"/>
  <c r="AS47" i="29" s="1"/>
  <c r="BG47" i="29" s="1"/>
  <c r="R308" i="36"/>
  <c r="AB47" i="26"/>
  <c r="AE47" i="26"/>
  <c r="Q308" i="36" s="1"/>
  <c r="AS46" i="29"/>
  <c r="BG46" i="29" s="1"/>
  <c r="P44" i="29"/>
  <c r="AB44" i="26"/>
  <c r="AE44" i="26"/>
  <c r="P42" i="29"/>
  <c r="AS42" i="29" s="1"/>
  <c r="BG42" i="29" s="1"/>
  <c r="AB42" i="26"/>
  <c r="AE42" i="26"/>
  <c r="P40" i="29"/>
  <c r="AS40" i="29" s="1"/>
  <c r="BG40" i="29" s="1"/>
  <c r="AE40" i="26"/>
  <c r="AB40" i="26"/>
  <c r="P38" i="29"/>
  <c r="AS38" i="29" s="1"/>
  <c r="BG38" i="29" s="1"/>
  <c r="AB38" i="26"/>
  <c r="AE38" i="26"/>
  <c r="P36" i="29"/>
  <c r="AS36" i="29" s="1"/>
  <c r="BG36" i="29" s="1"/>
  <c r="AE36" i="26"/>
  <c r="AB36" i="26"/>
  <c r="P34" i="29"/>
  <c r="AS34" i="29" s="1"/>
  <c r="BG34" i="29" s="1"/>
  <c r="AE34" i="26"/>
  <c r="AB34" i="26"/>
  <c r="P32" i="29"/>
  <c r="AS32" i="29" s="1"/>
  <c r="BG32" i="29" s="1"/>
  <c r="BH32" i="29" s="1"/>
  <c r="AB32" i="26"/>
  <c r="AE32" i="26"/>
  <c r="BL48" i="26"/>
  <c r="AA48" i="26" s="1"/>
  <c r="BK49" i="26"/>
  <c r="BL37" i="29"/>
  <c r="BB42" i="10"/>
  <c r="BF42" i="10"/>
  <c r="R56" i="24"/>
  <c r="BA56" i="24" s="1"/>
  <c r="R204" i="36"/>
  <c r="BP42" i="29"/>
  <c r="BW42" i="32"/>
  <c r="BP57" i="34"/>
  <c r="Z57" i="34" s="1"/>
  <c r="BO58" i="34"/>
  <c r="BB58" i="33"/>
  <c r="W58" i="33" s="1"/>
  <c r="BA59" i="33"/>
  <c r="BE40" i="33"/>
  <c r="BL57" i="34"/>
  <c r="AA57" i="34" s="1"/>
  <c r="BK58" i="34"/>
  <c r="AE56" i="34"/>
  <c r="AB56" i="34"/>
  <c r="V56" i="24"/>
  <c r="BM56" i="24" s="1"/>
  <c r="Q204" i="36"/>
  <c r="R264" i="36"/>
  <c r="U59" i="32"/>
  <c r="BD59" i="32" s="1"/>
  <c r="BV56" i="60" l="1"/>
  <c r="BW55" i="60"/>
  <c r="AL55" i="60" s="1"/>
  <c r="AP54" i="60"/>
  <c r="AM54" i="60"/>
  <c r="CA59" i="60"/>
  <c r="AK59" i="60" s="1"/>
  <c r="BZ60" i="60"/>
  <c r="BP58" i="26"/>
  <c r="Z58" i="26" s="1"/>
  <c r="S58" i="29" s="1"/>
  <c r="BC58" i="29" s="1"/>
  <c r="BO58" i="29" s="1"/>
  <c r="BO59" i="26"/>
  <c r="DE65" i="25"/>
  <c r="DA66" i="25"/>
  <c r="S54" i="24"/>
  <c r="BB54" i="24" s="1"/>
  <c r="BR54" i="24" s="1"/>
  <c r="R231" i="36"/>
  <c r="BL55" i="1"/>
  <c r="AA55" i="1" s="1"/>
  <c r="BK56" i="1"/>
  <c r="BL49" i="26"/>
  <c r="AA49" i="26" s="1"/>
  <c r="BK50" i="26"/>
  <c r="AS45" i="29"/>
  <c r="BG45" i="29" s="1"/>
  <c r="AS44" i="29"/>
  <c r="BG44" i="29" s="1"/>
  <c r="AS35" i="29"/>
  <c r="BG35" i="29" s="1"/>
  <c r="AS39" i="29"/>
  <c r="BG39" i="29" s="1"/>
  <c r="AS43" i="29"/>
  <c r="BG43" i="29" s="1"/>
  <c r="P48" i="29"/>
  <c r="AS48" i="29" s="1"/>
  <c r="BG48" i="29" s="1"/>
  <c r="R309" i="36"/>
  <c r="AB48" i="26"/>
  <c r="AE48" i="26"/>
  <c r="Q309" i="36" s="1"/>
  <c r="AS33" i="29"/>
  <c r="BG33" i="29" s="1"/>
  <c r="BH33" i="29" s="1"/>
  <c r="BH34" i="29" s="1"/>
  <c r="AS37" i="29"/>
  <c r="BG37" i="29" s="1"/>
  <c r="AS41" i="29"/>
  <c r="BG41" i="29" s="1"/>
  <c r="BL38" i="29"/>
  <c r="BF43" i="10"/>
  <c r="BB43" i="10"/>
  <c r="R205" i="36"/>
  <c r="R57" i="24"/>
  <c r="BA57" i="24" s="1"/>
  <c r="BB59" i="33"/>
  <c r="W59" i="33" s="1"/>
  <c r="BA60" i="33"/>
  <c r="BP58" i="34"/>
  <c r="Z58" i="34" s="1"/>
  <c r="BO59" i="34"/>
  <c r="BW43" i="32"/>
  <c r="BP43" i="29"/>
  <c r="BL58" i="34"/>
  <c r="AA58" i="34" s="1"/>
  <c r="BK59" i="34"/>
  <c r="BE41" i="33"/>
  <c r="R265" i="36"/>
  <c r="U60" i="32"/>
  <c r="BD60" i="32" s="1"/>
  <c r="Q205" i="36"/>
  <c r="V57" i="24"/>
  <c r="BM57" i="24" s="1"/>
  <c r="AE57" i="34"/>
  <c r="AB57" i="34"/>
  <c r="AM55" i="60" l="1"/>
  <c r="AP55" i="60"/>
  <c r="BW56" i="60"/>
  <c r="AL56" i="60" s="1"/>
  <c r="BV57" i="60"/>
  <c r="CA60" i="60"/>
  <c r="AK60" i="60" s="1"/>
  <c r="BZ61" i="60"/>
  <c r="BP59" i="26"/>
  <c r="Z59" i="26" s="1"/>
  <c r="S59" i="29" s="1"/>
  <c r="BC59" i="29" s="1"/>
  <c r="BO59" i="29" s="1"/>
  <c r="BO60" i="26"/>
  <c r="DE66" i="25"/>
  <c r="DA67" i="25"/>
  <c r="S55" i="24"/>
  <c r="BB55" i="24" s="1"/>
  <c r="BR55" i="24" s="1"/>
  <c r="R232" i="36"/>
  <c r="BL56" i="1"/>
  <c r="AA56" i="1" s="1"/>
  <c r="BK57" i="1"/>
  <c r="BH35" i="29"/>
  <c r="BH36" i="29" s="1"/>
  <c r="BH37" i="29" s="1"/>
  <c r="BH38" i="29" s="1"/>
  <c r="BH39" i="29" s="1"/>
  <c r="BL50" i="26"/>
  <c r="AA50" i="26" s="1"/>
  <c r="BK51" i="26"/>
  <c r="P49" i="29"/>
  <c r="AS49" i="29" s="1"/>
  <c r="BG49" i="29" s="1"/>
  <c r="R310" i="36"/>
  <c r="AE49" i="26"/>
  <c r="Q310" i="36" s="1"/>
  <c r="AB49" i="26"/>
  <c r="BL39" i="29"/>
  <c r="BB44" i="10"/>
  <c r="BF44" i="10"/>
  <c r="BE42" i="33"/>
  <c r="R58" i="24"/>
  <c r="BA58" i="24" s="1"/>
  <c r="R206" i="36"/>
  <c r="Q206" i="36"/>
  <c r="V58" i="24"/>
  <c r="BM58" i="24" s="1"/>
  <c r="AB58" i="34"/>
  <c r="AE58" i="34"/>
  <c r="R266" i="36"/>
  <c r="U61" i="32"/>
  <c r="BD61" i="32" s="1"/>
  <c r="BL59" i="34"/>
  <c r="AA59" i="34" s="1"/>
  <c r="BK60" i="34"/>
  <c r="BP44" i="29"/>
  <c r="BW44" i="32"/>
  <c r="BP59" i="34"/>
  <c r="Z59" i="34" s="1"/>
  <c r="BO60" i="34"/>
  <c r="BB60" i="33"/>
  <c r="W60" i="33" s="1"/>
  <c r="BA61" i="33"/>
  <c r="BV58" i="60" l="1"/>
  <c r="BW57" i="60"/>
  <c r="AL57" i="60" s="1"/>
  <c r="AP56" i="60"/>
  <c r="AM56" i="60"/>
  <c r="CA61" i="60"/>
  <c r="AK61" i="60" s="1"/>
  <c r="BZ62" i="60"/>
  <c r="BO61" i="26"/>
  <c r="BP60" i="26"/>
  <c r="Z60" i="26" s="1"/>
  <c r="S60" i="29" s="1"/>
  <c r="BC60" i="29" s="1"/>
  <c r="BO60" i="29" s="1"/>
  <c r="DE67" i="25"/>
  <c r="DA68" i="25"/>
  <c r="S56" i="24"/>
  <c r="BB56" i="24" s="1"/>
  <c r="BR56" i="24" s="1"/>
  <c r="R233" i="36"/>
  <c r="BL57" i="1"/>
  <c r="AA57" i="1" s="1"/>
  <c r="BK58" i="1"/>
  <c r="P50" i="29"/>
  <c r="AS50" i="29" s="1"/>
  <c r="BG50" i="29" s="1"/>
  <c r="R311" i="36"/>
  <c r="AE50" i="26"/>
  <c r="Q311" i="36" s="1"/>
  <c r="AB50" i="26"/>
  <c r="BL51" i="26"/>
  <c r="AA51" i="26" s="1"/>
  <c r="BK52" i="26"/>
  <c r="BL40" i="29"/>
  <c r="BH40" i="29"/>
  <c r="BB45" i="10"/>
  <c r="BF45" i="10"/>
  <c r="BB61" i="33"/>
  <c r="W61" i="33" s="1"/>
  <c r="BA62" i="33"/>
  <c r="BP60" i="34"/>
  <c r="Z60" i="34" s="1"/>
  <c r="BO61" i="34"/>
  <c r="BW45" i="32"/>
  <c r="BP45" i="29"/>
  <c r="R59" i="24"/>
  <c r="BA59" i="24" s="1"/>
  <c r="R207" i="36"/>
  <c r="BE43" i="33"/>
  <c r="U62" i="32"/>
  <c r="BD62" i="32" s="1"/>
  <c r="R267" i="36"/>
  <c r="AB59" i="34"/>
  <c r="AE59" i="34"/>
  <c r="V59" i="24"/>
  <c r="BM59" i="24" s="1"/>
  <c r="Q207" i="36"/>
  <c r="BL60" i="34"/>
  <c r="AA60" i="34" s="1"/>
  <c r="BK61" i="34"/>
  <c r="AM57" i="60" l="1"/>
  <c r="AP57" i="60"/>
  <c r="BW58" i="60"/>
  <c r="AL58" i="60" s="1"/>
  <c r="BV59" i="60"/>
  <c r="BZ63" i="60"/>
  <c r="CA62" i="60"/>
  <c r="AK62" i="60" s="1"/>
  <c r="BO62" i="26"/>
  <c r="BP61" i="26"/>
  <c r="Z61" i="26" s="1"/>
  <c r="S61" i="29" s="1"/>
  <c r="BC61" i="29" s="1"/>
  <c r="BO61" i="29" s="1"/>
  <c r="DE68" i="25"/>
  <c r="DA69" i="25"/>
  <c r="R234" i="36"/>
  <c r="S57" i="24"/>
  <c r="BB57" i="24" s="1"/>
  <c r="BR57" i="24" s="1"/>
  <c r="BL58" i="1"/>
  <c r="AA58" i="1" s="1"/>
  <c r="BK59" i="1"/>
  <c r="BL52" i="26"/>
  <c r="AA52" i="26" s="1"/>
  <c r="BK53" i="26"/>
  <c r="R312" i="36"/>
  <c r="P51" i="29"/>
  <c r="AS51" i="29" s="1"/>
  <c r="BG51" i="29" s="1"/>
  <c r="AE51" i="26"/>
  <c r="Q312" i="36" s="1"/>
  <c r="AB51" i="26"/>
  <c r="BH41" i="29"/>
  <c r="BL41" i="29"/>
  <c r="BF46" i="10"/>
  <c r="BB46" i="10"/>
  <c r="R60" i="24"/>
  <c r="BA60" i="24" s="1"/>
  <c r="R208" i="36"/>
  <c r="BE44" i="33"/>
  <c r="BO74" i="1"/>
  <c r="BP72" i="1" s="1"/>
  <c r="Z72" i="1" s="1"/>
  <c r="W72" i="24" s="1"/>
  <c r="BP46" i="29"/>
  <c r="BW46" i="32"/>
  <c r="BP61" i="34"/>
  <c r="Z61" i="34" s="1"/>
  <c r="BO62" i="34"/>
  <c r="BB62" i="33"/>
  <c r="W62" i="33" s="1"/>
  <c r="BA63" i="33"/>
  <c r="BL61" i="34"/>
  <c r="AA61" i="34" s="1"/>
  <c r="BK62" i="34"/>
  <c r="AB60" i="34"/>
  <c r="AE60" i="34"/>
  <c r="Q208" i="36"/>
  <c r="V60" i="24"/>
  <c r="BM60" i="24" s="1"/>
  <c r="R268" i="36"/>
  <c r="U63" i="32"/>
  <c r="BD63" i="32" s="1"/>
  <c r="BV60" i="60" l="1"/>
  <c r="BW59" i="60"/>
  <c r="AL59" i="60" s="1"/>
  <c r="AP58" i="60"/>
  <c r="AM58" i="60"/>
  <c r="BZ64" i="60"/>
  <c r="CA63" i="60"/>
  <c r="AK63" i="60" s="1"/>
  <c r="BO63" i="26"/>
  <c r="BP62" i="26"/>
  <c r="Z62" i="26" s="1"/>
  <c r="S62" i="29" s="1"/>
  <c r="BC62" i="29" s="1"/>
  <c r="BO62" i="29" s="1"/>
  <c r="DE69" i="25"/>
  <c r="DA70" i="25"/>
  <c r="DE70" i="25" s="1"/>
  <c r="S58" i="24"/>
  <c r="BB58" i="24" s="1"/>
  <c r="BR58" i="24" s="1"/>
  <c r="R235" i="36"/>
  <c r="BL59" i="1"/>
  <c r="AA59" i="1" s="1"/>
  <c r="BK60" i="1"/>
  <c r="BP11" i="1"/>
  <c r="BP13" i="1"/>
  <c r="BP12" i="1"/>
  <c r="BP17" i="1"/>
  <c r="BP16" i="1"/>
  <c r="BP14" i="1"/>
  <c r="BP15" i="1"/>
  <c r="BP18" i="1"/>
  <c r="BP19" i="1"/>
  <c r="BP20" i="1"/>
  <c r="BP21" i="1"/>
  <c r="BP22" i="1"/>
  <c r="BP23" i="1"/>
  <c r="BP24" i="1"/>
  <c r="BP36" i="1"/>
  <c r="Z36" i="1" s="1"/>
  <c r="BP35" i="1"/>
  <c r="Z35" i="1" s="1"/>
  <c r="BP37" i="1"/>
  <c r="Z37" i="1" s="1"/>
  <c r="BP40" i="1"/>
  <c r="Z40" i="1" s="1"/>
  <c r="BP38" i="1"/>
  <c r="Z38" i="1" s="1"/>
  <c r="BP39" i="1"/>
  <c r="Z39" i="1" s="1"/>
  <c r="BP41" i="1"/>
  <c r="Z41" i="1" s="1"/>
  <c r="BP42" i="1"/>
  <c r="Z42" i="1" s="1"/>
  <c r="BP43" i="1"/>
  <c r="Z43" i="1" s="1"/>
  <c r="BP44" i="1"/>
  <c r="Z44" i="1" s="1"/>
  <c r="BP45" i="1"/>
  <c r="Z45" i="1" s="1"/>
  <c r="BP46" i="1"/>
  <c r="Z46" i="1" s="1"/>
  <c r="BP47" i="1"/>
  <c r="Z47" i="1" s="1"/>
  <c r="BP48" i="1"/>
  <c r="Z48" i="1" s="1"/>
  <c r="BP49" i="1"/>
  <c r="Z49" i="1" s="1"/>
  <c r="BP50" i="1"/>
  <c r="Z50" i="1" s="1"/>
  <c r="BP51" i="1"/>
  <c r="Z51" i="1" s="1"/>
  <c r="BP52" i="1"/>
  <c r="Z52" i="1" s="1"/>
  <c r="BP53" i="1"/>
  <c r="Z53" i="1" s="1"/>
  <c r="BP54" i="1"/>
  <c r="Z54" i="1" s="1"/>
  <c r="BP55" i="1"/>
  <c r="Z55" i="1" s="1"/>
  <c r="BP56" i="1"/>
  <c r="Z56" i="1" s="1"/>
  <c r="BP57" i="1"/>
  <c r="Z57" i="1" s="1"/>
  <c r="BP58" i="1"/>
  <c r="Z58" i="1" s="1"/>
  <c r="BP59" i="1"/>
  <c r="Z59" i="1" s="1"/>
  <c r="BP60" i="1"/>
  <c r="Z60" i="1" s="1"/>
  <c r="BP61" i="1"/>
  <c r="Z61" i="1" s="1"/>
  <c r="BP62" i="1"/>
  <c r="Z62" i="1" s="1"/>
  <c r="BP63" i="1"/>
  <c r="Z63" i="1" s="1"/>
  <c r="BP64" i="1"/>
  <c r="Z64" i="1" s="1"/>
  <c r="BP65" i="1"/>
  <c r="Z65" i="1" s="1"/>
  <c r="BP66" i="1"/>
  <c r="Z66" i="1" s="1"/>
  <c r="BP67" i="1"/>
  <c r="Z67" i="1" s="1"/>
  <c r="BP68" i="1"/>
  <c r="Z68" i="1" s="1"/>
  <c r="BP69" i="1"/>
  <c r="Z69" i="1" s="1"/>
  <c r="BP70" i="1"/>
  <c r="Z70" i="1" s="1"/>
  <c r="BP71" i="1"/>
  <c r="Z71" i="1" s="1"/>
  <c r="BL53" i="26"/>
  <c r="AA53" i="26" s="1"/>
  <c r="BK54" i="26"/>
  <c r="P52" i="29"/>
  <c r="AS52" i="29" s="1"/>
  <c r="BG52" i="29" s="1"/>
  <c r="R313" i="36"/>
  <c r="AE52" i="26"/>
  <c r="Q313" i="36" s="1"/>
  <c r="AB52" i="26"/>
  <c r="BL42" i="29"/>
  <c r="BH42" i="29"/>
  <c r="BF47" i="10"/>
  <c r="BF74" i="10"/>
  <c r="BG46" i="10" s="1"/>
  <c r="V46" i="10" s="1"/>
  <c r="BB47" i="10"/>
  <c r="BB74" i="10"/>
  <c r="BC46" i="10" s="1"/>
  <c r="W46" i="10" s="1"/>
  <c r="R366" i="36" s="1"/>
  <c r="R61" i="24"/>
  <c r="BA61" i="24" s="1"/>
  <c r="R209" i="36"/>
  <c r="R269" i="36"/>
  <c r="U64" i="32"/>
  <c r="BD64" i="32" s="1"/>
  <c r="AB61" i="34"/>
  <c r="AE61" i="34"/>
  <c r="Q209" i="36"/>
  <c r="V61" i="24"/>
  <c r="BM61" i="24" s="1"/>
  <c r="BE45" i="33"/>
  <c r="BE72" i="33"/>
  <c r="BL62" i="34"/>
  <c r="AA62" i="34" s="1"/>
  <c r="BK63" i="34"/>
  <c r="BB63" i="33"/>
  <c r="W63" i="33" s="1"/>
  <c r="BA64" i="33"/>
  <c r="BP62" i="34"/>
  <c r="Z62" i="34" s="1"/>
  <c r="BO63" i="34"/>
  <c r="BW74" i="32"/>
  <c r="BX46" i="32" s="1"/>
  <c r="AC46" i="32" s="1"/>
  <c r="BW47" i="32"/>
  <c r="BP74" i="29"/>
  <c r="BP47" i="29"/>
  <c r="BP10" i="1"/>
  <c r="BP25" i="1"/>
  <c r="BP26" i="1"/>
  <c r="BP27" i="1"/>
  <c r="BP28" i="1"/>
  <c r="BP29" i="1"/>
  <c r="BP30" i="1"/>
  <c r="BP31" i="1"/>
  <c r="Z31" i="1" s="1"/>
  <c r="BP32" i="1"/>
  <c r="Z32" i="1" s="1"/>
  <c r="BP33" i="1"/>
  <c r="Z33" i="1" s="1"/>
  <c r="BP34" i="1"/>
  <c r="Z34" i="1" s="1"/>
  <c r="AP59" i="60" l="1"/>
  <c r="AM59" i="60"/>
  <c r="BW60" i="60"/>
  <c r="AL60" i="60" s="1"/>
  <c r="BV61" i="60"/>
  <c r="CA64" i="60"/>
  <c r="AK64" i="60" s="1"/>
  <c r="BZ65" i="60"/>
  <c r="BO64" i="26"/>
  <c r="BP63" i="26"/>
  <c r="Z63" i="26" s="1"/>
  <c r="S63" i="29" s="1"/>
  <c r="BC63" i="29" s="1"/>
  <c r="BO63" i="29" s="1"/>
  <c r="R236" i="36"/>
  <c r="S59" i="24"/>
  <c r="BB59" i="24" s="1"/>
  <c r="BR59" i="24" s="1"/>
  <c r="BL60" i="1"/>
  <c r="AA60" i="1" s="1"/>
  <c r="AE60" i="1" s="1"/>
  <c r="BK61" i="1"/>
  <c r="AE31" i="1"/>
  <c r="AB31" i="1"/>
  <c r="AB60" i="1"/>
  <c r="AB58" i="1"/>
  <c r="AE58" i="1"/>
  <c r="AB56" i="1"/>
  <c r="AE56" i="1"/>
  <c r="AB54" i="1"/>
  <c r="AE54" i="1"/>
  <c r="AE52" i="1"/>
  <c r="AB52" i="1"/>
  <c r="AB50" i="1"/>
  <c r="AE50" i="1"/>
  <c r="AB48" i="1"/>
  <c r="AE48" i="1"/>
  <c r="AE46" i="1"/>
  <c r="Q223" i="36" s="1"/>
  <c r="AB46" i="1"/>
  <c r="AB44" i="1"/>
  <c r="AE44" i="1"/>
  <c r="AE42" i="1"/>
  <c r="AB42" i="1"/>
  <c r="AB39" i="1"/>
  <c r="AE39" i="1"/>
  <c r="AB40" i="1"/>
  <c r="AE40" i="1"/>
  <c r="AE35" i="1"/>
  <c r="AB35" i="1"/>
  <c r="AB33" i="1"/>
  <c r="AE33" i="1"/>
  <c r="AE34" i="1"/>
  <c r="AB34" i="1"/>
  <c r="AB32" i="1"/>
  <c r="AE32" i="1"/>
  <c r="AE59" i="1"/>
  <c r="AB59" i="1"/>
  <c r="AB57" i="1"/>
  <c r="AE57" i="1"/>
  <c r="AB55" i="1"/>
  <c r="AE55" i="1"/>
  <c r="AB53" i="1"/>
  <c r="AE53" i="1"/>
  <c r="AB51" i="1"/>
  <c r="AE51" i="1"/>
  <c r="AB49" i="1"/>
  <c r="AE49" i="1"/>
  <c r="AB47" i="1"/>
  <c r="AE47" i="1"/>
  <c r="Q224" i="36" s="1"/>
  <c r="AB45" i="1"/>
  <c r="AE45" i="1"/>
  <c r="AB43" i="1"/>
  <c r="AE43" i="1"/>
  <c r="AB41" i="1"/>
  <c r="AE41" i="1"/>
  <c r="AB38" i="1"/>
  <c r="AE38" i="1"/>
  <c r="AB37" i="1"/>
  <c r="AE37" i="1"/>
  <c r="AB36" i="1"/>
  <c r="AE36" i="1"/>
  <c r="W46" i="24"/>
  <c r="BL54" i="26"/>
  <c r="AA54" i="26" s="1"/>
  <c r="BK55" i="26"/>
  <c r="R314" i="36"/>
  <c r="P53" i="29"/>
  <c r="AS53" i="29" s="1"/>
  <c r="BG53" i="29" s="1"/>
  <c r="AE53" i="26"/>
  <c r="Q314" i="36" s="1"/>
  <c r="AB53" i="26"/>
  <c r="BQ46" i="29"/>
  <c r="Y46" i="29" s="1"/>
  <c r="BH43" i="29"/>
  <c r="BL43" i="29"/>
  <c r="BC11" i="10"/>
  <c r="W11" i="10" s="1"/>
  <c r="BC10" i="10"/>
  <c r="BC12" i="10"/>
  <c r="W12" i="10" s="1"/>
  <c r="BC13" i="10"/>
  <c r="W13" i="10" s="1"/>
  <c r="BC14" i="10"/>
  <c r="W14" i="10" s="1"/>
  <c r="BC15" i="10"/>
  <c r="W15" i="10" s="1"/>
  <c r="BC16" i="10"/>
  <c r="W16" i="10" s="1"/>
  <c r="BC17" i="10"/>
  <c r="W17" i="10" s="1"/>
  <c r="BC18" i="10"/>
  <c r="W18" i="10" s="1"/>
  <c r="BC19" i="10"/>
  <c r="W19" i="10" s="1"/>
  <c r="BC20" i="10"/>
  <c r="W20" i="10" s="1"/>
  <c r="BC21" i="10"/>
  <c r="W21" i="10" s="1"/>
  <c r="BC22" i="10"/>
  <c r="W22" i="10" s="1"/>
  <c r="BC23" i="10"/>
  <c r="W23" i="10" s="1"/>
  <c r="BC24" i="10"/>
  <c r="W24" i="10" s="1"/>
  <c r="BC25" i="10"/>
  <c r="W25" i="10" s="1"/>
  <c r="BC26" i="10"/>
  <c r="W26" i="10" s="1"/>
  <c r="BC27" i="10"/>
  <c r="W27" i="10" s="1"/>
  <c r="BC28" i="10"/>
  <c r="W28" i="10" s="1"/>
  <c r="BC29" i="10"/>
  <c r="W29" i="10" s="1"/>
  <c r="BC30" i="10"/>
  <c r="W30" i="10" s="1"/>
  <c r="BC31" i="10"/>
  <c r="W31" i="10" s="1"/>
  <c r="BC32" i="10"/>
  <c r="W32" i="10" s="1"/>
  <c r="BC33" i="10"/>
  <c r="W33" i="10" s="1"/>
  <c r="BC34" i="10"/>
  <c r="W34" i="10" s="1"/>
  <c r="BC35" i="10"/>
  <c r="W35" i="10" s="1"/>
  <c r="BC36" i="10"/>
  <c r="W36" i="10" s="1"/>
  <c r="BC37" i="10"/>
  <c r="W37" i="10" s="1"/>
  <c r="BC38" i="10"/>
  <c r="W38" i="10" s="1"/>
  <c r="BC39" i="10"/>
  <c r="W39" i="10" s="1"/>
  <c r="BC40" i="10"/>
  <c r="W40" i="10" s="1"/>
  <c r="BC41" i="10"/>
  <c r="W41" i="10" s="1"/>
  <c r="BC42" i="10"/>
  <c r="W42" i="10" s="1"/>
  <c r="BC43" i="10"/>
  <c r="W43" i="10" s="1"/>
  <c r="BC44" i="10"/>
  <c r="W44" i="10" s="1"/>
  <c r="BC45" i="10"/>
  <c r="W45" i="10" s="1"/>
  <c r="BB48" i="10"/>
  <c r="BC47" i="10"/>
  <c r="W47" i="10" s="1"/>
  <c r="R367" i="36" s="1"/>
  <c r="BG11" i="10"/>
  <c r="V11" i="10" s="1"/>
  <c r="BG10" i="10"/>
  <c r="BG12" i="10"/>
  <c r="V12" i="10" s="1"/>
  <c r="BG13" i="10"/>
  <c r="V13" i="10" s="1"/>
  <c r="BG14" i="10"/>
  <c r="V14" i="10" s="1"/>
  <c r="BG15" i="10"/>
  <c r="V15" i="10" s="1"/>
  <c r="BG16" i="10"/>
  <c r="V16" i="10" s="1"/>
  <c r="BG17" i="10"/>
  <c r="V17" i="10" s="1"/>
  <c r="BG18" i="10"/>
  <c r="V18" i="10" s="1"/>
  <c r="BG19" i="10"/>
  <c r="V19" i="10" s="1"/>
  <c r="BG20" i="10"/>
  <c r="V20" i="10" s="1"/>
  <c r="BG21" i="10"/>
  <c r="V21" i="10" s="1"/>
  <c r="BG22" i="10"/>
  <c r="V22" i="10" s="1"/>
  <c r="BG23" i="10"/>
  <c r="V23" i="10" s="1"/>
  <c r="BG24" i="10"/>
  <c r="V24" i="10" s="1"/>
  <c r="BG25" i="10"/>
  <c r="V25" i="10" s="1"/>
  <c r="BG26" i="10"/>
  <c r="V26" i="10" s="1"/>
  <c r="BG27" i="10"/>
  <c r="V27" i="10" s="1"/>
  <c r="BG28" i="10"/>
  <c r="V28" i="10" s="1"/>
  <c r="BG29" i="10"/>
  <c r="V29" i="10" s="1"/>
  <c r="BG30" i="10"/>
  <c r="V30" i="10" s="1"/>
  <c r="BG31" i="10"/>
  <c r="V31" i="10" s="1"/>
  <c r="BG32" i="10"/>
  <c r="V32" i="10" s="1"/>
  <c r="BG33" i="10"/>
  <c r="V33" i="10" s="1"/>
  <c r="BG34" i="10"/>
  <c r="V34" i="10" s="1"/>
  <c r="BG35" i="10"/>
  <c r="V35" i="10" s="1"/>
  <c r="BG36" i="10"/>
  <c r="V36" i="10" s="1"/>
  <c r="BG37" i="10"/>
  <c r="V37" i="10" s="1"/>
  <c r="BG38" i="10"/>
  <c r="V38" i="10" s="1"/>
  <c r="BG39" i="10"/>
  <c r="V39" i="10" s="1"/>
  <c r="BG40" i="10"/>
  <c r="V40" i="10" s="1"/>
  <c r="BG41" i="10"/>
  <c r="V41" i="10" s="1"/>
  <c r="BG42" i="10"/>
  <c r="V42" i="10" s="1"/>
  <c r="BG43" i="10"/>
  <c r="V43" i="10" s="1"/>
  <c r="BG44" i="10"/>
  <c r="V44" i="10" s="1"/>
  <c r="BG45" i="10"/>
  <c r="V45" i="10" s="1"/>
  <c r="Q366" i="36"/>
  <c r="X46" i="10"/>
  <c r="AA46" i="10"/>
  <c r="BG47" i="10"/>
  <c r="V47" i="10" s="1"/>
  <c r="BF48" i="10"/>
  <c r="W42" i="24"/>
  <c r="W38" i="24"/>
  <c r="W34" i="24"/>
  <c r="W47" i="24"/>
  <c r="BX47" i="32"/>
  <c r="AC47" i="32" s="1"/>
  <c r="BW48" i="32"/>
  <c r="P399" i="36"/>
  <c r="AB62" i="34"/>
  <c r="AE62" i="34"/>
  <c r="V62" i="24"/>
  <c r="BM62" i="24" s="1"/>
  <c r="Q210" i="36"/>
  <c r="R270" i="36"/>
  <c r="U65" i="32"/>
  <c r="BD65" i="32" s="1"/>
  <c r="R62" i="24"/>
  <c r="BA62" i="24" s="1"/>
  <c r="R210" i="36"/>
  <c r="BF8" i="33"/>
  <c r="BF9" i="33"/>
  <c r="BF10" i="33"/>
  <c r="BF11" i="33"/>
  <c r="BF12" i="33"/>
  <c r="BF13" i="33"/>
  <c r="BF14" i="33"/>
  <c r="BF15" i="33"/>
  <c r="BF16" i="33"/>
  <c r="BF17" i="33"/>
  <c r="BF18" i="33"/>
  <c r="BF19" i="33"/>
  <c r="BF20" i="33"/>
  <c r="BF21" i="33"/>
  <c r="BF22" i="33"/>
  <c r="BF23" i="33"/>
  <c r="BF24" i="33"/>
  <c r="BF25" i="33"/>
  <c r="BF26" i="33"/>
  <c r="BF27" i="33"/>
  <c r="BF28" i="33"/>
  <c r="BF29" i="33"/>
  <c r="V29" i="33" s="1"/>
  <c r="BF30" i="33"/>
  <c r="V30" i="33" s="1"/>
  <c r="BF31" i="33"/>
  <c r="V31" i="33" s="1"/>
  <c r="BF32" i="33"/>
  <c r="V32" i="33" s="1"/>
  <c r="BF33" i="33"/>
  <c r="V33" i="33" s="1"/>
  <c r="BF34" i="33"/>
  <c r="V34" i="33" s="1"/>
  <c r="BF35" i="33"/>
  <c r="V35" i="33" s="1"/>
  <c r="BF36" i="33"/>
  <c r="V36" i="33" s="1"/>
  <c r="BF37" i="33"/>
  <c r="V37" i="33" s="1"/>
  <c r="BF38" i="33"/>
  <c r="V38" i="33" s="1"/>
  <c r="BF39" i="33"/>
  <c r="V39" i="33" s="1"/>
  <c r="BF40" i="33"/>
  <c r="V40" i="33" s="1"/>
  <c r="BF41" i="33"/>
  <c r="V41" i="33" s="1"/>
  <c r="BF42" i="33"/>
  <c r="V42" i="33" s="1"/>
  <c r="BF43" i="33"/>
  <c r="V43" i="33" s="1"/>
  <c r="BF45" i="33"/>
  <c r="V45" i="33" s="1"/>
  <c r="BE46" i="33"/>
  <c r="BW74" i="24"/>
  <c r="BW47" i="24"/>
  <c r="BS74" i="24"/>
  <c r="BS47" i="24"/>
  <c r="W44" i="24"/>
  <c r="W40" i="24"/>
  <c r="W36" i="24"/>
  <c r="W32" i="24"/>
  <c r="W45" i="24"/>
  <c r="BN45" i="24" s="1"/>
  <c r="BZ45" i="24" s="1"/>
  <c r="W43" i="24"/>
  <c r="BN43" i="24" s="1"/>
  <c r="BZ43" i="24" s="1"/>
  <c r="W41" i="24"/>
  <c r="W39" i="24"/>
  <c r="BN39" i="24" s="1"/>
  <c r="BZ39" i="24" s="1"/>
  <c r="W37" i="24"/>
  <c r="BN37" i="24" s="1"/>
  <c r="BZ37" i="24" s="1"/>
  <c r="W35" i="24"/>
  <c r="BN35" i="24" s="1"/>
  <c r="BZ35" i="24" s="1"/>
  <c r="W33" i="24"/>
  <c r="W31" i="24"/>
  <c r="BN31" i="24" s="1"/>
  <c r="BQ47" i="29"/>
  <c r="Y47" i="29" s="1"/>
  <c r="BP48" i="29"/>
  <c r="BQ28" i="29"/>
  <c r="BQ27" i="29"/>
  <c r="BQ25" i="29"/>
  <c r="BQ21" i="29"/>
  <c r="BQ18" i="29"/>
  <c r="BQ20" i="29"/>
  <c r="BQ19" i="29"/>
  <c r="BQ26" i="29"/>
  <c r="BQ13" i="29"/>
  <c r="BQ22" i="29"/>
  <c r="BQ12" i="29"/>
  <c r="BQ11" i="29"/>
  <c r="BQ29" i="29"/>
  <c r="BQ24" i="29"/>
  <c r="BQ23" i="29"/>
  <c r="BQ10" i="29"/>
  <c r="BQ17" i="29"/>
  <c r="BQ30" i="29"/>
  <c r="BQ16" i="29"/>
  <c r="BQ15" i="29"/>
  <c r="BQ14" i="29"/>
  <c r="BQ31" i="29"/>
  <c r="Y31" i="29" s="1"/>
  <c r="BQ32" i="29"/>
  <c r="Y32" i="29" s="1"/>
  <c r="BQ33" i="29"/>
  <c r="Y33" i="29" s="1"/>
  <c r="BQ34" i="29"/>
  <c r="Y34" i="29" s="1"/>
  <c r="BQ35" i="29"/>
  <c r="Y35" i="29" s="1"/>
  <c r="BQ36" i="29"/>
  <c r="Y36" i="29" s="1"/>
  <c r="BQ37" i="29"/>
  <c r="Y37" i="29" s="1"/>
  <c r="BQ38" i="29"/>
  <c r="Y38" i="29" s="1"/>
  <c r="BQ39" i="29"/>
  <c r="Y39" i="29" s="1"/>
  <c r="BQ40" i="29"/>
  <c r="Y40" i="29" s="1"/>
  <c r="BQ41" i="29"/>
  <c r="Y41" i="29" s="1"/>
  <c r="BQ42" i="29"/>
  <c r="Y42" i="29" s="1"/>
  <c r="BQ43" i="29"/>
  <c r="Y43" i="29" s="1"/>
  <c r="BQ44" i="29"/>
  <c r="Y44" i="29" s="1"/>
  <c r="BQ45" i="29"/>
  <c r="Y45" i="29" s="1"/>
  <c r="BX10" i="32"/>
  <c r="BX11" i="32"/>
  <c r="BX12" i="32"/>
  <c r="BX13" i="32"/>
  <c r="BX15" i="32"/>
  <c r="BX14" i="32"/>
  <c r="BX16" i="32"/>
  <c r="BX17" i="32"/>
  <c r="BX18" i="32"/>
  <c r="BX19" i="32"/>
  <c r="BX20" i="32"/>
  <c r="BX21" i="32"/>
  <c r="BX22" i="32"/>
  <c r="BX23" i="32"/>
  <c r="BX24" i="32"/>
  <c r="BX25" i="32"/>
  <c r="BX26" i="32"/>
  <c r="BX27" i="32"/>
  <c r="BX28" i="32"/>
  <c r="BX29" i="32"/>
  <c r="BX30" i="32"/>
  <c r="BX31" i="32"/>
  <c r="AC31" i="32" s="1"/>
  <c r="BX32" i="32"/>
  <c r="AC32" i="32" s="1"/>
  <c r="BX33" i="32"/>
  <c r="AC33" i="32" s="1"/>
  <c r="BX34" i="32"/>
  <c r="AC34" i="32" s="1"/>
  <c r="BX35" i="32"/>
  <c r="AC35" i="32" s="1"/>
  <c r="BX36" i="32"/>
  <c r="AC36" i="32" s="1"/>
  <c r="BX37" i="32"/>
  <c r="AC37" i="32" s="1"/>
  <c r="BX38" i="32"/>
  <c r="AC38" i="32" s="1"/>
  <c r="BX39" i="32"/>
  <c r="AC39" i="32" s="1"/>
  <c r="BX40" i="32"/>
  <c r="AC40" i="32" s="1"/>
  <c r="BX41" i="32"/>
  <c r="AC41" i="32" s="1"/>
  <c r="BX42" i="32"/>
  <c r="AC42" i="32" s="1"/>
  <c r="BX43" i="32"/>
  <c r="AC43" i="32" s="1"/>
  <c r="BX44" i="32"/>
  <c r="AC44" i="32" s="1"/>
  <c r="BX45" i="32"/>
  <c r="AC45" i="32" s="1"/>
  <c r="BP63" i="34"/>
  <c r="Z63" i="34" s="1"/>
  <c r="BO64" i="34"/>
  <c r="BB64" i="33"/>
  <c r="W64" i="33" s="1"/>
  <c r="BA65" i="33"/>
  <c r="BL63" i="34"/>
  <c r="AA63" i="34" s="1"/>
  <c r="BK64" i="34"/>
  <c r="BF44" i="33"/>
  <c r="V44" i="33" s="1"/>
  <c r="BW61" i="60" l="1"/>
  <c r="AL61" i="60" s="1"/>
  <c r="BV62" i="60"/>
  <c r="AP60" i="60"/>
  <c r="AM60" i="60"/>
  <c r="BN33" i="24"/>
  <c r="BZ33" i="24" s="1"/>
  <c r="BN41" i="24"/>
  <c r="BZ41" i="24" s="1"/>
  <c r="BN44" i="24"/>
  <c r="BZ44" i="24" s="1"/>
  <c r="CA65" i="60"/>
  <c r="AK65" i="60" s="1"/>
  <c r="BZ66" i="60"/>
  <c r="BN36" i="24"/>
  <c r="BZ36" i="24" s="1"/>
  <c r="BN38" i="24"/>
  <c r="BZ38" i="24" s="1"/>
  <c r="BN46" i="24"/>
  <c r="BZ46" i="24" s="1"/>
  <c r="BN32" i="24"/>
  <c r="BZ32" i="24" s="1"/>
  <c r="CA32" i="24" s="1"/>
  <c r="CA33" i="24" s="1"/>
  <c r="BN40" i="24"/>
  <c r="BZ40" i="24" s="1"/>
  <c r="BN34" i="24"/>
  <c r="BZ34" i="24" s="1"/>
  <c r="BN42" i="24"/>
  <c r="BZ42" i="24" s="1"/>
  <c r="BX46" i="24"/>
  <c r="BX44" i="24"/>
  <c r="AB44" i="24" s="1"/>
  <c r="BX42" i="24"/>
  <c r="AB42" i="24" s="1"/>
  <c r="BX40" i="24"/>
  <c r="BX45" i="24"/>
  <c r="BX43" i="24"/>
  <c r="BX41" i="24"/>
  <c r="BX39" i="24"/>
  <c r="AB39" i="24" s="1"/>
  <c r="BX32" i="24"/>
  <c r="AB32" i="24" s="1"/>
  <c r="BX38" i="24"/>
  <c r="BX37" i="24"/>
  <c r="BX36" i="24"/>
  <c r="BX35" i="24"/>
  <c r="BX34" i="24"/>
  <c r="BX33" i="24"/>
  <c r="BT45" i="24"/>
  <c r="BT43" i="24"/>
  <c r="BT41" i="24"/>
  <c r="AD41" i="24" s="1"/>
  <c r="S41" i="32" s="1"/>
  <c r="BT39" i="24"/>
  <c r="BT37" i="24"/>
  <c r="BT35" i="24"/>
  <c r="BT33" i="24"/>
  <c r="AD33" i="24" s="1"/>
  <c r="S33" i="32" s="1"/>
  <c r="BT32" i="24"/>
  <c r="AD32" i="24" s="1"/>
  <c r="S32" i="32" s="1"/>
  <c r="BT46" i="24"/>
  <c r="AD46" i="24" s="1"/>
  <c r="BT44" i="24"/>
  <c r="AD44" i="24" s="1"/>
  <c r="S44" i="32" s="1"/>
  <c r="BT42" i="24"/>
  <c r="BT40" i="24"/>
  <c r="AD40" i="24" s="1"/>
  <c r="S40" i="32" s="1"/>
  <c r="BT38" i="24"/>
  <c r="AD38" i="24" s="1"/>
  <c r="S38" i="32" s="1"/>
  <c r="BT36" i="24"/>
  <c r="AD36" i="24" s="1"/>
  <c r="S36" i="32" s="1"/>
  <c r="BT34" i="24"/>
  <c r="AB46" i="24"/>
  <c r="BX31" i="24"/>
  <c r="BT31" i="24"/>
  <c r="BO65" i="26"/>
  <c r="BP64" i="26"/>
  <c r="Z64" i="26" s="1"/>
  <c r="S64" i="29" s="1"/>
  <c r="BC64" i="29" s="1"/>
  <c r="BO64" i="29" s="1"/>
  <c r="R237" i="36"/>
  <c r="S60" i="24"/>
  <c r="BB60" i="24" s="1"/>
  <c r="BR60" i="24" s="1"/>
  <c r="BL61" i="1"/>
  <c r="AA61" i="1" s="1"/>
  <c r="BK62" i="1"/>
  <c r="BN47" i="24"/>
  <c r="BZ47" i="24" s="1"/>
  <c r="BK56" i="26"/>
  <c r="BL55" i="26"/>
  <c r="AA55" i="26" s="1"/>
  <c r="R315" i="36"/>
  <c r="P54" i="29"/>
  <c r="AS54" i="29" s="1"/>
  <c r="BG54" i="29" s="1"/>
  <c r="AB54" i="26"/>
  <c r="AE54" i="26"/>
  <c r="Q315" i="36" s="1"/>
  <c r="BL44" i="29"/>
  <c r="BH44" i="29"/>
  <c r="BG48" i="10"/>
  <c r="V48" i="10" s="1"/>
  <c r="BF49" i="10"/>
  <c r="AA44" i="10"/>
  <c r="X44" i="10"/>
  <c r="AA42" i="10"/>
  <c r="X42" i="10"/>
  <c r="AA40" i="10"/>
  <c r="X40" i="10"/>
  <c r="X38" i="10"/>
  <c r="AA38" i="10"/>
  <c r="AA36" i="10"/>
  <c r="X36" i="10"/>
  <c r="AA34" i="10"/>
  <c r="X34" i="10"/>
  <c r="AA32" i="10"/>
  <c r="X32" i="10"/>
  <c r="X30" i="10"/>
  <c r="AA30" i="10"/>
  <c r="X28" i="10"/>
  <c r="AA28" i="10"/>
  <c r="X26" i="10"/>
  <c r="AA26" i="10"/>
  <c r="AA24" i="10"/>
  <c r="X24" i="10"/>
  <c r="AA22" i="10"/>
  <c r="X22" i="10"/>
  <c r="X20" i="10"/>
  <c r="AA20" i="10"/>
  <c r="AA18" i="10"/>
  <c r="X18" i="10"/>
  <c r="X16" i="10"/>
  <c r="AA16" i="10"/>
  <c r="X14" i="10"/>
  <c r="AA14" i="10"/>
  <c r="AA12" i="10"/>
  <c r="X12" i="10"/>
  <c r="AA11" i="10"/>
  <c r="X11" i="10"/>
  <c r="BC48" i="10"/>
  <c r="W48" i="10" s="1"/>
  <c r="R368" i="36" s="1"/>
  <c r="BB49" i="10"/>
  <c r="AA47" i="10"/>
  <c r="Q367" i="36"/>
  <c r="X47" i="10"/>
  <c r="X45" i="10"/>
  <c r="AA45" i="10"/>
  <c r="AA43" i="10"/>
  <c r="X43" i="10"/>
  <c r="AA41" i="10"/>
  <c r="X41" i="10"/>
  <c r="X39" i="10"/>
  <c r="AA39" i="10"/>
  <c r="AA37" i="10"/>
  <c r="X37" i="10"/>
  <c r="X35" i="10"/>
  <c r="AA35" i="10"/>
  <c r="X33" i="10"/>
  <c r="AA33" i="10"/>
  <c r="AA31" i="10"/>
  <c r="X31" i="10"/>
  <c r="X29" i="10"/>
  <c r="AA29" i="10"/>
  <c r="AA27" i="10"/>
  <c r="X27" i="10"/>
  <c r="X25" i="10"/>
  <c r="AA25" i="10"/>
  <c r="X23" i="10"/>
  <c r="AA23" i="10"/>
  <c r="X21" i="10"/>
  <c r="AA21" i="10"/>
  <c r="AA19" i="10"/>
  <c r="X19" i="10"/>
  <c r="AA17" i="10"/>
  <c r="X17" i="10"/>
  <c r="AA15" i="10"/>
  <c r="X15" i="10"/>
  <c r="X13" i="10"/>
  <c r="AA13" i="10"/>
  <c r="Y46" i="32"/>
  <c r="Q251" i="36"/>
  <c r="AA44" i="33"/>
  <c r="X44" i="33"/>
  <c r="BL64" i="34"/>
  <c r="AA64" i="34" s="1"/>
  <c r="BK65" i="34"/>
  <c r="BB65" i="33"/>
  <c r="W65" i="33" s="1"/>
  <c r="BA66" i="33"/>
  <c r="BP64" i="34"/>
  <c r="Z64" i="34" s="1"/>
  <c r="BO65" i="34"/>
  <c r="P394" i="36"/>
  <c r="R211" i="36"/>
  <c r="R63" i="24"/>
  <c r="BA63" i="24" s="1"/>
  <c r="R271" i="36"/>
  <c r="U66" i="32"/>
  <c r="BD66" i="32" s="1"/>
  <c r="AE63" i="34"/>
  <c r="AB63" i="34"/>
  <c r="Q211" i="36"/>
  <c r="V63" i="24"/>
  <c r="BM63" i="24" s="1"/>
  <c r="P397" i="36"/>
  <c r="P395" i="36"/>
  <c r="Q225" i="36"/>
  <c r="W48" i="24"/>
  <c r="BN48" i="24" s="1"/>
  <c r="BZ48" i="24" s="1"/>
  <c r="BX47" i="24"/>
  <c r="AB47" i="24" s="1"/>
  <c r="BW48" i="24"/>
  <c r="BF46" i="33"/>
  <c r="V46" i="33" s="1"/>
  <c r="BE47" i="33"/>
  <c r="Y45" i="32"/>
  <c r="X43" i="33"/>
  <c r="AA43" i="33"/>
  <c r="AA41" i="33"/>
  <c r="Y43" i="32"/>
  <c r="X41" i="33"/>
  <c r="Y41" i="32"/>
  <c r="X39" i="33"/>
  <c r="AA39" i="33"/>
  <c r="X37" i="33"/>
  <c r="Y39" i="32"/>
  <c r="AA37" i="33"/>
  <c r="Y37" i="32"/>
  <c r="X35" i="33"/>
  <c r="AA35" i="33"/>
  <c r="AA33" i="33"/>
  <c r="Y35" i="32"/>
  <c r="X33" i="33"/>
  <c r="Y33" i="32"/>
  <c r="X31" i="33"/>
  <c r="AA31" i="33"/>
  <c r="Y31" i="32"/>
  <c r="X29" i="33"/>
  <c r="AA29" i="33"/>
  <c r="BX48" i="32"/>
  <c r="AC48" i="32" s="1"/>
  <c r="BW49" i="32"/>
  <c r="P398" i="36"/>
  <c r="P396" i="36"/>
  <c r="BQ48" i="29"/>
  <c r="Y48" i="29" s="1"/>
  <c r="BP49" i="29"/>
  <c r="BT47" i="24"/>
  <c r="AD47" i="24" s="1"/>
  <c r="X175" i="36" s="1"/>
  <c r="BS48" i="24"/>
  <c r="BT11" i="24"/>
  <c r="AD11" i="24" s="1"/>
  <c r="BT19" i="24"/>
  <c r="AD19" i="24" s="1"/>
  <c r="BT10" i="24"/>
  <c r="AD10" i="24" s="1"/>
  <c r="BT18" i="24"/>
  <c r="AD18" i="24" s="1"/>
  <c r="BT12" i="24"/>
  <c r="AD12" i="24" s="1"/>
  <c r="BT20" i="24"/>
  <c r="AD20" i="24" s="1"/>
  <c r="BT17" i="24"/>
  <c r="AD17" i="24" s="1"/>
  <c r="BT25" i="24"/>
  <c r="AD25" i="24" s="1"/>
  <c r="BT26" i="24"/>
  <c r="AD26" i="24" s="1"/>
  <c r="BT15" i="24"/>
  <c r="AD15" i="24" s="1"/>
  <c r="BT23" i="24"/>
  <c r="AD23" i="24" s="1"/>
  <c r="BT14" i="24"/>
  <c r="AD14" i="24" s="1"/>
  <c r="BT22" i="24"/>
  <c r="AD22" i="24" s="1"/>
  <c r="BT16" i="24"/>
  <c r="AD16" i="24" s="1"/>
  <c r="BT24" i="24"/>
  <c r="AD24" i="24" s="1"/>
  <c r="BT13" i="24"/>
  <c r="AD13" i="24" s="1"/>
  <c r="BT21" i="24"/>
  <c r="AD21" i="24" s="1"/>
  <c r="BT27" i="24"/>
  <c r="AD27" i="24" s="1"/>
  <c r="BT29" i="24"/>
  <c r="AD29" i="24" s="1"/>
  <c r="BT28" i="24"/>
  <c r="AD28" i="24" s="1"/>
  <c r="BT30" i="24"/>
  <c r="AD30" i="24" s="1"/>
  <c r="AD31" i="24"/>
  <c r="S31" i="32" s="1"/>
  <c r="AD34" i="24"/>
  <c r="S34" i="32" s="1"/>
  <c r="AD35" i="24"/>
  <c r="S35" i="32" s="1"/>
  <c r="AD37" i="24"/>
  <c r="S37" i="32" s="1"/>
  <c r="AD39" i="24"/>
  <c r="S39" i="32" s="1"/>
  <c r="AD42" i="24"/>
  <c r="S42" i="32" s="1"/>
  <c r="AD43" i="24"/>
  <c r="S43" i="32" s="1"/>
  <c r="AD45" i="24"/>
  <c r="S45" i="32" s="1"/>
  <c r="BX10" i="24"/>
  <c r="AB10" i="24" s="1"/>
  <c r="BX11" i="24"/>
  <c r="AB11" i="24" s="1"/>
  <c r="BX12" i="24"/>
  <c r="AB12" i="24" s="1"/>
  <c r="BX13" i="24"/>
  <c r="AB13" i="24" s="1"/>
  <c r="BX14" i="24"/>
  <c r="AB14" i="24" s="1"/>
  <c r="BX15" i="24"/>
  <c r="AB15" i="24" s="1"/>
  <c r="BX16" i="24"/>
  <c r="AB16" i="24" s="1"/>
  <c r="BX17" i="24"/>
  <c r="AB17" i="24" s="1"/>
  <c r="BX18" i="24"/>
  <c r="AB18" i="24" s="1"/>
  <c r="BX19" i="24"/>
  <c r="AB19" i="24" s="1"/>
  <c r="BX20" i="24"/>
  <c r="AB20" i="24" s="1"/>
  <c r="BX21" i="24"/>
  <c r="AB21" i="24" s="1"/>
  <c r="BX22" i="24"/>
  <c r="AB22" i="24" s="1"/>
  <c r="BX23" i="24"/>
  <c r="AB23" i="24" s="1"/>
  <c r="BX24" i="24"/>
  <c r="AB24" i="24" s="1"/>
  <c r="BX25" i="24"/>
  <c r="AB25" i="24" s="1"/>
  <c r="BX26" i="24"/>
  <c r="AB26" i="24" s="1"/>
  <c r="BX27" i="24"/>
  <c r="AB27" i="24" s="1"/>
  <c r="BX28" i="24"/>
  <c r="AB28" i="24" s="1"/>
  <c r="BX29" i="24"/>
  <c r="AB29" i="24" s="1"/>
  <c r="BX30" i="24"/>
  <c r="AB30" i="24" s="1"/>
  <c r="AB31" i="24"/>
  <c r="AB33" i="24"/>
  <c r="AB34" i="24"/>
  <c r="AB35" i="24"/>
  <c r="AB36" i="24"/>
  <c r="AB37" i="24"/>
  <c r="AB38" i="24"/>
  <c r="AB40" i="24"/>
  <c r="AB41" i="24"/>
  <c r="AB43" i="24"/>
  <c r="AB45" i="24"/>
  <c r="X45" i="33"/>
  <c r="Y47" i="32"/>
  <c r="AA45" i="33"/>
  <c r="Q252" i="36"/>
  <c r="Y44" i="32"/>
  <c r="AA42" i="33"/>
  <c r="X42" i="33"/>
  <c r="X40" i="33"/>
  <c r="Y42" i="32"/>
  <c r="AA40" i="33"/>
  <c r="Y40" i="32"/>
  <c r="X38" i="33"/>
  <c r="AA38" i="33"/>
  <c r="X36" i="33"/>
  <c r="Y38" i="32"/>
  <c r="AA36" i="33"/>
  <c r="Y36" i="32"/>
  <c r="AA34" i="33"/>
  <c r="X34" i="33"/>
  <c r="X32" i="33"/>
  <c r="Y34" i="32"/>
  <c r="AA32" i="33"/>
  <c r="Y32" i="32"/>
  <c r="AA30" i="33"/>
  <c r="X30" i="33"/>
  <c r="P400" i="36"/>
  <c r="X174" i="36" l="1"/>
  <c r="S46" i="32"/>
  <c r="BW62" i="60"/>
  <c r="AL62" i="60" s="1"/>
  <c r="BV63" i="60"/>
  <c r="AM61" i="60"/>
  <c r="AP61" i="60"/>
  <c r="R159" i="36"/>
  <c r="CA66" i="60"/>
  <c r="AK66" i="60" s="1"/>
  <c r="BZ67" i="60"/>
  <c r="CA34" i="24"/>
  <c r="CA35" i="24" s="1"/>
  <c r="CA36" i="24" s="1"/>
  <c r="CA37" i="24" s="1"/>
  <c r="CA38" i="24" s="1"/>
  <c r="CA39" i="24" s="1"/>
  <c r="CA40" i="24" s="1"/>
  <c r="CA41" i="24" s="1"/>
  <c r="CA42" i="24" s="1"/>
  <c r="CA43" i="24" s="1"/>
  <c r="CA44" i="24" s="1"/>
  <c r="CA45" i="24" s="1"/>
  <c r="CA46" i="24" s="1"/>
  <c r="BP65" i="26"/>
  <c r="Z65" i="26" s="1"/>
  <c r="S65" i="29" s="1"/>
  <c r="BC65" i="29" s="1"/>
  <c r="BO65" i="29" s="1"/>
  <c r="BO66" i="26"/>
  <c r="BP34" i="32"/>
  <c r="BP36" i="32"/>
  <c r="BP38" i="32"/>
  <c r="BP40" i="32"/>
  <c r="BP42" i="32"/>
  <c r="BP44" i="32"/>
  <c r="R238" i="36"/>
  <c r="S61" i="24"/>
  <c r="BB61" i="24" s="1"/>
  <c r="BR61" i="24" s="1"/>
  <c r="AB61" i="1"/>
  <c r="AE61" i="1"/>
  <c r="BL62" i="1"/>
  <c r="AA62" i="1" s="1"/>
  <c r="BK63" i="1"/>
  <c r="BP47" i="32"/>
  <c r="P55" i="29"/>
  <c r="AS55" i="29" s="1"/>
  <c r="BG55" i="29" s="1"/>
  <c r="R316" i="36"/>
  <c r="AB55" i="26"/>
  <c r="AE55" i="26"/>
  <c r="Q316" i="36" s="1"/>
  <c r="BK57" i="26"/>
  <c r="BL56" i="26"/>
  <c r="AA56" i="26" s="1"/>
  <c r="BP32" i="32"/>
  <c r="BH45" i="29"/>
  <c r="BL45" i="29"/>
  <c r="BB44" i="32"/>
  <c r="BB42" i="32"/>
  <c r="BB40" i="32"/>
  <c r="BB38" i="32"/>
  <c r="BB36" i="32"/>
  <c r="BB34" i="32"/>
  <c r="BB32" i="32"/>
  <c r="BC49" i="10"/>
  <c r="W49" i="10" s="1"/>
  <c r="R369" i="36" s="1"/>
  <c r="BB50" i="10"/>
  <c r="BG49" i="10"/>
  <c r="V49" i="10" s="1"/>
  <c r="BF50" i="10"/>
  <c r="AA48" i="10"/>
  <c r="Q368" i="36"/>
  <c r="X48" i="10"/>
  <c r="R160" i="36"/>
  <c r="S47" i="32"/>
  <c r="BB47" i="32" s="1"/>
  <c r="W49" i="24"/>
  <c r="BN49" i="24" s="1"/>
  <c r="BZ49" i="24" s="1"/>
  <c r="Q226" i="36"/>
  <c r="P401" i="36"/>
  <c r="BP33" i="32"/>
  <c r="BP35" i="32"/>
  <c r="BP37" i="32"/>
  <c r="BP39" i="32"/>
  <c r="BP41" i="32"/>
  <c r="BP43" i="32"/>
  <c r="BP45" i="32"/>
  <c r="AA46" i="33"/>
  <c r="X46" i="33"/>
  <c r="Y48" i="32"/>
  <c r="BP48" i="32" s="1"/>
  <c r="Q253" i="36"/>
  <c r="Q212" i="36"/>
  <c r="V64" i="24"/>
  <c r="BM64" i="24" s="1"/>
  <c r="AB64" i="34"/>
  <c r="AE64" i="34"/>
  <c r="R272" i="36"/>
  <c r="U67" i="32"/>
  <c r="BD67" i="32" s="1"/>
  <c r="R212" i="36"/>
  <c r="R64" i="24"/>
  <c r="BA64" i="24" s="1"/>
  <c r="BP46" i="32"/>
  <c r="BB45" i="32"/>
  <c r="BB43" i="32"/>
  <c r="BB41" i="32"/>
  <c r="BB39" i="32"/>
  <c r="BB37" i="32"/>
  <c r="BB35" i="32"/>
  <c r="BB33" i="32"/>
  <c r="BT48" i="24"/>
  <c r="AD48" i="24" s="1"/>
  <c r="X176" i="36" s="1"/>
  <c r="BS49" i="24"/>
  <c r="BQ49" i="29"/>
  <c r="Y49" i="29" s="1"/>
  <c r="BP50" i="29"/>
  <c r="BX49" i="32"/>
  <c r="AC49" i="32" s="1"/>
  <c r="BW50" i="32"/>
  <c r="BF47" i="33"/>
  <c r="V47" i="33" s="1"/>
  <c r="BE48" i="33"/>
  <c r="BX48" i="24"/>
  <c r="AB48" i="24" s="1"/>
  <c r="BW49" i="24"/>
  <c r="BB46" i="32"/>
  <c r="BP65" i="34"/>
  <c r="Z65" i="34" s="1"/>
  <c r="BO66" i="34"/>
  <c r="BB66" i="33"/>
  <c r="W66" i="33" s="1"/>
  <c r="BA67" i="33"/>
  <c r="BL65" i="34"/>
  <c r="AA65" i="34" s="1"/>
  <c r="BK66" i="34"/>
  <c r="BV64" i="60" l="1"/>
  <c r="BW63" i="60"/>
  <c r="AL63" i="60" s="1"/>
  <c r="AM62" i="60"/>
  <c r="AP62" i="60"/>
  <c r="CA67" i="60"/>
  <c r="AK67" i="60" s="1"/>
  <c r="BZ68" i="60"/>
  <c r="BP66" i="26"/>
  <c r="Z66" i="26" s="1"/>
  <c r="S66" i="29" s="1"/>
  <c r="BC66" i="29" s="1"/>
  <c r="BO66" i="29" s="1"/>
  <c r="BO67" i="26"/>
  <c r="R239" i="36"/>
  <c r="AE62" i="1"/>
  <c r="S62" i="24"/>
  <c r="BB62" i="24" s="1"/>
  <c r="BR62" i="24" s="1"/>
  <c r="AB62" i="1"/>
  <c r="BL63" i="1"/>
  <c r="AA63" i="1" s="1"/>
  <c r="BK64" i="1"/>
  <c r="P56" i="29"/>
  <c r="AS56" i="29" s="1"/>
  <c r="BG56" i="29" s="1"/>
  <c r="R317" i="36"/>
  <c r="AE56" i="26"/>
  <c r="Q317" i="36" s="1"/>
  <c r="AB56" i="26"/>
  <c r="BK58" i="26"/>
  <c r="BL57" i="26"/>
  <c r="AA57" i="26" s="1"/>
  <c r="BL46" i="29"/>
  <c r="BH46" i="29"/>
  <c r="Q369" i="36"/>
  <c r="X49" i="10"/>
  <c r="AA49" i="10"/>
  <c r="BF51" i="10"/>
  <c r="BG50" i="10"/>
  <c r="V50" i="10" s="1"/>
  <c r="BC50" i="10"/>
  <c r="W50" i="10" s="1"/>
  <c r="R370" i="36" s="1"/>
  <c r="BB51" i="10"/>
  <c r="R213" i="36"/>
  <c r="R65" i="24"/>
  <c r="BA65" i="24" s="1"/>
  <c r="Q213" i="36"/>
  <c r="V65" i="24"/>
  <c r="BM65" i="24" s="1"/>
  <c r="AB65" i="34"/>
  <c r="AE65" i="34"/>
  <c r="BX49" i="24"/>
  <c r="AB49" i="24" s="1"/>
  <c r="BW50" i="24"/>
  <c r="BX50" i="32"/>
  <c r="AC50" i="32" s="1"/>
  <c r="BW51" i="32"/>
  <c r="W50" i="24"/>
  <c r="BN50" i="24" s="1"/>
  <c r="BZ50" i="24" s="1"/>
  <c r="Q227" i="36"/>
  <c r="BT49" i="24"/>
  <c r="AD49" i="24" s="1"/>
  <c r="X177" i="36" s="1"/>
  <c r="BS50" i="24"/>
  <c r="R273" i="36"/>
  <c r="U68" i="32"/>
  <c r="BD68" i="32" s="1"/>
  <c r="BF48" i="33"/>
  <c r="V48" i="33" s="1"/>
  <c r="BE49" i="33"/>
  <c r="BL66" i="34"/>
  <c r="AA66" i="34" s="1"/>
  <c r="BK67" i="34"/>
  <c r="BB67" i="33"/>
  <c r="W67" i="33" s="1"/>
  <c r="BA68" i="33"/>
  <c r="BP66" i="34"/>
  <c r="Z66" i="34" s="1"/>
  <c r="BO67" i="34"/>
  <c r="X47" i="33"/>
  <c r="Y49" i="32"/>
  <c r="BP49" i="32" s="1"/>
  <c r="Q254" i="36"/>
  <c r="AA47" i="33"/>
  <c r="P402" i="36"/>
  <c r="BQ50" i="29"/>
  <c r="Y50" i="29" s="1"/>
  <c r="BP51" i="29"/>
  <c r="S48" i="32"/>
  <c r="BB48" i="32" s="1"/>
  <c r="R161" i="36"/>
  <c r="AP63" i="60" l="1"/>
  <c r="AM63" i="60"/>
  <c r="BV65" i="60"/>
  <c r="BW64" i="60"/>
  <c r="AL64" i="60" s="1"/>
  <c r="CA68" i="60"/>
  <c r="AK68" i="60" s="1"/>
  <c r="BZ69" i="60"/>
  <c r="BP67" i="26"/>
  <c r="Z67" i="26" s="1"/>
  <c r="S67" i="29" s="1"/>
  <c r="BC67" i="29" s="1"/>
  <c r="BO67" i="29" s="1"/>
  <c r="BO68" i="26"/>
  <c r="AB63" i="1"/>
  <c r="AE63" i="1"/>
  <c r="R240" i="36"/>
  <c r="S63" i="24"/>
  <c r="BB63" i="24" s="1"/>
  <c r="BR63" i="24" s="1"/>
  <c r="BL64" i="1"/>
  <c r="AA64" i="1" s="1"/>
  <c r="BK65" i="1"/>
  <c r="R318" i="36"/>
  <c r="P57" i="29"/>
  <c r="AS57" i="29" s="1"/>
  <c r="BG57" i="29" s="1"/>
  <c r="AE57" i="26"/>
  <c r="Q318" i="36" s="1"/>
  <c r="AB57" i="26"/>
  <c r="BL58" i="26"/>
  <c r="AA58" i="26" s="1"/>
  <c r="BK59" i="26"/>
  <c r="BH47" i="29"/>
  <c r="BH74" i="29"/>
  <c r="BL47" i="29"/>
  <c r="BL74" i="29"/>
  <c r="BG51" i="10"/>
  <c r="V51" i="10" s="1"/>
  <c r="BF52" i="10"/>
  <c r="BC51" i="10"/>
  <c r="W51" i="10" s="1"/>
  <c r="R371" i="36" s="1"/>
  <c r="BB52" i="10"/>
  <c r="Q370" i="36"/>
  <c r="AA50" i="10"/>
  <c r="X50" i="10"/>
  <c r="BQ51" i="29"/>
  <c r="Y51" i="29" s="1"/>
  <c r="BP52" i="29"/>
  <c r="BP67" i="34"/>
  <c r="Z67" i="34" s="1"/>
  <c r="BO68" i="34"/>
  <c r="BB68" i="33"/>
  <c r="W68" i="33" s="1"/>
  <c r="U70" i="32" s="1"/>
  <c r="BA69" i="33"/>
  <c r="BL67" i="34"/>
  <c r="AA67" i="34" s="1"/>
  <c r="BK68" i="34"/>
  <c r="BF49" i="33"/>
  <c r="V49" i="33" s="1"/>
  <c r="BE50" i="33"/>
  <c r="BT50" i="24"/>
  <c r="AD50" i="24" s="1"/>
  <c r="X178" i="36" s="1"/>
  <c r="BS51" i="24"/>
  <c r="BX51" i="32"/>
  <c r="AC51" i="32" s="1"/>
  <c r="BW52" i="32"/>
  <c r="BX50" i="24"/>
  <c r="AB50" i="24" s="1"/>
  <c r="BW51" i="24"/>
  <c r="W51" i="24"/>
  <c r="BN51" i="24" s="1"/>
  <c r="BZ51" i="24" s="1"/>
  <c r="Q228" i="36"/>
  <c r="AB66" i="34"/>
  <c r="AE66" i="34"/>
  <c r="V66" i="24"/>
  <c r="BM66" i="24" s="1"/>
  <c r="Q214" i="36"/>
  <c r="R274" i="36"/>
  <c r="U69" i="32"/>
  <c r="R66" i="24"/>
  <c r="BA66" i="24" s="1"/>
  <c r="R214" i="36"/>
  <c r="X48" i="33"/>
  <c r="AA48" i="33"/>
  <c r="Y50" i="32"/>
  <c r="BP50" i="32" s="1"/>
  <c r="Q255" i="36"/>
  <c r="S49" i="32"/>
  <c r="BB49" i="32" s="1"/>
  <c r="R162" i="36"/>
  <c r="P403" i="36"/>
  <c r="AM64" i="60" l="1"/>
  <c r="AP64" i="60"/>
  <c r="BW65" i="60"/>
  <c r="AL65" i="60" s="1"/>
  <c r="BV66" i="60"/>
  <c r="CA69" i="60"/>
  <c r="AK69" i="60" s="1"/>
  <c r="BZ70" i="60"/>
  <c r="BP68" i="26"/>
  <c r="Z68" i="26" s="1"/>
  <c r="S68" i="29" s="1"/>
  <c r="BC68" i="29" s="1"/>
  <c r="BO68" i="29" s="1"/>
  <c r="BO69" i="26"/>
  <c r="BB69" i="33"/>
  <c r="W69" i="33" s="1"/>
  <c r="U71" i="32" s="1"/>
  <c r="BA70" i="33"/>
  <c r="BB70" i="33" s="1"/>
  <c r="W70" i="33" s="1"/>
  <c r="U72" i="32" s="1"/>
  <c r="BL65" i="1"/>
  <c r="AA65" i="1" s="1"/>
  <c r="BK66" i="1"/>
  <c r="S64" i="24"/>
  <c r="BB64" i="24" s="1"/>
  <c r="BR64" i="24" s="1"/>
  <c r="AE64" i="1"/>
  <c r="R241" i="36"/>
  <c r="AB64" i="1"/>
  <c r="BK60" i="26"/>
  <c r="BL59" i="26"/>
  <c r="AA59" i="26" s="1"/>
  <c r="R319" i="36"/>
  <c r="P58" i="29"/>
  <c r="AS58" i="29" s="1"/>
  <c r="BG58" i="29" s="1"/>
  <c r="AB58" i="26"/>
  <c r="AE58" i="26"/>
  <c r="Q319" i="36" s="1"/>
  <c r="BD71" i="32"/>
  <c r="BM46" i="29"/>
  <c r="X46" i="29" s="1"/>
  <c r="AD46" i="29" s="1"/>
  <c r="BL48" i="29"/>
  <c r="BM47" i="29"/>
  <c r="X47" i="29" s="1"/>
  <c r="BI11" i="29"/>
  <c r="BI20" i="29"/>
  <c r="BI22" i="29"/>
  <c r="BI17" i="29"/>
  <c r="BI26" i="29"/>
  <c r="BI28" i="29"/>
  <c r="BI13" i="29"/>
  <c r="BI27" i="29"/>
  <c r="BI18" i="29"/>
  <c r="BI29" i="29"/>
  <c r="BI15" i="29"/>
  <c r="BI14" i="29"/>
  <c r="BI19" i="29"/>
  <c r="BI16" i="29"/>
  <c r="BI30" i="29"/>
  <c r="BI23" i="29"/>
  <c r="BI12" i="29"/>
  <c r="BI10" i="29"/>
  <c r="BI21" i="29"/>
  <c r="BI24" i="29"/>
  <c r="BI25" i="29"/>
  <c r="BI31" i="29"/>
  <c r="Z31" i="29" s="1"/>
  <c r="T31" i="32" s="1"/>
  <c r="BI32" i="29"/>
  <c r="Z32" i="29" s="1"/>
  <c r="T32" i="32" s="1"/>
  <c r="BI33" i="29"/>
  <c r="Z33" i="29" s="1"/>
  <c r="T33" i="32" s="1"/>
  <c r="BI34" i="29"/>
  <c r="Z34" i="29" s="1"/>
  <c r="T34" i="32" s="1"/>
  <c r="BI35" i="29"/>
  <c r="Z35" i="29" s="1"/>
  <c r="T35" i="32" s="1"/>
  <c r="BI36" i="29"/>
  <c r="Z36" i="29" s="1"/>
  <c r="T36" i="32" s="1"/>
  <c r="BI37" i="29"/>
  <c r="Z37" i="29" s="1"/>
  <c r="T37" i="32" s="1"/>
  <c r="BI38" i="29"/>
  <c r="Z38" i="29" s="1"/>
  <c r="T38" i="32" s="1"/>
  <c r="BI39" i="29"/>
  <c r="Z39" i="29" s="1"/>
  <c r="T39" i="32" s="1"/>
  <c r="BI40" i="29"/>
  <c r="Z40" i="29" s="1"/>
  <c r="T40" i="32" s="1"/>
  <c r="BI41" i="29"/>
  <c r="Z41" i="29" s="1"/>
  <c r="T41" i="32" s="1"/>
  <c r="BI42" i="29"/>
  <c r="Z42" i="29" s="1"/>
  <c r="T42" i="32" s="1"/>
  <c r="BI43" i="29"/>
  <c r="Z43" i="29" s="1"/>
  <c r="T43" i="32" s="1"/>
  <c r="BI44" i="29"/>
  <c r="Z44" i="29" s="1"/>
  <c r="T44" i="32" s="1"/>
  <c r="BI45" i="29"/>
  <c r="Z45" i="29" s="1"/>
  <c r="T45" i="32" s="1"/>
  <c r="BM22" i="29"/>
  <c r="BM12" i="29"/>
  <c r="BM15" i="29"/>
  <c r="BM24" i="29"/>
  <c r="BM26" i="29"/>
  <c r="BM16" i="29"/>
  <c r="BM19" i="29"/>
  <c r="BM29" i="29"/>
  <c r="BM30" i="29"/>
  <c r="BM20" i="29"/>
  <c r="BM23" i="29"/>
  <c r="BM21" i="29"/>
  <c r="BM17" i="29"/>
  <c r="BM14" i="29"/>
  <c r="BM27" i="29"/>
  <c r="BM28" i="29"/>
  <c r="BM25" i="29"/>
  <c r="BM18" i="29"/>
  <c r="BM10" i="29"/>
  <c r="BM11" i="29"/>
  <c r="BM13" i="29"/>
  <c r="BM31" i="29"/>
  <c r="X31" i="29" s="1"/>
  <c r="BM32" i="29"/>
  <c r="X32" i="29" s="1"/>
  <c r="BM33" i="29"/>
  <c r="X33" i="29" s="1"/>
  <c r="BM34" i="29"/>
  <c r="X34" i="29" s="1"/>
  <c r="BM35" i="29"/>
  <c r="X35" i="29" s="1"/>
  <c r="BM36" i="29"/>
  <c r="X36" i="29" s="1"/>
  <c r="BM37" i="29"/>
  <c r="X37" i="29" s="1"/>
  <c r="BM38" i="29"/>
  <c r="X38" i="29" s="1"/>
  <c r="BM39" i="29"/>
  <c r="X39" i="29" s="1"/>
  <c r="BM40" i="29"/>
  <c r="X40" i="29" s="1"/>
  <c r="BM41" i="29"/>
  <c r="X41" i="29" s="1"/>
  <c r="BM42" i="29"/>
  <c r="X42" i="29" s="1"/>
  <c r="BM43" i="29"/>
  <c r="X43" i="29" s="1"/>
  <c r="BM44" i="29"/>
  <c r="X44" i="29" s="1"/>
  <c r="BM45" i="29"/>
  <c r="X45" i="29" s="1"/>
  <c r="BI46" i="29"/>
  <c r="Z46" i="29" s="1"/>
  <c r="BI47" i="29"/>
  <c r="Z47" i="29" s="1"/>
  <c r="BH48" i="29"/>
  <c r="BG52" i="10"/>
  <c r="V52" i="10" s="1"/>
  <c r="BF53" i="10"/>
  <c r="BC52" i="10"/>
  <c r="W52" i="10" s="1"/>
  <c r="R372" i="36" s="1"/>
  <c r="BB53" i="10"/>
  <c r="X51" i="10"/>
  <c r="Q371" i="36"/>
  <c r="AA51" i="10"/>
  <c r="P404" i="36"/>
  <c r="S50" i="32"/>
  <c r="BB50" i="32" s="1"/>
  <c r="R163" i="36"/>
  <c r="BF50" i="33"/>
  <c r="V50" i="33" s="1"/>
  <c r="BE51" i="33"/>
  <c r="BL68" i="34"/>
  <c r="AA68" i="34" s="1"/>
  <c r="BK69" i="34"/>
  <c r="BP68" i="34"/>
  <c r="Z68" i="34" s="1"/>
  <c r="BO69" i="34"/>
  <c r="BQ52" i="29"/>
  <c r="Y52" i="29" s="1"/>
  <c r="BP53" i="29"/>
  <c r="BD69" i="32"/>
  <c r="BX51" i="24"/>
  <c r="AB51" i="24" s="1"/>
  <c r="BW52" i="24"/>
  <c r="BX52" i="32"/>
  <c r="AC52" i="32" s="1"/>
  <c r="BW53" i="32"/>
  <c r="BT51" i="24"/>
  <c r="AD51" i="24" s="1"/>
  <c r="X179" i="36" s="1"/>
  <c r="BS52" i="24"/>
  <c r="Q256" i="36"/>
  <c r="X49" i="33"/>
  <c r="AA49" i="33"/>
  <c r="Y51" i="32"/>
  <c r="BP51" i="32" s="1"/>
  <c r="R67" i="24"/>
  <c r="BA67" i="24" s="1"/>
  <c r="R215" i="36"/>
  <c r="BD70" i="32"/>
  <c r="V67" i="24"/>
  <c r="BM67" i="24" s="1"/>
  <c r="Q215" i="36"/>
  <c r="AE67" i="34"/>
  <c r="AB67" i="34"/>
  <c r="W52" i="24"/>
  <c r="BN52" i="24" s="1"/>
  <c r="BZ52" i="24" s="1"/>
  <c r="Q229" i="36"/>
  <c r="BV67" i="60" l="1"/>
  <c r="BW66" i="60"/>
  <c r="AL66" i="60" s="1"/>
  <c r="AM65" i="60"/>
  <c r="AP65" i="60"/>
  <c r="CA70" i="60"/>
  <c r="AK70" i="60" s="1"/>
  <c r="BZ71" i="60"/>
  <c r="AA46" i="29"/>
  <c r="BO70" i="26"/>
  <c r="BP69" i="26"/>
  <c r="Z69" i="26" s="1"/>
  <c r="S69" i="29" s="1"/>
  <c r="BC69" i="29" s="1"/>
  <c r="BO69" i="29" s="1"/>
  <c r="BD72" i="32"/>
  <c r="S65" i="24"/>
  <c r="BB65" i="24" s="1"/>
  <c r="BR65" i="24" s="1"/>
  <c r="AB65" i="1"/>
  <c r="R242" i="36"/>
  <c r="AE65" i="1"/>
  <c r="BL66" i="1"/>
  <c r="AA66" i="1" s="1"/>
  <c r="BK67" i="1"/>
  <c r="AA75" i="34"/>
  <c r="R320" i="36"/>
  <c r="P59" i="29"/>
  <c r="AS59" i="29" s="1"/>
  <c r="BG59" i="29" s="1"/>
  <c r="AE59" i="26"/>
  <c r="Q320" i="36" s="1"/>
  <c r="AB59" i="26"/>
  <c r="BL60" i="26"/>
  <c r="AA60" i="26" s="1"/>
  <c r="BK61" i="26"/>
  <c r="BC44" i="32"/>
  <c r="BR44" i="32" s="1"/>
  <c r="BC42" i="32"/>
  <c r="BR42" i="32" s="1"/>
  <c r="BC40" i="32"/>
  <c r="BR40" i="32" s="1"/>
  <c r="BC38" i="32"/>
  <c r="BR38" i="32" s="1"/>
  <c r="BC36" i="32"/>
  <c r="BR36" i="32" s="1"/>
  <c r="BC34" i="32"/>
  <c r="BR34" i="32" s="1"/>
  <c r="BC32" i="32"/>
  <c r="BR32" i="32" s="1"/>
  <c r="BS32" i="32" s="1"/>
  <c r="BC45" i="32"/>
  <c r="BR45" i="32" s="1"/>
  <c r="BC43" i="32"/>
  <c r="BR43" i="32" s="1"/>
  <c r="BC41" i="32"/>
  <c r="BR41" i="32" s="1"/>
  <c r="BC39" i="32"/>
  <c r="BR39" i="32" s="1"/>
  <c r="BC37" i="32"/>
  <c r="BR37" i="32" s="1"/>
  <c r="BC35" i="32"/>
  <c r="BR35" i="32" s="1"/>
  <c r="BC33" i="32"/>
  <c r="BR33" i="32" s="1"/>
  <c r="R280" i="36"/>
  <c r="T47" i="32"/>
  <c r="AD45" i="29"/>
  <c r="X45" i="32" s="1"/>
  <c r="AA45" i="29"/>
  <c r="AD43" i="29"/>
  <c r="X43" i="32" s="1"/>
  <c r="AA43" i="29"/>
  <c r="AD41" i="29"/>
  <c r="X41" i="32" s="1"/>
  <c r="AA41" i="29"/>
  <c r="AD39" i="29"/>
  <c r="X39" i="32" s="1"/>
  <c r="AA39" i="29"/>
  <c r="AD37" i="29"/>
  <c r="X37" i="32" s="1"/>
  <c r="AA37" i="29"/>
  <c r="AD35" i="29"/>
  <c r="X35" i="32" s="1"/>
  <c r="AA35" i="29"/>
  <c r="AD33" i="29"/>
  <c r="X33" i="32" s="1"/>
  <c r="AA33" i="29"/>
  <c r="AD31" i="29"/>
  <c r="X31" i="32" s="1"/>
  <c r="AA31" i="29"/>
  <c r="AD47" i="29"/>
  <c r="AA47" i="29"/>
  <c r="BI48" i="29"/>
  <c r="Z48" i="29" s="1"/>
  <c r="BH49" i="29"/>
  <c r="T46" i="32"/>
  <c r="BC46" i="32" s="1"/>
  <c r="BR46" i="32" s="1"/>
  <c r="R279" i="36"/>
  <c r="AA44" i="29"/>
  <c r="AD44" i="29"/>
  <c r="X44" i="32" s="1"/>
  <c r="AD42" i="29"/>
  <c r="X42" i="32" s="1"/>
  <c r="BO42" i="32" s="1"/>
  <c r="AA42" i="29"/>
  <c r="AA40" i="29"/>
  <c r="AD40" i="29"/>
  <c r="X40" i="32" s="1"/>
  <c r="AD38" i="29"/>
  <c r="X38" i="32" s="1"/>
  <c r="BO38" i="32" s="1"/>
  <c r="AA38" i="29"/>
  <c r="AA36" i="29"/>
  <c r="AD36" i="29"/>
  <c r="X36" i="32" s="1"/>
  <c r="AA34" i="29"/>
  <c r="AD34" i="29"/>
  <c r="X34" i="32" s="1"/>
  <c r="AA32" i="29"/>
  <c r="AD32" i="29"/>
  <c r="X32" i="32" s="1"/>
  <c r="BM48" i="29"/>
  <c r="X48" i="29" s="1"/>
  <c r="BL49" i="29"/>
  <c r="X46" i="32"/>
  <c r="BO46" i="32" s="1"/>
  <c r="Q279" i="36"/>
  <c r="BG53" i="10"/>
  <c r="V53" i="10" s="1"/>
  <c r="BF54" i="10"/>
  <c r="BC53" i="10"/>
  <c r="W53" i="10" s="1"/>
  <c r="R373" i="36" s="1"/>
  <c r="BB54" i="10"/>
  <c r="X52" i="10"/>
  <c r="Q372" i="36"/>
  <c r="AA52" i="10"/>
  <c r="S51" i="32"/>
  <c r="BB51" i="32" s="1"/>
  <c r="R164" i="36"/>
  <c r="P405" i="36"/>
  <c r="W53" i="24"/>
  <c r="BN53" i="24" s="1"/>
  <c r="BZ53" i="24" s="1"/>
  <c r="Q230" i="36"/>
  <c r="BP69" i="34"/>
  <c r="Z69" i="34" s="1"/>
  <c r="BL69" i="34"/>
  <c r="AA69" i="34" s="1"/>
  <c r="BF51" i="33"/>
  <c r="V51" i="33" s="1"/>
  <c r="BE52" i="33"/>
  <c r="BT52" i="24"/>
  <c r="AD52" i="24" s="1"/>
  <c r="X180" i="36" s="1"/>
  <c r="BS53" i="24"/>
  <c r="BX53" i="32"/>
  <c r="AC53" i="32" s="1"/>
  <c r="BW54" i="32"/>
  <c r="BX52" i="24"/>
  <c r="AB52" i="24" s="1"/>
  <c r="BW53" i="24"/>
  <c r="BQ53" i="29"/>
  <c r="Y53" i="29" s="1"/>
  <c r="BP54" i="29"/>
  <c r="AB68" i="34"/>
  <c r="AE68" i="34"/>
  <c r="V68" i="24"/>
  <c r="BM68" i="24" s="1"/>
  <c r="Q216" i="36"/>
  <c r="R216" i="36"/>
  <c r="R68" i="24"/>
  <c r="BA68" i="24" s="1"/>
  <c r="X50" i="33"/>
  <c r="Q257" i="36"/>
  <c r="AA50" i="33"/>
  <c r="Y52" i="32"/>
  <c r="BP52" i="32" s="1"/>
  <c r="AP66" i="60" l="1"/>
  <c r="AM66" i="60"/>
  <c r="BV68" i="60"/>
  <c r="BW67" i="60"/>
  <c r="AL67" i="60" s="1"/>
  <c r="CA71" i="60"/>
  <c r="AK71" i="60" s="1"/>
  <c r="BZ72" i="60"/>
  <c r="CA72" i="60" s="1"/>
  <c r="AK72" i="60" s="1"/>
  <c r="BP70" i="26"/>
  <c r="Z70" i="26" s="1"/>
  <c r="S70" i="29" s="1"/>
  <c r="BC70" i="29" s="1"/>
  <c r="BO70" i="29" s="1"/>
  <c r="BO71" i="26"/>
  <c r="S66" i="24"/>
  <c r="BB66" i="24" s="1"/>
  <c r="BR66" i="24" s="1"/>
  <c r="AE66" i="1"/>
  <c r="R243" i="36"/>
  <c r="AB66" i="1"/>
  <c r="BL67" i="1"/>
  <c r="AA67" i="1" s="1"/>
  <c r="BK68" i="1"/>
  <c r="BO32" i="32"/>
  <c r="BO34" i="32"/>
  <c r="BO36" i="32"/>
  <c r="BO40" i="32"/>
  <c r="BO44" i="32"/>
  <c r="BK62" i="26"/>
  <c r="BL61" i="26"/>
  <c r="AA61" i="26" s="1"/>
  <c r="R321" i="36"/>
  <c r="P60" i="29"/>
  <c r="AS60" i="29" s="1"/>
  <c r="BG60" i="29" s="1"/>
  <c r="AE60" i="26"/>
  <c r="Q321" i="36" s="1"/>
  <c r="AB60" i="26"/>
  <c r="BS33" i="32"/>
  <c r="BS34" i="32" s="1"/>
  <c r="BS35" i="32" s="1"/>
  <c r="BS36" i="32" s="1"/>
  <c r="BS37" i="32" s="1"/>
  <c r="BS38" i="32" s="1"/>
  <c r="BL50" i="29"/>
  <c r="BM49" i="29"/>
  <c r="X49" i="29" s="1"/>
  <c r="BI49" i="29"/>
  <c r="Z49" i="29" s="1"/>
  <c r="BH50" i="29"/>
  <c r="BC47" i="32"/>
  <c r="BR47" i="32" s="1"/>
  <c r="AA48" i="29"/>
  <c r="AD48" i="29"/>
  <c r="T48" i="32"/>
  <c r="BC48" i="32" s="1"/>
  <c r="BR48" i="32" s="1"/>
  <c r="R281" i="36"/>
  <c r="X47" i="32"/>
  <c r="BO47" i="32" s="1"/>
  <c r="Q280" i="36"/>
  <c r="BO33" i="32"/>
  <c r="BO35" i="32"/>
  <c r="BO37" i="32"/>
  <c r="BO39" i="32"/>
  <c r="BO41" i="32"/>
  <c r="BO43" i="32"/>
  <c r="BO45" i="32"/>
  <c r="AA53" i="10"/>
  <c r="X53" i="10"/>
  <c r="Q373" i="36"/>
  <c r="BC54" i="10"/>
  <c r="W54" i="10" s="1"/>
  <c r="R374" i="36" s="1"/>
  <c r="BB55" i="10"/>
  <c r="BG54" i="10"/>
  <c r="V54" i="10" s="1"/>
  <c r="BF55" i="10"/>
  <c r="W54" i="24"/>
  <c r="BN54" i="24" s="1"/>
  <c r="BZ54" i="24" s="1"/>
  <c r="Q231" i="36"/>
  <c r="P406" i="36"/>
  <c r="S52" i="32"/>
  <c r="BB52" i="32" s="1"/>
  <c r="R165" i="36"/>
  <c r="BF52" i="33"/>
  <c r="V52" i="33" s="1"/>
  <c r="BE53" i="33"/>
  <c r="AE69" i="34"/>
  <c r="AB69" i="34"/>
  <c r="V69" i="24"/>
  <c r="BM69" i="24" s="1"/>
  <c r="Q217" i="36"/>
  <c r="BQ54" i="29"/>
  <c r="Y54" i="29" s="1"/>
  <c r="BP55" i="29"/>
  <c r="BX53" i="24"/>
  <c r="AB53" i="24" s="1"/>
  <c r="BW54" i="24"/>
  <c r="BX54" i="32"/>
  <c r="AC54" i="32" s="1"/>
  <c r="BW55" i="32"/>
  <c r="BT53" i="24"/>
  <c r="AD53" i="24" s="1"/>
  <c r="X181" i="36" s="1"/>
  <c r="BS54" i="24"/>
  <c r="AA51" i="33"/>
  <c r="X51" i="33"/>
  <c r="Y53" i="32"/>
  <c r="BP53" i="32" s="1"/>
  <c r="Q258" i="36"/>
  <c r="R69" i="24"/>
  <c r="R217" i="36"/>
  <c r="AP67" i="60" l="1"/>
  <c r="AM67" i="60"/>
  <c r="BW68" i="60"/>
  <c r="AL68" i="60" s="1"/>
  <c r="BV69" i="60"/>
  <c r="BO72" i="26"/>
  <c r="BP72" i="26" s="1"/>
  <c r="Z72" i="26" s="1"/>
  <c r="S72" i="29" s="1"/>
  <c r="BP71" i="26"/>
  <c r="Z71" i="26" s="1"/>
  <c r="S71" i="29" s="1"/>
  <c r="BC71" i="29" s="1"/>
  <c r="BO71" i="29" s="1"/>
  <c r="S67" i="24"/>
  <c r="BB67" i="24" s="1"/>
  <c r="BR67" i="24" s="1"/>
  <c r="AB67" i="1"/>
  <c r="R244" i="36"/>
  <c r="AE67" i="1"/>
  <c r="BL68" i="1"/>
  <c r="AA68" i="1" s="1"/>
  <c r="BK69" i="1"/>
  <c r="R322" i="36"/>
  <c r="P61" i="29"/>
  <c r="AS61" i="29" s="1"/>
  <c r="BG61" i="29" s="1"/>
  <c r="AE61" i="26"/>
  <c r="Q322" i="36" s="1"/>
  <c r="AB61" i="26"/>
  <c r="BK63" i="26"/>
  <c r="BL62" i="26"/>
  <c r="AA62" i="26" s="1"/>
  <c r="BH51" i="29"/>
  <c r="BI50" i="29"/>
  <c r="Z50" i="29" s="1"/>
  <c r="AD49" i="29"/>
  <c r="AA49" i="29"/>
  <c r="Q281" i="36"/>
  <c r="X48" i="32"/>
  <c r="BO48" i="32" s="1"/>
  <c r="T49" i="32"/>
  <c r="BC49" i="32" s="1"/>
  <c r="BR49" i="32" s="1"/>
  <c r="R282" i="36"/>
  <c r="BM50" i="29"/>
  <c r="X50" i="29" s="1"/>
  <c r="BL51" i="29"/>
  <c r="Q374" i="36"/>
  <c r="X54" i="10"/>
  <c r="AA54" i="10"/>
  <c r="BG55" i="10"/>
  <c r="V55" i="10" s="1"/>
  <c r="BF56" i="10"/>
  <c r="BB56" i="10"/>
  <c r="BC55" i="10"/>
  <c r="W55" i="10" s="1"/>
  <c r="R375" i="36" s="1"/>
  <c r="BA69" i="24"/>
  <c r="S53" i="32"/>
  <c r="BB53" i="32" s="1"/>
  <c r="R166" i="36"/>
  <c r="P407" i="36"/>
  <c r="W55" i="24"/>
  <c r="BN55" i="24" s="1"/>
  <c r="BZ55" i="24" s="1"/>
  <c r="Q232" i="36"/>
  <c r="BS39" i="32"/>
  <c r="BF53" i="33"/>
  <c r="V53" i="33" s="1"/>
  <c r="BE54" i="33"/>
  <c r="BT54" i="24"/>
  <c r="AD54" i="24" s="1"/>
  <c r="X182" i="36" s="1"/>
  <c r="BS55" i="24"/>
  <c r="BX55" i="32"/>
  <c r="AC55" i="32" s="1"/>
  <c r="BW56" i="32"/>
  <c r="BX54" i="24"/>
  <c r="AB54" i="24" s="1"/>
  <c r="BW55" i="24"/>
  <c r="BQ55" i="29"/>
  <c r="Y55" i="29" s="1"/>
  <c r="BP56" i="29"/>
  <c r="X52" i="33"/>
  <c r="Q259" i="36"/>
  <c r="AA52" i="33"/>
  <c r="Y54" i="32"/>
  <c r="BP54" i="32" s="1"/>
  <c r="BW69" i="60" l="1"/>
  <c r="AL69" i="60" s="1"/>
  <c r="BV70" i="60"/>
  <c r="AP68" i="60"/>
  <c r="AM68" i="60"/>
  <c r="BC72" i="29"/>
  <c r="BO72" i="29" s="1"/>
  <c r="BL69" i="1"/>
  <c r="AA69" i="1" s="1"/>
  <c r="BK70" i="1"/>
  <c r="S68" i="24"/>
  <c r="BB68" i="24" s="1"/>
  <c r="BR68" i="24" s="1"/>
  <c r="AE68" i="1"/>
  <c r="R245" i="36"/>
  <c r="AB68" i="1"/>
  <c r="R323" i="36"/>
  <c r="P62" i="29"/>
  <c r="AS62" i="29" s="1"/>
  <c r="BG62" i="29" s="1"/>
  <c r="AE62" i="26"/>
  <c r="Q323" i="36" s="1"/>
  <c r="AB62" i="26"/>
  <c r="BK64" i="26"/>
  <c r="BL63" i="26"/>
  <c r="AA63" i="26" s="1"/>
  <c r="BL52" i="29"/>
  <c r="BM51" i="29"/>
  <c r="X51" i="29" s="1"/>
  <c r="T50" i="32"/>
  <c r="BC50" i="32" s="1"/>
  <c r="BR50" i="32" s="1"/>
  <c r="R283" i="36"/>
  <c r="AA50" i="29"/>
  <c r="AD50" i="29"/>
  <c r="Q282" i="36"/>
  <c r="X49" i="32"/>
  <c r="BO49" i="32" s="1"/>
  <c r="BH52" i="29"/>
  <c r="BI51" i="29"/>
  <c r="Z51" i="29" s="1"/>
  <c r="BC56" i="10"/>
  <c r="W56" i="10" s="1"/>
  <c r="R376" i="36" s="1"/>
  <c r="BB57" i="10"/>
  <c r="AA55" i="10"/>
  <c r="X55" i="10"/>
  <c r="Q375" i="36"/>
  <c r="BG56" i="10"/>
  <c r="V56" i="10" s="1"/>
  <c r="BF57" i="10"/>
  <c r="BX55" i="24"/>
  <c r="AB55" i="24" s="1"/>
  <c r="BW56" i="24"/>
  <c r="BX56" i="32"/>
  <c r="AC56" i="32" s="1"/>
  <c r="BW57" i="32"/>
  <c r="BT55" i="24"/>
  <c r="AD55" i="24" s="1"/>
  <c r="X183" i="36" s="1"/>
  <c r="BS56" i="24"/>
  <c r="AA53" i="33"/>
  <c r="X53" i="33"/>
  <c r="Q260" i="36"/>
  <c r="Y55" i="32"/>
  <c r="BP55" i="32" s="1"/>
  <c r="BQ56" i="29"/>
  <c r="Y56" i="29" s="1"/>
  <c r="BP57" i="29"/>
  <c r="W56" i="24"/>
  <c r="BN56" i="24" s="1"/>
  <c r="BZ56" i="24" s="1"/>
  <c r="Q233" i="36"/>
  <c r="P408" i="36"/>
  <c r="S54" i="32"/>
  <c r="BB54" i="32" s="1"/>
  <c r="R167" i="36"/>
  <c r="BF54" i="33"/>
  <c r="V54" i="33" s="1"/>
  <c r="BE55" i="33"/>
  <c r="BS40" i="32"/>
  <c r="BW70" i="60" l="1"/>
  <c r="AL70" i="60" s="1"/>
  <c r="BV71" i="60"/>
  <c r="AP69" i="60"/>
  <c r="AM69" i="60"/>
  <c r="R246" i="36"/>
  <c r="S69" i="24"/>
  <c r="BB69" i="24" s="1"/>
  <c r="BR69" i="24" s="1"/>
  <c r="AE69" i="1"/>
  <c r="AB69" i="1"/>
  <c r="BL70" i="1"/>
  <c r="AA70" i="1" s="1"/>
  <c r="BK71" i="1"/>
  <c r="P63" i="29"/>
  <c r="AS63" i="29" s="1"/>
  <c r="BG63" i="29" s="1"/>
  <c r="R324" i="36"/>
  <c r="AB63" i="26"/>
  <c r="AE63" i="26"/>
  <c r="Q324" i="36" s="1"/>
  <c r="BK65" i="26"/>
  <c r="BL64" i="26"/>
  <c r="AA64" i="26" s="1"/>
  <c r="BH53" i="29"/>
  <c r="BI52" i="29"/>
  <c r="Z52" i="29" s="1"/>
  <c r="Q283" i="36"/>
  <c r="X50" i="32"/>
  <c r="BO50" i="32" s="1"/>
  <c r="AD51" i="29"/>
  <c r="AA51" i="29"/>
  <c r="R284" i="36"/>
  <c r="T51" i="32"/>
  <c r="BC51" i="32" s="1"/>
  <c r="BR51" i="32" s="1"/>
  <c r="BM52" i="29"/>
  <c r="X52" i="29" s="1"/>
  <c r="BL53" i="29"/>
  <c r="X56" i="10"/>
  <c r="Q376" i="36"/>
  <c r="AA56" i="10"/>
  <c r="BG57" i="10"/>
  <c r="V57" i="10" s="1"/>
  <c r="BF58" i="10"/>
  <c r="BC57" i="10"/>
  <c r="W57" i="10" s="1"/>
  <c r="R377" i="36" s="1"/>
  <c r="BB58" i="10"/>
  <c r="X54" i="33"/>
  <c r="AA54" i="33"/>
  <c r="Y56" i="32"/>
  <c r="BP56" i="32" s="1"/>
  <c r="Q261" i="36"/>
  <c r="BS41" i="32"/>
  <c r="BF55" i="33"/>
  <c r="V55" i="33" s="1"/>
  <c r="BE56" i="33"/>
  <c r="BT56" i="24"/>
  <c r="AD56" i="24" s="1"/>
  <c r="X184" i="36" s="1"/>
  <c r="BS57" i="24"/>
  <c r="BX57" i="32"/>
  <c r="AC57" i="32" s="1"/>
  <c r="BW58" i="32"/>
  <c r="BX56" i="24"/>
  <c r="AB56" i="24" s="1"/>
  <c r="BW57" i="24"/>
  <c r="BQ57" i="29"/>
  <c r="Y57" i="29" s="1"/>
  <c r="BP58" i="29"/>
  <c r="S55" i="32"/>
  <c r="BB55" i="32" s="1"/>
  <c r="R168" i="36"/>
  <c r="P409" i="36"/>
  <c r="W57" i="24"/>
  <c r="BN57" i="24" s="1"/>
  <c r="BZ57" i="24" s="1"/>
  <c r="Q234" i="36"/>
  <c r="BW71" i="60" l="1"/>
  <c r="AL71" i="60" s="1"/>
  <c r="BV72" i="60"/>
  <c r="BW72" i="60" s="1"/>
  <c r="AL72" i="60" s="1"/>
  <c r="AP70" i="60"/>
  <c r="AM70" i="60"/>
  <c r="BL71" i="1"/>
  <c r="AA71" i="1" s="1"/>
  <c r="AB71" i="1" s="1"/>
  <c r="BK72" i="1"/>
  <c r="BL72" i="1" s="1"/>
  <c r="AA72" i="1" s="1"/>
  <c r="S72" i="24" s="1"/>
  <c r="AE71" i="1"/>
  <c r="AB70" i="1"/>
  <c r="AE70" i="1"/>
  <c r="S70" i="24"/>
  <c r="BB70" i="24" s="1"/>
  <c r="R325" i="36"/>
  <c r="P64" i="29"/>
  <c r="AS64" i="29" s="1"/>
  <c r="BG64" i="29" s="1"/>
  <c r="AE64" i="26"/>
  <c r="Q325" i="36" s="1"/>
  <c r="AB64" i="26"/>
  <c r="BL65" i="26"/>
  <c r="AA65" i="26" s="1"/>
  <c r="BK66" i="26"/>
  <c r="BM53" i="29"/>
  <c r="X53" i="29" s="1"/>
  <c r="BL54" i="29"/>
  <c r="R285" i="36"/>
  <c r="T52" i="32"/>
  <c r="BC52" i="32" s="1"/>
  <c r="BR52" i="32" s="1"/>
  <c r="AA52" i="29"/>
  <c r="AD52" i="29"/>
  <c r="X51" i="32"/>
  <c r="BO51" i="32" s="1"/>
  <c r="Q284" i="36"/>
  <c r="BI53" i="29"/>
  <c r="Z53" i="29" s="1"/>
  <c r="BH54" i="29"/>
  <c r="BC58" i="10"/>
  <c r="W58" i="10" s="1"/>
  <c r="R378" i="36" s="1"/>
  <c r="BB59" i="10"/>
  <c r="BG58" i="10"/>
  <c r="V58" i="10" s="1"/>
  <c r="BF59" i="10"/>
  <c r="AA57" i="10"/>
  <c r="Q377" i="36"/>
  <c r="X57" i="10"/>
  <c r="BX57" i="24"/>
  <c r="AB57" i="24" s="1"/>
  <c r="BW58" i="24"/>
  <c r="BX58" i="32"/>
  <c r="AC58" i="32" s="1"/>
  <c r="BW59" i="32"/>
  <c r="BT57" i="24"/>
  <c r="AD57" i="24" s="1"/>
  <c r="X185" i="36" s="1"/>
  <c r="BS58" i="24"/>
  <c r="BF56" i="33"/>
  <c r="V56" i="33" s="1"/>
  <c r="BE57" i="33"/>
  <c r="BS42" i="32"/>
  <c r="BQ58" i="29"/>
  <c r="Y58" i="29" s="1"/>
  <c r="BP59" i="29"/>
  <c r="Q235" i="36"/>
  <c r="W58" i="24"/>
  <c r="BN58" i="24" s="1"/>
  <c r="BZ58" i="24" s="1"/>
  <c r="P410" i="36"/>
  <c r="S56" i="32"/>
  <c r="BB56" i="32" s="1"/>
  <c r="R169" i="36"/>
  <c r="X55" i="33"/>
  <c r="Y57" i="32"/>
  <c r="BP57" i="32" s="1"/>
  <c r="AA55" i="33"/>
  <c r="Q262" i="36"/>
  <c r="AP72" i="60" l="1"/>
  <c r="AM72" i="60"/>
  <c r="AP71" i="60"/>
  <c r="AM71" i="60"/>
  <c r="S71" i="24"/>
  <c r="BB72" i="24" s="1"/>
  <c r="AE72" i="1"/>
  <c r="AB72" i="1"/>
  <c r="BK67" i="26"/>
  <c r="BL66" i="26"/>
  <c r="AA66" i="26" s="1"/>
  <c r="R326" i="36"/>
  <c r="P65" i="29"/>
  <c r="AS65" i="29" s="1"/>
  <c r="BG65" i="29" s="1"/>
  <c r="AB65" i="26"/>
  <c r="AE65" i="26"/>
  <c r="Q326" i="36" s="1"/>
  <c r="R286" i="36"/>
  <c r="T53" i="32"/>
  <c r="BC53" i="32" s="1"/>
  <c r="BR53" i="32" s="1"/>
  <c r="Q285" i="36"/>
  <c r="X52" i="32"/>
  <c r="BO52" i="32" s="1"/>
  <c r="AD53" i="29"/>
  <c r="AA53" i="29"/>
  <c r="BH55" i="29"/>
  <c r="BI54" i="29"/>
  <c r="Z54" i="29" s="1"/>
  <c r="BM54" i="29"/>
  <c r="X54" i="29" s="1"/>
  <c r="BL55" i="29"/>
  <c r="BG59" i="10"/>
  <c r="V59" i="10" s="1"/>
  <c r="BF60" i="10"/>
  <c r="BC59" i="10"/>
  <c r="W59" i="10" s="1"/>
  <c r="R379" i="36" s="1"/>
  <c r="BB60" i="10"/>
  <c r="Q378" i="36"/>
  <c r="X58" i="10"/>
  <c r="AA58" i="10"/>
  <c r="BQ59" i="29"/>
  <c r="Y59" i="29" s="1"/>
  <c r="BP60" i="29"/>
  <c r="AA56" i="33"/>
  <c r="Q263" i="36"/>
  <c r="X56" i="33"/>
  <c r="Y58" i="32"/>
  <c r="BP58" i="32" s="1"/>
  <c r="S57" i="32"/>
  <c r="BB57" i="32" s="1"/>
  <c r="R170" i="36"/>
  <c r="P411" i="36"/>
  <c r="BS43" i="32"/>
  <c r="BF57" i="33"/>
  <c r="V57" i="33" s="1"/>
  <c r="BE58" i="33"/>
  <c r="BT58" i="24"/>
  <c r="AD58" i="24" s="1"/>
  <c r="X186" i="36" s="1"/>
  <c r="BS59" i="24"/>
  <c r="BX59" i="32"/>
  <c r="AC59" i="32" s="1"/>
  <c r="BW60" i="32"/>
  <c r="BX58" i="24"/>
  <c r="AB58" i="24" s="1"/>
  <c r="BW59" i="24"/>
  <c r="Q236" i="36"/>
  <c r="W59" i="24"/>
  <c r="BN59" i="24" s="1"/>
  <c r="BZ59" i="24" s="1"/>
  <c r="BB71" i="24" l="1"/>
  <c r="P66" i="29"/>
  <c r="AS66" i="29" s="1"/>
  <c r="BG66" i="29" s="1"/>
  <c r="R327" i="36"/>
  <c r="AB66" i="26"/>
  <c r="AE66" i="26"/>
  <c r="Q327" i="36" s="1"/>
  <c r="BK68" i="26"/>
  <c r="BL67" i="26"/>
  <c r="AA67" i="26" s="1"/>
  <c r="BL56" i="29"/>
  <c r="BM55" i="29"/>
  <c r="X55" i="29" s="1"/>
  <c r="BI55" i="29"/>
  <c r="Z55" i="29" s="1"/>
  <c r="BH56" i="29"/>
  <c r="Q286" i="36"/>
  <c r="X53" i="32"/>
  <c r="BO53" i="32" s="1"/>
  <c r="AD54" i="29"/>
  <c r="AA54" i="29"/>
  <c r="T54" i="32"/>
  <c r="BC54" i="32" s="1"/>
  <c r="BR54" i="32" s="1"/>
  <c r="R287" i="36"/>
  <c r="BC60" i="10"/>
  <c r="W60" i="10" s="1"/>
  <c r="R380" i="36" s="1"/>
  <c r="BB61" i="10"/>
  <c r="BG60" i="10"/>
  <c r="V60" i="10" s="1"/>
  <c r="BF61" i="10"/>
  <c r="X59" i="10"/>
  <c r="AA59" i="10"/>
  <c r="Q379" i="36"/>
  <c r="P412" i="36"/>
  <c r="S58" i="32"/>
  <c r="BB58" i="32" s="1"/>
  <c r="R171" i="36"/>
  <c r="AA57" i="33"/>
  <c r="Y59" i="32"/>
  <c r="BP59" i="32" s="1"/>
  <c r="Q264" i="36"/>
  <c r="X57" i="33"/>
  <c r="BX59" i="24"/>
  <c r="AB59" i="24" s="1"/>
  <c r="BW60" i="24"/>
  <c r="BX60" i="32"/>
  <c r="AC60" i="32" s="1"/>
  <c r="BW61" i="32"/>
  <c r="BT59" i="24"/>
  <c r="AD59" i="24" s="1"/>
  <c r="X187" i="36" s="1"/>
  <c r="BS60" i="24"/>
  <c r="BF58" i="33"/>
  <c r="V58" i="33" s="1"/>
  <c r="BE59" i="33"/>
  <c r="BS44" i="32"/>
  <c r="Q237" i="36"/>
  <c r="W60" i="24"/>
  <c r="BN60" i="24" s="1"/>
  <c r="BZ60" i="24" s="1"/>
  <c r="BQ60" i="29"/>
  <c r="Y60" i="29" s="1"/>
  <c r="BP61" i="29"/>
  <c r="R328" i="36" l="1"/>
  <c r="P67" i="29"/>
  <c r="AS67" i="29" s="1"/>
  <c r="BG67" i="29" s="1"/>
  <c r="AB67" i="26"/>
  <c r="AE67" i="26"/>
  <c r="Q328" i="36" s="1"/>
  <c r="BL68" i="26"/>
  <c r="AA68" i="26" s="1"/>
  <c r="BK69" i="26"/>
  <c r="Q287" i="36"/>
  <c r="X54" i="32"/>
  <c r="BO54" i="32" s="1"/>
  <c r="R288" i="36"/>
  <c r="T55" i="32"/>
  <c r="BC55" i="32" s="1"/>
  <c r="BR55" i="32" s="1"/>
  <c r="BM56" i="29"/>
  <c r="X56" i="29" s="1"/>
  <c r="BL57" i="29"/>
  <c r="BH57" i="29"/>
  <c r="BI56" i="29"/>
  <c r="Z56" i="29" s="1"/>
  <c r="AA55" i="29"/>
  <c r="AD55" i="29"/>
  <c r="BG61" i="10"/>
  <c r="V61" i="10" s="1"/>
  <c r="BF62" i="10"/>
  <c r="BC61" i="10"/>
  <c r="W61" i="10" s="1"/>
  <c r="R381" i="36" s="1"/>
  <c r="BB62" i="10"/>
  <c r="AA60" i="10"/>
  <c r="X60" i="10"/>
  <c r="Q380" i="36"/>
  <c r="AA58" i="33"/>
  <c r="Q265" i="36"/>
  <c r="X58" i="33"/>
  <c r="Y60" i="32"/>
  <c r="BP60" i="32" s="1"/>
  <c r="S59" i="32"/>
  <c r="BB59" i="32" s="1"/>
  <c r="R172" i="36"/>
  <c r="P413" i="36"/>
  <c r="W61" i="24"/>
  <c r="BN61" i="24" s="1"/>
  <c r="BZ61" i="24" s="1"/>
  <c r="Q238" i="36"/>
  <c r="BQ61" i="29"/>
  <c r="Y61" i="29" s="1"/>
  <c r="BP62" i="29"/>
  <c r="BS45" i="32"/>
  <c r="BF59" i="33"/>
  <c r="V59" i="33" s="1"/>
  <c r="BE60" i="33"/>
  <c r="BT60" i="24"/>
  <c r="AD60" i="24" s="1"/>
  <c r="X188" i="36" s="1"/>
  <c r="BS61" i="24"/>
  <c r="BX61" i="32"/>
  <c r="AC61" i="32" s="1"/>
  <c r="BW62" i="32"/>
  <c r="BX60" i="24"/>
  <c r="AB60" i="24" s="1"/>
  <c r="BW61" i="24"/>
  <c r="BK70" i="26" l="1"/>
  <c r="BL69" i="26"/>
  <c r="AA69" i="26" s="1"/>
  <c r="R329" i="36"/>
  <c r="P68" i="29"/>
  <c r="AS68" i="29" s="1"/>
  <c r="BG68" i="29" s="1"/>
  <c r="AB68" i="26"/>
  <c r="AE68" i="26"/>
  <c r="Q329" i="36" s="1"/>
  <c r="BI57" i="29"/>
  <c r="Z57" i="29" s="1"/>
  <c r="BH58" i="29"/>
  <c r="BL58" i="29"/>
  <c r="BM57" i="29"/>
  <c r="X57" i="29" s="1"/>
  <c r="Q288" i="36"/>
  <c r="X55" i="32"/>
  <c r="BO55" i="32" s="1"/>
  <c r="T56" i="32"/>
  <c r="BC56" i="32" s="1"/>
  <c r="BR56" i="32" s="1"/>
  <c r="R289" i="36"/>
  <c r="AD56" i="29"/>
  <c r="AA56" i="29"/>
  <c r="X61" i="10"/>
  <c r="AA61" i="10"/>
  <c r="Q381" i="36"/>
  <c r="BC62" i="10"/>
  <c r="W62" i="10" s="1"/>
  <c r="R382" i="36" s="1"/>
  <c r="BB63" i="10"/>
  <c r="BG62" i="10"/>
  <c r="V62" i="10" s="1"/>
  <c r="BF63" i="10"/>
  <c r="W62" i="24"/>
  <c r="BN62" i="24" s="1"/>
  <c r="BZ62" i="24" s="1"/>
  <c r="Q239" i="36"/>
  <c r="P414" i="36"/>
  <c r="S60" i="32"/>
  <c r="BB60" i="32" s="1"/>
  <c r="R173" i="36"/>
  <c r="X59" i="33"/>
  <c r="Q266" i="36"/>
  <c r="AA59" i="33"/>
  <c r="Y61" i="32"/>
  <c r="BP61" i="32" s="1"/>
  <c r="BQ62" i="29"/>
  <c r="Y62" i="29" s="1"/>
  <c r="BP63" i="29"/>
  <c r="BX61" i="24"/>
  <c r="AB61" i="24" s="1"/>
  <c r="BW62" i="24"/>
  <c r="BX62" i="32"/>
  <c r="AC62" i="32" s="1"/>
  <c r="BW63" i="32"/>
  <c r="BT61" i="24"/>
  <c r="AD61" i="24" s="1"/>
  <c r="X189" i="36" s="1"/>
  <c r="BS62" i="24"/>
  <c r="BF60" i="33"/>
  <c r="V60" i="33" s="1"/>
  <c r="BE61" i="33"/>
  <c r="CA74" i="24"/>
  <c r="CA47" i="24"/>
  <c r="BS46" i="32"/>
  <c r="CB31" i="24" l="1"/>
  <c r="CB38" i="24"/>
  <c r="CB37" i="24"/>
  <c r="AC37" i="24" s="1"/>
  <c r="CB36" i="24"/>
  <c r="CB35" i="24"/>
  <c r="AC35" i="24" s="1"/>
  <c r="CB34" i="24"/>
  <c r="CB33" i="24"/>
  <c r="AC33" i="24" s="1"/>
  <c r="CB32" i="24"/>
  <c r="CB45" i="24"/>
  <c r="CB43" i="24"/>
  <c r="CB41" i="24"/>
  <c r="AC41" i="24" s="1"/>
  <c r="CB39" i="24"/>
  <c r="CB46" i="24"/>
  <c r="AC46" i="24" s="1"/>
  <c r="CB44" i="24"/>
  <c r="CB42" i="24"/>
  <c r="AC42" i="24" s="1"/>
  <c r="CB40" i="24"/>
  <c r="R330" i="36"/>
  <c r="P69" i="29"/>
  <c r="AS69" i="29" s="1"/>
  <c r="BG69" i="29" s="1"/>
  <c r="AE69" i="26"/>
  <c r="Q330" i="36" s="1"/>
  <c r="AB69" i="26"/>
  <c r="BL70" i="26"/>
  <c r="AA70" i="26" s="1"/>
  <c r="BK71" i="26"/>
  <c r="Q289" i="36"/>
  <c r="X56" i="32"/>
  <c r="BO56" i="32" s="1"/>
  <c r="AD57" i="29"/>
  <c r="AA57" i="29"/>
  <c r="BI58" i="29"/>
  <c r="Z58" i="29" s="1"/>
  <c r="BH59" i="29"/>
  <c r="BM58" i="29"/>
  <c r="X58" i="29" s="1"/>
  <c r="BL59" i="29"/>
  <c r="R290" i="36"/>
  <c r="T57" i="32"/>
  <c r="BC57" i="32" s="1"/>
  <c r="BR57" i="32" s="1"/>
  <c r="Q382" i="36"/>
  <c r="AA62" i="10"/>
  <c r="X62" i="10"/>
  <c r="BG63" i="10"/>
  <c r="V63" i="10" s="1"/>
  <c r="BF64" i="10"/>
  <c r="BB64" i="10"/>
  <c r="BC63" i="10"/>
  <c r="W63" i="10" s="1"/>
  <c r="R383" i="36" s="1"/>
  <c r="CB13" i="24"/>
  <c r="AC13" i="24" s="1"/>
  <c r="CB21" i="24"/>
  <c r="AC21" i="24" s="1"/>
  <c r="CB12" i="24"/>
  <c r="AC12" i="24" s="1"/>
  <c r="CB20" i="24"/>
  <c r="AC20" i="24" s="1"/>
  <c r="CB10" i="24"/>
  <c r="AC10" i="24" s="1"/>
  <c r="CB18" i="24"/>
  <c r="AC18" i="24" s="1"/>
  <c r="CB23" i="24"/>
  <c r="AC23" i="24" s="1"/>
  <c r="CB15" i="24"/>
  <c r="AC15" i="24" s="1"/>
  <c r="CB26" i="24"/>
  <c r="AC26" i="24" s="1"/>
  <c r="CB17" i="24"/>
  <c r="AC17" i="24" s="1"/>
  <c r="CB25" i="24"/>
  <c r="AC25" i="24" s="1"/>
  <c r="CB16" i="24"/>
  <c r="AC16" i="24" s="1"/>
  <c r="CB24" i="24"/>
  <c r="AC24" i="24" s="1"/>
  <c r="CB14" i="24"/>
  <c r="AC14" i="24" s="1"/>
  <c r="CB22" i="24"/>
  <c r="AC22" i="24" s="1"/>
  <c r="CB19" i="24"/>
  <c r="AC19" i="24" s="1"/>
  <c r="CB11" i="24"/>
  <c r="AC11" i="24" s="1"/>
  <c r="CB27" i="24"/>
  <c r="AC27" i="24" s="1"/>
  <c r="CB29" i="24"/>
  <c r="AC29" i="24" s="1"/>
  <c r="CB28" i="24"/>
  <c r="AC28" i="24" s="1"/>
  <c r="CB30" i="24"/>
  <c r="AC30" i="24" s="1"/>
  <c r="AC31" i="24"/>
  <c r="AC32" i="24"/>
  <c r="AC34" i="24"/>
  <c r="AC36" i="24"/>
  <c r="AC38" i="24"/>
  <c r="AC39" i="24"/>
  <c r="AC40" i="24"/>
  <c r="AC43" i="24"/>
  <c r="AC44" i="24"/>
  <c r="AC45" i="24"/>
  <c r="BT62" i="24"/>
  <c r="AD62" i="24" s="1"/>
  <c r="X190" i="36" s="1"/>
  <c r="BS63" i="24"/>
  <c r="BX63" i="32"/>
  <c r="AC63" i="32" s="1"/>
  <c r="BW64" i="32"/>
  <c r="BS74" i="32"/>
  <c r="BT46" i="32" s="1"/>
  <c r="AE46" i="32" s="1"/>
  <c r="X69" i="36" s="1"/>
  <c r="BS47" i="32"/>
  <c r="CB47" i="24"/>
  <c r="AC47" i="24" s="1"/>
  <c r="CA48" i="24"/>
  <c r="AA60" i="33"/>
  <c r="Q267" i="36"/>
  <c r="X60" i="33"/>
  <c r="Y62" i="32"/>
  <c r="BP62" i="32" s="1"/>
  <c r="S61" i="32"/>
  <c r="BB61" i="32" s="1"/>
  <c r="R174" i="36"/>
  <c r="P415" i="36"/>
  <c r="BQ63" i="29"/>
  <c r="Y63" i="29" s="1"/>
  <c r="BP64" i="29"/>
  <c r="BF61" i="33"/>
  <c r="V61" i="33" s="1"/>
  <c r="BE62" i="33"/>
  <c r="BX62" i="24"/>
  <c r="AB62" i="24" s="1"/>
  <c r="BW63" i="24"/>
  <c r="W63" i="24"/>
  <c r="BN63" i="24" s="1"/>
  <c r="BZ63" i="24" s="1"/>
  <c r="Q240" i="36"/>
  <c r="BL71" i="26" l="1"/>
  <c r="AA71" i="26" s="1"/>
  <c r="AB71" i="26" s="1"/>
  <c r="BK72" i="26"/>
  <c r="BL72" i="26" s="1"/>
  <c r="AA72" i="26" s="1"/>
  <c r="P71" i="29"/>
  <c r="P70" i="29"/>
  <c r="AS70" i="29" s="1"/>
  <c r="BG70" i="29" s="1"/>
  <c r="AE70" i="26"/>
  <c r="AB70" i="26"/>
  <c r="AD58" i="29"/>
  <c r="AA58" i="29"/>
  <c r="BH60" i="29"/>
  <c r="BI59" i="29"/>
  <c r="Z59" i="29" s="1"/>
  <c r="BM59" i="29"/>
  <c r="X59" i="29" s="1"/>
  <c r="BL60" i="29"/>
  <c r="R291" i="36"/>
  <c r="T58" i="32"/>
  <c r="BC58" i="32" s="1"/>
  <c r="BR58" i="32" s="1"/>
  <c r="X57" i="32"/>
  <c r="BO57" i="32" s="1"/>
  <c r="Q290" i="36"/>
  <c r="BB65" i="10"/>
  <c r="BC64" i="10"/>
  <c r="W64" i="10" s="1"/>
  <c r="R384" i="36" s="1"/>
  <c r="AA63" i="10"/>
  <c r="X63" i="10"/>
  <c r="Q383" i="36"/>
  <c r="BG64" i="10"/>
  <c r="V64" i="10" s="1"/>
  <c r="BF65" i="10"/>
  <c r="P46" i="30"/>
  <c r="P96" i="30" s="1"/>
  <c r="R54" i="36"/>
  <c r="X61" i="33"/>
  <c r="AA61" i="33"/>
  <c r="Y63" i="32"/>
  <c r="BP63" i="32" s="1"/>
  <c r="Q268" i="36"/>
  <c r="Q241" i="36"/>
  <c r="W64" i="24"/>
  <c r="BN64" i="24" s="1"/>
  <c r="BZ64" i="24" s="1"/>
  <c r="AE46" i="24"/>
  <c r="AH46" i="24"/>
  <c r="W174" i="36" s="1"/>
  <c r="AH47" i="24"/>
  <c r="W175" i="36" s="1"/>
  <c r="AE47" i="24"/>
  <c r="BX64" i="32"/>
  <c r="AC64" i="32" s="1"/>
  <c r="BW65" i="32"/>
  <c r="BT63" i="24"/>
  <c r="AD63" i="24" s="1"/>
  <c r="X191" i="36" s="1"/>
  <c r="BS64" i="24"/>
  <c r="AE45" i="24"/>
  <c r="AH45" i="24"/>
  <c r="W45" i="32" s="1"/>
  <c r="AE43" i="24"/>
  <c r="AH43" i="24"/>
  <c r="W43" i="32" s="1"/>
  <c r="AE41" i="24"/>
  <c r="AH41" i="24"/>
  <c r="W41" i="32" s="1"/>
  <c r="AE39" i="24"/>
  <c r="AH39" i="24"/>
  <c r="W39" i="32" s="1"/>
  <c r="AE37" i="24"/>
  <c r="AH37" i="24"/>
  <c r="W37" i="32" s="1"/>
  <c r="AE35" i="24"/>
  <c r="AH35" i="24"/>
  <c r="W35" i="32" s="1"/>
  <c r="AH32" i="24"/>
  <c r="W32" i="32" s="1"/>
  <c r="AE32" i="24"/>
  <c r="AH31" i="24"/>
  <c r="W31" i="32" s="1"/>
  <c r="AE31" i="24"/>
  <c r="AE28" i="24"/>
  <c r="AH28" i="24"/>
  <c r="AE27" i="24"/>
  <c r="AH27" i="24"/>
  <c r="AE19" i="24"/>
  <c r="AH19" i="24"/>
  <c r="AH14" i="24"/>
  <c r="AE14" i="24"/>
  <c r="AH16" i="24"/>
  <c r="AE16" i="24"/>
  <c r="AE17" i="24"/>
  <c r="AH17" i="24"/>
  <c r="AH15" i="24"/>
  <c r="AE15" i="24"/>
  <c r="AE18" i="24"/>
  <c r="AH18" i="24"/>
  <c r="AE20" i="24"/>
  <c r="AH20" i="24"/>
  <c r="AH21" i="24"/>
  <c r="AE21" i="24"/>
  <c r="BX63" i="24"/>
  <c r="AB63" i="24" s="1"/>
  <c r="BW64" i="24"/>
  <c r="BF62" i="33"/>
  <c r="V62" i="33" s="1"/>
  <c r="BE63" i="33"/>
  <c r="BQ64" i="29"/>
  <c r="Y64" i="29" s="1"/>
  <c r="BP65" i="29"/>
  <c r="CB48" i="24"/>
  <c r="AC48" i="24" s="1"/>
  <c r="CA49" i="24"/>
  <c r="BT47" i="32"/>
  <c r="AE47" i="32" s="1"/>
  <c r="X70" i="36" s="1"/>
  <c r="BS48" i="32"/>
  <c r="BT26" i="32"/>
  <c r="BT22" i="32"/>
  <c r="BT30" i="32"/>
  <c r="BT14" i="32"/>
  <c r="BT12" i="32"/>
  <c r="BT27" i="32"/>
  <c r="BT16" i="32"/>
  <c r="BT25" i="32"/>
  <c r="BT19" i="32"/>
  <c r="BT21" i="32"/>
  <c r="BT11" i="32"/>
  <c r="BT15" i="32"/>
  <c r="BT24" i="32"/>
  <c r="BT23" i="32"/>
  <c r="BT10" i="32"/>
  <c r="BT20" i="32"/>
  <c r="BT28" i="32"/>
  <c r="BT18" i="32"/>
  <c r="BT29" i="32"/>
  <c r="BT13" i="32"/>
  <c r="BT17" i="32"/>
  <c r="BT31" i="32"/>
  <c r="AE31" i="32" s="1"/>
  <c r="BT32" i="32"/>
  <c r="AE32" i="32" s="1"/>
  <c r="BT33" i="32"/>
  <c r="AE33" i="32" s="1"/>
  <c r="BT34" i="32"/>
  <c r="AE34" i="32" s="1"/>
  <c r="BT35" i="32"/>
  <c r="AE35" i="32" s="1"/>
  <c r="BT36" i="32"/>
  <c r="AE36" i="32" s="1"/>
  <c r="BT37" i="32"/>
  <c r="AE37" i="32" s="1"/>
  <c r="BT38" i="32"/>
  <c r="AE38" i="32" s="1"/>
  <c r="BT39" i="32"/>
  <c r="AE39" i="32" s="1"/>
  <c r="BT40" i="32"/>
  <c r="AE40" i="32" s="1"/>
  <c r="BT41" i="32"/>
  <c r="AE41" i="32" s="1"/>
  <c r="BT42" i="32"/>
  <c r="AE42" i="32" s="1"/>
  <c r="BT43" i="32"/>
  <c r="AE43" i="32" s="1"/>
  <c r="BT44" i="32"/>
  <c r="AE44" i="32" s="1"/>
  <c r="BT45" i="32"/>
  <c r="AE45" i="32" s="1"/>
  <c r="P416" i="36"/>
  <c r="S62" i="32"/>
  <c r="BB62" i="32" s="1"/>
  <c r="R175" i="36"/>
  <c r="AH44" i="24"/>
  <c r="W44" i="32" s="1"/>
  <c r="BN44" i="32" s="1"/>
  <c r="BZ44" i="32" s="1"/>
  <c r="AE44" i="24"/>
  <c r="AE42" i="24"/>
  <c r="AH42" i="24"/>
  <c r="W42" i="32" s="1"/>
  <c r="AH40" i="24"/>
  <c r="W40" i="32" s="1"/>
  <c r="BN40" i="32" s="1"/>
  <c r="BZ40" i="32" s="1"/>
  <c r="AE40" i="24"/>
  <c r="AH38" i="24"/>
  <c r="W38" i="32" s="1"/>
  <c r="BN38" i="32" s="1"/>
  <c r="BZ38" i="32" s="1"/>
  <c r="AE38" i="24"/>
  <c r="AH36" i="24"/>
  <c r="W36" i="32" s="1"/>
  <c r="BN36" i="32" s="1"/>
  <c r="BZ36" i="32" s="1"/>
  <c r="AE36" i="24"/>
  <c r="AE34" i="24"/>
  <c r="AH34" i="24"/>
  <c r="W34" i="32" s="1"/>
  <c r="AE33" i="24"/>
  <c r="AH33" i="24"/>
  <c r="W33" i="32" s="1"/>
  <c r="AE30" i="24"/>
  <c r="AH30" i="24"/>
  <c r="AE29" i="24"/>
  <c r="AH29" i="24"/>
  <c r="AE11" i="24"/>
  <c r="AH11" i="24"/>
  <c r="AH22" i="24"/>
  <c r="AE22" i="24"/>
  <c r="AH24" i="24"/>
  <c r="AE24" i="24"/>
  <c r="AE25" i="24"/>
  <c r="AH25" i="24"/>
  <c r="AE26" i="24"/>
  <c r="AH26" i="24"/>
  <c r="AH23" i="24"/>
  <c r="AE23" i="24"/>
  <c r="AE10" i="24"/>
  <c r="AH10" i="24"/>
  <c r="AE12" i="24"/>
  <c r="AH12" i="24"/>
  <c r="AH13" i="24"/>
  <c r="AE13" i="24"/>
  <c r="P45" i="30" l="1"/>
  <c r="P95" i="30" s="1"/>
  <c r="X68" i="36"/>
  <c r="P43" i="30"/>
  <c r="P93" i="30" s="1"/>
  <c r="X66" i="36"/>
  <c r="P41" i="30"/>
  <c r="P91" i="30" s="1"/>
  <c r="X64" i="36"/>
  <c r="P39" i="30"/>
  <c r="P89" i="30" s="1"/>
  <c r="X62" i="36"/>
  <c r="P37" i="30"/>
  <c r="P87" i="30" s="1"/>
  <c r="X60" i="36"/>
  <c r="P35" i="30"/>
  <c r="P85" i="30" s="1"/>
  <c r="X58" i="36"/>
  <c r="P33" i="30"/>
  <c r="P83" i="30" s="1"/>
  <c r="X56" i="36"/>
  <c r="P31" i="30"/>
  <c r="AT31" i="30" s="1"/>
  <c r="X54" i="36"/>
  <c r="Z69" i="36" s="1"/>
  <c r="P44" i="30"/>
  <c r="P94" i="30" s="1"/>
  <c r="X67" i="36"/>
  <c r="P42" i="30"/>
  <c r="P92" i="30" s="1"/>
  <c r="X65" i="36"/>
  <c r="P40" i="30"/>
  <c r="P90" i="30" s="1"/>
  <c r="X63" i="36"/>
  <c r="P38" i="30"/>
  <c r="P88" i="30" s="1"/>
  <c r="X61" i="36"/>
  <c r="P36" i="30"/>
  <c r="P86" i="30" s="1"/>
  <c r="X59" i="36"/>
  <c r="P34" i="30"/>
  <c r="P84" i="30" s="1"/>
  <c r="X57" i="36"/>
  <c r="P32" i="30"/>
  <c r="P82" i="30" s="1"/>
  <c r="X55" i="36"/>
  <c r="AE71" i="26"/>
  <c r="P72" i="29"/>
  <c r="AS72" i="29" s="1"/>
  <c r="BG72" i="29" s="1"/>
  <c r="AB72" i="26"/>
  <c r="AE72" i="26"/>
  <c r="BN33" i="32"/>
  <c r="BZ33" i="32" s="1"/>
  <c r="AS71" i="29"/>
  <c r="BG71" i="29" s="1"/>
  <c r="AD59" i="29"/>
  <c r="AA59" i="29"/>
  <c r="BH61" i="29"/>
  <c r="BI60" i="29"/>
  <c r="Z60" i="29" s="1"/>
  <c r="Q291" i="36"/>
  <c r="X58" i="32"/>
  <c r="BO58" i="32" s="1"/>
  <c r="BL61" i="29"/>
  <c r="BM60" i="29"/>
  <c r="X60" i="29" s="1"/>
  <c r="R292" i="36"/>
  <c r="T59" i="32"/>
  <c r="BC59" i="32" s="1"/>
  <c r="BR59" i="32" s="1"/>
  <c r="BN42" i="32"/>
  <c r="BZ42" i="32" s="1"/>
  <c r="Q384" i="36"/>
  <c r="X64" i="10"/>
  <c r="AA64" i="10"/>
  <c r="BG65" i="10"/>
  <c r="V65" i="10" s="1"/>
  <c r="BF66" i="10"/>
  <c r="BC65" i="10"/>
  <c r="W65" i="10" s="1"/>
  <c r="R385" i="36" s="1"/>
  <c r="BB66" i="10"/>
  <c r="BN34" i="32"/>
  <c r="BZ34" i="32" s="1"/>
  <c r="R55" i="36"/>
  <c r="P47" i="30"/>
  <c r="AE48" i="24"/>
  <c r="AH48" i="24"/>
  <c r="W176" i="36" s="1"/>
  <c r="BQ65" i="29"/>
  <c r="Y65" i="29" s="1"/>
  <c r="BP66" i="29"/>
  <c r="W65" i="24"/>
  <c r="BN65" i="24" s="1"/>
  <c r="BZ65" i="24" s="1"/>
  <c r="Q242" i="36"/>
  <c r="BF63" i="33"/>
  <c r="V63" i="33" s="1"/>
  <c r="BE64" i="33"/>
  <c r="BX64" i="24"/>
  <c r="AB64" i="24" s="1"/>
  <c r="BW65" i="24"/>
  <c r="BN35" i="32"/>
  <c r="BZ35" i="32" s="1"/>
  <c r="BN37" i="32"/>
  <c r="BZ37" i="32" s="1"/>
  <c r="BN39" i="32"/>
  <c r="BZ39" i="32" s="1"/>
  <c r="BN41" i="32"/>
  <c r="BZ41" i="32" s="1"/>
  <c r="BN43" i="32"/>
  <c r="BZ43" i="32" s="1"/>
  <c r="BN45" i="32"/>
  <c r="BZ45" i="32" s="1"/>
  <c r="BT64" i="24"/>
  <c r="AD64" i="24" s="1"/>
  <c r="X192" i="36" s="1"/>
  <c r="BS65" i="24"/>
  <c r="BX65" i="32"/>
  <c r="AC65" i="32" s="1"/>
  <c r="BW66" i="32"/>
  <c r="W46" i="32"/>
  <c r="BN46" i="32" s="1"/>
  <c r="BZ46" i="32" s="1"/>
  <c r="Q159" i="36"/>
  <c r="BT48" i="32"/>
  <c r="AE48" i="32" s="1"/>
  <c r="X71" i="36" s="1"/>
  <c r="BS49" i="32"/>
  <c r="CB49" i="24"/>
  <c r="AC49" i="24" s="1"/>
  <c r="CA50" i="24"/>
  <c r="AA62" i="33"/>
  <c r="X62" i="33"/>
  <c r="Y64" i="32"/>
  <c r="BP64" i="32" s="1"/>
  <c r="Q269" i="36"/>
  <c r="BN32" i="32"/>
  <c r="BZ32" i="32" s="1"/>
  <c r="CA32" i="32" s="1"/>
  <c r="S63" i="32"/>
  <c r="BB63" i="32" s="1"/>
  <c r="R176" i="36"/>
  <c r="P417" i="36"/>
  <c r="Q160" i="36"/>
  <c r="W47" i="32"/>
  <c r="AT46" i="30"/>
  <c r="AT38" i="30" l="1"/>
  <c r="AT34" i="30"/>
  <c r="AT42" i="30"/>
  <c r="AT43" i="30"/>
  <c r="AT32" i="30"/>
  <c r="AT36" i="30"/>
  <c r="AT40" i="30"/>
  <c r="AT44" i="30"/>
  <c r="AT45" i="30"/>
  <c r="AT35" i="30"/>
  <c r="AT37" i="30"/>
  <c r="AT39" i="30"/>
  <c r="AT33" i="30"/>
  <c r="AT41" i="30"/>
  <c r="P81" i="30"/>
  <c r="CA33" i="32"/>
  <c r="BN47" i="32"/>
  <c r="BZ47" i="32" s="1"/>
  <c r="AT47" i="30"/>
  <c r="P97" i="30"/>
  <c r="BL62" i="29"/>
  <c r="BM61" i="29"/>
  <c r="X61" i="29" s="1"/>
  <c r="R293" i="36"/>
  <c r="T60" i="32"/>
  <c r="BC60" i="32" s="1"/>
  <c r="BR60" i="32" s="1"/>
  <c r="AA60" i="29"/>
  <c r="AD60" i="29"/>
  <c r="BH62" i="29"/>
  <c r="BI61" i="29"/>
  <c r="Z61" i="29" s="1"/>
  <c r="X59" i="32"/>
  <c r="BO59" i="32" s="1"/>
  <c r="Q292" i="36"/>
  <c r="Q385" i="36"/>
  <c r="AA65" i="10"/>
  <c r="X65" i="10"/>
  <c r="BB67" i="10"/>
  <c r="BC66" i="10"/>
  <c r="W66" i="10" s="1"/>
  <c r="R386" i="36" s="1"/>
  <c r="BG66" i="10"/>
  <c r="V66" i="10" s="1"/>
  <c r="BF67" i="10"/>
  <c r="CB50" i="24"/>
  <c r="AC50" i="24" s="1"/>
  <c r="CA51" i="24"/>
  <c r="BT49" i="32"/>
  <c r="AE49" i="32" s="1"/>
  <c r="X72" i="36" s="1"/>
  <c r="BS50" i="32"/>
  <c r="BX66" i="32"/>
  <c r="AC66" i="32" s="1"/>
  <c r="BW67" i="32"/>
  <c r="BT65" i="24"/>
  <c r="AD65" i="24" s="1"/>
  <c r="X193" i="36" s="1"/>
  <c r="BS66" i="24"/>
  <c r="BX65" i="24"/>
  <c r="AB65" i="24" s="1"/>
  <c r="BW66" i="24"/>
  <c r="BF64" i="33"/>
  <c r="V64" i="33" s="1"/>
  <c r="BE65" i="33"/>
  <c r="W66" i="24"/>
  <c r="BN66" i="24" s="1"/>
  <c r="BZ66" i="24" s="1"/>
  <c r="Q243" i="36"/>
  <c r="AH49" i="24"/>
  <c r="W177" i="36" s="1"/>
  <c r="AE49" i="24"/>
  <c r="P48" i="30"/>
  <c r="R56" i="36"/>
  <c r="P418" i="36"/>
  <c r="R177" i="36"/>
  <c r="S64" i="32"/>
  <c r="BB64" i="32" s="1"/>
  <c r="X63" i="33"/>
  <c r="AA63" i="33"/>
  <c r="Q270" i="36"/>
  <c r="Y65" i="32"/>
  <c r="BP65" i="32" s="1"/>
  <c r="BQ66" i="29"/>
  <c r="Y66" i="29" s="1"/>
  <c r="BP67" i="29"/>
  <c r="Q161" i="36"/>
  <c r="W48" i="32"/>
  <c r="BN48" i="32" s="1"/>
  <c r="BZ48" i="32" s="1"/>
  <c r="CA34" i="32"/>
  <c r="AT48" i="30" l="1"/>
  <c r="P98" i="30"/>
  <c r="BI62" i="29"/>
  <c r="Z62" i="29" s="1"/>
  <c r="BH63" i="29"/>
  <c r="AD61" i="29"/>
  <c r="AA61" i="29"/>
  <c r="R294" i="36"/>
  <c r="T61" i="32"/>
  <c r="BC61" i="32" s="1"/>
  <c r="BR61" i="32" s="1"/>
  <c r="Q293" i="36"/>
  <c r="X60" i="32"/>
  <c r="BO60" i="32" s="1"/>
  <c r="BL63" i="29"/>
  <c r="BM62" i="29"/>
  <c r="X62" i="29" s="1"/>
  <c r="X66" i="10"/>
  <c r="AA66" i="10"/>
  <c r="Q386" i="36"/>
  <c r="BC67" i="10"/>
  <c r="W67" i="10" s="1"/>
  <c r="R387" i="36" s="1"/>
  <c r="BB68" i="10"/>
  <c r="BG67" i="10"/>
  <c r="V67" i="10" s="1"/>
  <c r="BF68" i="10"/>
  <c r="W49" i="32"/>
  <c r="BN49" i="32" s="1"/>
  <c r="BZ49" i="32" s="1"/>
  <c r="Q162" i="36"/>
  <c r="AA64" i="33"/>
  <c r="Q271" i="36"/>
  <c r="X64" i="33"/>
  <c r="Y66" i="32"/>
  <c r="BP66" i="32" s="1"/>
  <c r="BT66" i="24"/>
  <c r="AD66" i="24" s="1"/>
  <c r="X194" i="36" s="1"/>
  <c r="BS67" i="24"/>
  <c r="BX67" i="32"/>
  <c r="AC67" i="32" s="1"/>
  <c r="BW68" i="32"/>
  <c r="BT50" i="32"/>
  <c r="AE50" i="32" s="1"/>
  <c r="X73" i="36" s="1"/>
  <c r="BS51" i="32"/>
  <c r="CB51" i="24"/>
  <c r="AC51" i="24" s="1"/>
  <c r="CA52" i="24"/>
  <c r="BQ67" i="29"/>
  <c r="Y67" i="29" s="1"/>
  <c r="BP68" i="29"/>
  <c r="CA35" i="32"/>
  <c r="BF65" i="33"/>
  <c r="V65" i="33" s="1"/>
  <c r="BE66" i="33"/>
  <c r="BX66" i="24"/>
  <c r="AB66" i="24" s="1"/>
  <c r="BW67" i="24"/>
  <c r="S65" i="32"/>
  <c r="BB65" i="32" s="1"/>
  <c r="R178" i="36"/>
  <c r="P419" i="36"/>
  <c r="P49" i="30"/>
  <c r="R57" i="36"/>
  <c r="AH50" i="24"/>
  <c r="W178" i="36" s="1"/>
  <c r="AE50" i="24"/>
  <c r="W67" i="24"/>
  <c r="BN67" i="24" s="1"/>
  <c r="BZ67" i="24" s="1"/>
  <c r="Q244" i="36"/>
  <c r="AT49" i="30" l="1"/>
  <c r="P99" i="30"/>
  <c r="BM63" i="29"/>
  <c r="X63" i="29" s="1"/>
  <c r="BL64" i="29"/>
  <c r="BI63" i="29"/>
  <c r="Z63" i="29" s="1"/>
  <c r="BH64" i="29"/>
  <c r="AA62" i="29"/>
  <c r="AD62" i="29"/>
  <c r="Q294" i="36"/>
  <c r="X61" i="32"/>
  <c r="BO61" i="32" s="1"/>
  <c r="R295" i="36"/>
  <c r="T62" i="32"/>
  <c r="BC62" i="32" s="1"/>
  <c r="BR62" i="32" s="1"/>
  <c r="Q387" i="36"/>
  <c r="X67" i="10"/>
  <c r="AA67" i="10"/>
  <c r="BG68" i="10"/>
  <c r="V68" i="10" s="1"/>
  <c r="BF69" i="10"/>
  <c r="BC68" i="10"/>
  <c r="W68" i="10" s="1"/>
  <c r="R388" i="36" s="1"/>
  <c r="BB69" i="10"/>
  <c r="W50" i="32"/>
  <c r="BN50" i="32" s="1"/>
  <c r="BZ50" i="32" s="1"/>
  <c r="Q163" i="36"/>
  <c r="BX67" i="24"/>
  <c r="AB67" i="24" s="1"/>
  <c r="BW68" i="24"/>
  <c r="BF66" i="33"/>
  <c r="V66" i="33" s="1"/>
  <c r="BE67" i="33"/>
  <c r="BQ68" i="29"/>
  <c r="Y68" i="29" s="1"/>
  <c r="BP69" i="29"/>
  <c r="BP70" i="29" s="1"/>
  <c r="CB52" i="24"/>
  <c r="AC52" i="24" s="1"/>
  <c r="CA53" i="24"/>
  <c r="BT51" i="32"/>
  <c r="AE51" i="32" s="1"/>
  <c r="X74" i="36" s="1"/>
  <c r="BS52" i="32"/>
  <c r="BX68" i="32"/>
  <c r="AC68" i="32" s="1"/>
  <c r="BW69" i="32"/>
  <c r="BT67" i="24"/>
  <c r="AD67" i="24" s="1"/>
  <c r="X195" i="36" s="1"/>
  <c r="BS68" i="24"/>
  <c r="AA65" i="33"/>
  <c r="Y67" i="32"/>
  <c r="BP67" i="32" s="1"/>
  <c r="X65" i="33"/>
  <c r="Q272" i="36"/>
  <c r="CA36" i="32"/>
  <c r="W68" i="24"/>
  <c r="BN68" i="24" s="1"/>
  <c r="BZ68" i="24" s="1"/>
  <c r="Q245" i="36"/>
  <c r="AH51" i="24"/>
  <c r="W179" i="36" s="1"/>
  <c r="AE51" i="24"/>
  <c r="R58" i="36"/>
  <c r="P50" i="30"/>
  <c r="P420" i="36"/>
  <c r="S66" i="32"/>
  <c r="BB66" i="32" s="1"/>
  <c r="R179" i="36"/>
  <c r="AT50" i="30" l="1"/>
  <c r="P100" i="30"/>
  <c r="BQ70" i="29"/>
  <c r="BP71" i="29"/>
  <c r="BI64" i="29"/>
  <c r="Z64" i="29" s="1"/>
  <c r="BH65" i="29"/>
  <c r="BL65" i="29"/>
  <c r="BM64" i="29"/>
  <c r="X64" i="29" s="1"/>
  <c r="Q295" i="36"/>
  <c r="X62" i="32"/>
  <c r="BO62" i="32" s="1"/>
  <c r="T63" i="32"/>
  <c r="BC63" i="32" s="1"/>
  <c r="BR63" i="32" s="1"/>
  <c r="R296" i="36"/>
  <c r="AD63" i="29"/>
  <c r="AA63" i="29"/>
  <c r="X68" i="10"/>
  <c r="AA68" i="10"/>
  <c r="Q388" i="36"/>
  <c r="BC69" i="10"/>
  <c r="W69" i="10" s="1"/>
  <c r="R389" i="36" s="1"/>
  <c r="BB70" i="10"/>
  <c r="BG69" i="10"/>
  <c r="V69" i="10" s="1"/>
  <c r="BF70" i="10"/>
  <c r="BT68" i="24"/>
  <c r="AD68" i="24" s="1"/>
  <c r="X196" i="36" s="1"/>
  <c r="BS69" i="24"/>
  <c r="BX69" i="32"/>
  <c r="AC69" i="32" s="1"/>
  <c r="BT52" i="32"/>
  <c r="AE52" i="32" s="1"/>
  <c r="X75" i="36" s="1"/>
  <c r="BS53" i="32"/>
  <c r="CB53" i="24"/>
  <c r="AC53" i="24" s="1"/>
  <c r="CA54" i="24"/>
  <c r="BQ69" i="29"/>
  <c r="Y69" i="29" s="1"/>
  <c r="BF67" i="33"/>
  <c r="V67" i="33" s="1"/>
  <c r="BE68" i="33"/>
  <c r="BX68" i="24"/>
  <c r="AB68" i="24" s="1"/>
  <c r="BW69" i="24"/>
  <c r="Q164" i="36"/>
  <c r="W51" i="32"/>
  <c r="BN51" i="32" s="1"/>
  <c r="BZ51" i="32" s="1"/>
  <c r="CA37" i="32"/>
  <c r="S67" i="32"/>
  <c r="BB67" i="32" s="1"/>
  <c r="R180" i="36"/>
  <c r="P421" i="36"/>
  <c r="R59" i="36"/>
  <c r="P51" i="30"/>
  <c r="AE52" i="24"/>
  <c r="AH52" i="24"/>
  <c r="W180" i="36" s="1"/>
  <c r="Q246" i="36"/>
  <c r="W69" i="24"/>
  <c r="AA66" i="33"/>
  <c r="Y68" i="32"/>
  <c r="BP68" i="32" s="1"/>
  <c r="Q273" i="36"/>
  <c r="X66" i="33"/>
  <c r="BQ71" i="29" l="1"/>
  <c r="Y71" i="29" s="1"/>
  <c r="BP72" i="29"/>
  <c r="BQ72" i="29" s="1"/>
  <c r="Y72" i="29" s="1"/>
  <c r="AT51" i="30"/>
  <c r="P101" i="30"/>
  <c r="Q296" i="36"/>
  <c r="X63" i="32"/>
  <c r="BO63" i="32" s="1"/>
  <c r="BL66" i="29"/>
  <c r="BM65" i="29"/>
  <c r="X65" i="29" s="1"/>
  <c r="T64" i="32"/>
  <c r="BC64" i="32" s="1"/>
  <c r="BR64" i="32" s="1"/>
  <c r="R297" i="36"/>
  <c r="AA64" i="29"/>
  <c r="AD64" i="29"/>
  <c r="BH66" i="29"/>
  <c r="BI65" i="29"/>
  <c r="Z65" i="29" s="1"/>
  <c r="AA69" i="10"/>
  <c r="Q389" i="36"/>
  <c r="X69" i="10"/>
  <c r="BF71" i="10"/>
  <c r="BG70" i="10"/>
  <c r="V70" i="10" s="1"/>
  <c r="BC70" i="10"/>
  <c r="W70" i="10" s="1"/>
  <c r="BB71" i="10"/>
  <c r="BN69" i="24"/>
  <c r="BZ69" i="24" s="1"/>
  <c r="CA38" i="32"/>
  <c r="BX69" i="24"/>
  <c r="AB69" i="24" s="1"/>
  <c r="BF68" i="33"/>
  <c r="V68" i="33" s="1"/>
  <c r="BE69" i="33"/>
  <c r="Y70" i="29"/>
  <c r="W71" i="24"/>
  <c r="BN72" i="24" s="1"/>
  <c r="CB54" i="24"/>
  <c r="AC54" i="24" s="1"/>
  <c r="CA55" i="24"/>
  <c r="BT53" i="32"/>
  <c r="AE53" i="32" s="1"/>
  <c r="X76" i="36" s="1"/>
  <c r="BS54" i="32"/>
  <c r="BT69" i="24"/>
  <c r="AD69" i="24" s="1"/>
  <c r="X197" i="36" s="1"/>
  <c r="W52" i="32"/>
  <c r="BN52" i="32" s="1"/>
  <c r="BZ52" i="32" s="1"/>
  <c r="Q165" i="36"/>
  <c r="AA67" i="33"/>
  <c r="X67" i="33"/>
  <c r="Q274" i="36"/>
  <c r="Y69" i="32"/>
  <c r="W70" i="24"/>
  <c r="BN70" i="24" s="1"/>
  <c r="AH53" i="24"/>
  <c r="W181" i="36" s="1"/>
  <c r="AE53" i="24"/>
  <c r="P52" i="30"/>
  <c r="R60" i="36"/>
  <c r="P422" i="36"/>
  <c r="S68" i="32"/>
  <c r="BB68" i="32" s="1"/>
  <c r="R181" i="36"/>
  <c r="BF69" i="33" l="1"/>
  <c r="V69" i="33" s="1"/>
  <c r="Y71" i="32" s="1"/>
  <c r="BE70" i="33"/>
  <c r="BF70" i="33" s="1"/>
  <c r="V70" i="33" s="1"/>
  <c r="BG71" i="10"/>
  <c r="V71" i="10" s="1"/>
  <c r="BF72" i="10"/>
  <c r="BG72" i="10" s="1"/>
  <c r="V72" i="10" s="1"/>
  <c r="BC71" i="10"/>
  <c r="W71" i="10" s="1"/>
  <c r="BB72" i="10"/>
  <c r="BC72" i="10" s="1"/>
  <c r="W72" i="10" s="1"/>
  <c r="AA72" i="10" s="1"/>
  <c r="AT52" i="30"/>
  <c r="P102" i="30"/>
  <c r="BI66" i="29"/>
  <c r="Z66" i="29" s="1"/>
  <c r="BH67" i="29"/>
  <c r="AA65" i="29"/>
  <c r="AD65" i="29"/>
  <c r="R298" i="36"/>
  <c r="T65" i="32"/>
  <c r="BC65" i="32" s="1"/>
  <c r="BR65" i="32" s="1"/>
  <c r="Q297" i="36"/>
  <c r="X64" i="32"/>
  <c r="BO64" i="32" s="1"/>
  <c r="BL67" i="29"/>
  <c r="BM66" i="29"/>
  <c r="X66" i="29" s="1"/>
  <c r="X71" i="10"/>
  <c r="X70" i="10"/>
  <c r="AA70" i="10"/>
  <c r="W53" i="32"/>
  <c r="BN53" i="32" s="1"/>
  <c r="BZ53" i="32" s="1"/>
  <c r="Q166" i="36"/>
  <c r="BP69" i="32"/>
  <c r="BT54" i="32"/>
  <c r="AE54" i="32" s="1"/>
  <c r="X77" i="36" s="1"/>
  <c r="BS55" i="32"/>
  <c r="CB55" i="24"/>
  <c r="AC55" i="24" s="1"/>
  <c r="CA56" i="24"/>
  <c r="Y70" i="32"/>
  <c r="BP70" i="32" s="1"/>
  <c r="X68" i="33"/>
  <c r="AA68" i="33"/>
  <c r="CA39" i="32"/>
  <c r="S69" i="32"/>
  <c r="R182" i="36"/>
  <c r="R61" i="36"/>
  <c r="P53" i="30"/>
  <c r="AE54" i="24"/>
  <c r="AH54" i="24"/>
  <c r="W182" i="36" s="1"/>
  <c r="BN71" i="24"/>
  <c r="AA69" i="33" l="1"/>
  <c r="AA71" i="10"/>
  <c r="BP71" i="32"/>
  <c r="X69" i="33"/>
  <c r="X72" i="10"/>
  <c r="Y72" i="32"/>
  <c r="BP72" i="32" s="1"/>
  <c r="X70" i="33"/>
  <c r="AA70" i="33"/>
  <c r="AT53" i="30"/>
  <c r="P103" i="30"/>
  <c r="BM67" i="29"/>
  <c r="X67" i="29" s="1"/>
  <c r="BL68" i="29"/>
  <c r="R299" i="36"/>
  <c r="T66" i="32"/>
  <c r="BC66" i="32" s="1"/>
  <c r="BR66" i="32" s="1"/>
  <c r="AD66" i="29"/>
  <c r="AA66" i="29"/>
  <c r="Q298" i="36"/>
  <c r="X65" i="32"/>
  <c r="BO65" i="32" s="1"/>
  <c r="BI67" i="29"/>
  <c r="Z67" i="29" s="1"/>
  <c r="BH68" i="29"/>
  <c r="BB69" i="32"/>
  <c r="CA40" i="32"/>
  <c r="AH55" i="24"/>
  <c r="W183" i="36" s="1"/>
  <c r="AE55" i="24"/>
  <c r="R62" i="36"/>
  <c r="P54" i="30"/>
  <c r="Q167" i="36"/>
  <c r="W54" i="32"/>
  <c r="BN54" i="32" s="1"/>
  <c r="BZ54" i="32" s="1"/>
  <c r="CB56" i="24"/>
  <c r="AC56" i="24" s="1"/>
  <c r="CA57" i="24"/>
  <c r="BT55" i="32"/>
  <c r="AE55" i="32" s="1"/>
  <c r="X78" i="36" s="1"/>
  <c r="BS56" i="32"/>
  <c r="AT54" i="30" l="1"/>
  <c r="P104" i="30"/>
  <c r="BI68" i="29"/>
  <c r="Z68" i="29" s="1"/>
  <c r="BH69" i="29"/>
  <c r="BH70" i="29" s="1"/>
  <c r="BL69" i="29"/>
  <c r="BL70" i="29" s="1"/>
  <c r="BM68" i="29"/>
  <c r="X68" i="29" s="1"/>
  <c r="R300" i="36"/>
  <c r="T67" i="32"/>
  <c r="BC67" i="32" s="1"/>
  <c r="BR67" i="32" s="1"/>
  <c r="X66" i="32"/>
  <c r="BO66" i="32" s="1"/>
  <c r="Q299" i="36"/>
  <c r="AD67" i="29"/>
  <c r="AA67" i="29"/>
  <c r="CA41" i="32"/>
  <c r="P55" i="30"/>
  <c r="R63" i="36"/>
  <c r="AH56" i="24"/>
  <c r="W184" i="36" s="1"/>
  <c r="AE56" i="24"/>
  <c r="BT56" i="32"/>
  <c r="AE56" i="32" s="1"/>
  <c r="X79" i="36" s="1"/>
  <c r="BS57" i="32"/>
  <c r="CB57" i="24"/>
  <c r="AC57" i="24" s="1"/>
  <c r="CA58" i="24"/>
  <c r="W55" i="32"/>
  <c r="BN55" i="32" s="1"/>
  <c r="BZ55" i="32" s="1"/>
  <c r="Q168" i="36"/>
  <c r="AT55" i="30" l="1"/>
  <c r="P105" i="30"/>
  <c r="BL71" i="29"/>
  <c r="BM70" i="29"/>
  <c r="BH71" i="29"/>
  <c r="BI70" i="29"/>
  <c r="X67" i="32"/>
  <c r="BO67" i="32" s="1"/>
  <c r="Q300" i="36"/>
  <c r="BM69" i="29"/>
  <c r="X69" i="29" s="1"/>
  <c r="R301" i="36"/>
  <c r="T68" i="32"/>
  <c r="BC68" i="32" s="1"/>
  <c r="BR68" i="32" s="1"/>
  <c r="AA68" i="29"/>
  <c r="AD68" i="29"/>
  <c r="BI69" i="29"/>
  <c r="Z69" i="29" s="1"/>
  <c r="AE57" i="24"/>
  <c r="AH57" i="24"/>
  <c r="W185" i="36" s="1"/>
  <c r="W56" i="32"/>
  <c r="BN56" i="32" s="1"/>
  <c r="BZ56" i="32" s="1"/>
  <c r="Q169" i="36"/>
  <c r="P56" i="30"/>
  <c r="R64" i="36"/>
  <c r="CB58" i="24"/>
  <c r="AC58" i="24" s="1"/>
  <c r="CA59" i="24"/>
  <c r="BT57" i="32"/>
  <c r="AE57" i="32" s="1"/>
  <c r="X80" i="36" s="1"/>
  <c r="BS58" i="32"/>
  <c r="CA42" i="32"/>
  <c r="BI71" i="29" l="1"/>
  <c r="Z71" i="29" s="1"/>
  <c r="T71" i="32" s="1"/>
  <c r="BH72" i="29"/>
  <c r="BI72" i="29" s="1"/>
  <c r="Z72" i="29" s="1"/>
  <c r="T72" i="32" s="1"/>
  <c r="BM71" i="29"/>
  <c r="BL72" i="29"/>
  <c r="BM72" i="29" s="1"/>
  <c r="X72" i="29" s="1"/>
  <c r="AT56" i="30"/>
  <c r="P106" i="30"/>
  <c r="T69" i="32"/>
  <c r="R302" i="36"/>
  <c r="X68" i="32"/>
  <c r="BO68" i="32" s="1"/>
  <c r="Q301" i="36"/>
  <c r="X71" i="29"/>
  <c r="X70" i="29"/>
  <c r="Z70" i="29"/>
  <c r="T70" i="32" s="1"/>
  <c r="BC70" i="32" s="1"/>
  <c r="AD69" i="29"/>
  <c r="AA69" i="29"/>
  <c r="CA43" i="32"/>
  <c r="BT58" i="32"/>
  <c r="AE58" i="32" s="1"/>
  <c r="X81" i="36" s="1"/>
  <c r="BS59" i="32"/>
  <c r="CB59" i="24"/>
  <c r="AC59" i="24" s="1"/>
  <c r="CA60" i="24"/>
  <c r="W57" i="32"/>
  <c r="BN57" i="32" s="1"/>
  <c r="BZ57" i="32" s="1"/>
  <c r="Q170" i="36"/>
  <c r="P57" i="30"/>
  <c r="R65" i="36"/>
  <c r="AH58" i="24"/>
  <c r="W186" i="36" s="1"/>
  <c r="AE58" i="24"/>
  <c r="BC72" i="32" l="1"/>
  <c r="AD72" i="29"/>
  <c r="X72" i="32" s="1"/>
  <c r="AA72" i="29"/>
  <c r="AT57" i="30"/>
  <c r="P107" i="30"/>
  <c r="BC71" i="32"/>
  <c r="AD70" i="29"/>
  <c r="X70" i="32" s="1"/>
  <c r="AA70" i="29"/>
  <c r="Q302" i="36"/>
  <c r="X69" i="32"/>
  <c r="BO69" i="32" s="1"/>
  <c r="AD71" i="29"/>
  <c r="X71" i="32" s="1"/>
  <c r="BO71" i="32" s="1"/>
  <c r="AA71" i="29"/>
  <c r="BC69" i="32"/>
  <c r="BR69" i="32" s="1"/>
  <c r="W58" i="32"/>
  <c r="BN58" i="32" s="1"/>
  <c r="BZ58" i="32" s="1"/>
  <c r="Q171" i="36"/>
  <c r="AH59" i="24"/>
  <c r="W187" i="36" s="1"/>
  <c r="AE59" i="24"/>
  <c r="R66" i="36"/>
  <c r="P58" i="30"/>
  <c r="CB60" i="24"/>
  <c r="AC60" i="24" s="1"/>
  <c r="CA61" i="24"/>
  <c r="BT59" i="32"/>
  <c r="AE59" i="32" s="1"/>
  <c r="X82" i="36" s="1"/>
  <c r="BS60" i="32"/>
  <c r="CA44" i="32"/>
  <c r="BO72" i="32" l="1"/>
  <c r="AT58" i="30"/>
  <c r="P108" i="30"/>
  <c r="BO70" i="32"/>
  <c r="P59" i="30"/>
  <c r="R67" i="36"/>
  <c r="AE60" i="24"/>
  <c r="AH60" i="24"/>
  <c r="W188" i="36" s="1"/>
  <c r="CA45" i="32"/>
  <c r="BT60" i="32"/>
  <c r="AE60" i="32" s="1"/>
  <c r="X83" i="36" s="1"/>
  <c r="BS61" i="32"/>
  <c r="CB61" i="24"/>
  <c r="AC61" i="24" s="1"/>
  <c r="CA62" i="24"/>
  <c r="W59" i="32"/>
  <c r="BN59" i="32" s="1"/>
  <c r="BZ59" i="32" s="1"/>
  <c r="Q172" i="36"/>
  <c r="AT59" i="30" l="1"/>
  <c r="P109" i="30"/>
  <c r="R68" i="36"/>
  <c r="P60" i="30"/>
  <c r="CB62" i="24"/>
  <c r="AC62" i="24" s="1"/>
  <c r="CA63" i="24"/>
  <c r="BT61" i="32"/>
  <c r="AE61" i="32" s="1"/>
  <c r="X84" i="36" s="1"/>
  <c r="BS62" i="32"/>
  <c r="CA46" i="32"/>
  <c r="Q173" i="36"/>
  <c r="W60" i="32"/>
  <c r="BN60" i="32" s="1"/>
  <c r="BZ60" i="32" s="1"/>
  <c r="AE61" i="24"/>
  <c r="AH61" i="24"/>
  <c r="W189" i="36" s="1"/>
  <c r="AT60" i="30" l="1"/>
  <c r="P110" i="30"/>
  <c r="CA74" i="32"/>
  <c r="CA47" i="32"/>
  <c r="CB63" i="24"/>
  <c r="AC63" i="24" s="1"/>
  <c r="CA64" i="24"/>
  <c r="R69" i="36"/>
  <c r="P61" i="30"/>
  <c r="AH62" i="24"/>
  <c r="W190" i="36" s="1"/>
  <c r="AE62" i="24"/>
  <c r="W61" i="32"/>
  <c r="BN61" i="32" s="1"/>
  <c r="BZ61" i="32" s="1"/>
  <c r="Q174" i="36"/>
  <c r="BT62" i="32"/>
  <c r="AE62" i="32" s="1"/>
  <c r="X85" i="36" s="1"/>
  <c r="BS63" i="32"/>
  <c r="AT61" i="30" l="1"/>
  <c r="P111" i="30"/>
  <c r="CB64" i="24"/>
  <c r="AC64" i="24" s="1"/>
  <c r="CA65" i="24"/>
  <c r="CB47" i="32"/>
  <c r="AD47" i="32" s="1"/>
  <c r="CA48" i="32"/>
  <c r="CB28" i="32"/>
  <c r="CB20" i="32"/>
  <c r="CB10" i="32"/>
  <c r="CB24" i="32"/>
  <c r="CB11" i="32"/>
  <c r="CB18" i="32"/>
  <c r="CB29" i="32"/>
  <c r="CB12" i="32"/>
  <c r="CB17" i="32"/>
  <c r="CB19" i="32"/>
  <c r="CB13" i="32"/>
  <c r="CB26" i="32"/>
  <c r="CB25" i="32"/>
  <c r="CB16" i="32"/>
  <c r="CB14" i="32"/>
  <c r="CB27" i="32"/>
  <c r="CB21" i="32"/>
  <c r="CB15" i="32"/>
  <c r="CB23" i="32"/>
  <c r="CB30" i="32"/>
  <c r="CB22" i="32"/>
  <c r="CB31" i="32"/>
  <c r="AD31" i="32" s="1"/>
  <c r="CB33" i="32"/>
  <c r="AD33" i="32" s="1"/>
  <c r="CB32" i="32"/>
  <c r="AD32" i="32" s="1"/>
  <c r="CB34" i="32"/>
  <c r="AD34" i="32" s="1"/>
  <c r="CB35" i="32"/>
  <c r="AD35" i="32" s="1"/>
  <c r="CB36" i="32"/>
  <c r="AD36" i="32" s="1"/>
  <c r="CB37" i="32"/>
  <c r="AD37" i="32" s="1"/>
  <c r="CB38" i="32"/>
  <c r="AD38" i="32" s="1"/>
  <c r="CB39" i="32"/>
  <c r="AD39" i="32" s="1"/>
  <c r="CB40" i="32"/>
  <c r="AD40" i="32" s="1"/>
  <c r="CB41" i="32"/>
  <c r="AD41" i="32" s="1"/>
  <c r="CB42" i="32"/>
  <c r="AD42" i="32" s="1"/>
  <c r="CB43" i="32"/>
  <c r="AD43" i="32" s="1"/>
  <c r="CB44" i="32"/>
  <c r="AD44" i="32" s="1"/>
  <c r="CB45" i="32"/>
  <c r="AD45" i="32" s="1"/>
  <c r="R70" i="36"/>
  <c r="P62" i="30"/>
  <c r="BT63" i="32"/>
  <c r="AE63" i="32" s="1"/>
  <c r="X86" i="36" s="1"/>
  <c r="BS64" i="32"/>
  <c r="W62" i="32"/>
  <c r="BN62" i="32" s="1"/>
  <c r="BZ62" i="32" s="1"/>
  <c r="Q175" i="36"/>
  <c r="AH63" i="24"/>
  <c r="W191" i="36" s="1"/>
  <c r="AE63" i="24"/>
  <c r="CB46" i="32"/>
  <c r="AD46" i="32" s="1"/>
  <c r="AT62" i="30" l="1"/>
  <c r="P112" i="30"/>
  <c r="Q399" i="36"/>
  <c r="AI46" i="32"/>
  <c r="W69" i="36" s="1"/>
  <c r="AF46" i="32"/>
  <c r="W63" i="32"/>
  <c r="BN63" i="32" s="1"/>
  <c r="BZ63" i="32" s="1"/>
  <c r="Q176" i="36"/>
  <c r="P63" i="30"/>
  <c r="R71" i="36"/>
  <c r="Q397" i="36"/>
  <c r="AI44" i="32"/>
  <c r="W67" i="36" s="1"/>
  <c r="AF44" i="32"/>
  <c r="Q395" i="36"/>
  <c r="AI42" i="32"/>
  <c r="W65" i="36" s="1"/>
  <c r="AF42" i="32"/>
  <c r="AI40" i="32"/>
  <c r="AF40" i="32"/>
  <c r="AF38" i="32"/>
  <c r="AI38" i="32"/>
  <c r="AI36" i="32"/>
  <c r="AF36" i="32"/>
  <c r="AF34" i="32"/>
  <c r="AI34" i="32"/>
  <c r="AF33" i="32"/>
  <c r="AI33" i="32"/>
  <c r="Q400" i="36"/>
  <c r="AI47" i="32"/>
  <c r="W70" i="36" s="1"/>
  <c r="AF47" i="32"/>
  <c r="AE64" i="24"/>
  <c r="AH64" i="24"/>
  <c r="W192" i="36" s="1"/>
  <c r="BT64" i="32"/>
  <c r="AE64" i="32" s="1"/>
  <c r="X87" i="36" s="1"/>
  <c r="BS65" i="32"/>
  <c r="Q398" i="36"/>
  <c r="AI45" i="32"/>
  <c r="W68" i="36" s="1"/>
  <c r="AF45" i="32"/>
  <c r="Q396" i="36"/>
  <c r="AI43" i="32"/>
  <c r="W66" i="36" s="1"/>
  <c r="AF43" i="32"/>
  <c r="Q394" i="36"/>
  <c r="AI41" i="32"/>
  <c r="W64" i="36" s="1"/>
  <c r="AF41" i="32"/>
  <c r="AF39" i="32"/>
  <c r="AI39" i="32"/>
  <c r="AF37" i="32"/>
  <c r="AI37" i="32"/>
  <c r="AF35" i="32"/>
  <c r="AI35" i="32"/>
  <c r="AF32" i="32"/>
  <c r="AI32" i="32"/>
  <c r="AI31" i="32"/>
  <c r="AF31" i="32"/>
  <c r="CB48" i="32"/>
  <c r="AD48" i="32" s="1"/>
  <c r="CA49" i="32"/>
  <c r="CB65" i="24"/>
  <c r="AC65" i="24" s="1"/>
  <c r="CA66" i="24"/>
  <c r="S31" i="30" l="1"/>
  <c r="BD31" i="30" s="1"/>
  <c r="W54" i="36"/>
  <c r="S36" i="30"/>
  <c r="W59" i="36"/>
  <c r="S40" i="30"/>
  <c r="W63" i="36"/>
  <c r="S32" i="30"/>
  <c r="BD32" i="30" s="1"/>
  <c r="W55" i="36"/>
  <c r="S35" i="30"/>
  <c r="W58" i="36"/>
  <c r="S37" i="30"/>
  <c r="W60" i="36"/>
  <c r="S39" i="30"/>
  <c r="W62" i="36"/>
  <c r="S33" i="30"/>
  <c r="BD33" i="30" s="1"/>
  <c r="W56" i="36"/>
  <c r="S34" i="30"/>
  <c r="BD34" i="30" s="1"/>
  <c r="W57" i="36"/>
  <c r="S38" i="30"/>
  <c r="BD38" i="30" s="1"/>
  <c r="W61" i="36"/>
  <c r="BD37" i="30"/>
  <c r="AT63" i="30"/>
  <c r="P113" i="30"/>
  <c r="AH65" i="24"/>
  <c r="W193" i="36" s="1"/>
  <c r="AE65" i="24"/>
  <c r="Q401" i="36"/>
  <c r="AF48" i="32"/>
  <c r="AI48" i="32"/>
  <c r="W71" i="36" s="1"/>
  <c r="S41" i="30"/>
  <c r="BD41" i="30" s="1"/>
  <c r="R394" i="36"/>
  <c r="R398" i="36"/>
  <c r="S45" i="30"/>
  <c r="R72" i="36"/>
  <c r="P64" i="30"/>
  <c r="R400" i="36"/>
  <c r="S47" i="30"/>
  <c r="Q55" i="36"/>
  <c r="R397" i="36"/>
  <c r="S44" i="30"/>
  <c r="R399" i="36"/>
  <c r="Q54" i="36"/>
  <c r="S46" i="30"/>
  <c r="CB66" i="24"/>
  <c r="AC66" i="24" s="1"/>
  <c r="CA67" i="24"/>
  <c r="CB49" i="32"/>
  <c r="AD49" i="32" s="1"/>
  <c r="CA50" i="32"/>
  <c r="S43" i="30"/>
  <c r="R396" i="36"/>
  <c r="BT65" i="32"/>
  <c r="AE65" i="32" s="1"/>
  <c r="X88" i="36" s="1"/>
  <c r="BS66" i="32"/>
  <c r="W64" i="32"/>
  <c r="BN64" i="32" s="1"/>
  <c r="BZ64" i="32" s="1"/>
  <c r="Q177" i="36"/>
  <c r="BD40" i="30"/>
  <c r="S42" i="30"/>
  <c r="R395" i="36"/>
  <c r="BD36" i="30" l="1"/>
  <c r="BD39" i="30"/>
  <c r="BD35" i="30"/>
  <c r="BD46" i="30"/>
  <c r="AT64" i="30"/>
  <c r="P114" i="30"/>
  <c r="BD42" i="30"/>
  <c r="BD43" i="30"/>
  <c r="CB50" i="32"/>
  <c r="AD50" i="32" s="1"/>
  <c r="CA51" i="32"/>
  <c r="BT66" i="32"/>
  <c r="AE66" i="32" s="1"/>
  <c r="X89" i="36" s="1"/>
  <c r="BS67" i="32"/>
  <c r="Q402" i="36"/>
  <c r="AI49" i="32"/>
  <c r="W72" i="36" s="1"/>
  <c r="AF49" i="32"/>
  <c r="AE66" i="24"/>
  <c r="AH66" i="24"/>
  <c r="W194" i="36" s="1"/>
  <c r="R401" i="36"/>
  <c r="S48" i="30"/>
  <c r="BD48" i="30" s="1"/>
  <c r="Q56" i="36"/>
  <c r="W65" i="32"/>
  <c r="BN65" i="32" s="1"/>
  <c r="BZ65" i="32" s="1"/>
  <c r="Q178" i="36"/>
  <c r="P65" i="30"/>
  <c r="P115" i="30" s="1"/>
  <c r="R73" i="36"/>
  <c r="CB67" i="24"/>
  <c r="AC67" i="24" s="1"/>
  <c r="CA68" i="24"/>
  <c r="BD44" i="30"/>
  <c r="BD47" i="30"/>
  <c r="BD45" i="30"/>
  <c r="AH67" i="24" l="1"/>
  <c r="W195" i="36" s="1"/>
  <c r="AE67" i="24"/>
  <c r="AT65" i="30"/>
  <c r="P77" i="30"/>
  <c r="Q57" i="36"/>
  <c r="R402" i="36"/>
  <c r="S49" i="30"/>
  <c r="BD49" i="30" s="1"/>
  <c r="BT67" i="32"/>
  <c r="AE67" i="32" s="1"/>
  <c r="X90" i="36" s="1"/>
  <c r="BS68" i="32"/>
  <c r="Q403" i="36"/>
  <c r="AF50" i="32"/>
  <c r="AI50" i="32"/>
  <c r="W73" i="36" s="1"/>
  <c r="CB68" i="24"/>
  <c r="AC68" i="24" s="1"/>
  <c r="CA69" i="24"/>
  <c r="W66" i="32"/>
  <c r="BN66" i="32" s="1"/>
  <c r="BZ66" i="32" s="1"/>
  <c r="Q179" i="36"/>
  <c r="R74" i="36"/>
  <c r="P66" i="30"/>
  <c r="CB51" i="32"/>
  <c r="AD51" i="32" s="1"/>
  <c r="CA52" i="32"/>
  <c r="AT66" i="30" l="1"/>
  <c r="P116" i="30"/>
  <c r="AH68" i="24"/>
  <c r="W196" i="36" s="1"/>
  <c r="AE68" i="24"/>
  <c r="BT68" i="32"/>
  <c r="AE68" i="32" s="1"/>
  <c r="X91" i="36" s="1"/>
  <c r="BS69" i="32"/>
  <c r="W67" i="32"/>
  <c r="BN67" i="32" s="1"/>
  <c r="BZ67" i="32" s="1"/>
  <c r="Q180" i="36"/>
  <c r="Q404" i="36"/>
  <c r="AI51" i="32"/>
  <c r="W74" i="36" s="1"/>
  <c r="AF51" i="32"/>
  <c r="CB52" i="32"/>
  <c r="AD52" i="32" s="1"/>
  <c r="CA53" i="32"/>
  <c r="CB69" i="24"/>
  <c r="AC69" i="24" s="1"/>
  <c r="S50" i="30"/>
  <c r="BD50" i="30" s="1"/>
  <c r="R403" i="36"/>
  <c r="Q58" i="36"/>
  <c r="P67" i="30"/>
  <c r="R75" i="36"/>
  <c r="AT67" i="30" l="1"/>
  <c r="P117" i="30"/>
  <c r="AH69" i="24"/>
  <c r="W197" i="36" s="1"/>
  <c r="AE69" i="24"/>
  <c r="CB53" i="32"/>
  <c r="AD53" i="32" s="1"/>
  <c r="CA54" i="32"/>
  <c r="R76" i="36"/>
  <c r="P68" i="30"/>
  <c r="W68" i="32"/>
  <c r="BN68" i="32" s="1"/>
  <c r="BZ68" i="32" s="1"/>
  <c r="Q181" i="36"/>
  <c r="Q405" i="36"/>
  <c r="AI52" i="32"/>
  <c r="W75" i="36" s="1"/>
  <c r="AF52" i="32"/>
  <c r="S51" i="30"/>
  <c r="BD51" i="30" s="1"/>
  <c r="Q59" i="36"/>
  <c r="R404" i="36"/>
  <c r="BT69" i="32"/>
  <c r="AE69" i="32" s="1"/>
  <c r="X92" i="36" s="1"/>
  <c r="AT68" i="30" l="1"/>
  <c r="P118" i="30"/>
  <c r="R77" i="36"/>
  <c r="P69" i="30"/>
  <c r="Q406" i="36"/>
  <c r="AI53" i="32"/>
  <c r="W76" i="36" s="1"/>
  <c r="AF53" i="32"/>
  <c r="W69" i="32"/>
  <c r="Q182" i="36"/>
  <c r="R405" i="36"/>
  <c r="S52" i="30"/>
  <c r="BD52" i="30" s="1"/>
  <c r="Q60" i="36"/>
  <c r="CB54" i="32"/>
  <c r="AD54" i="32" s="1"/>
  <c r="CA55" i="32"/>
  <c r="AT69" i="30" l="1"/>
  <c r="P119" i="30"/>
  <c r="Q407" i="36"/>
  <c r="AI54" i="32"/>
  <c r="W77" i="36" s="1"/>
  <c r="AF54" i="32"/>
  <c r="CB55" i="32"/>
  <c r="AD55" i="32" s="1"/>
  <c r="CA56" i="32"/>
  <c r="BN69" i="32"/>
  <c r="BZ69" i="32" s="1"/>
  <c r="S53" i="30"/>
  <c r="BD53" i="30" s="1"/>
  <c r="R406" i="36"/>
  <c r="Q61" i="36"/>
  <c r="Q408" i="36" l="1"/>
  <c r="AI55" i="32"/>
  <c r="W78" i="36" s="1"/>
  <c r="AF55" i="32"/>
  <c r="CB56" i="32"/>
  <c r="AD56" i="32" s="1"/>
  <c r="CA57" i="32"/>
  <c r="Q62" i="36"/>
  <c r="S54" i="30"/>
  <c r="BD54" i="30" s="1"/>
  <c r="R407" i="36"/>
  <c r="Q409" i="36" l="1"/>
  <c r="AI56" i="32"/>
  <c r="W79" i="36" s="1"/>
  <c r="AF56" i="32"/>
  <c r="R408" i="36"/>
  <c r="S55" i="30"/>
  <c r="BD55" i="30" s="1"/>
  <c r="Q63" i="36"/>
  <c r="CB57" i="32"/>
  <c r="AD57" i="32" s="1"/>
  <c r="CA58" i="32"/>
  <c r="Q410" i="36" l="1"/>
  <c r="AF57" i="32"/>
  <c r="AI57" i="32"/>
  <c r="W80" i="36" s="1"/>
  <c r="CB58" i="32"/>
  <c r="AD58" i="32" s="1"/>
  <c r="CA59" i="32"/>
  <c r="R409" i="36"/>
  <c r="S56" i="30"/>
  <c r="BD56" i="30" s="1"/>
  <c r="Q64" i="36"/>
  <c r="CB59" i="32" l="1"/>
  <c r="AD59" i="32" s="1"/>
  <c r="CA60" i="32"/>
  <c r="R410" i="36"/>
  <c r="S57" i="30"/>
  <c r="BD57" i="30" s="1"/>
  <c r="Q65" i="36"/>
  <c r="Q411" i="36"/>
  <c r="AI58" i="32"/>
  <c r="W81" i="36" s="1"/>
  <c r="AF58" i="32"/>
  <c r="S58" i="30" l="1"/>
  <c r="BD58" i="30" s="1"/>
  <c r="R411" i="36"/>
  <c r="Q66" i="36"/>
  <c r="Q412" i="36"/>
  <c r="AI59" i="32"/>
  <c r="W82" i="36" s="1"/>
  <c r="AF59" i="32"/>
  <c r="CB60" i="32"/>
  <c r="AD60" i="32" s="1"/>
  <c r="CA61" i="32"/>
  <c r="Q67" i="36" l="1"/>
  <c r="R412" i="36"/>
  <c r="S59" i="30"/>
  <c r="BD59" i="30" s="1"/>
  <c r="Q413" i="36"/>
  <c r="AI60" i="32"/>
  <c r="W83" i="36" s="1"/>
  <c r="AF60" i="32"/>
  <c r="CB61" i="32"/>
  <c r="AD61" i="32" s="1"/>
  <c r="CA62" i="32"/>
  <c r="Q414" i="36" l="1"/>
  <c r="AI61" i="32"/>
  <c r="W84" i="36" s="1"/>
  <c r="AF61" i="32"/>
  <c r="R413" i="36"/>
  <c r="S60" i="30"/>
  <c r="BD60" i="30" s="1"/>
  <c r="Q68" i="36"/>
  <c r="CB62" i="32"/>
  <c r="AD62" i="32" s="1"/>
  <c r="CA63" i="32"/>
  <c r="Q415" i="36" l="1"/>
  <c r="AF62" i="32"/>
  <c r="AI62" i="32"/>
  <c r="W85" i="36" s="1"/>
  <c r="CB63" i="32"/>
  <c r="AD63" i="32" s="1"/>
  <c r="CA64" i="32"/>
  <c r="Q69" i="36"/>
  <c r="S61" i="30"/>
  <c r="BD61" i="30" s="1"/>
  <c r="R414" i="36"/>
  <c r="CB64" i="32" l="1"/>
  <c r="AD64" i="32" s="1"/>
  <c r="CA65" i="32"/>
  <c r="Q416" i="36"/>
  <c r="AF63" i="32"/>
  <c r="AI63" i="32"/>
  <c r="W86" i="36" s="1"/>
  <c r="Q70" i="36"/>
  <c r="R415" i="36"/>
  <c r="S62" i="30"/>
  <c r="BD62" i="30" s="1"/>
  <c r="R416" i="36" l="1"/>
  <c r="S63" i="30"/>
  <c r="BD63" i="30" s="1"/>
  <c r="Q71" i="36"/>
  <c r="CB65" i="32"/>
  <c r="AD65" i="32" s="1"/>
  <c r="CA66" i="32"/>
  <c r="Q417" i="36"/>
  <c r="AF64" i="32"/>
  <c r="AI64" i="32"/>
  <c r="W87" i="36" s="1"/>
  <c r="Q72" i="36" l="1"/>
  <c r="S64" i="30"/>
  <c r="BD64" i="30" s="1"/>
  <c r="R417" i="36"/>
  <c r="CB66" i="32"/>
  <c r="AD66" i="32" s="1"/>
  <c r="CA67" i="32"/>
  <c r="Q418" i="36"/>
  <c r="AI65" i="32"/>
  <c r="W88" i="36" s="1"/>
  <c r="AF65" i="32"/>
  <c r="Q419" i="36" l="1"/>
  <c r="AF66" i="32"/>
  <c r="AI66" i="32"/>
  <c r="W89" i="36" s="1"/>
  <c r="Q73" i="36"/>
  <c r="S65" i="30"/>
  <c r="BD65" i="30" s="1"/>
  <c r="R418" i="36"/>
  <c r="CB67" i="32"/>
  <c r="AD67" i="32" s="1"/>
  <c r="CA68" i="32"/>
  <c r="S66" i="30" l="1"/>
  <c r="BD66" i="30" s="1"/>
  <c r="R419" i="36"/>
  <c r="Q74" i="36"/>
  <c r="Q420" i="36"/>
  <c r="AF67" i="32"/>
  <c r="AI67" i="32"/>
  <c r="W90" i="36" s="1"/>
  <c r="CB68" i="32"/>
  <c r="AD68" i="32" s="1"/>
  <c r="CA69" i="32"/>
  <c r="Q421" i="36" l="1"/>
  <c r="AF68" i="32"/>
  <c r="AI68" i="32"/>
  <c r="W91" i="36" s="1"/>
  <c r="CB69" i="32"/>
  <c r="AD69" i="32" s="1"/>
  <c r="Q75" i="36"/>
  <c r="S67" i="30"/>
  <c r="BD67" i="30" s="1"/>
  <c r="R420" i="36"/>
  <c r="Q422" i="36" l="1"/>
  <c r="R423" i="36" s="1"/>
  <c r="AF69" i="32"/>
  <c r="AI69" i="32"/>
  <c r="W92" i="36" s="1"/>
  <c r="Q76" i="36"/>
  <c r="S68" i="30"/>
  <c r="BD68" i="30" s="1"/>
  <c r="R421" i="36"/>
  <c r="R422" i="36" l="1"/>
  <c r="S69" i="30"/>
  <c r="BD69" i="30" s="1"/>
  <c r="Q77" i="36"/>
  <c r="BA28" i="7" l="1"/>
  <c r="BB28" i="7" s="1"/>
  <c r="BB29" i="7" s="1"/>
  <c r="BB30" i="7" s="1"/>
  <c r="X6" i="50"/>
  <c r="AS6" i="50" s="1"/>
  <c r="X31" i="50"/>
  <c r="AS31" i="50" s="1"/>
  <c r="X15" i="50"/>
  <c r="AS15" i="50" s="1"/>
  <c r="X38" i="50"/>
  <c r="AS38" i="50" s="1"/>
  <c r="X30" i="50"/>
  <c r="AS30" i="50" s="1"/>
  <c r="X22" i="50"/>
  <c r="AS22" i="50" s="1"/>
  <c r="X14" i="50"/>
  <c r="AS14" i="50" s="1"/>
  <c r="X11" i="50"/>
  <c r="AS11" i="50" s="1"/>
  <c r="X39" i="50"/>
  <c r="AS39" i="50" s="1"/>
  <c r="X23" i="50"/>
  <c r="AS23" i="50" s="1"/>
  <c r="X44" i="50"/>
  <c r="AS44" i="50" s="1"/>
  <c r="X34" i="50"/>
  <c r="AS34" i="50" s="1"/>
  <c r="X26" i="50"/>
  <c r="AS26" i="50" s="1"/>
  <c r="X18" i="50"/>
  <c r="AS18" i="50" s="1"/>
  <c r="X10" i="50"/>
  <c r="AS10" i="50" s="1"/>
  <c r="X7" i="50"/>
  <c r="AS7" i="50" s="1"/>
  <c r="X45" i="50"/>
  <c r="AS45" i="50" s="1"/>
  <c r="X37" i="50"/>
  <c r="AS37" i="50" s="1"/>
  <c r="X29" i="50"/>
  <c r="AS29" i="50" s="1"/>
  <c r="X21" i="50"/>
  <c r="X13" i="50"/>
  <c r="AS13" i="50" s="1"/>
  <c r="X35" i="50"/>
  <c r="AS35" i="50" s="1"/>
  <c r="X19" i="50"/>
  <c r="AS19" i="50" s="1"/>
  <c r="X41" i="50"/>
  <c r="AS41" i="50" s="1"/>
  <c r="X33" i="50"/>
  <c r="AS33" i="50" s="1"/>
  <c r="X25" i="50"/>
  <c r="AS25" i="50" s="1"/>
  <c r="X17" i="50"/>
  <c r="AS17" i="50" s="1"/>
  <c r="X43" i="50"/>
  <c r="X27" i="50"/>
  <c r="AS27" i="50" s="1"/>
  <c r="X46" i="50"/>
  <c r="AS46" i="50" s="1"/>
  <c r="X40" i="50"/>
  <c r="AS40" i="50" s="1"/>
  <c r="X36" i="50"/>
  <c r="AS36" i="50" s="1"/>
  <c r="X32" i="50"/>
  <c r="AS32" i="50" s="1"/>
  <c r="X28" i="50"/>
  <c r="AS28" i="50" s="1"/>
  <c r="X24" i="50"/>
  <c r="AS24" i="50" s="1"/>
  <c r="X20" i="50"/>
  <c r="AS20" i="50" s="1"/>
  <c r="X16" i="50"/>
  <c r="AS16" i="50" s="1"/>
  <c r="X8" i="50"/>
  <c r="AS8" i="50" s="1"/>
  <c r="X12" i="50"/>
  <c r="AS12" i="50" s="1"/>
  <c r="X42" i="50"/>
  <c r="X9" i="50"/>
  <c r="AS9" i="50" s="1"/>
  <c r="AB12" i="50" l="1"/>
  <c r="M34" i="19" s="1"/>
  <c r="AS42" i="50"/>
  <c r="G62" i="50"/>
  <c r="G59" i="50"/>
  <c r="G60" i="50"/>
  <c r="AS43" i="50"/>
  <c r="G58" i="50"/>
  <c r="AS21" i="50"/>
  <c r="AB9" i="50"/>
  <c r="M31" i="19" s="1"/>
  <c r="AB34" i="50"/>
  <c r="M56" i="19" s="1"/>
  <c r="AB39" i="50"/>
  <c r="M61" i="19" s="1"/>
  <c r="AB13" i="50"/>
  <c r="M35" i="19" s="1"/>
  <c r="AB21" i="50"/>
  <c r="AB35" i="50"/>
  <c r="M57" i="19" s="1"/>
  <c r="AB26" i="50"/>
  <c r="AB22" i="50"/>
  <c r="M44" i="19" s="1"/>
  <c r="AB11" i="50"/>
  <c r="M33" i="19" s="1"/>
  <c r="AB18" i="50"/>
  <c r="M40" i="19" s="1"/>
  <c r="AB23" i="50"/>
  <c r="M45" i="19" s="1"/>
  <c r="AB19" i="50"/>
  <c r="M41" i="19" s="1"/>
  <c r="AB7" i="50"/>
  <c r="M29" i="19" s="1"/>
  <c r="AB38" i="50"/>
  <c r="AB30" i="50"/>
  <c r="M52" i="19" s="1"/>
  <c r="AB14" i="50"/>
  <c r="M36" i="19" s="1"/>
  <c r="AB15" i="50"/>
  <c r="M37" i="19" s="1"/>
  <c r="AB10" i="50"/>
  <c r="M32" i="19" s="1"/>
  <c r="AB37" i="50"/>
  <c r="M59" i="19" s="1"/>
  <c r="AB6" i="50"/>
  <c r="M28" i="19" s="1"/>
  <c r="AB29" i="50"/>
  <c r="M51" i="19" s="1"/>
  <c r="AB31" i="50"/>
  <c r="M53" i="19" s="1"/>
  <c r="AB41" i="50"/>
  <c r="M63" i="19" s="1"/>
  <c r="AB25" i="50"/>
  <c r="M47" i="19" s="1"/>
  <c r="AB36" i="50"/>
  <c r="M58" i="19" s="1"/>
  <c r="AB28" i="50"/>
  <c r="M50" i="19" s="1"/>
  <c r="AB20" i="50"/>
  <c r="M42" i="19" s="1"/>
  <c r="AB42" i="50"/>
  <c r="AB8" i="50"/>
  <c r="M30" i="19" s="1"/>
  <c r="AB16" i="50"/>
  <c r="M38" i="19" s="1"/>
  <c r="AB24" i="50"/>
  <c r="M46" i="19" s="1"/>
  <c r="AB32" i="50"/>
  <c r="M54" i="19" s="1"/>
  <c r="AB40" i="50"/>
  <c r="M62" i="19" s="1"/>
  <c r="AB27" i="50"/>
  <c r="M49" i="19" s="1"/>
  <c r="AB17" i="50"/>
  <c r="M39" i="19" s="1"/>
  <c r="AB33" i="50"/>
  <c r="M55" i="19" s="1"/>
  <c r="P39" i="19" l="1"/>
  <c r="O39" i="19"/>
  <c r="P55" i="19"/>
  <c r="O55" i="19"/>
  <c r="P49" i="19"/>
  <c r="O49" i="19"/>
  <c r="P54" i="19"/>
  <c r="O54" i="19"/>
  <c r="O38" i="19"/>
  <c r="P38" i="19"/>
  <c r="P50" i="19"/>
  <c r="O50" i="19"/>
  <c r="P47" i="19"/>
  <c r="O47" i="19"/>
  <c r="P53" i="19"/>
  <c r="O53" i="19"/>
  <c r="P28" i="19"/>
  <c r="O28" i="19"/>
  <c r="O32" i="19"/>
  <c r="P32" i="19"/>
  <c r="O36" i="19"/>
  <c r="P36" i="19"/>
  <c r="P41" i="19"/>
  <c r="O41" i="19"/>
  <c r="O40" i="19"/>
  <c r="P40" i="19"/>
  <c r="P44" i="19"/>
  <c r="O44" i="19"/>
  <c r="P57" i="19"/>
  <c r="O57" i="19"/>
  <c r="P35" i="19"/>
  <c r="O35" i="19"/>
  <c r="P56" i="19"/>
  <c r="O56" i="19"/>
  <c r="P62" i="19"/>
  <c r="O62" i="19"/>
  <c r="P46" i="19"/>
  <c r="O46" i="19"/>
  <c r="O30" i="19"/>
  <c r="P30" i="19"/>
  <c r="P42" i="19"/>
  <c r="O42" i="19"/>
  <c r="P58" i="19"/>
  <c r="O58" i="19"/>
  <c r="P63" i="19"/>
  <c r="O63" i="19"/>
  <c r="P51" i="19"/>
  <c r="O51" i="19"/>
  <c r="P59" i="19"/>
  <c r="O59" i="19"/>
  <c r="P37" i="19"/>
  <c r="O37" i="19"/>
  <c r="P52" i="19"/>
  <c r="O52" i="19"/>
  <c r="P29" i="19"/>
  <c r="O29" i="19"/>
  <c r="P45" i="19"/>
  <c r="O45" i="19"/>
  <c r="P33" i="19"/>
  <c r="O33" i="19"/>
  <c r="P61" i="19"/>
  <c r="O61" i="19"/>
  <c r="P31" i="19"/>
  <c r="O31" i="19"/>
  <c r="O34" i="19"/>
  <c r="P34" i="19"/>
  <c r="AD12" i="50"/>
  <c r="M48" i="19"/>
  <c r="AH26" i="50"/>
  <c r="AI26" i="50" s="1"/>
  <c r="M43" i="19"/>
  <c r="F63" i="50"/>
  <c r="AH21" i="50"/>
  <c r="AI21" i="50" s="1"/>
  <c r="M64" i="19"/>
  <c r="F64" i="50"/>
  <c r="M60" i="19"/>
  <c r="AH38" i="50"/>
  <c r="AI38" i="50" s="1"/>
  <c r="AD9" i="50"/>
  <c r="AD17" i="50"/>
  <c r="AD24" i="50"/>
  <c r="AD8" i="50"/>
  <c r="AD20" i="50"/>
  <c r="AD36" i="50"/>
  <c r="AD43" i="50"/>
  <c r="G65" i="50" s="1"/>
  <c r="AD41" i="50"/>
  <c r="AD29" i="50"/>
  <c r="AD37" i="50"/>
  <c r="AD15" i="50"/>
  <c r="AD30" i="50"/>
  <c r="AD7" i="50"/>
  <c r="AD23" i="50"/>
  <c r="AD11" i="50"/>
  <c r="AD26" i="50"/>
  <c r="AD35" i="50"/>
  <c r="AD13" i="50"/>
  <c r="AD45" i="50"/>
  <c r="AD40" i="50"/>
  <c r="AD33" i="50"/>
  <c r="AD27" i="50"/>
  <c r="AD32" i="50"/>
  <c r="AD16" i="50"/>
  <c r="AD42" i="50"/>
  <c r="G64" i="50" s="1"/>
  <c r="AD28" i="50"/>
  <c r="AD46" i="50"/>
  <c r="AD25" i="50"/>
  <c r="AD31" i="50"/>
  <c r="AD6" i="50"/>
  <c r="AD10" i="50"/>
  <c r="AD14" i="50"/>
  <c r="AD38" i="50"/>
  <c r="AD19" i="50"/>
  <c r="AD18" i="50"/>
  <c r="AD22" i="50"/>
  <c r="AD44" i="50"/>
  <c r="AD21" i="50"/>
  <c r="G63" i="50" s="1"/>
  <c r="AD39" i="50"/>
  <c r="AD34" i="50"/>
  <c r="N42" i="19" l="1"/>
  <c r="N31" i="19"/>
  <c r="B31" i="18" s="1"/>
  <c r="D34" i="7" s="1"/>
  <c r="F34" i="7" s="1"/>
  <c r="N61" i="19"/>
  <c r="N33" i="19"/>
  <c r="N45" i="19"/>
  <c r="N29" i="19"/>
  <c r="N52" i="19"/>
  <c r="N37" i="19"/>
  <c r="N59" i="19"/>
  <c r="N51" i="19"/>
  <c r="N63" i="19"/>
  <c r="N58" i="19"/>
  <c r="N30" i="19"/>
  <c r="N40" i="19"/>
  <c r="N46" i="19"/>
  <c r="N62" i="19"/>
  <c r="N56" i="19"/>
  <c r="N35" i="19"/>
  <c r="N57" i="19"/>
  <c r="N41" i="19"/>
  <c r="N32" i="19"/>
  <c r="N28" i="19"/>
  <c r="N53" i="19"/>
  <c r="N47" i="19"/>
  <c r="N50" i="19"/>
  <c r="N54" i="19"/>
  <c r="N49" i="19"/>
  <c r="N55" i="19"/>
  <c r="N39" i="19"/>
  <c r="N44" i="19"/>
  <c r="N36" i="19"/>
  <c r="N34" i="19"/>
  <c r="B34" i="18" s="1"/>
  <c r="D37" i="7" s="1"/>
  <c r="F37" i="7" s="1"/>
  <c r="N38" i="19"/>
  <c r="P60" i="19"/>
  <c r="O60" i="19"/>
  <c r="P64" i="19"/>
  <c r="O64" i="19"/>
  <c r="P43" i="19"/>
  <c r="O43" i="19"/>
  <c r="P48" i="19"/>
  <c r="O48" i="19"/>
  <c r="AN23" i="50"/>
  <c r="AN25" i="50"/>
  <c r="AN27" i="50"/>
  <c r="AN29" i="50"/>
  <c r="AN31" i="50"/>
  <c r="AN33" i="50"/>
  <c r="AN35" i="50"/>
  <c r="AN37" i="50"/>
  <c r="AN39" i="50"/>
  <c r="AN41" i="50"/>
  <c r="AN43" i="50"/>
  <c r="AN45" i="50"/>
  <c r="AN21" i="50"/>
  <c r="AN22" i="50"/>
  <c r="AN24" i="50"/>
  <c r="AN26" i="50"/>
  <c r="AN28" i="50"/>
  <c r="AN30" i="50"/>
  <c r="AN32" i="50"/>
  <c r="AN34" i="50"/>
  <c r="AN36" i="50"/>
  <c r="AN38" i="50"/>
  <c r="AN40" i="50"/>
  <c r="AN42" i="50"/>
  <c r="AN44" i="50"/>
  <c r="AN46" i="50"/>
  <c r="L34" i="7"/>
  <c r="L37" i="7" l="1"/>
  <c r="N48" i="19"/>
  <c r="N43" i="19"/>
  <c r="N64" i="19"/>
  <c r="N60" i="19"/>
  <c r="B60" i="18" s="1"/>
  <c r="D63" i="7" s="1"/>
  <c r="B66" i="18"/>
  <c r="D69" i="7" s="1"/>
  <c r="F69" i="7" s="1"/>
  <c r="B43" i="18"/>
  <c r="D46" i="7" s="1"/>
  <c r="F46" i="7" s="1"/>
  <c r="B56" i="18"/>
  <c r="D59" i="7" s="1"/>
  <c r="F59" i="7" s="1"/>
  <c r="AF59" i="7" s="1"/>
  <c r="B62" i="18"/>
  <c r="D65" i="7" s="1"/>
  <c r="L65" i="7" s="1"/>
  <c r="B67" i="18"/>
  <c r="D70" i="7" s="1"/>
  <c r="F70" i="7" s="1"/>
  <c r="B55" i="18"/>
  <c r="D58" i="7" s="1"/>
  <c r="L58" i="7" s="1"/>
  <c r="B49" i="18"/>
  <c r="D52" i="7" s="1"/>
  <c r="F52" i="7" s="1"/>
  <c r="AF52" i="7" s="1"/>
  <c r="B54" i="18"/>
  <c r="D57" i="7" s="1"/>
  <c r="L57" i="7" s="1"/>
  <c r="B38" i="18"/>
  <c r="D41" i="7" s="1"/>
  <c r="F41" i="7" s="1"/>
  <c r="AF41" i="7" s="1"/>
  <c r="B39" i="18"/>
  <c r="D42" i="7" s="1"/>
  <c r="L42" i="7" s="1"/>
  <c r="B68" i="18"/>
  <c r="D71" i="7" s="1"/>
  <c r="F71" i="7" s="1"/>
  <c r="AF71" i="7" s="1"/>
  <c r="B47" i="18"/>
  <c r="D50" i="7" s="1"/>
  <c r="F50" i="7" s="1"/>
  <c r="AF50" i="7" s="1"/>
  <c r="B53" i="18"/>
  <c r="D56" i="7" s="1"/>
  <c r="L56" i="7" s="1"/>
  <c r="B30" i="18"/>
  <c r="D33" i="7" s="1"/>
  <c r="F33" i="7" s="1"/>
  <c r="AF33" i="7" s="1"/>
  <c r="B58" i="18"/>
  <c r="D61" i="7" s="1"/>
  <c r="F61" i="7" s="1"/>
  <c r="B65" i="18"/>
  <c r="D68" i="7" s="1"/>
  <c r="L68" i="7" s="1"/>
  <c r="B63" i="18"/>
  <c r="D66" i="7" s="1"/>
  <c r="F66" i="7" s="1"/>
  <c r="AF66" i="7" s="1"/>
  <c r="B51" i="18"/>
  <c r="D54" i="7" s="1"/>
  <c r="L54" i="7" s="1"/>
  <c r="B37" i="18"/>
  <c r="D40" i="7" s="1"/>
  <c r="L40" i="7" s="1"/>
  <c r="B45" i="18"/>
  <c r="D48" i="7" s="1"/>
  <c r="F48" i="7" s="1"/>
  <c r="B48" i="18"/>
  <c r="D51" i="7" s="1"/>
  <c r="L51" i="7" s="1"/>
  <c r="B35" i="18"/>
  <c r="D38" i="7" s="1"/>
  <c r="F38" i="7" s="1"/>
  <c r="B64" i="18"/>
  <c r="D67" i="7" s="1"/>
  <c r="F67" i="7" s="1"/>
  <c r="AF67" i="7" s="1"/>
  <c r="B32" i="18"/>
  <c r="D35" i="7" s="1"/>
  <c r="F35" i="7" s="1"/>
  <c r="AF35" i="7" s="1"/>
  <c r="B41" i="18"/>
  <c r="D44" i="7" s="1"/>
  <c r="F44" i="7" s="1"/>
  <c r="B44" i="18"/>
  <c r="D47" i="7" s="1"/>
  <c r="L47" i="7" s="1"/>
  <c r="F68" i="7"/>
  <c r="L69" i="7"/>
  <c r="L70" i="7"/>
  <c r="L71" i="7"/>
  <c r="L33" i="7"/>
  <c r="F65" i="7"/>
  <c r="AF65" i="7" s="1"/>
  <c r="F57" i="7"/>
  <c r="AF57" i="7" s="1"/>
  <c r="L35" i="7"/>
  <c r="N34" i="7"/>
  <c r="D33" i="25"/>
  <c r="AG34" i="7"/>
  <c r="AF34" i="7"/>
  <c r="L61" i="7"/>
  <c r="L48" i="7"/>
  <c r="D36" i="25"/>
  <c r="AG37" i="7"/>
  <c r="N37" i="7"/>
  <c r="AF37" i="7"/>
  <c r="B46" i="18"/>
  <c r="D49" i="7" s="1"/>
  <c r="B42" i="18"/>
  <c r="D45" i="7" s="1"/>
  <c r="B59" i="18"/>
  <c r="D62" i="7" s="1"/>
  <c r="B52" i="18"/>
  <c r="D55" i="7" s="1"/>
  <c r="B29" i="18"/>
  <c r="D32" i="7" s="1"/>
  <c r="B33" i="18"/>
  <c r="D36" i="7" s="1"/>
  <c r="B57" i="18"/>
  <c r="D60" i="7" s="1"/>
  <c r="B50" i="18"/>
  <c r="D53" i="7" s="1"/>
  <c r="B28" i="18"/>
  <c r="D31" i="7" s="1"/>
  <c r="B36" i="18"/>
  <c r="D39" i="7" s="1"/>
  <c r="B40" i="18"/>
  <c r="D43" i="7" s="1"/>
  <c r="B61" i="18"/>
  <c r="D64" i="7" s="1"/>
  <c r="F54" i="7" l="1"/>
  <c r="AF54" i="7" s="1"/>
  <c r="L46" i="7"/>
  <c r="L50" i="7"/>
  <c r="F58" i="7"/>
  <c r="AF58" i="7" s="1"/>
  <c r="L38" i="7"/>
  <c r="F42" i="7"/>
  <c r="AF42" i="7" s="1"/>
  <c r="F51" i="7"/>
  <c r="AF51" i="7" s="1"/>
  <c r="L37" i="57" s="1"/>
  <c r="L59" i="7"/>
  <c r="L44" i="7"/>
  <c r="F56" i="7"/>
  <c r="N56" i="7" s="1"/>
  <c r="L41" i="7"/>
  <c r="L52" i="7"/>
  <c r="F40" i="7"/>
  <c r="AF40" i="7" s="1"/>
  <c r="AI41" i="7" s="1"/>
  <c r="L66" i="7"/>
  <c r="F63" i="7"/>
  <c r="AF63" i="7" s="1"/>
  <c r="L63" i="7"/>
  <c r="AI72" i="7"/>
  <c r="Q37" i="57"/>
  <c r="AI51" i="7"/>
  <c r="F47" i="7"/>
  <c r="AF47" i="7" s="1"/>
  <c r="L67" i="7"/>
  <c r="AF61" i="7"/>
  <c r="AI59" i="7"/>
  <c r="AI34" i="7"/>
  <c r="AI35" i="7"/>
  <c r="AI67" i="7"/>
  <c r="AI42" i="7"/>
  <c r="L64" i="7"/>
  <c r="F64" i="7"/>
  <c r="AF64" i="7" s="1"/>
  <c r="L53" i="7"/>
  <c r="F53" i="7"/>
  <c r="F55" i="7"/>
  <c r="AF55" i="7" s="1"/>
  <c r="L55" i="7"/>
  <c r="L43" i="7"/>
  <c r="F43" i="7"/>
  <c r="AF43" i="7" s="1"/>
  <c r="AI43" i="7" s="1"/>
  <c r="F31" i="7"/>
  <c r="AF31" i="7" s="1"/>
  <c r="AI31" i="7" s="1"/>
  <c r="L31" i="7"/>
  <c r="F60" i="7"/>
  <c r="AF60" i="7" s="1"/>
  <c r="L60" i="7"/>
  <c r="F32" i="7"/>
  <c r="AF32" i="7" s="1"/>
  <c r="L32" i="7"/>
  <c r="L62" i="7"/>
  <c r="F62" i="7"/>
  <c r="L49" i="7"/>
  <c r="F49" i="7"/>
  <c r="AF49" i="7" s="1"/>
  <c r="R36" i="25"/>
  <c r="R92" i="25" s="1"/>
  <c r="I36" i="25"/>
  <c r="N51" i="7"/>
  <c r="AG48" i="7"/>
  <c r="N48" i="7"/>
  <c r="D47" i="25"/>
  <c r="AF48" i="7"/>
  <c r="AG54" i="7"/>
  <c r="D53" i="25"/>
  <c r="N54" i="7"/>
  <c r="AG61" i="7"/>
  <c r="D60" i="25"/>
  <c r="N61" i="7"/>
  <c r="R33" i="25"/>
  <c r="R89" i="25" s="1"/>
  <c r="I33" i="25"/>
  <c r="N59" i="7"/>
  <c r="D58" i="25"/>
  <c r="AG59" i="7"/>
  <c r="AG46" i="7"/>
  <c r="F74" i="7"/>
  <c r="Y57" i="7" s="1"/>
  <c r="S347" i="36" s="1"/>
  <c r="N46" i="7"/>
  <c r="D45" i="25"/>
  <c r="AF46" i="7"/>
  <c r="N44" i="7"/>
  <c r="AG44" i="7"/>
  <c r="D43" i="25"/>
  <c r="AF44" i="7"/>
  <c r="AG50" i="7"/>
  <c r="D49" i="25"/>
  <c r="L75" i="7"/>
  <c r="D51" i="25"/>
  <c r="AG52" i="7"/>
  <c r="N52" i="7"/>
  <c r="AG58" i="7"/>
  <c r="D57" i="25"/>
  <c r="N58" i="7"/>
  <c r="D64" i="25"/>
  <c r="AG65" i="7"/>
  <c r="N65" i="7"/>
  <c r="D37" i="25"/>
  <c r="N38" i="7"/>
  <c r="AG38" i="7"/>
  <c r="AJ38" i="7" s="1"/>
  <c r="AF38" i="7"/>
  <c r="AI38" i="7" s="1"/>
  <c r="AG33" i="7"/>
  <c r="AJ34" i="7" s="1"/>
  <c r="D32" i="25"/>
  <c r="N33" i="7"/>
  <c r="AG69" i="7"/>
  <c r="N69" i="7"/>
  <c r="D68" i="25"/>
  <c r="AF69" i="7"/>
  <c r="AG66" i="7"/>
  <c r="N66" i="7"/>
  <c r="D65" i="25"/>
  <c r="N68" i="7"/>
  <c r="AG68" i="7"/>
  <c r="D67" i="25"/>
  <c r="F39" i="7"/>
  <c r="AF39" i="7" s="1"/>
  <c r="L39" i="7"/>
  <c r="L36" i="7"/>
  <c r="F36" i="7"/>
  <c r="L45" i="7"/>
  <c r="F45" i="7"/>
  <c r="AF45" i="7" s="1"/>
  <c r="L74" i="7"/>
  <c r="N47" i="7"/>
  <c r="AG63" i="7"/>
  <c r="N63" i="7"/>
  <c r="D34" i="25"/>
  <c r="N35" i="7"/>
  <c r="AG35" i="7"/>
  <c r="AJ35" i="7" s="1"/>
  <c r="D55" i="25"/>
  <c r="AF56" i="7"/>
  <c r="D40" i="25"/>
  <c r="N41" i="7"/>
  <c r="AG41" i="7"/>
  <c r="N57" i="7"/>
  <c r="AG57" i="7"/>
  <c r="D56" i="25"/>
  <c r="AI52" i="7"/>
  <c r="AI58" i="7"/>
  <c r="AG40" i="7"/>
  <c r="D39" i="25"/>
  <c r="N40" i="7"/>
  <c r="D41" i="25"/>
  <c r="AG42" i="7"/>
  <c r="N42" i="7"/>
  <c r="D70" i="25"/>
  <c r="AG71" i="7"/>
  <c r="N71" i="7"/>
  <c r="AG70" i="7"/>
  <c r="AJ70" i="7" s="1"/>
  <c r="D69" i="25"/>
  <c r="N70" i="7"/>
  <c r="AF70" i="7"/>
  <c r="D66" i="25"/>
  <c r="N67" i="7"/>
  <c r="AG67" i="7"/>
  <c r="AI66" i="7"/>
  <c r="AF68" i="7"/>
  <c r="AI68" i="7" s="1"/>
  <c r="D50" i="25" l="1"/>
  <c r="AG51" i="7"/>
  <c r="L38" i="57" s="1"/>
  <c r="AI55" i="7"/>
  <c r="AI70" i="7"/>
  <c r="Y70" i="7"/>
  <c r="Y42" i="7"/>
  <c r="AG56" i="7"/>
  <c r="AJ57" i="7" s="1"/>
  <c r="AG47" i="7"/>
  <c r="Y67" i="7"/>
  <c r="S357" i="36" s="1"/>
  <c r="D46" i="25"/>
  <c r="AI47" i="7"/>
  <c r="AI48" i="7"/>
  <c r="Y71" i="7"/>
  <c r="AJ67" i="7"/>
  <c r="AK67" i="7" s="1"/>
  <c r="AM67" i="7" s="1"/>
  <c r="D62" i="25"/>
  <c r="R62" i="25" s="1"/>
  <c r="R118" i="25" s="1"/>
  <c r="AJ47" i="7"/>
  <c r="AI45" i="7"/>
  <c r="AK34" i="7"/>
  <c r="AM34" i="7" s="1"/>
  <c r="AJ52" i="7"/>
  <c r="AK52" i="7" s="1"/>
  <c r="AM52" i="7" s="1"/>
  <c r="AJ72" i="7"/>
  <c r="Q38" i="57"/>
  <c r="Y40" i="7"/>
  <c r="AJ66" i="7"/>
  <c r="AK66" i="7" s="1"/>
  <c r="P56" i="7"/>
  <c r="P72" i="7"/>
  <c r="Y48" i="7"/>
  <c r="S338" i="36" s="1"/>
  <c r="Y72" i="7"/>
  <c r="AK72" i="7"/>
  <c r="AM72" i="7" s="1"/>
  <c r="P69" i="7"/>
  <c r="P65" i="7"/>
  <c r="Y63" i="7"/>
  <c r="S353" i="36" s="1"/>
  <c r="Y47" i="7"/>
  <c r="S337" i="36" s="1"/>
  <c r="Y68" i="7"/>
  <c r="S358" i="36" s="1"/>
  <c r="Y66" i="7"/>
  <c r="S356" i="36" s="1"/>
  <c r="Y69" i="7"/>
  <c r="S359" i="36" s="1"/>
  <c r="Y33" i="7"/>
  <c r="Y41" i="7"/>
  <c r="Y56" i="7"/>
  <c r="S346" i="36" s="1"/>
  <c r="Y35" i="7"/>
  <c r="F6" i="53"/>
  <c r="N6" i="53"/>
  <c r="F11" i="53"/>
  <c r="P68" i="7"/>
  <c r="P67" i="7"/>
  <c r="AJ42" i="7"/>
  <c r="AK42" i="7" s="1"/>
  <c r="AN42" i="7" s="1"/>
  <c r="AI60" i="7"/>
  <c r="AI61" i="7"/>
  <c r="Y38" i="7"/>
  <c r="Y65" i="7"/>
  <c r="S355" i="36" s="1"/>
  <c r="Y58" i="7"/>
  <c r="S348" i="36" s="1"/>
  <c r="Y52" i="7"/>
  <c r="S342" i="36" s="1"/>
  <c r="P42" i="7"/>
  <c r="P38" i="7"/>
  <c r="AI39" i="7"/>
  <c r="AI40" i="7"/>
  <c r="AI64" i="7"/>
  <c r="AI65" i="7"/>
  <c r="P41" i="7"/>
  <c r="P63" i="7"/>
  <c r="AQ42" i="7"/>
  <c r="P52" i="7"/>
  <c r="P47" i="7"/>
  <c r="AI32" i="7"/>
  <c r="AI33" i="7"/>
  <c r="AI49" i="7"/>
  <c r="AI50" i="7"/>
  <c r="R70" i="25"/>
  <c r="R126" i="25" s="1"/>
  <c r="I70" i="25"/>
  <c r="AW70" i="25" s="1"/>
  <c r="AK70" i="7"/>
  <c r="AM70" i="7" s="1"/>
  <c r="I69" i="25"/>
  <c r="AW69" i="25" s="1"/>
  <c r="R69" i="25"/>
  <c r="R125" i="25" s="1"/>
  <c r="AJ71" i="7"/>
  <c r="R39" i="25"/>
  <c r="R95" i="25" s="1"/>
  <c r="I39" i="25"/>
  <c r="AW39" i="25" s="1"/>
  <c r="I56" i="25"/>
  <c r="AW56" i="25" s="1"/>
  <c r="R56" i="25"/>
  <c r="AJ41" i="7"/>
  <c r="I40" i="25"/>
  <c r="R40" i="25"/>
  <c r="R96" i="25" s="1"/>
  <c r="AW40" i="25"/>
  <c r="AI56" i="7"/>
  <c r="R34" i="25"/>
  <c r="R90" i="25" s="1"/>
  <c r="I34" i="25"/>
  <c r="AW34" i="25" s="1"/>
  <c r="P44" i="7"/>
  <c r="P46" i="7"/>
  <c r="P59" i="7"/>
  <c r="P48" i="7"/>
  <c r="N45" i="7"/>
  <c r="D44" i="25"/>
  <c r="Y45" i="7"/>
  <c r="AG45" i="7"/>
  <c r="AJ45" i="7" s="1"/>
  <c r="P45" i="7"/>
  <c r="AQ45" i="7" s="1"/>
  <c r="P36" i="7"/>
  <c r="P39" i="7"/>
  <c r="Y39" i="7"/>
  <c r="AG39" i="7"/>
  <c r="AJ39" i="7" s="1"/>
  <c r="D38" i="25"/>
  <c r="N39" i="7"/>
  <c r="R65" i="25"/>
  <c r="R121" i="25" s="1"/>
  <c r="I65" i="25"/>
  <c r="AW65" i="25" s="1"/>
  <c r="AI69" i="7"/>
  <c r="AJ69" i="7"/>
  <c r="P71" i="7"/>
  <c r="R32" i="25"/>
  <c r="R88" i="25" s="1"/>
  <c r="I32" i="25"/>
  <c r="P40" i="7"/>
  <c r="I57" i="25"/>
  <c r="R57" i="25"/>
  <c r="R113" i="25" s="1"/>
  <c r="AW57" i="25"/>
  <c r="P58" i="7"/>
  <c r="R51" i="25"/>
  <c r="R107" i="25" s="1"/>
  <c r="I51" i="25"/>
  <c r="Y50" i="7"/>
  <c r="S340" i="36" s="1"/>
  <c r="AI44" i="7"/>
  <c r="Y44" i="7"/>
  <c r="Y46" i="7"/>
  <c r="S336" i="36" s="1"/>
  <c r="N74" i="7"/>
  <c r="R54" i="7" s="1"/>
  <c r="U54" i="7" s="1"/>
  <c r="R58" i="25"/>
  <c r="R114" i="25" s="1"/>
  <c r="I58" i="25"/>
  <c r="AW58" i="25" s="1"/>
  <c r="Y59" i="7"/>
  <c r="S349" i="36" s="1"/>
  <c r="Y61" i="7"/>
  <c r="S351" i="36" s="1"/>
  <c r="R53" i="25"/>
  <c r="R109" i="25" s="1"/>
  <c r="I53" i="25"/>
  <c r="AW53" i="25" s="1"/>
  <c r="Y54" i="7"/>
  <c r="S344" i="36" s="1"/>
  <c r="R47" i="25"/>
  <c r="R103" i="25" s="1"/>
  <c r="I47" i="25"/>
  <c r="AW47" i="25" s="1"/>
  <c r="R50" i="25"/>
  <c r="R106" i="25" s="1"/>
  <c r="I50" i="25"/>
  <c r="AW50" i="25" s="1"/>
  <c r="K36" i="57" s="1"/>
  <c r="W36" i="25"/>
  <c r="BA36" i="25"/>
  <c r="AZ36" i="25"/>
  <c r="E37" i="30"/>
  <c r="AX36" i="25"/>
  <c r="AY36" i="25"/>
  <c r="P49" i="7"/>
  <c r="AQ49" i="7" s="1"/>
  <c r="P62" i="7"/>
  <c r="P32" i="7"/>
  <c r="AG60" i="7"/>
  <c r="AJ60" i="7" s="1"/>
  <c r="N60" i="7"/>
  <c r="Y60" i="7"/>
  <c r="S350" i="36" s="1"/>
  <c r="D59" i="25"/>
  <c r="P31" i="7"/>
  <c r="P55" i="7"/>
  <c r="P53" i="7"/>
  <c r="Y64" i="7"/>
  <c r="S354" i="36" s="1"/>
  <c r="N64" i="7"/>
  <c r="D63" i="25"/>
  <c r="AG64" i="7"/>
  <c r="AJ64" i="7" s="1"/>
  <c r="P64" i="7"/>
  <c r="AQ64" i="7" s="1"/>
  <c r="AI57" i="7"/>
  <c r="AN67" i="7"/>
  <c r="R66" i="25"/>
  <c r="R122" i="25" s="1"/>
  <c r="I66" i="25"/>
  <c r="AN70" i="7"/>
  <c r="R41" i="25"/>
  <c r="R97" i="25" s="1"/>
  <c r="I41" i="25"/>
  <c r="AW41" i="25" s="1"/>
  <c r="R40" i="7"/>
  <c r="U40" i="7" s="1"/>
  <c r="AJ40" i="7"/>
  <c r="N75" i="7"/>
  <c r="R55" i="25"/>
  <c r="R111" i="25" s="1"/>
  <c r="I55" i="25"/>
  <c r="AW55" i="25" s="1"/>
  <c r="AQ47" i="7"/>
  <c r="R46" i="25"/>
  <c r="R102" i="25" s="1"/>
  <c r="I46" i="25"/>
  <c r="AQ27" i="7"/>
  <c r="P34" i="7"/>
  <c r="P37" i="7"/>
  <c r="P61" i="7"/>
  <c r="P54" i="7"/>
  <c r="P51" i="7"/>
  <c r="Y36" i="7"/>
  <c r="N36" i="7"/>
  <c r="D35" i="25"/>
  <c r="AG36" i="7"/>
  <c r="AF36" i="7"/>
  <c r="R67" i="25"/>
  <c r="R123" i="25" s="1"/>
  <c r="I67" i="25"/>
  <c r="AW67" i="25" s="1"/>
  <c r="AJ68" i="7"/>
  <c r="AK68" i="7" s="1"/>
  <c r="AM68" i="7" s="1"/>
  <c r="P66" i="7"/>
  <c r="R68" i="25"/>
  <c r="R124" i="25" s="1"/>
  <c r="I68" i="25"/>
  <c r="AW68" i="25" s="1"/>
  <c r="P70" i="7"/>
  <c r="P33" i="7"/>
  <c r="AQ33" i="7" s="1"/>
  <c r="AK38" i="7"/>
  <c r="AN38" i="7" s="1"/>
  <c r="R37" i="25"/>
  <c r="R93" i="25" s="1"/>
  <c r="I37" i="25"/>
  <c r="AW37" i="25" s="1"/>
  <c r="R64" i="25"/>
  <c r="R120" i="25" s="1"/>
  <c r="I64" i="25"/>
  <c r="AW64" i="25" s="1"/>
  <c r="AJ58" i="7"/>
  <c r="P57" i="7"/>
  <c r="AQ57" i="7" s="1"/>
  <c r="P50" i="7"/>
  <c r="I49" i="25"/>
  <c r="AW49" i="25" s="1"/>
  <c r="P35" i="7"/>
  <c r="R43" i="25"/>
  <c r="R99" i="25" s="1"/>
  <c r="I43" i="25"/>
  <c r="AW43" i="25" s="1"/>
  <c r="R44" i="7"/>
  <c r="U44" i="7" s="1"/>
  <c r="AI46" i="7"/>
  <c r="I45" i="25"/>
  <c r="AW45" i="25" s="1"/>
  <c r="R45" i="25"/>
  <c r="Y27" i="7"/>
  <c r="Y30" i="7"/>
  <c r="Y75" i="7"/>
  <c r="Y28" i="7"/>
  <c r="Y29" i="7"/>
  <c r="Y74" i="7"/>
  <c r="AF74" i="7"/>
  <c r="AG74" i="7"/>
  <c r="Y34" i="7"/>
  <c r="Y37" i="7"/>
  <c r="AJ59" i="7"/>
  <c r="AY33" i="25"/>
  <c r="BA33" i="25"/>
  <c r="AX33" i="25"/>
  <c r="E34" i="30"/>
  <c r="AZ33" i="25"/>
  <c r="W33" i="25"/>
  <c r="AW33" i="25"/>
  <c r="R60" i="25"/>
  <c r="R116" i="25" s="1"/>
  <c r="I60" i="25"/>
  <c r="AW60" i="25" s="1"/>
  <c r="AJ48" i="7"/>
  <c r="AK48" i="7" s="1"/>
  <c r="AM48" i="7" s="1"/>
  <c r="Y51" i="7"/>
  <c r="S341" i="36" s="1"/>
  <c r="AJ51" i="7"/>
  <c r="AW36" i="25"/>
  <c r="N49" i="7"/>
  <c r="AG49" i="7"/>
  <c r="AJ49" i="7" s="1"/>
  <c r="Y49" i="7"/>
  <c r="S339" i="36" s="1"/>
  <c r="D48" i="25"/>
  <c r="AG62" i="7"/>
  <c r="AJ62" i="7" s="1"/>
  <c r="N62" i="7"/>
  <c r="D61" i="25"/>
  <c r="Y62" i="7"/>
  <c r="S352" i="36" s="1"/>
  <c r="AF62" i="7"/>
  <c r="Y32" i="7"/>
  <c r="D31" i="25"/>
  <c r="AG32" i="7"/>
  <c r="AJ33" i="7" s="1"/>
  <c r="N32" i="7"/>
  <c r="P60" i="7"/>
  <c r="Y31" i="7"/>
  <c r="AG31" i="7"/>
  <c r="AJ31" i="7" s="1"/>
  <c r="AK31" i="7" s="1"/>
  <c r="AM31" i="7" s="1"/>
  <c r="N31" i="7"/>
  <c r="R31" i="7" s="1"/>
  <c r="U31" i="7" s="1"/>
  <c r="D30" i="25"/>
  <c r="D42" i="25"/>
  <c r="N43" i="7"/>
  <c r="Y43" i="7"/>
  <c r="AG43" i="7"/>
  <c r="AJ43" i="7" s="1"/>
  <c r="P43" i="7"/>
  <c r="AQ43" i="7" s="1"/>
  <c r="AG55" i="7"/>
  <c r="AJ55" i="7" s="1"/>
  <c r="D54" i="25"/>
  <c r="Y55" i="7"/>
  <c r="S345" i="36" s="1"/>
  <c r="N55" i="7"/>
  <c r="R55" i="7" s="1"/>
  <c r="U55" i="7" s="1"/>
  <c r="Y53" i="7"/>
  <c r="S343" i="36" s="1"/>
  <c r="D52" i="25"/>
  <c r="AG53" i="7"/>
  <c r="AJ53" i="7" s="1"/>
  <c r="N53" i="7"/>
  <c r="R53" i="7" s="1"/>
  <c r="U53" i="7" s="1"/>
  <c r="AF53" i="7"/>
  <c r="AK64" i="7"/>
  <c r="AM64" i="7" s="1"/>
  <c r="AI71" i="7"/>
  <c r="AK35" i="7"/>
  <c r="AM35" i="7" s="1"/>
  <c r="AM66" i="7" l="1"/>
  <c r="AN66" i="7"/>
  <c r="AQ60" i="7"/>
  <c r="AJ61" i="7"/>
  <c r="AQ54" i="7"/>
  <c r="AK45" i="7"/>
  <c r="AM45" i="7" s="1"/>
  <c r="AQ48" i="7"/>
  <c r="I62" i="25"/>
  <c r="AW62" i="25" s="1"/>
  <c r="BC41" i="25"/>
  <c r="AQ69" i="7"/>
  <c r="AQ63" i="7"/>
  <c r="R62" i="7"/>
  <c r="U62" i="7" s="1"/>
  <c r="R48" i="7"/>
  <c r="U48" i="7" s="1"/>
  <c r="AN52" i="7"/>
  <c r="AQ70" i="7"/>
  <c r="AK40" i="7"/>
  <c r="AM40" i="7" s="1"/>
  <c r="AQ53" i="7"/>
  <c r="AQ39" i="7"/>
  <c r="AK47" i="7"/>
  <c r="AM47" i="7" s="1"/>
  <c r="AK39" i="7"/>
  <c r="AM39" i="7" s="1"/>
  <c r="AK60" i="7"/>
  <c r="AM60" i="7" s="1"/>
  <c r="R43" i="7"/>
  <c r="U43" i="7" s="1"/>
  <c r="R32" i="7"/>
  <c r="U32" i="7" s="1"/>
  <c r="R49" i="7"/>
  <c r="U49" i="7" s="1"/>
  <c r="AQ66" i="7"/>
  <c r="BA66" i="7" s="1"/>
  <c r="AQ37" i="7"/>
  <c r="AN34" i="7"/>
  <c r="BE34" i="7" s="1"/>
  <c r="BC71" i="25"/>
  <c r="P36" i="57"/>
  <c r="AQ72" i="7"/>
  <c r="R70" i="7"/>
  <c r="U70" i="7" s="1"/>
  <c r="R72" i="7"/>
  <c r="U72" i="7" s="1"/>
  <c r="AN72" i="7"/>
  <c r="AQ35" i="7"/>
  <c r="R36" i="7"/>
  <c r="U36" i="7" s="1"/>
  <c r="R41" i="7"/>
  <c r="U41" i="7" s="1"/>
  <c r="R59" i="7"/>
  <c r="U59" i="7" s="1"/>
  <c r="AQ50" i="7"/>
  <c r="R33" i="7"/>
  <c r="U33" i="7" s="1"/>
  <c r="R63" i="7"/>
  <c r="U63" i="7" s="1"/>
  <c r="R57" i="7"/>
  <c r="U57" i="7" s="1"/>
  <c r="R64" i="7"/>
  <c r="U64" i="7" s="1"/>
  <c r="R51" i="7"/>
  <c r="U51" i="7" s="1"/>
  <c r="AJ46" i="7"/>
  <c r="BC58" i="25"/>
  <c r="H11" i="53"/>
  <c r="I6" i="53" s="1"/>
  <c r="P11" i="53"/>
  <c r="Q6" i="53" s="1"/>
  <c r="D6" i="53"/>
  <c r="L6" i="53"/>
  <c r="AQ68" i="7"/>
  <c r="N11" i="53"/>
  <c r="O6" i="53" s="1"/>
  <c r="R73" i="25"/>
  <c r="R101" i="25"/>
  <c r="G10" i="53"/>
  <c r="G8" i="53"/>
  <c r="G9" i="53"/>
  <c r="G7" i="53"/>
  <c r="D11" i="53"/>
  <c r="R74" i="25"/>
  <c r="R112" i="25"/>
  <c r="G6" i="53"/>
  <c r="AM42" i="7"/>
  <c r="BE42" i="7" s="1"/>
  <c r="R60" i="7"/>
  <c r="U60" i="7" s="1"/>
  <c r="AQ28" i="7"/>
  <c r="R61" i="7"/>
  <c r="U61" i="7" s="1"/>
  <c r="BC68" i="25"/>
  <c r="BC40" i="25"/>
  <c r="BC56" i="25"/>
  <c r="BC69" i="25"/>
  <c r="AQ40" i="7"/>
  <c r="BA31" i="7"/>
  <c r="BB31" i="7" s="1"/>
  <c r="BE31" i="7"/>
  <c r="BF31" i="7" s="1"/>
  <c r="BA70" i="7"/>
  <c r="BE70" i="7"/>
  <c r="BE66" i="7"/>
  <c r="AI53" i="7"/>
  <c r="AI54" i="7"/>
  <c r="AK71" i="7"/>
  <c r="AM71" i="7" s="1"/>
  <c r="R52" i="25"/>
  <c r="R108" i="25" s="1"/>
  <c r="I52" i="25"/>
  <c r="R54" i="25"/>
  <c r="R110" i="25" s="1"/>
  <c r="I54" i="25"/>
  <c r="R42" i="25"/>
  <c r="R98" i="25" s="1"/>
  <c r="I42" i="25"/>
  <c r="AW42" i="25" s="1"/>
  <c r="BC42" i="25" s="1"/>
  <c r="R31" i="25"/>
  <c r="R87" i="25" s="1"/>
  <c r="I31" i="25"/>
  <c r="AI62" i="7"/>
  <c r="AI63" i="7"/>
  <c r="R61" i="25"/>
  <c r="R117" i="25" s="1"/>
  <c r="I61" i="25"/>
  <c r="AW61" i="25" s="1"/>
  <c r="AK51" i="7"/>
  <c r="AM51" i="7" s="1"/>
  <c r="AN48" i="7"/>
  <c r="BE48" i="7" s="1"/>
  <c r="AJ54" i="7"/>
  <c r="M34" i="30"/>
  <c r="F34" i="30"/>
  <c r="AJ75" i="7"/>
  <c r="AJ74" i="7"/>
  <c r="I73" i="25"/>
  <c r="AQ62" i="25" s="1"/>
  <c r="BA45" i="25"/>
  <c r="AZ45" i="25"/>
  <c r="E46" i="30"/>
  <c r="AY45" i="25"/>
  <c r="W45" i="25"/>
  <c r="AX45" i="25"/>
  <c r="E50" i="30"/>
  <c r="AZ49" i="25"/>
  <c r="AY49" i="25"/>
  <c r="AX49" i="25"/>
  <c r="BA49" i="25"/>
  <c r="W37" i="25"/>
  <c r="E38" i="30"/>
  <c r="AX37" i="25"/>
  <c r="BD37" i="25" s="1"/>
  <c r="AZ37" i="25"/>
  <c r="BF37" i="25" s="1"/>
  <c r="BA37" i="25"/>
  <c r="BG37" i="25" s="1"/>
  <c r="AY37" i="25"/>
  <c r="BE37" i="25" s="1"/>
  <c r="AM38" i="7"/>
  <c r="AX68" i="25"/>
  <c r="E69" i="30"/>
  <c r="AZ68" i="25"/>
  <c r="BA68" i="25"/>
  <c r="AY68" i="25"/>
  <c r="W68" i="25"/>
  <c r="AY67" i="25"/>
  <c r="AX67" i="25"/>
  <c r="E68" i="30"/>
  <c r="BA67" i="25"/>
  <c r="W67" i="25"/>
  <c r="AZ67" i="25"/>
  <c r="AJ36" i="7"/>
  <c r="AJ37" i="7"/>
  <c r="AQ51" i="7"/>
  <c r="AQ61" i="7"/>
  <c r="AQ34" i="7"/>
  <c r="AQ30" i="7"/>
  <c r="AJ63" i="7"/>
  <c r="AN35" i="7"/>
  <c r="BA55" i="25"/>
  <c r="E56" i="30"/>
  <c r="AZ55" i="25"/>
  <c r="W55" i="25"/>
  <c r="AX55" i="25"/>
  <c r="AQ55" i="25"/>
  <c r="AY55" i="25"/>
  <c r="AQ52" i="7"/>
  <c r="BA52" i="7" s="1"/>
  <c r="R63" i="25"/>
  <c r="R119" i="25" s="1"/>
  <c r="I63" i="25"/>
  <c r="AQ55" i="7"/>
  <c r="R59" i="25"/>
  <c r="R115" i="25" s="1"/>
  <c r="I59" i="25"/>
  <c r="AQ32" i="7"/>
  <c r="AX50" i="25"/>
  <c r="K39" i="57" s="1"/>
  <c r="E51" i="30"/>
  <c r="AY50" i="25"/>
  <c r="W50" i="25"/>
  <c r="BA50" i="25"/>
  <c r="K42" i="57" s="1"/>
  <c r="AZ50" i="25"/>
  <c r="E48" i="30"/>
  <c r="AZ47" i="25"/>
  <c r="AX47" i="25"/>
  <c r="W47" i="25"/>
  <c r="BA47" i="25"/>
  <c r="AY47" i="25"/>
  <c r="E59" i="30"/>
  <c r="AY58" i="25"/>
  <c r="BA58" i="25"/>
  <c r="AX58" i="25"/>
  <c r="AZ58" i="25"/>
  <c r="W58" i="25"/>
  <c r="R46" i="7"/>
  <c r="U46" i="7" s="1"/>
  <c r="AJ44" i="7"/>
  <c r="AK44" i="7" s="1"/>
  <c r="AM44" i="7" s="1"/>
  <c r="AJ50" i="7"/>
  <c r="AK50" i="7" s="1"/>
  <c r="AM50" i="7" s="1"/>
  <c r="E52" i="30"/>
  <c r="W51" i="25"/>
  <c r="AQ51" i="25"/>
  <c r="AX51" i="25"/>
  <c r="BD51" i="25" s="1"/>
  <c r="AY51" i="25"/>
  <c r="BA51" i="25"/>
  <c r="BG51" i="25" s="1"/>
  <c r="AZ51" i="25"/>
  <c r="BF51" i="25" s="1"/>
  <c r="AQ58" i="7"/>
  <c r="R58" i="7"/>
  <c r="U58" i="7" s="1"/>
  <c r="R65" i="7"/>
  <c r="U65" i="7" s="1"/>
  <c r="AQ32" i="25"/>
  <c r="Y112" i="36" s="1"/>
  <c r="AX32" i="25"/>
  <c r="BD33" i="25" s="1"/>
  <c r="E33" i="30"/>
  <c r="AY32" i="25"/>
  <c r="BE33" i="25" s="1"/>
  <c r="BA32" i="25"/>
  <c r="W32" i="25"/>
  <c r="AZ32" i="25"/>
  <c r="AQ71" i="7"/>
  <c r="R69" i="7"/>
  <c r="U69" i="7" s="1"/>
  <c r="R66" i="7"/>
  <c r="U66" i="7" s="1"/>
  <c r="BC65" i="25"/>
  <c r="R68" i="7"/>
  <c r="U68" i="7" s="1"/>
  <c r="R38" i="25"/>
  <c r="R94" i="25" s="1"/>
  <c r="I38" i="25"/>
  <c r="AQ36" i="7"/>
  <c r="AN45" i="7"/>
  <c r="BE45" i="7" s="1"/>
  <c r="R44" i="25"/>
  <c r="R100" i="25" s="1"/>
  <c r="I44" i="25"/>
  <c r="AQ59" i="7"/>
  <c r="R47" i="7"/>
  <c r="U47" i="7" s="1"/>
  <c r="AQ44" i="7"/>
  <c r="BC34" i="25"/>
  <c r="R56" i="7"/>
  <c r="U56" i="7" s="1"/>
  <c r="E41" i="30"/>
  <c r="AQ40" i="25"/>
  <c r="Y120" i="36" s="1"/>
  <c r="AY40" i="25"/>
  <c r="AX40" i="25"/>
  <c r="W40" i="25"/>
  <c r="AZ40" i="25"/>
  <c r="BA40" i="25"/>
  <c r="AQ38" i="7"/>
  <c r="AZ39" i="25"/>
  <c r="E40" i="30"/>
  <c r="W39" i="25"/>
  <c r="AY39" i="25"/>
  <c r="AX39" i="25"/>
  <c r="BA39" i="25"/>
  <c r="AQ67" i="7"/>
  <c r="BA67" i="7" s="1"/>
  <c r="BA70" i="25"/>
  <c r="E71" i="30"/>
  <c r="W70" i="25"/>
  <c r="AX70" i="25"/>
  <c r="AY70" i="25"/>
  <c r="AZ70" i="25"/>
  <c r="AK49" i="7"/>
  <c r="AM49" i="7" s="1"/>
  <c r="BE67" i="7"/>
  <c r="BA42" i="7"/>
  <c r="R30" i="25"/>
  <c r="R86" i="25" s="1"/>
  <c r="I30" i="25"/>
  <c r="AW30" i="25" s="1"/>
  <c r="BC30" i="25" s="1"/>
  <c r="AN31" i="7"/>
  <c r="AJ32" i="7"/>
  <c r="R48" i="25"/>
  <c r="R104" i="25" s="1"/>
  <c r="I48" i="25"/>
  <c r="AW48" i="25" s="1"/>
  <c r="E61" i="30"/>
  <c r="AY60" i="25"/>
  <c r="BA60" i="25"/>
  <c r="AX60" i="25"/>
  <c r="AZ60" i="25"/>
  <c r="W60" i="25"/>
  <c r="AK59" i="7"/>
  <c r="AM59" i="7" s="1"/>
  <c r="AI75" i="7"/>
  <c r="AI74" i="7"/>
  <c r="AK46" i="7"/>
  <c r="AM46" i="7" s="1"/>
  <c r="E44" i="30"/>
  <c r="AX43" i="25"/>
  <c r="AY43" i="25"/>
  <c r="W43" i="25"/>
  <c r="BA43" i="25"/>
  <c r="AZ43" i="25"/>
  <c r="AX64" i="25"/>
  <c r="E65" i="30"/>
  <c r="AY64" i="25"/>
  <c r="W64" i="25"/>
  <c r="AZ64" i="25"/>
  <c r="BA64" i="25"/>
  <c r="BC37" i="25"/>
  <c r="AN68" i="7"/>
  <c r="AI36" i="7"/>
  <c r="AI37" i="7"/>
  <c r="R35" i="25"/>
  <c r="R91" i="25" s="1"/>
  <c r="I35" i="25"/>
  <c r="AW35" i="25" s="1"/>
  <c r="BC35" i="25" s="1"/>
  <c r="AQ29" i="7"/>
  <c r="E47" i="30"/>
  <c r="AX46" i="25"/>
  <c r="AY46" i="25"/>
  <c r="W46" i="25"/>
  <c r="BA46" i="25"/>
  <c r="AZ46" i="25"/>
  <c r="AW46" i="25"/>
  <c r="BC46" i="25" s="1"/>
  <c r="AK58" i="7"/>
  <c r="AM58" i="7" s="1"/>
  <c r="AN40" i="7"/>
  <c r="E42" i="30"/>
  <c r="AX41" i="25"/>
  <c r="W41" i="25"/>
  <c r="AZ41" i="25"/>
  <c r="BA41" i="25"/>
  <c r="AY41" i="25"/>
  <c r="BA66" i="25"/>
  <c r="W66" i="25"/>
  <c r="E67" i="30"/>
  <c r="AX66" i="25"/>
  <c r="AY66" i="25"/>
  <c r="AZ66" i="25"/>
  <c r="AW66" i="25"/>
  <c r="BC66" i="25" s="1"/>
  <c r="AK57" i="7"/>
  <c r="AN57" i="7" s="1"/>
  <c r="AN64" i="7"/>
  <c r="BA64" i="7" s="1"/>
  <c r="AQ31" i="7"/>
  <c r="AQ62" i="7"/>
  <c r="F37" i="30"/>
  <c r="M37" i="30"/>
  <c r="BC50" i="25"/>
  <c r="W53" i="25"/>
  <c r="E54" i="30"/>
  <c r="BA53" i="25"/>
  <c r="AX53" i="25"/>
  <c r="AY53" i="25"/>
  <c r="AZ53" i="25"/>
  <c r="AK61" i="7"/>
  <c r="AM61" i="7" s="1"/>
  <c r="U29" i="7"/>
  <c r="U27" i="7"/>
  <c r="U28" i="7"/>
  <c r="U30" i="7"/>
  <c r="R37" i="7"/>
  <c r="U37" i="7" s="1"/>
  <c r="R34" i="7"/>
  <c r="U34" i="7" s="1"/>
  <c r="AW51" i="25"/>
  <c r="BC51" i="25" s="1"/>
  <c r="R52" i="7"/>
  <c r="U52" i="7" s="1"/>
  <c r="BC57" i="25"/>
  <c r="AZ57" i="25"/>
  <c r="E58" i="30"/>
  <c r="AY57" i="25"/>
  <c r="AX57" i="25"/>
  <c r="W57" i="25"/>
  <c r="BA57" i="25"/>
  <c r="AJ65" i="7"/>
  <c r="R38" i="7"/>
  <c r="U38" i="7" s="1"/>
  <c r="AW32" i="25"/>
  <c r="BC33" i="25" s="1"/>
  <c r="AK69" i="7"/>
  <c r="AN69" i="7" s="1"/>
  <c r="AY65" i="25"/>
  <c r="BE65" i="25" s="1"/>
  <c r="BA65" i="25"/>
  <c r="E66" i="30"/>
  <c r="AZ65" i="25"/>
  <c r="AX65" i="25"/>
  <c r="BD65" i="25" s="1"/>
  <c r="W65" i="25"/>
  <c r="R39" i="7"/>
  <c r="U39" i="7" s="1"/>
  <c r="AN39" i="7"/>
  <c r="BE39" i="7" s="1"/>
  <c r="R45" i="7"/>
  <c r="U45" i="7" s="1"/>
  <c r="AQ46" i="7"/>
  <c r="AZ62" i="25"/>
  <c r="AY62" i="25"/>
  <c r="BA62" i="25"/>
  <c r="E63" i="30"/>
  <c r="AX62" i="25"/>
  <c r="W62" i="25"/>
  <c r="E35" i="30"/>
  <c r="AY34" i="25"/>
  <c r="BE34" i="25" s="1"/>
  <c r="AZ34" i="25"/>
  <c r="BF34" i="25" s="1"/>
  <c r="AX34" i="25"/>
  <c r="BD34" i="25" s="1"/>
  <c r="W34" i="25"/>
  <c r="BA34" i="25"/>
  <c r="BG34" i="25" s="1"/>
  <c r="R35" i="7"/>
  <c r="U35" i="7" s="1"/>
  <c r="AJ56" i="7"/>
  <c r="AQ41" i="7"/>
  <c r="AK41" i="7"/>
  <c r="AM41" i="7" s="1"/>
  <c r="AX56" i="25"/>
  <c r="AY56" i="25"/>
  <c r="E57" i="30"/>
  <c r="W56" i="25"/>
  <c r="AZ56" i="25"/>
  <c r="BA56" i="25"/>
  <c r="BE52" i="7"/>
  <c r="AQ65" i="7"/>
  <c r="AY69" i="25"/>
  <c r="E70" i="30"/>
  <c r="W69" i="25"/>
  <c r="BA69" i="25"/>
  <c r="AX69" i="25"/>
  <c r="AZ69" i="25"/>
  <c r="R67" i="7"/>
  <c r="U67" i="7" s="1"/>
  <c r="R42" i="7"/>
  <c r="U42" i="7" s="1"/>
  <c r="BC70" i="25"/>
  <c r="R71" i="7"/>
  <c r="U71" i="7" s="1"/>
  <c r="AK55" i="7"/>
  <c r="AM55" i="7" s="1"/>
  <c r="AK43" i="7"/>
  <c r="AM43" i="7" s="1"/>
  <c r="AK33" i="7"/>
  <c r="AN33" i="7" s="1"/>
  <c r="AQ56" i="7"/>
  <c r="E11" i="52" l="1"/>
  <c r="F11" i="52" s="1"/>
  <c r="G11" i="52" s="1"/>
  <c r="BF41" i="25"/>
  <c r="BD41" i="25"/>
  <c r="AQ60" i="25"/>
  <c r="Y140" i="36" s="1"/>
  <c r="AN47" i="7"/>
  <c r="BA47" i="7" s="1"/>
  <c r="BG69" i="25"/>
  <c r="AN71" i="7"/>
  <c r="BE71" i="7" s="1"/>
  <c r="AN60" i="7"/>
  <c r="BA60" i="7" s="1"/>
  <c r="BF46" i="25"/>
  <c r="BA34" i="7"/>
  <c r="BA40" i="7"/>
  <c r="BA68" i="7"/>
  <c r="BD69" i="25"/>
  <c r="BE69" i="25"/>
  <c r="BF56" i="25"/>
  <c r="BD56" i="25"/>
  <c r="BE41" i="25"/>
  <c r="BG46" i="25"/>
  <c r="BG56" i="25"/>
  <c r="BE56" i="25"/>
  <c r="X70" i="25"/>
  <c r="BA35" i="7"/>
  <c r="BE71" i="25"/>
  <c r="P40" i="57"/>
  <c r="BG71" i="25"/>
  <c r="P42" i="57"/>
  <c r="BF50" i="25"/>
  <c r="K41" i="57"/>
  <c r="BF71" i="25"/>
  <c r="P41" i="57"/>
  <c r="BD71" i="25"/>
  <c r="P39" i="57"/>
  <c r="BE50" i="25"/>
  <c r="K40" i="57"/>
  <c r="BA72" i="7"/>
  <c r="BE72" i="7"/>
  <c r="BH71" i="25"/>
  <c r="BJ71" i="25" s="1"/>
  <c r="AQ37" i="25"/>
  <c r="Y117" i="36" s="1"/>
  <c r="AQ71" i="25"/>
  <c r="BE51" i="25"/>
  <c r="BH51" i="25" s="1"/>
  <c r="BG65" i="25"/>
  <c r="AN46" i="7"/>
  <c r="BA46" i="7" s="1"/>
  <c r="BG41" i="25"/>
  <c r="AQ67" i="25"/>
  <c r="S132" i="36" s="1"/>
  <c r="AN49" i="7"/>
  <c r="BA49" i="7" s="1"/>
  <c r="AQ56" i="25"/>
  <c r="Y136" i="36" s="1"/>
  <c r="AQ57" i="25"/>
  <c r="Y137" i="36" s="1"/>
  <c r="AQ53" i="25"/>
  <c r="Y133" i="36" s="1"/>
  <c r="AQ66" i="25"/>
  <c r="Y146" i="36" s="1"/>
  <c r="AQ41" i="25"/>
  <c r="Y121" i="36" s="1"/>
  <c r="AQ46" i="25"/>
  <c r="Y126" i="36" s="1"/>
  <c r="AQ64" i="25"/>
  <c r="Y144" i="36" s="1"/>
  <c r="BF69" i="25"/>
  <c r="AQ69" i="25"/>
  <c r="S134" i="36" s="1"/>
  <c r="AQ34" i="25"/>
  <c r="Y114" i="36" s="1"/>
  <c r="BF65" i="25"/>
  <c r="AQ65" i="25"/>
  <c r="Y145" i="36" s="1"/>
  <c r="BE46" i="25"/>
  <c r="BD46" i="25"/>
  <c r="AQ43" i="25"/>
  <c r="Y123" i="36" s="1"/>
  <c r="AQ70" i="25"/>
  <c r="Y150" i="36" s="1"/>
  <c r="AQ39" i="25"/>
  <c r="Y119" i="36" s="1"/>
  <c r="BG50" i="25"/>
  <c r="BD50" i="25"/>
  <c r="Q10" i="53"/>
  <c r="Q7" i="53"/>
  <c r="Q9" i="53"/>
  <c r="Q8" i="53"/>
  <c r="I10" i="53"/>
  <c r="I7" i="53"/>
  <c r="I9" i="53"/>
  <c r="I8" i="53"/>
  <c r="O8" i="53"/>
  <c r="O10" i="53"/>
  <c r="O7" i="53"/>
  <c r="O9" i="53"/>
  <c r="L11" i="53"/>
  <c r="M6" i="53" s="1"/>
  <c r="E6" i="53"/>
  <c r="S130" i="36"/>
  <c r="S127" i="36"/>
  <c r="Y142" i="36"/>
  <c r="S125" i="36"/>
  <c r="S116" i="36"/>
  <c r="Y131" i="36"/>
  <c r="S120" i="36"/>
  <c r="Y135" i="36"/>
  <c r="E8" i="53"/>
  <c r="E10" i="53"/>
  <c r="E7" i="53"/>
  <c r="E9" i="53"/>
  <c r="AQ58" i="25"/>
  <c r="AQ47" i="25"/>
  <c r="AQ50" i="25"/>
  <c r="AJ34" i="30"/>
  <c r="E8" i="52"/>
  <c r="F8" i="52" s="1"/>
  <c r="G8" i="52" s="1"/>
  <c r="BC48" i="25"/>
  <c r="BC49" i="25"/>
  <c r="AQ68" i="25"/>
  <c r="BC61" i="25"/>
  <c r="BC62" i="25"/>
  <c r="AN59" i="7"/>
  <c r="BE59" i="7" s="1"/>
  <c r="AN41" i="7"/>
  <c r="BA41" i="7" s="1"/>
  <c r="BE68" i="25"/>
  <c r="BF68" i="25"/>
  <c r="BE66" i="25"/>
  <c r="BE46" i="7"/>
  <c r="BE49" i="7"/>
  <c r="AK65" i="7"/>
  <c r="AM65" i="7" s="1"/>
  <c r="BD57" i="25"/>
  <c r="M58" i="30"/>
  <c r="F58" i="30"/>
  <c r="AI37" i="30"/>
  <c r="AK37" i="7"/>
  <c r="AM37" i="7" s="1"/>
  <c r="BC67" i="25"/>
  <c r="BH37" i="25"/>
  <c r="BJ37" i="25" s="1"/>
  <c r="M65" i="30"/>
  <c r="F65" i="30"/>
  <c r="M44" i="30"/>
  <c r="F44" i="30"/>
  <c r="AK75" i="7"/>
  <c r="AM75" i="7" s="1"/>
  <c r="F61" i="30"/>
  <c r="M61" i="30"/>
  <c r="AJ61" i="30"/>
  <c r="BE60" i="7"/>
  <c r="BH30" i="25"/>
  <c r="BJ30" i="25" s="1"/>
  <c r="AK32" i="7"/>
  <c r="AM32" i="7" s="1"/>
  <c r="BE70" i="25"/>
  <c r="BG70" i="25"/>
  <c r="BF40" i="25"/>
  <c r="BD40" i="25"/>
  <c r="AQ44" i="25"/>
  <c r="Y124" i="36" s="1"/>
  <c r="E45" i="30"/>
  <c r="W44" i="25"/>
  <c r="AX44" i="25"/>
  <c r="BD44" i="25" s="1"/>
  <c r="BA44" i="25"/>
  <c r="BG44" i="25" s="1"/>
  <c r="AY44" i="25"/>
  <c r="BE44" i="25" s="1"/>
  <c r="AZ44" i="25"/>
  <c r="BF44" i="25" s="1"/>
  <c r="AN50" i="7"/>
  <c r="BF58" i="25"/>
  <c r="BG58" i="25"/>
  <c r="M59" i="30"/>
  <c r="F59" i="30"/>
  <c r="BE47" i="25"/>
  <c r="BG47" i="25"/>
  <c r="BD47" i="25"/>
  <c r="M48" i="30"/>
  <c r="F48" i="30"/>
  <c r="F51" i="30"/>
  <c r="M51" i="30"/>
  <c r="AZ59" i="25"/>
  <c r="BF59" i="25" s="1"/>
  <c r="AY59" i="25"/>
  <c r="BE59" i="25" s="1"/>
  <c r="E60" i="30"/>
  <c r="BA59" i="25"/>
  <c r="BG59" i="25" s="1"/>
  <c r="AX59" i="25"/>
  <c r="BD59" i="25" s="1"/>
  <c r="AQ59" i="25"/>
  <c r="W59" i="25"/>
  <c r="AY63" i="25"/>
  <c r="BE63" i="25" s="1"/>
  <c r="E64" i="30"/>
  <c r="AX63" i="25"/>
  <c r="BD63" i="25" s="1"/>
  <c r="BA63" i="25"/>
  <c r="BG63" i="25" s="1"/>
  <c r="AZ63" i="25"/>
  <c r="BF63" i="25" s="1"/>
  <c r="AQ63" i="25"/>
  <c r="W63" i="25"/>
  <c r="AW63" i="25"/>
  <c r="BG67" i="25"/>
  <c r="BD67" i="25"/>
  <c r="BD68" i="25"/>
  <c r="M38" i="30"/>
  <c r="F38" i="30"/>
  <c r="F50" i="30"/>
  <c r="BF45" i="25"/>
  <c r="AQ36" i="25"/>
  <c r="Y116" i="36" s="1"/>
  <c r="AQ33" i="25"/>
  <c r="Y113" i="36" s="1"/>
  <c r="AN75" i="7"/>
  <c r="AK63" i="7"/>
  <c r="AN63" i="7" s="1"/>
  <c r="AQ31" i="25"/>
  <c r="Y111" i="36" s="1"/>
  <c r="BA31" i="25"/>
  <c r="BG32" i="25" s="1"/>
  <c r="E32" i="30"/>
  <c r="W31" i="25"/>
  <c r="AZ31" i="25"/>
  <c r="BF32" i="25" s="1"/>
  <c r="AY31" i="25"/>
  <c r="AX31" i="25"/>
  <c r="E55" i="30"/>
  <c r="AZ54" i="25"/>
  <c r="BF54" i="25" s="1"/>
  <c r="BA54" i="25"/>
  <c r="BG54" i="25" s="1"/>
  <c r="AX54" i="25"/>
  <c r="BD54" i="25" s="1"/>
  <c r="AY54" i="25"/>
  <c r="BE54" i="25" s="1"/>
  <c r="AQ54" i="25"/>
  <c r="W54" i="25"/>
  <c r="AW54" i="25"/>
  <c r="BA71" i="7"/>
  <c r="AN43" i="7"/>
  <c r="BA43" i="7" s="1"/>
  <c r="AK53" i="7"/>
  <c r="AN53" i="7" s="1"/>
  <c r="BE64" i="7"/>
  <c r="BE35" i="7"/>
  <c r="BE40" i="7"/>
  <c r="BA45" i="7"/>
  <c r="BA39" i="7"/>
  <c r="BE68" i="7"/>
  <c r="BA48" i="7"/>
  <c r="M70" i="30"/>
  <c r="W74" i="25"/>
  <c r="F63" i="30"/>
  <c r="M63" i="30"/>
  <c r="AM33" i="7"/>
  <c r="F57" i="30"/>
  <c r="M57" i="30"/>
  <c r="M75" i="30" s="1"/>
  <c r="BE41" i="7"/>
  <c r="F35" i="30"/>
  <c r="M35" i="30"/>
  <c r="M66" i="30"/>
  <c r="F66" i="30"/>
  <c r="AM69" i="7"/>
  <c r="BG57" i="25"/>
  <c r="BE57" i="25"/>
  <c r="BF57" i="25"/>
  <c r="M54" i="30"/>
  <c r="F54" i="30"/>
  <c r="BC47" i="25"/>
  <c r="AJ37" i="30"/>
  <c r="AM57" i="7"/>
  <c r="BF66" i="25"/>
  <c r="BD66" i="25"/>
  <c r="M67" i="30"/>
  <c r="F67" i="30"/>
  <c r="BG66" i="25"/>
  <c r="M42" i="30"/>
  <c r="F42" i="30"/>
  <c r="M47" i="30"/>
  <c r="F47" i="30"/>
  <c r="AQ35" i="25"/>
  <c r="Y115" i="36" s="1"/>
  <c r="E36" i="30"/>
  <c r="W35" i="25"/>
  <c r="BA35" i="25"/>
  <c r="AY35" i="25"/>
  <c r="AZ35" i="25"/>
  <c r="AX35" i="25"/>
  <c r="AK36" i="7"/>
  <c r="AN36" i="7" s="1"/>
  <c r="BE64" i="25"/>
  <c r="AK74" i="7"/>
  <c r="AM74" i="7" s="1"/>
  <c r="BA59" i="7"/>
  <c r="BC36" i="25"/>
  <c r="E49" i="30"/>
  <c r="AZ48" i="25"/>
  <c r="BF48" i="25" s="1"/>
  <c r="AQ48" i="25"/>
  <c r="AY48" i="25"/>
  <c r="BE48" i="25" s="1"/>
  <c r="W48" i="25"/>
  <c r="AX48" i="25"/>
  <c r="BD48" i="25" s="1"/>
  <c r="BA48" i="25"/>
  <c r="BG48" i="25" s="1"/>
  <c r="AQ30" i="25"/>
  <c r="Y110" i="36" s="1"/>
  <c r="E31" i="30"/>
  <c r="W30" i="25"/>
  <c r="AY30" i="25"/>
  <c r="BE30" i="25" s="1"/>
  <c r="AX30" i="25"/>
  <c r="BD30" i="25" s="1"/>
  <c r="BA30" i="25"/>
  <c r="BG30" i="25" s="1"/>
  <c r="AZ30" i="25"/>
  <c r="BF30" i="25" s="1"/>
  <c r="AN55" i="7"/>
  <c r="BA55" i="7" s="1"/>
  <c r="BF70" i="25"/>
  <c r="BD70" i="25"/>
  <c r="M71" i="30"/>
  <c r="M40" i="30"/>
  <c r="F40" i="30"/>
  <c r="BG40" i="25"/>
  <c r="BE40" i="25"/>
  <c r="M41" i="30"/>
  <c r="F41" i="30"/>
  <c r="AK56" i="7"/>
  <c r="AM56" i="7" s="1"/>
  <c r="BH34" i="25"/>
  <c r="BL34" i="25" s="1"/>
  <c r="AW44" i="25"/>
  <c r="E39" i="30"/>
  <c r="AX38" i="25"/>
  <c r="BD38" i="25" s="1"/>
  <c r="BA38" i="25"/>
  <c r="BG38" i="25" s="1"/>
  <c r="AQ38" i="25"/>
  <c r="Y118" i="36" s="1"/>
  <c r="AZ38" i="25"/>
  <c r="BF38" i="25" s="1"/>
  <c r="AY38" i="25"/>
  <c r="BE38" i="25" s="1"/>
  <c r="W38" i="25"/>
  <c r="AW38" i="25"/>
  <c r="M33" i="30"/>
  <c r="F33" i="30"/>
  <c r="F52" i="30"/>
  <c r="M52" i="30"/>
  <c r="AJ52" i="30"/>
  <c r="AN44" i="7"/>
  <c r="BE44" i="7" s="1"/>
  <c r="BD58" i="25"/>
  <c r="BE58" i="25"/>
  <c r="BF47" i="25"/>
  <c r="AW59" i="25"/>
  <c r="F56" i="30"/>
  <c r="M56" i="30"/>
  <c r="AJ56" i="30"/>
  <c r="BF67" i="25"/>
  <c r="M68" i="30"/>
  <c r="F68" i="30"/>
  <c r="BE67" i="25"/>
  <c r="BG68" i="25"/>
  <c r="F69" i="30"/>
  <c r="M69" i="30"/>
  <c r="AJ69" i="30"/>
  <c r="BE38" i="7"/>
  <c r="BA38" i="7"/>
  <c r="AN58" i="7"/>
  <c r="BA58" i="7" s="1"/>
  <c r="AQ49" i="25"/>
  <c r="AQ45" i="25"/>
  <c r="W73" i="25"/>
  <c r="E74" i="30"/>
  <c r="M46" i="30"/>
  <c r="M74" i="30" s="1"/>
  <c r="F46" i="30"/>
  <c r="BG33" i="25"/>
  <c r="AI34" i="30"/>
  <c r="BF33" i="25"/>
  <c r="AN61" i="7"/>
  <c r="BE61" i="7" s="1"/>
  <c r="AN51" i="7"/>
  <c r="E62" i="30"/>
  <c r="BA61" i="25"/>
  <c r="BG61" i="25" s="1"/>
  <c r="AZ61" i="25"/>
  <c r="BF61" i="25" s="1"/>
  <c r="AX61" i="25"/>
  <c r="BD61" i="25" s="1"/>
  <c r="AY61" i="25"/>
  <c r="BE61" i="25" s="1"/>
  <c r="AQ61" i="25"/>
  <c r="W61" i="25"/>
  <c r="AK62" i="7"/>
  <c r="AN62" i="7" s="1"/>
  <c r="AW31" i="25"/>
  <c r="BC31" i="25" s="1"/>
  <c r="E43" i="30"/>
  <c r="AQ42" i="25"/>
  <c r="Y122" i="36" s="1"/>
  <c r="W42" i="25"/>
  <c r="AZ42" i="25"/>
  <c r="BF42" i="25" s="1"/>
  <c r="BA42" i="25"/>
  <c r="BG42" i="25" s="1"/>
  <c r="AX42" i="25"/>
  <c r="BD42" i="25" s="1"/>
  <c r="AY42" i="25"/>
  <c r="BE42" i="25" s="1"/>
  <c r="E53" i="30"/>
  <c r="W52" i="25"/>
  <c r="AQ52" i="25"/>
  <c r="AZ52" i="25"/>
  <c r="BF52" i="25" s="1"/>
  <c r="AX52" i="25"/>
  <c r="BD52" i="25" s="1"/>
  <c r="AY52" i="25"/>
  <c r="BE52" i="25" s="1"/>
  <c r="BA52" i="25"/>
  <c r="BG52" i="25" s="1"/>
  <c r="AW52" i="25"/>
  <c r="AK54" i="7"/>
  <c r="AN54" i="7" s="1"/>
  <c r="BC43" i="25"/>
  <c r="Y151" i="36" l="1"/>
  <c r="S136" i="36"/>
  <c r="E30" i="52"/>
  <c r="F30" i="52" s="1"/>
  <c r="G30" i="52" s="1"/>
  <c r="E26" i="52"/>
  <c r="F26" i="52" s="1"/>
  <c r="G26" i="52" s="1"/>
  <c r="E24" i="52"/>
  <c r="F24" i="52" s="1"/>
  <c r="G24" i="52" s="1"/>
  <c r="E33" i="52"/>
  <c r="F33" i="52" s="1"/>
  <c r="G33" i="52" s="1"/>
  <c r="Y147" i="36"/>
  <c r="BH56" i="25"/>
  <c r="BJ56" i="25" s="1"/>
  <c r="BH41" i="25"/>
  <c r="BJ41" i="25" s="1"/>
  <c r="BE47" i="7"/>
  <c r="AN37" i="7"/>
  <c r="S111" i="36"/>
  <c r="BH69" i="25"/>
  <c r="BJ69" i="25" s="1"/>
  <c r="BE45" i="25"/>
  <c r="S122" i="36"/>
  <c r="BN37" i="25"/>
  <c r="BN30" i="25"/>
  <c r="BL30" i="25"/>
  <c r="BE60" i="25"/>
  <c r="BD64" i="25"/>
  <c r="BF64" i="25"/>
  <c r="BL37" i="25"/>
  <c r="S131" i="36"/>
  <c r="S135" i="36"/>
  <c r="BH65" i="25"/>
  <c r="BM65" i="25" s="1"/>
  <c r="BD49" i="25"/>
  <c r="E43" i="52"/>
  <c r="F43" i="52" s="1"/>
  <c r="G43" i="52" s="1"/>
  <c r="E35" i="52"/>
  <c r="F35" i="52" s="1"/>
  <c r="G35" i="52" s="1"/>
  <c r="E41" i="52"/>
  <c r="F41" i="52" s="1"/>
  <c r="G41" i="52" s="1"/>
  <c r="BJ51" i="25"/>
  <c r="BK51" i="25"/>
  <c r="BL51" i="25"/>
  <c r="AN74" i="7"/>
  <c r="BF49" i="25"/>
  <c r="BD45" i="25"/>
  <c r="BN71" i="25"/>
  <c r="BH50" i="25"/>
  <c r="BJ50" i="25" s="1"/>
  <c r="BL71" i="25"/>
  <c r="AL57" i="25"/>
  <c r="AL71" i="25"/>
  <c r="BM71" i="25"/>
  <c r="BK71" i="25"/>
  <c r="S118" i="36"/>
  <c r="S129" i="36"/>
  <c r="S121" i="36"/>
  <c r="Y149" i="36"/>
  <c r="BH46" i="25"/>
  <c r="BM46" i="25" s="1"/>
  <c r="AL52" i="25"/>
  <c r="AL42" i="25"/>
  <c r="BG45" i="25"/>
  <c r="BK37" i="25"/>
  <c r="BM51" i="25"/>
  <c r="BM30" i="25"/>
  <c r="BK30" i="25"/>
  <c r="BD60" i="25"/>
  <c r="BM37" i="25"/>
  <c r="BN51" i="25"/>
  <c r="AL61" i="25"/>
  <c r="M10" i="53"/>
  <c r="M7" i="53"/>
  <c r="M9" i="53"/>
  <c r="M8" i="53"/>
  <c r="S117" i="36"/>
  <c r="Y132" i="36"/>
  <c r="S110" i="36"/>
  <c r="Y125" i="36"/>
  <c r="Z125" i="36" s="1"/>
  <c r="S113" i="36"/>
  <c r="Y128" i="36"/>
  <c r="S128" i="36"/>
  <c r="Y143" i="36"/>
  <c r="S133" i="36"/>
  <c r="Y148" i="36"/>
  <c r="S112" i="36"/>
  <c r="Y127" i="36"/>
  <c r="S126" i="36"/>
  <c r="Y141" i="36"/>
  <c r="S114" i="36"/>
  <c r="Y129" i="36"/>
  <c r="S119" i="36"/>
  <c r="Y134" i="36"/>
  <c r="S124" i="36"/>
  <c r="Y139" i="36"/>
  <c r="S115" i="36"/>
  <c r="Y130" i="36"/>
  <c r="S123" i="36"/>
  <c r="Y138" i="36"/>
  <c r="BH33" i="25"/>
  <c r="BN33" i="25" s="1"/>
  <c r="AJ50" i="30"/>
  <c r="AJ47" i="30"/>
  <c r="E21" i="52"/>
  <c r="F21" i="52" s="1"/>
  <c r="G21" i="52" s="1"/>
  <c r="AJ54" i="30"/>
  <c r="E28" i="52"/>
  <c r="F28" i="52" s="1"/>
  <c r="G28" i="52" s="1"/>
  <c r="AJ66" i="30"/>
  <c r="E40" i="52"/>
  <c r="F40" i="52" s="1"/>
  <c r="G40" i="52" s="1"/>
  <c r="AJ63" i="30"/>
  <c r="E37" i="52"/>
  <c r="F37" i="52" s="1"/>
  <c r="G37" i="52" s="1"/>
  <c r="AJ38" i="30"/>
  <c r="AM38" i="30" s="1"/>
  <c r="E12" i="52"/>
  <c r="F12" i="52" s="1"/>
  <c r="G12" i="52" s="1"/>
  <c r="AJ44" i="30"/>
  <c r="E18" i="52"/>
  <c r="F18" i="52" s="1"/>
  <c r="G18" i="52" s="1"/>
  <c r="AJ65" i="30"/>
  <c r="E39" i="52"/>
  <c r="F39" i="52" s="1"/>
  <c r="G39" i="52" s="1"/>
  <c r="AJ46" i="30"/>
  <c r="E20" i="52"/>
  <c r="F20" i="52" s="1"/>
  <c r="G20" i="52" s="1"/>
  <c r="AJ68" i="30"/>
  <c r="AM69" i="30" s="1"/>
  <c r="E42" i="52"/>
  <c r="F42" i="52" s="1"/>
  <c r="G42" i="52" s="1"/>
  <c r="AJ33" i="30"/>
  <c r="AM34" i="30" s="1"/>
  <c r="E7" i="52"/>
  <c r="F7" i="52" s="1"/>
  <c r="G7" i="52" s="1"/>
  <c r="AJ41" i="30"/>
  <c r="E15" i="52"/>
  <c r="F15" i="52" s="1"/>
  <c r="G15" i="52" s="1"/>
  <c r="AJ40" i="30"/>
  <c r="E14" i="52"/>
  <c r="F14" i="52" s="1"/>
  <c r="G14" i="52" s="1"/>
  <c r="AJ42" i="30"/>
  <c r="AM42" i="30" s="1"/>
  <c r="E16" i="52"/>
  <c r="F16" i="52" s="1"/>
  <c r="G16" i="52" s="1"/>
  <c r="AJ35" i="30"/>
  <c r="AM35" i="30" s="1"/>
  <c r="E9" i="52"/>
  <c r="F9" i="52" s="1"/>
  <c r="G9" i="52" s="1"/>
  <c r="AJ57" i="30"/>
  <c r="AM57" i="30" s="1"/>
  <c r="E31" i="52"/>
  <c r="F31" i="52" s="1"/>
  <c r="G31" i="52" s="1"/>
  <c r="AJ51" i="30"/>
  <c r="J35" i="57" s="1"/>
  <c r="E25" i="52"/>
  <c r="F25" i="52" s="1"/>
  <c r="G25" i="52" s="1"/>
  <c r="AJ48" i="30"/>
  <c r="AM48" i="30" s="1"/>
  <c r="E22" i="52"/>
  <c r="F22" i="52" s="1"/>
  <c r="G22" i="52" s="1"/>
  <c r="AJ58" i="30"/>
  <c r="AM58" i="30" s="1"/>
  <c r="E32" i="52"/>
  <c r="F32" i="52" s="1"/>
  <c r="G32" i="52" s="1"/>
  <c r="BJ34" i="25"/>
  <c r="BG39" i="25"/>
  <c r="BH57" i="25"/>
  <c r="BJ57" i="25" s="1"/>
  <c r="BH70" i="25"/>
  <c r="BJ70" i="25" s="1"/>
  <c r="CW30" i="25"/>
  <c r="CX30" i="25" s="1"/>
  <c r="CS30" i="25"/>
  <c r="CT30" i="25" s="1"/>
  <c r="CO30" i="25"/>
  <c r="CP30" i="25" s="1"/>
  <c r="BE37" i="7"/>
  <c r="BA37" i="7"/>
  <c r="BE74" i="7"/>
  <c r="BA74" i="7"/>
  <c r="AM54" i="7"/>
  <c r="M53" i="30"/>
  <c r="F53" i="30"/>
  <c r="AM62" i="7"/>
  <c r="AL45" i="25"/>
  <c r="AL37" i="25"/>
  <c r="AI68" i="30"/>
  <c r="AL55" i="25"/>
  <c r="AL47" i="25"/>
  <c r="BH58" i="25"/>
  <c r="BJ58" i="25" s="1"/>
  <c r="AI33" i="30"/>
  <c r="AL34" i="30" s="1"/>
  <c r="AL38" i="25"/>
  <c r="M39" i="30"/>
  <c r="F39" i="30"/>
  <c r="BE39" i="25"/>
  <c r="AL30" i="25"/>
  <c r="AL43" i="25"/>
  <c r="AM36" i="7"/>
  <c r="BF35" i="25"/>
  <c r="BF36" i="25"/>
  <c r="BG35" i="25"/>
  <c r="BG36" i="25"/>
  <c r="M36" i="30"/>
  <c r="F36" i="30"/>
  <c r="AI42" i="30"/>
  <c r="AL41" i="25"/>
  <c r="BA57" i="7"/>
  <c r="BE57" i="7"/>
  <c r="BH47" i="25"/>
  <c r="BJ47" i="25" s="1"/>
  <c r="AI54" i="30"/>
  <c r="BD53" i="25"/>
  <c r="BA61" i="7"/>
  <c r="BA69" i="7"/>
  <c r="BE69" i="7"/>
  <c r="BF62" i="25"/>
  <c r="AL62" i="25"/>
  <c r="BM34" i="25"/>
  <c r="BL56" i="25"/>
  <c r="BM56" i="25"/>
  <c r="BE55" i="7"/>
  <c r="BE33" i="7"/>
  <c r="BA33" i="7"/>
  <c r="BN34" i="25"/>
  <c r="AM53" i="7"/>
  <c r="AL54" i="25"/>
  <c r="F55" i="30"/>
  <c r="M55" i="30"/>
  <c r="BE31" i="25"/>
  <c r="AL31" i="25"/>
  <c r="BG31" i="25"/>
  <c r="AM63" i="7"/>
  <c r="AI50" i="30"/>
  <c r="AL68" i="25"/>
  <c r="BG55" i="25"/>
  <c r="BD55" i="25"/>
  <c r="BC63" i="25"/>
  <c r="BC64" i="25"/>
  <c r="M64" i="30"/>
  <c r="F64" i="30"/>
  <c r="AL59" i="25"/>
  <c r="M60" i="30"/>
  <c r="F60" i="30"/>
  <c r="AL50" i="25"/>
  <c r="AI59" i="30"/>
  <c r="AJ59" i="30"/>
  <c r="AL51" i="25"/>
  <c r="BE32" i="25"/>
  <c r="AL44" i="25"/>
  <c r="AL39" i="25"/>
  <c r="BH48" i="25"/>
  <c r="BJ48" i="25" s="1"/>
  <c r="AI61" i="30"/>
  <c r="BF60" i="25"/>
  <c r="BG43" i="25"/>
  <c r="AL64" i="25"/>
  <c r="BH67" i="25"/>
  <c r="BN67" i="25" s="1"/>
  <c r="BE58" i="7"/>
  <c r="BH66" i="25"/>
  <c r="BM66" i="25" s="1"/>
  <c r="AL53" i="25"/>
  <c r="BE53" i="25"/>
  <c r="BA44" i="7"/>
  <c r="AN65" i="7"/>
  <c r="BA65" i="7" s="1"/>
  <c r="BE62" i="25"/>
  <c r="BK34" i="25"/>
  <c r="BK56" i="25"/>
  <c r="BE43" i="7"/>
  <c r="BC52" i="25"/>
  <c r="BC53" i="25"/>
  <c r="M43" i="30"/>
  <c r="F43" i="30"/>
  <c r="M62" i="30"/>
  <c r="F62" i="30"/>
  <c r="F74" i="30"/>
  <c r="AI46" i="30"/>
  <c r="AL33" i="25"/>
  <c r="AL36" i="25"/>
  <c r="AI69" i="30"/>
  <c r="AI56" i="30"/>
  <c r="BC59" i="25"/>
  <c r="BC60" i="25"/>
  <c r="AL58" i="25"/>
  <c r="AI52" i="30"/>
  <c r="BC38" i="25"/>
  <c r="BC39" i="25"/>
  <c r="BC44" i="25"/>
  <c r="BC45" i="25"/>
  <c r="AI41" i="30"/>
  <c r="AL40" i="25"/>
  <c r="AI40" i="30"/>
  <c r="M31" i="30"/>
  <c r="F31" i="30"/>
  <c r="AL48" i="25"/>
  <c r="M49" i="30"/>
  <c r="F49" i="30"/>
  <c r="AL60" i="25"/>
  <c r="BD43" i="25"/>
  <c r="BF43" i="25"/>
  <c r="BD35" i="25"/>
  <c r="BD36" i="25"/>
  <c r="BE35" i="25"/>
  <c r="BE36" i="25"/>
  <c r="AL35" i="25"/>
  <c r="AI47" i="30"/>
  <c r="AL46" i="25"/>
  <c r="AI67" i="30"/>
  <c r="AJ67" i="30"/>
  <c r="AI66" i="30"/>
  <c r="BG62" i="25"/>
  <c r="AI35" i="30"/>
  <c r="AL35" i="30" s="1"/>
  <c r="AL34" i="25"/>
  <c r="AI57" i="30"/>
  <c r="AL69" i="25"/>
  <c r="BC32" i="25"/>
  <c r="AL65" i="25"/>
  <c r="AI63" i="30"/>
  <c r="AL56" i="25"/>
  <c r="BN56" i="25"/>
  <c r="BC54" i="25"/>
  <c r="BC55" i="25"/>
  <c r="BH42" i="25"/>
  <c r="BJ42" i="25" s="1"/>
  <c r="BD31" i="25"/>
  <c r="BF31" i="25"/>
  <c r="M32" i="30"/>
  <c r="F32" i="30"/>
  <c r="BH61" i="25"/>
  <c r="BJ61" i="25" s="1"/>
  <c r="BE49" i="25"/>
  <c r="BG49" i="25"/>
  <c r="AI38" i="30"/>
  <c r="AL38" i="30" s="1"/>
  <c r="BH68" i="25"/>
  <c r="AL67" i="25"/>
  <c r="BF55" i="25"/>
  <c r="BE55" i="25"/>
  <c r="AL63" i="25"/>
  <c r="AI51" i="30"/>
  <c r="J13" i="57" s="1"/>
  <c r="AI48" i="30"/>
  <c r="BD32" i="25"/>
  <c r="AL32" i="25"/>
  <c r="M45" i="30"/>
  <c r="F45" i="30"/>
  <c r="BH40" i="25"/>
  <c r="BJ40" i="25" s="1"/>
  <c r="BF39" i="25"/>
  <c r="BD39" i="25"/>
  <c r="AL70" i="25"/>
  <c r="AN32" i="7"/>
  <c r="BA32" i="7" s="1"/>
  <c r="BB32" i="7" s="1"/>
  <c r="BG60" i="25"/>
  <c r="BA75" i="7"/>
  <c r="BE75" i="7"/>
  <c r="AI44" i="30"/>
  <c r="BE43" i="25"/>
  <c r="AI65" i="30"/>
  <c r="BG64" i="25"/>
  <c r="AL66" i="25"/>
  <c r="BG53" i="25"/>
  <c r="BF53" i="25"/>
  <c r="AI58" i="30"/>
  <c r="BE65" i="7"/>
  <c r="BD62" i="25"/>
  <c r="AN56" i="7"/>
  <c r="BE56" i="7" s="1"/>
  <c r="BK57" i="25" l="1"/>
  <c r="E23" i="52"/>
  <c r="F23" i="52" s="1"/>
  <c r="G23" i="52" s="1"/>
  <c r="E17" i="52"/>
  <c r="F17" i="52" s="1"/>
  <c r="G17" i="52" s="1"/>
  <c r="E19" i="52"/>
  <c r="F19" i="52" s="1"/>
  <c r="G19" i="52" s="1"/>
  <c r="E34" i="52"/>
  <c r="F34" i="52" s="1"/>
  <c r="G34" i="52" s="1"/>
  <c r="BN46" i="25"/>
  <c r="BN58" i="25"/>
  <c r="BN57" i="25"/>
  <c r="BL41" i="25"/>
  <c r="BK69" i="25"/>
  <c r="BL69" i="25"/>
  <c r="BN41" i="25"/>
  <c r="BM41" i="25"/>
  <c r="BK65" i="25"/>
  <c r="BL65" i="25"/>
  <c r="BK41" i="25"/>
  <c r="BM58" i="25"/>
  <c r="BN65" i="25"/>
  <c r="BJ65" i="25"/>
  <c r="CS65" i="25" s="1"/>
  <c r="BL46" i="25"/>
  <c r="BM69" i="25"/>
  <c r="BN50" i="25"/>
  <c r="BN69" i="25"/>
  <c r="AL58" i="30"/>
  <c r="CS37" i="25"/>
  <c r="AL48" i="30"/>
  <c r="AN48" i="30" s="1"/>
  <c r="AP48" i="30" s="1"/>
  <c r="AM67" i="30"/>
  <c r="BL57" i="25"/>
  <c r="CS51" i="25"/>
  <c r="AM47" i="30"/>
  <c r="BJ46" i="25"/>
  <c r="BM50" i="25"/>
  <c r="E36" i="52"/>
  <c r="F36" i="52" s="1"/>
  <c r="G36" i="52" s="1"/>
  <c r="BK47" i="25"/>
  <c r="BN48" i="25"/>
  <c r="AM52" i="30"/>
  <c r="BK46" i="25"/>
  <c r="BK50" i="25"/>
  <c r="BL50" i="25"/>
  <c r="AB42" i="30"/>
  <c r="Y16" i="36" s="1"/>
  <c r="CS71" i="25"/>
  <c r="BL67" i="25"/>
  <c r="AB40" i="30"/>
  <c r="Y14" i="36" s="1"/>
  <c r="AB56" i="30"/>
  <c r="Y30" i="36" s="1"/>
  <c r="AB47" i="30"/>
  <c r="Y21" i="36" s="1"/>
  <c r="CS34" i="25"/>
  <c r="AL57" i="30"/>
  <c r="BM57" i="25"/>
  <c r="AL47" i="30"/>
  <c r="BM47" i="25"/>
  <c r="AL69" i="30"/>
  <c r="AN69" i="30" s="1"/>
  <c r="AQ69" i="30" s="1"/>
  <c r="AM51" i="30"/>
  <c r="BK70" i="25"/>
  <c r="BN70" i="25"/>
  <c r="BM70" i="25"/>
  <c r="BL70" i="25"/>
  <c r="AB67" i="30"/>
  <c r="Y41" i="36" s="1"/>
  <c r="AB65" i="30"/>
  <c r="Y39" i="36" s="1"/>
  <c r="AB48" i="30"/>
  <c r="Y22" i="36" s="1"/>
  <c r="AB51" i="30"/>
  <c r="Y25" i="36" s="1"/>
  <c r="AM59" i="30"/>
  <c r="AB57" i="30"/>
  <c r="Y31" i="36" s="1"/>
  <c r="AB52" i="30"/>
  <c r="Y26" i="36" s="1"/>
  <c r="AB46" i="30"/>
  <c r="CA32" i="30" s="1"/>
  <c r="AB58" i="30"/>
  <c r="Y32" i="36" s="1"/>
  <c r="AB44" i="30"/>
  <c r="Y18" i="36" s="1"/>
  <c r="BL47" i="25"/>
  <c r="AL51" i="30"/>
  <c r="BK67" i="25"/>
  <c r="AB38" i="30"/>
  <c r="Y12" i="36" s="1"/>
  <c r="AB63" i="30"/>
  <c r="Y37" i="36" s="1"/>
  <c r="BL58" i="25"/>
  <c r="BM67" i="25"/>
  <c r="BN47" i="25"/>
  <c r="AB35" i="30"/>
  <c r="Y9" i="36" s="1"/>
  <c r="AB66" i="30"/>
  <c r="Y40" i="36" s="1"/>
  <c r="BH49" i="25"/>
  <c r="BJ49" i="25" s="1"/>
  <c r="AJ62" i="30"/>
  <c r="AM62" i="30" s="1"/>
  <c r="AJ43" i="30"/>
  <c r="AM43" i="30" s="1"/>
  <c r="BJ33" i="25"/>
  <c r="BK33" i="25"/>
  <c r="BL33" i="25"/>
  <c r="BM33" i="25"/>
  <c r="AJ32" i="30"/>
  <c r="AM33" i="30" s="1"/>
  <c r="E6" i="52"/>
  <c r="F6" i="52" s="1"/>
  <c r="G6" i="52" s="1"/>
  <c r="AJ31" i="30"/>
  <c r="AM31" i="30" s="1"/>
  <c r="E5" i="52"/>
  <c r="AJ55" i="30"/>
  <c r="AM56" i="30" s="1"/>
  <c r="E29" i="52"/>
  <c r="F29" i="52" s="1"/>
  <c r="G29" i="52" s="1"/>
  <c r="AJ36" i="30"/>
  <c r="AM37" i="30" s="1"/>
  <c r="E10" i="52"/>
  <c r="F10" i="52" s="1"/>
  <c r="G10" i="52" s="1"/>
  <c r="AJ53" i="30"/>
  <c r="AM54" i="30" s="1"/>
  <c r="E27" i="52"/>
  <c r="F27" i="52" s="1"/>
  <c r="G27" i="52" s="1"/>
  <c r="AJ64" i="30"/>
  <c r="AM64" i="30" s="1"/>
  <c r="E38" i="52"/>
  <c r="F38" i="52" s="1"/>
  <c r="G38" i="52" s="1"/>
  <c r="AJ39" i="30"/>
  <c r="AM40" i="30" s="1"/>
  <c r="E13" i="52"/>
  <c r="F13" i="52" s="1"/>
  <c r="G13" i="52" s="1"/>
  <c r="AM41" i="30"/>
  <c r="AM66" i="30"/>
  <c r="AB41" i="30"/>
  <c r="Y15" i="36" s="1"/>
  <c r="AB69" i="30"/>
  <c r="Y43" i="36" s="1"/>
  <c r="AM36" i="30"/>
  <c r="BK58" i="25"/>
  <c r="BJ67" i="25"/>
  <c r="AN58" i="30"/>
  <c r="AP58" i="30" s="1"/>
  <c r="BE32" i="7"/>
  <c r="BF32" i="7" s="1"/>
  <c r="AB45" i="30"/>
  <c r="Y19" i="36" s="1"/>
  <c r="AI45" i="30"/>
  <c r="AL45" i="30" s="1"/>
  <c r="AJ45" i="30"/>
  <c r="BJ68" i="25"/>
  <c r="BL68" i="25"/>
  <c r="BM68" i="25"/>
  <c r="BH55" i="25"/>
  <c r="BL55" i="25" s="1"/>
  <c r="AN35" i="30"/>
  <c r="AQ35" i="30" s="1"/>
  <c r="AB49" i="30"/>
  <c r="Y23" i="36" s="1"/>
  <c r="AI49" i="30"/>
  <c r="AL49" i="30" s="1"/>
  <c r="BH44" i="25"/>
  <c r="BJ44" i="25" s="1"/>
  <c r="BH38" i="25"/>
  <c r="BJ38" i="25" s="1"/>
  <c r="AL52" i="30"/>
  <c r="BH59" i="25"/>
  <c r="BJ59" i="25" s="1"/>
  <c r="AM68" i="30"/>
  <c r="BL61" i="25"/>
  <c r="BN42" i="25"/>
  <c r="BH53" i="25"/>
  <c r="BM53" i="25" s="1"/>
  <c r="BJ66" i="25"/>
  <c r="BL66" i="25"/>
  <c r="AB61" i="30"/>
  <c r="Y35" i="36" s="1"/>
  <c r="BM40" i="25"/>
  <c r="AL59" i="30"/>
  <c r="AB60" i="30"/>
  <c r="Y34" i="36" s="1"/>
  <c r="AI60" i="30"/>
  <c r="AL60" i="30" s="1"/>
  <c r="BH63" i="25"/>
  <c r="BE53" i="7"/>
  <c r="BA53" i="7"/>
  <c r="BB33" i="7"/>
  <c r="BN66" i="25"/>
  <c r="AB36" i="30"/>
  <c r="Y10" i="36" s="1"/>
  <c r="AI36" i="30"/>
  <c r="BA36" i="7"/>
  <c r="BE36" i="7"/>
  <c r="BH36" i="25"/>
  <c r="BJ36" i="25" s="1"/>
  <c r="BM48" i="25"/>
  <c r="BK48" i="25"/>
  <c r="BN40" i="25"/>
  <c r="BA56" i="7"/>
  <c r="AL68" i="30"/>
  <c r="BN61" i="25"/>
  <c r="BA62" i="7"/>
  <c r="BE62" i="7"/>
  <c r="BH31" i="25"/>
  <c r="BJ31" i="25" s="1"/>
  <c r="BK42" i="25"/>
  <c r="AB53" i="30"/>
  <c r="Y27" i="36" s="1"/>
  <c r="AI53" i="30"/>
  <c r="AL53" i="30" s="1"/>
  <c r="BA54" i="7"/>
  <c r="BE54" i="7"/>
  <c r="CS56" i="25"/>
  <c r="BL42" i="25"/>
  <c r="BH62" i="25"/>
  <c r="BJ62" i="25" s="1"/>
  <c r="BK40" i="25"/>
  <c r="BK68" i="25"/>
  <c r="AN38" i="30"/>
  <c r="AQ38" i="30" s="1"/>
  <c r="AI32" i="30"/>
  <c r="AB32" i="30"/>
  <c r="Y6" i="36" s="1"/>
  <c r="BH54" i="25"/>
  <c r="BH32" i="25"/>
  <c r="AN57" i="30"/>
  <c r="AQ57" i="30" s="1"/>
  <c r="AL66" i="30"/>
  <c r="AL67" i="30"/>
  <c r="BH35" i="25"/>
  <c r="BJ35" i="25" s="1"/>
  <c r="AJ49" i="30"/>
  <c r="AI31" i="30"/>
  <c r="AL31" i="30" s="1"/>
  <c r="AB31" i="30"/>
  <c r="Y5" i="36" s="1"/>
  <c r="AL41" i="30"/>
  <c r="BH45" i="25"/>
  <c r="BJ45" i="25" s="1"/>
  <c r="BH39" i="25"/>
  <c r="BN39" i="25" s="1"/>
  <c r="BH60" i="25"/>
  <c r="BN60" i="25" s="1"/>
  <c r="AB34" i="30"/>
  <c r="Y8" i="36" s="1"/>
  <c r="AB37" i="30"/>
  <c r="Y11" i="36" s="1"/>
  <c r="AB62" i="30"/>
  <c r="Y36" i="36" s="1"/>
  <c r="AI62" i="30"/>
  <c r="AL62" i="30" s="1"/>
  <c r="BM61" i="25"/>
  <c r="AI43" i="30"/>
  <c r="AL43" i="30" s="1"/>
  <c r="AB43" i="30"/>
  <c r="Y17" i="36" s="1"/>
  <c r="BH52" i="25"/>
  <c r="AB59" i="30"/>
  <c r="Y33" i="36" s="1"/>
  <c r="AJ60" i="30"/>
  <c r="AB64" i="30"/>
  <c r="Y38" i="36" s="1"/>
  <c r="AI64" i="30"/>
  <c r="AL64" i="30" s="1"/>
  <c r="BH64" i="25"/>
  <c r="BJ64" i="25" s="1"/>
  <c r="AB50" i="30"/>
  <c r="Y24" i="36" s="1"/>
  <c r="BE63" i="7"/>
  <c r="BA63" i="7"/>
  <c r="AB55" i="30"/>
  <c r="Y29" i="36" s="1"/>
  <c r="AI55" i="30"/>
  <c r="AL55" i="30" s="1"/>
  <c r="BF33" i="7"/>
  <c r="AB54" i="30"/>
  <c r="Y28" i="36" s="1"/>
  <c r="BK66" i="25"/>
  <c r="AL42" i="30"/>
  <c r="BL48" i="25"/>
  <c r="BL40" i="25"/>
  <c r="AI39" i="30"/>
  <c r="AL39" i="30" s="1"/>
  <c r="AB39" i="30"/>
  <c r="Y13" i="36" s="1"/>
  <c r="AB33" i="30"/>
  <c r="Y7" i="36" s="1"/>
  <c r="AB68" i="30"/>
  <c r="Y42" i="36" s="1"/>
  <c r="BN68" i="25"/>
  <c r="AN34" i="30"/>
  <c r="AQ34" i="30" s="1"/>
  <c r="BK61" i="25"/>
  <c r="BM42" i="25"/>
  <c r="BH43" i="25"/>
  <c r="BJ43" i="25" s="1"/>
  <c r="CS41" i="25" l="1"/>
  <c r="CS69" i="25"/>
  <c r="CS46" i="25"/>
  <c r="BK49" i="25"/>
  <c r="AN51" i="30"/>
  <c r="AQ51" i="30" s="1"/>
  <c r="AN47" i="30"/>
  <c r="AP47" i="30" s="1"/>
  <c r="BL39" i="25"/>
  <c r="BL62" i="25"/>
  <c r="CA37" i="30"/>
  <c r="CS70" i="25"/>
  <c r="CA38" i="30"/>
  <c r="AM65" i="30"/>
  <c r="BN55" i="25"/>
  <c r="AM39" i="30"/>
  <c r="AN39" i="30" s="1"/>
  <c r="AP39" i="30" s="1"/>
  <c r="CS58" i="25"/>
  <c r="CS57" i="25"/>
  <c r="S17" i="36"/>
  <c r="AQ48" i="30"/>
  <c r="BL48" i="30" s="1"/>
  <c r="BK53" i="25"/>
  <c r="BN49" i="25"/>
  <c r="BN53" i="25"/>
  <c r="CA42" i="30"/>
  <c r="BN35" i="25"/>
  <c r="AM63" i="30"/>
  <c r="AM55" i="30"/>
  <c r="AN55" i="30" s="1"/>
  <c r="AQ55" i="30" s="1"/>
  <c r="CS67" i="25"/>
  <c r="AM53" i="30"/>
  <c r="AN53" i="30" s="1"/>
  <c r="AQ53" i="30" s="1"/>
  <c r="S25" i="36"/>
  <c r="S22" i="36"/>
  <c r="AL50" i="30"/>
  <c r="BN62" i="25"/>
  <c r="CS47" i="25"/>
  <c r="BM35" i="25"/>
  <c r="S15" i="36"/>
  <c r="S5" i="36"/>
  <c r="S6" i="36"/>
  <c r="CA43" i="30"/>
  <c r="CA33" i="30"/>
  <c r="S26" i="36"/>
  <c r="S7" i="36"/>
  <c r="BM31" i="25"/>
  <c r="AM44" i="30"/>
  <c r="CS42" i="25"/>
  <c r="BK55" i="25"/>
  <c r="AL61" i="30"/>
  <c r="Y20" i="36"/>
  <c r="S28" i="36"/>
  <c r="BM55" i="25"/>
  <c r="BM49" i="25"/>
  <c r="AL46" i="30"/>
  <c r="S16" i="36"/>
  <c r="BL49" i="25"/>
  <c r="CA34" i="30"/>
  <c r="S11" i="36"/>
  <c r="CA44" i="30"/>
  <c r="AQ58" i="30"/>
  <c r="BL58" i="30" s="1"/>
  <c r="S10" i="36"/>
  <c r="S24" i="36"/>
  <c r="BL53" i="25"/>
  <c r="BJ53" i="25"/>
  <c r="CS33" i="25"/>
  <c r="I5" i="52"/>
  <c r="F5" i="52"/>
  <c r="G5" i="52" s="1"/>
  <c r="AM32" i="30"/>
  <c r="AP69" i="30"/>
  <c r="BL69" i="30" s="1"/>
  <c r="AP34" i="30"/>
  <c r="BL34" i="30" s="1"/>
  <c r="BJ60" i="25"/>
  <c r="BK35" i="25"/>
  <c r="AP57" i="30"/>
  <c r="AP38" i="30"/>
  <c r="S27" i="36"/>
  <c r="BF34" i="7"/>
  <c r="CA41" i="30"/>
  <c r="S14" i="36"/>
  <c r="S9" i="36"/>
  <c r="CA36" i="30"/>
  <c r="AN64" i="30"/>
  <c r="AQ64" i="30" s="1"/>
  <c r="S18" i="36"/>
  <c r="CA45" i="30"/>
  <c r="CS48" i="25"/>
  <c r="BN43" i="25"/>
  <c r="BL52" i="25"/>
  <c r="BN52" i="25"/>
  <c r="BM52" i="25"/>
  <c r="BK52" i="25"/>
  <c r="AN43" i="30"/>
  <c r="AQ43" i="30" s="1"/>
  <c r="S21" i="36"/>
  <c r="AL56" i="30"/>
  <c r="AN41" i="30"/>
  <c r="AQ41" i="30" s="1"/>
  <c r="BM43" i="25"/>
  <c r="BL57" i="30"/>
  <c r="BM32" i="25"/>
  <c r="BN32" i="25"/>
  <c r="BL54" i="25"/>
  <c r="BK54" i="25"/>
  <c r="BN54" i="25"/>
  <c r="BM54" i="25"/>
  <c r="AL32" i="30"/>
  <c r="CS61" i="25"/>
  <c r="BL38" i="30"/>
  <c r="BL43" i="25"/>
  <c r="BN36" i="25"/>
  <c r="AL54" i="30"/>
  <c r="BL31" i="25"/>
  <c r="BK63" i="25"/>
  <c r="BN63" i="25"/>
  <c r="BM63" i="25"/>
  <c r="BL63" i="25"/>
  <c r="BL32" i="25"/>
  <c r="S20" i="36"/>
  <c r="CS66" i="25"/>
  <c r="BK59" i="25"/>
  <c r="BM59" i="25"/>
  <c r="BN59" i="25"/>
  <c r="BL59" i="25"/>
  <c r="AN52" i="30"/>
  <c r="AQ52" i="30" s="1"/>
  <c r="AL40" i="30"/>
  <c r="BK36" i="25"/>
  <c r="AP35" i="30"/>
  <c r="BJ55" i="25"/>
  <c r="BK31" i="25"/>
  <c r="CS68" i="25"/>
  <c r="BK32" i="25"/>
  <c r="BK39" i="25"/>
  <c r="AN42" i="30"/>
  <c r="AQ42" i="30" s="1"/>
  <c r="S13" i="36"/>
  <c r="CA40" i="30"/>
  <c r="BM64" i="25"/>
  <c r="BK64" i="25"/>
  <c r="BL64" i="25"/>
  <c r="S23" i="36"/>
  <c r="AM60" i="30"/>
  <c r="AM61" i="30"/>
  <c r="AN61" i="30" s="1"/>
  <c r="AP61" i="30" s="1"/>
  <c r="BJ52" i="25"/>
  <c r="AN62" i="30"/>
  <c r="AQ62" i="30" s="1"/>
  <c r="BK60" i="25"/>
  <c r="BL60" i="25"/>
  <c r="BJ39" i="25"/>
  <c r="BL45" i="25"/>
  <c r="BM45" i="25"/>
  <c r="BN45" i="25"/>
  <c r="BK45" i="25"/>
  <c r="AN31" i="30"/>
  <c r="AQ31" i="30" s="1"/>
  <c r="AM49" i="30"/>
  <c r="AM50" i="30"/>
  <c r="BL35" i="25"/>
  <c r="AN67" i="30"/>
  <c r="AQ67" i="30" s="1"/>
  <c r="AN66" i="30"/>
  <c r="AQ66" i="30" s="1"/>
  <c r="BJ32" i="25"/>
  <c r="AL63" i="30"/>
  <c r="BJ54" i="25"/>
  <c r="BM39" i="25"/>
  <c r="AL65" i="30"/>
  <c r="BK62" i="25"/>
  <c r="S12" i="36"/>
  <c r="CA39" i="30"/>
  <c r="AN68" i="30"/>
  <c r="AQ68" i="30" s="1"/>
  <c r="AL33" i="30"/>
  <c r="BM36" i="25"/>
  <c r="AL36" i="30"/>
  <c r="AL37" i="30"/>
  <c r="BM62" i="25"/>
  <c r="BB34" i="7"/>
  <c r="BN31" i="25"/>
  <c r="BJ63" i="25"/>
  <c r="S19" i="36"/>
  <c r="CA46" i="30"/>
  <c r="AN59" i="30"/>
  <c r="AQ59" i="30" s="1"/>
  <c r="BM60" i="25"/>
  <c r="BN38" i="25"/>
  <c r="BK38" i="25"/>
  <c r="BM38" i="25"/>
  <c r="BL38" i="25"/>
  <c r="BM44" i="25"/>
  <c r="BK44" i="25"/>
  <c r="BN44" i="25"/>
  <c r="BL44" i="25"/>
  <c r="CA35" i="30"/>
  <c r="S8" i="36"/>
  <c r="BK43" i="25"/>
  <c r="BL36" i="25"/>
  <c r="AM45" i="30"/>
  <c r="AM46" i="30"/>
  <c r="CS40" i="25"/>
  <c r="AL44" i="30"/>
  <c r="BN64" i="25"/>
  <c r="AP51" i="30" l="1"/>
  <c r="AQ47" i="30"/>
  <c r="BL47" i="30" s="1"/>
  <c r="AN50" i="30"/>
  <c r="AP50" i="30" s="1"/>
  <c r="CS59" i="25"/>
  <c r="CS35" i="25"/>
  <c r="CS53" i="25"/>
  <c r="AQ39" i="30"/>
  <c r="BL39" i="30" s="1"/>
  <c r="S49" i="36"/>
  <c r="CS36" i="25"/>
  <c r="CS31" i="25"/>
  <c r="CT31" i="25" s="1"/>
  <c r="AP66" i="30"/>
  <c r="BL66" i="30" s="1"/>
  <c r="CS62" i="25"/>
  <c r="AP62" i="30"/>
  <c r="BL62" i="30" s="1"/>
  <c r="CS64" i="25"/>
  <c r="AP41" i="30"/>
  <c r="BL41" i="30" s="1"/>
  <c r="AP64" i="30"/>
  <c r="BL64" i="30" s="1"/>
  <c r="CS38" i="25"/>
  <c r="CS45" i="25"/>
  <c r="AP55" i="30"/>
  <c r="BL55" i="30" s="1"/>
  <c r="BB35" i="7"/>
  <c r="AN36" i="30"/>
  <c r="AQ36" i="30" s="1"/>
  <c r="CS54" i="25"/>
  <c r="AN63" i="30"/>
  <c r="AQ63" i="30" s="1"/>
  <c r="CS39" i="25"/>
  <c r="CS52" i="25"/>
  <c r="CS43" i="25"/>
  <c r="BL35" i="30"/>
  <c r="AN40" i="30"/>
  <c r="AQ40" i="30" s="1"/>
  <c r="AN60" i="30"/>
  <c r="AP60" i="30" s="1"/>
  <c r="AN32" i="30"/>
  <c r="AQ32" i="30" s="1"/>
  <c r="AN56" i="30"/>
  <c r="AQ56" i="30" s="1"/>
  <c r="BF35" i="7"/>
  <c r="CS44" i="25"/>
  <c r="AN44" i="30"/>
  <c r="AQ44" i="30" s="1"/>
  <c r="AN46" i="30"/>
  <c r="AP46" i="30" s="1"/>
  <c r="AP59" i="30"/>
  <c r="CS63" i="25"/>
  <c r="AN37" i="30"/>
  <c r="AQ37" i="30" s="1"/>
  <c r="AN33" i="30"/>
  <c r="AQ33" i="30" s="1"/>
  <c r="AP68" i="30"/>
  <c r="AN65" i="30"/>
  <c r="AQ65" i="30" s="1"/>
  <c r="CS32" i="25"/>
  <c r="AP67" i="30"/>
  <c r="AP31" i="30"/>
  <c r="AQ61" i="30"/>
  <c r="AP42" i="30"/>
  <c r="AN45" i="30"/>
  <c r="AP45" i="30" s="1"/>
  <c r="CS55" i="25"/>
  <c r="AN49" i="30"/>
  <c r="AP49" i="30" s="1"/>
  <c r="AP52" i="30"/>
  <c r="AN54" i="30"/>
  <c r="AQ54" i="30" s="1"/>
  <c r="AP53" i="30"/>
  <c r="CS60" i="25"/>
  <c r="AP43" i="30"/>
  <c r="AQ50" i="30" l="1"/>
  <c r="CT32" i="25"/>
  <c r="CT33" i="25" s="1"/>
  <c r="AP63" i="30"/>
  <c r="BL63" i="30" s="1"/>
  <c r="AP40" i="30"/>
  <c r="BL40" i="30" s="1"/>
  <c r="AP37" i="30"/>
  <c r="BL37" i="30" s="1"/>
  <c r="BL43" i="30"/>
  <c r="BL53" i="30"/>
  <c r="AP54" i="30"/>
  <c r="BL42" i="30"/>
  <c r="AQ49" i="30"/>
  <c r="AP65" i="30"/>
  <c r="AP33" i="30"/>
  <c r="AQ46" i="30"/>
  <c r="BL46" i="30" s="1"/>
  <c r="AP44" i="30"/>
  <c r="AP56" i="30"/>
  <c r="AP32" i="30"/>
  <c r="AQ60" i="30"/>
  <c r="BL60" i="30" s="1"/>
  <c r="AP36" i="30"/>
  <c r="BL52" i="30"/>
  <c r="BP31" i="30"/>
  <c r="BQ31" i="30" s="1"/>
  <c r="BH31" i="30"/>
  <c r="BI31" i="30" s="1"/>
  <c r="BL31" i="30"/>
  <c r="BM31" i="30" s="1"/>
  <c r="BL67" i="30"/>
  <c r="BL68" i="30"/>
  <c r="BL59" i="30"/>
  <c r="BF36" i="7"/>
  <c r="BL61" i="30"/>
  <c r="BB36" i="7"/>
  <c r="AQ45" i="30"/>
  <c r="BB37" i="7" l="1"/>
  <c r="BF37" i="7"/>
  <c r="BL45" i="30"/>
  <c r="BL44" i="30"/>
  <c r="BL65" i="30"/>
  <c r="CT34" i="25"/>
  <c r="BL54" i="30"/>
  <c r="BL36" i="30"/>
  <c r="BL32" i="30"/>
  <c r="BM32" i="30" s="1"/>
  <c r="BL56" i="30"/>
  <c r="BL33" i="30"/>
  <c r="BL49" i="30"/>
  <c r="BM33" i="30" l="1"/>
  <c r="BM34" i="30" s="1"/>
  <c r="BF38" i="7"/>
  <c r="BB38" i="7"/>
  <c r="CT35" i="25"/>
  <c r="CT36" i="25" l="1"/>
  <c r="BB39" i="7"/>
  <c r="BF39" i="7"/>
  <c r="BM35" i="30"/>
  <c r="BM36" i="30" l="1"/>
  <c r="BF40" i="7"/>
  <c r="BB40" i="7"/>
  <c r="CT37" i="25"/>
  <c r="BB41" i="7" l="1"/>
  <c r="BF41" i="7"/>
  <c r="BM37" i="30"/>
  <c r="CT38" i="25"/>
  <c r="BM38" i="30" l="1"/>
  <c r="BF42" i="7"/>
  <c r="BB42" i="7"/>
  <c r="CT39" i="25"/>
  <c r="BB43" i="7" l="1"/>
  <c r="BF43" i="7"/>
  <c r="BM39" i="30"/>
  <c r="CT40" i="25"/>
  <c r="CT41" i="25" l="1"/>
  <c r="BM40" i="30"/>
  <c r="BB44" i="7"/>
  <c r="BF44" i="7"/>
  <c r="BB45" i="7" l="1"/>
  <c r="BM41" i="30"/>
  <c r="CT42" i="25"/>
  <c r="BF45" i="7"/>
  <c r="CT43" i="25" l="1"/>
  <c r="BM42" i="30"/>
  <c r="BB46" i="7"/>
  <c r="BF46" i="7"/>
  <c r="BB74" i="7" l="1"/>
  <c r="BC46" i="7" s="1"/>
  <c r="W46" i="7" s="1"/>
  <c r="BB47" i="7"/>
  <c r="BM43" i="30"/>
  <c r="CT44" i="25"/>
  <c r="BF74" i="7"/>
  <c r="BG46" i="7" s="1"/>
  <c r="V46" i="7" s="1"/>
  <c r="BF47" i="7"/>
  <c r="R336" i="36" l="1"/>
  <c r="Y45" i="25"/>
  <c r="Y101" i="25" s="1"/>
  <c r="Q336" i="36"/>
  <c r="AA46" i="7"/>
  <c r="X46" i="7"/>
  <c r="AE45" i="25"/>
  <c r="BG47" i="7"/>
  <c r="V47" i="7" s="1"/>
  <c r="BF48" i="7"/>
  <c r="BG14" i="7"/>
  <c r="BG16" i="7"/>
  <c r="BG26" i="7"/>
  <c r="BG74" i="7"/>
  <c r="V74" i="7" s="1"/>
  <c r="BG15" i="7"/>
  <c r="BG13" i="7"/>
  <c r="BG25" i="7"/>
  <c r="BG17" i="7"/>
  <c r="BG10" i="7"/>
  <c r="BG21" i="7"/>
  <c r="BG22" i="7"/>
  <c r="BG12" i="7"/>
  <c r="BG18" i="7"/>
  <c r="BG20" i="7"/>
  <c r="BG24" i="7"/>
  <c r="BG23" i="7"/>
  <c r="BG11" i="7"/>
  <c r="BG19" i="7"/>
  <c r="BG30" i="7"/>
  <c r="V30" i="7" s="1"/>
  <c r="BG28" i="7"/>
  <c r="V28" i="7" s="1"/>
  <c r="BG29" i="7"/>
  <c r="V29" i="7" s="1"/>
  <c r="BG27" i="7"/>
  <c r="V27" i="7" s="1"/>
  <c r="BG31" i="7"/>
  <c r="V31" i="7" s="1"/>
  <c r="BF75" i="7"/>
  <c r="BG75" i="7" s="1"/>
  <c r="V75" i="7" s="1"/>
  <c r="BG33" i="7"/>
  <c r="V33" i="7" s="1"/>
  <c r="BG32" i="7"/>
  <c r="V32" i="7" s="1"/>
  <c r="BG34" i="7"/>
  <c r="V34" i="7" s="1"/>
  <c r="BG35" i="7"/>
  <c r="V35" i="7" s="1"/>
  <c r="BG36" i="7"/>
  <c r="V36" i="7" s="1"/>
  <c r="BG37" i="7"/>
  <c r="V37" i="7" s="1"/>
  <c r="BG38" i="7"/>
  <c r="V38" i="7" s="1"/>
  <c r="BG39" i="7"/>
  <c r="V39" i="7" s="1"/>
  <c r="BG40" i="7"/>
  <c r="V40" i="7" s="1"/>
  <c r="BG41" i="7"/>
  <c r="V41" i="7" s="1"/>
  <c r="BG42" i="7"/>
  <c r="V42" i="7" s="1"/>
  <c r="BG43" i="7"/>
  <c r="V43" i="7" s="1"/>
  <c r="BG44" i="7"/>
  <c r="V44" i="7" s="1"/>
  <c r="BG45" i="7"/>
  <c r="V45" i="7" s="1"/>
  <c r="CT45" i="25"/>
  <c r="BM44" i="30"/>
  <c r="BC47" i="7"/>
  <c r="W47" i="7" s="1"/>
  <c r="BB48" i="7"/>
  <c r="BC23" i="7"/>
  <c r="BC24" i="7"/>
  <c r="BC26" i="7"/>
  <c r="BC11" i="7"/>
  <c r="BC21" i="7"/>
  <c r="BC15" i="7"/>
  <c r="BC18" i="7"/>
  <c r="BC17" i="7"/>
  <c r="BC74" i="7"/>
  <c r="W74" i="7" s="1"/>
  <c r="BC20" i="7"/>
  <c r="BC14" i="7"/>
  <c r="BC25" i="7"/>
  <c r="BC13" i="7"/>
  <c r="BC12" i="7"/>
  <c r="BC10" i="7"/>
  <c r="BC16" i="7"/>
  <c r="BC19" i="7"/>
  <c r="BC22" i="7"/>
  <c r="BC30" i="7"/>
  <c r="W30" i="7" s="1"/>
  <c r="Y29" i="25" s="1"/>
  <c r="BC28" i="7"/>
  <c r="W28" i="7" s="1"/>
  <c r="Y27" i="25" s="1"/>
  <c r="BC27" i="7"/>
  <c r="W27" i="7" s="1"/>
  <c r="Y26" i="25" s="1"/>
  <c r="BQ26" i="25" s="1"/>
  <c r="BC29" i="7"/>
  <c r="W29" i="7" s="1"/>
  <c r="Y28" i="25" s="1"/>
  <c r="BQ28" i="25" s="1"/>
  <c r="BC31" i="7"/>
  <c r="W31" i="7" s="1"/>
  <c r="Y30" i="25" s="1"/>
  <c r="BC32" i="7"/>
  <c r="W32" i="7" s="1"/>
  <c r="Y31" i="25" s="1"/>
  <c r="Y87" i="25" s="1"/>
  <c r="BB75" i="7"/>
  <c r="BC75" i="7" s="1"/>
  <c r="W75" i="7" s="1"/>
  <c r="BC33" i="7"/>
  <c r="W33" i="7" s="1"/>
  <c r="Y32" i="25" s="1"/>
  <c r="BC34" i="7"/>
  <c r="W34" i="7" s="1"/>
  <c r="Y33" i="25" s="1"/>
  <c r="Y89" i="25" s="1"/>
  <c r="BC35" i="7"/>
  <c r="W35" i="7" s="1"/>
  <c r="Y34" i="25" s="1"/>
  <c r="Y90" i="25" s="1"/>
  <c r="BC36" i="7"/>
  <c r="W36" i="7" s="1"/>
  <c r="Y35" i="25" s="1"/>
  <c r="Y91" i="25" s="1"/>
  <c r="BC37" i="7"/>
  <c r="W37" i="7" s="1"/>
  <c r="Y36" i="25" s="1"/>
  <c r="Y92" i="25" s="1"/>
  <c r="BC38" i="7"/>
  <c r="W38" i="7" s="1"/>
  <c r="Y37" i="25" s="1"/>
  <c r="Y93" i="25" s="1"/>
  <c r="BC39" i="7"/>
  <c r="W39" i="7" s="1"/>
  <c r="Y38" i="25" s="1"/>
  <c r="Y94" i="25" s="1"/>
  <c r="BC40" i="7"/>
  <c r="W40" i="7" s="1"/>
  <c r="Y39" i="25" s="1"/>
  <c r="Y95" i="25" s="1"/>
  <c r="BC41" i="7"/>
  <c r="W41" i="7" s="1"/>
  <c r="Y40" i="25" s="1"/>
  <c r="Y96" i="25" s="1"/>
  <c r="BC42" i="7"/>
  <c r="W42" i="7" s="1"/>
  <c r="Y41" i="25" s="1"/>
  <c r="Y97" i="25" s="1"/>
  <c r="BC43" i="7"/>
  <c r="W43" i="7" s="1"/>
  <c r="Y42" i="25" s="1"/>
  <c r="BC44" i="7"/>
  <c r="W44" i="7" s="1"/>
  <c r="Y43" i="25" s="1"/>
  <c r="Y99" i="25" s="1"/>
  <c r="BC45" i="7"/>
  <c r="W45" i="7" s="1"/>
  <c r="Y44" i="25" s="1"/>
  <c r="BQ42" i="25" l="1"/>
  <c r="CO42" i="25" s="1"/>
  <c r="Y98" i="25"/>
  <c r="BQ32" i="25"/>
  <c r="CO32" i="25" s="1"/>
  <c r="Y88" i="25"/>
  <c r="BQ44" i="25"/>
  <c r="CO44" i="25" s="1"/>
  <c r="Y100" i="25"/>
  <c r="BQ30" i="25"/>
  <c r="Y86" i="25"/>
  <c r="BQ40" i="25"/>
  <c r="CO40" i="25" s="1"/>
  <c r="BQ38" i="25"/>
  <c r="CO38" i="25" s="1"/>
  <c r="BQ36" i="25"/>
  <c r="CO36" i="25" s="1"/>
  <c r="BQ34" i="25"/>
  <c r="CO34" i="25" s="1"/>
  <c r="BQ31" i="25"/>
  <c r="CO31" i="25" s="1"/>
  <c r="CP31" i="25" s="1"/>
  <c r="BQ27" i="25"/>
  <c r="BC48" i="7"/>
  <c r="W48" i="7" s="1"/>
  <c r="BB49" i="7"/>
  <c r="BM45" i="30"/>
  <c r="CT73" i="25"/>
  <c r="CT46" i="25"/>
  <c r="X45" i="7"/>
  <c r="AA45" i="7"/>
  <c r="AE44" i="25"/>
  <c r="CI45" i="25" s="1"/>
  <c r="CW45" i="25" s="1"/>
  <c r="AA43" i="7"/>
  <c r="X43" i="7"/>
  <c r="AE42" i="25"/>
  <c r="X41" i="7"/>
  <c r="AA41" i="7"/>
  <c r="AE40" i="25"/>
  <c r="X39" i="7"/>
  <c r="AA39" i="7"/>
  <c r="AE38" i="25"/>
  <c r="AA37" i="7"/>
  <c r="X37" i="7"/>
  <c r="AE36" i="25"/>
  <c r="AA35" i="7"/>
  <c r="X35" i="7"/>
  <c r="AE34" i="25"/>
  <c r="AA32" i="7"/>
  <c r="X32" i="7"/>
  <c r="AE31" i="25"/>
  <c r="X75" i="7"/>
  <c r="AA75" i="7"/>
  <c r="AA27" i="7"/>
  <c r="X27" i="7"/>
  <c r="AA28" i="7"/>
  <c r="X28" i="7"/>
  <c r="AA74" i="7"/>
  <c r="X74" i="7"/>
  <c r="BG48" i="7"/>
  <c r="V48" i="7" s="1"/>
  <c r="BF49" i="7"/>
  <c r="BQ45" i="25"/>
  <c r="CO45" i="25" s="1"/>
  <c r="BQ43" i="25"/>
  <c r="CO43" i="25" s="1"/>
  <c r="BQ41" i="25"/>
  <c r="CO41" i="25" s="1"/>
  <c r="BQ39" i="25"/>
  <c r="CO39" i="25" s="1"/>
  <c r="BQ37" i="25"/>
  <c r="CO37" i="25" s="1"/>
  <c r="BQ35" i="25"/>
  <c r="CO35" i="25" s="1"/>
  <c r="BQ33" i="25"/>
  <c r="CO33" i="25" s="1"/>
  <c r="BQ29" i="25"/>
  <c r="R337" i="36"/>
  <c r="Y46" i="25"/>
  <c r="AA44" i="7"/>
  <c r="X44" i="7"/>
  <c r="AE43" i="25"/>
  <c r="X42" i="7"/>
  <c r="AA42" i="7"/>
  <c r="AE41" i="25"/>
  <c r="AA40" i="7"/>
  <c r="X40" i="7"/>
  <c r="AE39" i="25"/>
  <c r="AA38" i="7"/>
  <c r="X38" i="7"/>
  <c r="AE37" i="25"/>
  <c r="X36" i="7"/>
  <c r="AA36" i="7"/>
  <c r="AE35" i="25"/>
  <c r="AA34" i="7"/>
  <c r="AE33" i="25"/>
  <c r="X34" i="7"/>
  <c r="AA33" i="7"/>
  <c r="X33" i="7"/>
  <c r="AE32" i="25"/>
  <c r="X31" i="7"/>
  <c r="AA31" i="7"/>
  <c r="AE30" i="25"/>
  <c r="CI30" i="25" s="1"/>
  <c r="AA29" i="7"/>
  <c r="X29" i="7"/>
  <c r="X30" i="7"/>
  <c r="AA30" i="7"/>
  <c r="AA47" i="7"/>
  <c r="X47" i="7"/>
  <c r="Q337" i="36"/>
  <c r="AE46" i="25"/>
  <c r="CI46" i="25" s="1"/>
  <c r="CW46" i="25" s="1"/>
  <c r="CI32" i="25" l="1"/>
  <c r="CW32" i="25" s="1"/>
  <c r="CI37" i="25"/>
  <c r="CW37" i="25" s="1"/>
  <c r="CI41" i="25"/>
  <c r="CW41" i="25" s="1"/>
  <c r="CI35" i="25"/>
  <c r="CW35" i="25" s="1"/>
  <c r="CI39" i="25"/>
  <c r="CW39" i="25" s="1"/>
  <c r="CI43" i="25"/>
  <c r="CW43" i="25" s="1"/>
  <c r="BQ46" i="25"/>
  <c r="CO46" i="25" s="1"/>
  <c r="Y102" i="25"/>
  <c r="CP32" i="25"/>
  <c r="CP33" i="25" s="1"/>
  <c r="CP34" i="25" s="1"/>
  <c r="CP35" i="25" s="1"/>
  <c r="CP36" i="25" s="1"/>
  <c r="CP37" i="25" s="1"/>
  <c r="CP38" i="25" s="1"/>
  <c r="CP39" i="25" s="1"/>
  <c r="CP40" i="25" s="1"/>
  <c r="CP41" i="25" s="1"/>
  <c r="CI33" i="25"/>
  <c r="CW33" i="25" s="1"/>
  <c r="BG49" i="7"/>
  <c r="V49" i="7" s="1"/>
  <c r="CI31" i="25"/>
  <c r="CW31" i="25" s="1"/>
  <c r="CX31" i="25" s="1"/>
  <c r="CI36" i="25"/>
  <c r="CW36" i="25" s="1"/>
  <c r="CI40" i="25"/>
  <c r="CW40" i="25" s="1"/>
  <c r="CI44" i="25"/>
  <c r="CW44" i="25" s="1"/>
  <c r="CU29" i="25"/>
  <c r="CU15" i="25"/>
  <c r="CU22" i="25"/>
  <c r="CU21" i="25"/>
  <c r="CU28" i="25"/>
  <c r="CU14" i="25"/>
  <c r="CU13" i="25"/>
  <c r="CU20" i="25"/>
  <c r="CU27" i="25"/>
  <c r="CU9" i="25"/>
  <c r="CU23" i="25"/>
  <c r="CU19" i="25"/>
  <c r="CU26" i="25"/>
  <c r="CU25" i="25"/>
  <c r="CU11" i="25"/>
  <c r="CU18" i="25"/>
  <c r="CU12" i="25"/>
  <c r="CU24" i="25"/>
  <c r="CU10" i="25"/>
  <c r="CU17" i="25"/>
  <c r="CU16" i="25"/>
  <c r="CU30" i="25"/>
  <c r="AM30" i="25" s="1"/>
  <c r="CU31" i="25"/>
  <c r="AM31" i="25" s="1"/>
  <c r="CU32" i="25"/>
  <c r="AM32" i="25" s="1"/>
  <c r="CU33" i="25"/>
  <c r="AM33" i="25" s="1"/>
  <c r="CU34" i="25"/>
  <c r="AM34" i="25" s="1"/>
  <c r="CU35" i="25"/>
  <c r="AM35" i="25" s="1"/>
  <c r="CU36" i="25"/>
  <c r="AM36" i="25" s="1"/>
  <c r="CU37" i="25"/>
  <c r="AM37" i="25" s="1"/>
  <c r="CU38" i="25"/>
  <c r="AM38" i="25" s="1"/>
  <c r="CU39" i="25"/>
  <c r="AM39" i="25" s="1"/>
  <c r="CU40" i="25"/>
  <c r="AM40" i="25" s="1"/>
  <c r="CU41" i="25"/>
  <c r="AM41" i="25" s="1"/>
  <c r="CU42" i="25"/>
  <c r="AM42" i="25" s="1"/>
  <c r="CU43" i="25"/>
  <c r="AM43" i="25" s="1"/>
  <c r="CU44" i="25"/>
  <c r="AM44" i="25" s="1"/>
  <c r="BM46" i="30"/>
  <c r="BC49" i="7"/>
  <c r="W49" i="7" s="1"/>
  <c r="Q338" i="36"/>
  <c r="AA48" i="7"/>
  <c r="X48" i="7"/>
  <c r="AE47" i="25"/>
  <c r="CI47" i="25" s="1"/>
  <c r="CW47" i="25" s="1"/>
  <c r="CI34" i="25"/>
  <c r="CW34" i="25" s="1"/>
  <c r="CI38" i="25"/>
  <c r="CW38" i="25" s="1"/>
  <c r="CI42" i="25"/>
  <c r="CW42" i="25" s="1"/>
  <c r="CU46" i="25"/>
  <c r="AM46" i="25" s="1"/>
  <c r="CT47" i="25"/>
  <c r="CU45" i="25"/>
  <c r="AM45" i="25" s="1"/>
  <c r="R338" i="36"/>
  <c r="Y47" i="25"/>
  <c r="CX32" i="25" l="1"/>
  <c r="CX33" i="25" s="1"/>
  <c r="CX34" i="25" s="1"/>
  <c r="CX35" i="25" s="1"/>
  <c r="CX36" i="25" s="1"/>
  <c r="CX37" i="25" s="1"/>
  <c r="CX38" i="25" s="1"/>
  <c r="CX39" i="25" s="1"/>
  <c r="CX40" i="25" s="1"/>
  <c r="BQ47" i="25"/>
  <c r="CO47" i="25" s="1"/>
  <c r="Y103" i="25"/>
  <c r="R339" i="36"/>
  <c r="Y48" i="25"/>
  <c r="Q339" i="36"/>
  <c r="AA49" i="7"/>
  <c r="X49" i="7"/>
  <c r="AE48" i="25"/>
  <c r="CI48" i="25" s="1"/>
  <c r="CW48" i="25" s="1"/>
  <c r="CP42" i="25"/>
  <c r="CU47" i="25"/>
  <c r="AM47" i="25" s="1"/>
  <c r="CT48" i="25"/>
  <c r="BM74" i="30"/>
  <c r="BN46" i="30" s="1"/>
  <c r="BM47" i="30"/>
  <c r="BQ48" i="25" l="1"/>
  <c r="CO48" i="25" s="1"/>
  <c r="Y104" i="25"/>
  <c r="CX41" i="25"/>
  <c r="V46" i="30"/>
  <c r="J46" i="30"/>
  <c r="CP43" i="25"/>
  <c r="BN47" i="30"/>
  <c r="BM48" i="30"/>
  <c r="BN22" i="30"/>
  <c r="BN21" i="30"/>
  <c r="BN28" i="30"/>
  <c r="BN29" i="30"/>
  <c r="BN24" i="30"/>
  <c r="BN27" i="30"/>
  <c r="BN18" i="30"/>
  <c r="BN14" i="30"/>
  <c r="BN17" i="30"/>
  <c r="BN13" i="30"/>
  <c r="BN23" i="30"/>
  <c r="BN16" i="30"/>
  <c r="BN30" i="30"/>
  <c r="BN15" i="30"/>
  <c r="BN25" i="30"/>
  <c r="BN26" i="30"/>
  <c r="BN12" i="30"/>
  <c r="BN19" i="30"/>
  <c r="BN11" i="30"/>
  <c r="BN10" i="30"/>
  <c r="BN20" i="30"/>
  <c r="BN31" i="30"/>
  <c r="BN33" i="30"/>
  <c r="BN32" i="30"/>
  <c r="BN34" i="30"/>
  <c r="BN35" i="30"/>
  <c r="BN36" i="30"/>
  <c r="BN37" i="30"/>
  <c r="BN38" i="30"/>
  <c r="BN39" i="30"/>
  <c r="BN40" i="30"/>
  <c r="BN41" i="30"/>
  <c r="BN42" i="30"/>
  <c r="BN43" i="30"/>
  <c r="BN44" i="30"/>
  <c r="BN45" i="30"/>
  <c r="CU48" i="25"/>
  <c r="AM48" i="25" s="1"/>
  <c r="V45" i="30" l="1"/>
  <c r="V19" i="36" s="1"/>
  <c r="J45" i="30"/>
  <c r="J41" i="30"/>
  <c r="V41" i="30"/>
  <c r="V15" i="36" s="1"/>
  <c r="V37" i="30"/>
  <c r="V11" i="36" s="1"/>
  <c r="J37" i="30"/>
  <c r="V44" i="30"/>
  <c r="V18" i="36" s="1"/>
  <c r="J44" i="30"/>
  <c r="J42" i="30"/>
  <c r="V42" i="30"/>
  <c r="V16" i="36" s="1"/>
  <c r="J40" i="30"/>
  <c r="V40" i="30"/>
  <c r="V14" i="36" s="1"/>
  <c r="J38" i="30"/>
  <c r="V38" i="30"/>
  <c r="V12" i="36" s="1"/>
  <c r="V36" i="30"/>
  <c r="V10" i="36" s="1"/>
  <c r="J36" i="30"/>
  <c r="J34" i="30"/>
  <c r="V34" i="30"/>
  <c r="V8" i="36" s="1"/>
  <c r="J33" i="30"/>
  <c r="V33" i="30"/>
  <c r="V7" i="36" s="1"/>
  <c r="V47" i="30"/>
  <c r="V21" i="36" s="1"/>
  <c r="J47" i="30"/>
  <c r="CP44" i="25"/>
  <c r="J74" i="30"/>
  <c r="N46" i="30"/>
  <c r="CX42" i="25"/>
  <c r="J43" i="30"/>
  <c r="V43" i="30"/>
  <c r="V17" i="36" s="1"/>
  <c r="J39" i="30"/>
  <c r="V39" i="30"/>
  <c r="V13" i="36" s="1"/>
  <c r="J35" i="30"/>
  <c r="V35" i="30"/>
  <c r="V9" i="36" s="1"/>
  <c r="J32" i="30"/>
  <c r="V32" i="30"/>
  <c r="V6" i="36" s="1"/>
  <c r="J31" i="30"/>
  <c r="V31" i="30"/>
  <c r="V5" i="36" s="1"/>
  <c r="BN48" i="30"/>
  <c r="BM49" i="30"/>
  <c r="P5" i="36"/>
  <c r="V20" i="36"/>
  <c r="BX32" i="30"/>
  <c r="N47" i="30" l="1"/>
  <c r="N36" i="30"/>
  <c r="N44" i="30"/>
  <c r="N37" i="30"/>
  <c r="N45" i="30"/>
  <c r="N31" i="30"/>
  <c r="N32" i="30"/>
  <c r="N35" i="30"/>
  <c r="N39" i="30"/>
  <c r="N43" i="30"/>
  <c r="N33" i="30"/>
  <c r="N34" i="30"/>
  <c r="N38" i="30"/>
  <c r="N40" i="30"/>
  <c r="N42" i="30"/>
  <c r="N41" i="30"/>
  <c r="J48" i="30"/>
  <c r="V48" i="30"/>
  <c r="V22" i="36" s="1"/>
  <c r="CX43" i="25"/>
  <c r="N74" i="30"/>
  <c r="CP45" i="25"/>
  <c r="BN49" i="30"/>
  <c r="BX33" i="30"/>
  <c r="P6" i="36"/>
  <c r="W32" i="30" l="1"/>
  <c r="N48" i="30"/>
  <c r="W48" i="30" s="1"/>
  <c r="W47" i="30"/>
  <c r="W41" i="30"/>
  <c r="W42" i="30"/>
  <c r="W40" i="30"/>
  <c r="W38" i="30"/>
  <c r="W34" i="30"/>
  <c r="W33" i="30"/>
  <c r="W45" i="30"/>
  <c r="W37" i="30"/>
  <c r="W44" i="30"/>
  <c r="W36" i="30"/>
  <c r="CP73" i="25"/>
  <c r="CQ45" i="25" s="1"/>
  <c r="AO45" i="25" s="1"/>
  <c r="X125" i="36" s="1"/>
  <c r="CP46" i="25"/>
  <c r="W46" i="30"/>
  <c r="CX44" i="25"/>
  <c r="W43" i="30"/>
  <c r="W35" i="30"/>
  <c r="W31" i="30"/>
  <c r="J49" i="30"/>
  <c r="V49" i="30"/>
  <c r="V23" i="36" s="1"/>
  <c r="W39" i="30"/>
  <c r="P7" i="36"/>
  <c r="BX34" i="30"/>
  <c r="N49" i="30" l="1"/>
  <c r="W49" i="30" s="1"/>
  <c r="Q46" i="30"/>
  <c r="Q96" i="30" s="1"/>
  <c r="R110" i="36"/>
  <c r="P8" i="36"/>
  <c r="BX35" i="30"/>
  <c r="CX45" i="25"/>
  <c r="CQ46" i="25"/>
  <c r="AO46" i="25" s="1"/>
  <c r="X126" i="36" s="1"/>
  <c r="CP47" i="25"/>
  <c r="CQ17" i="25"/>
  <c r="CQ27" i="25"/>
  <c r="CQ24" i="25"/>
  <c r="CQ16" i="25"/>
  <c r="CQ21" i="25"/>
  <c r="CQ11" i="25"/>
  <c r="CQ18" i="25"/>
  <c r="CQ28" i="25"/>
  <c r="CQ22" i="25"/>
  <c r="CQ25" i="25"/>
  <c r="CQ12" i="25"/>
  <c r="CQ13" i="25"/>
  <c r="CQ9" i="25"/>
  <c r="CQ20" i="25"/>
  <c r="CQ29" i="25"/>
  <c r="CQ23" i="25"/>
  <c r="CQ26" i="25"/>
  <c r="CQ19" i="25"/>
  <c r="CQ15" i="25"/>
  <c r="CQ14" i="25"/>
  <c r="CQ10" i="25"/>
  <c r="CQ30" i="25"/>
  <c r="AO30" i="25" s="1"/>
  <c r="CQ31" i="25"/>
  <c r="AO31" i="25" s="1"/>
  <c r="CQ32" i="25"/>
  <c r="AO32" i="25" s="1"/>
  <c r="CQ33" i="25"/>
  <c r="AO33" i="25" s="1"/>
  <c r="CQ34" i="25"/>
  <c r="AO34" i="25" s="1"/>
  <c r="CQ35" i="25"/>
  <c r="AO35" i="25" s="1"/>
  <c r="CQ36" i="25"/>
  <c r="AO36" i="25" s="1"/>
  <c r="CQ37" i="25"/>
  <c r="AO37" i="25" s="1"/>
  <c r="CQ38" i="25"/>
  <c r="AO38" i="25" s="1"/>
  <c r="CQ40" i="25"/>
  <c r="AO40" i="25" s="1"/>
  <c r="CQ39" i="25"/>
  <c r="AO39" i="25" s="1"/>
  <c r="CQ41" i="25"/>
  <c r="AO41" i="25" s="1"/>
  <c r="CQ42" i="25"/>
  <c r="AO42" i="25" s="1"/>
  <c r="CQ43" i="25"/>
  <c r="AO43" i="25" s="1"/>
  <c r="CQ44" i="25"/>
  <c r="AO44" i="25" s="1"/>
  <c r="Q43" i="30" l="1"/>
  <c r="Q93" i="30" s="1"/>
  <c r="X122" i="36"/>
  <c r="Q37" i="30"/>
  <c r="Q87" i="30" s="1"/>
  <c r="X116" i="36"/>
  <c r="Q44" i="30"/>
  <c r="Q94" i="30" s="1"/>
  <c r="X123" i="36"/>
  <c r="Q42" i="30"/>
  <c r="Q92" i="30" s="1"/>
  <c r="X121" i="36"/>
  <c r="Q41" i="30"/>
  <c r="Q91" i="30" s="1"/>
  <c r="X120" i="36"/>
  <c r="Q38" i="30"/>
  <c r="Q88" i="30" s="1"/>
  <c r="X117" i="36"/>
  <c r="Q36" i="30"/>
  <c r="Q86" i="30" s="1"/>
  <c r="X115" i="36"/>
  <c r="Q34" i="30"/>
  <c r="Q84" i="30" s="1"/>
  <c r="X113" i="36"/>
  <c r="Q32" i="30"/>
  <c r="Q82" i="30" s="1"/>
  <c r="X111" i="36"/>
  <c r="Q45" i="30"/>
  <c r="Q95" i="30" s="1"/>
  <c r="X124" i="36"/>
  <c r="Q40" i="30"/>
  <c r="Q90" i="30" s="1"/>
  <c r="X119" i="36"/>
  <c r="Q39" i="30"/>
  <c r="Q89" i="30" s="1"/>
  <c r="X118" i="36"/>
  <c r="Q35" i="30"/>
  <c r="Q85" i="30" s="1"/>
  <c r="X114" i="36"/>
  <c r="Q33" i="30"/>
  <c r="Q83" i="30" s="1"/>
  <c r="X112" i="36"/>
  <c r="Q31" i="30"/>
  <c r="AU32" i="30" s="1"/>
  <c r="BH32" i="30" s="1"/>
  <c r="BI32" i="30" s="1"/>
  <c r="X110" i="36"/>
  <c r="AU40" i="30"/>
  <c r="BH40" i="30" s="1"/>
  <c r="CQ47" i="25"/>
  <c r="AO47" i="25" s="1"/>
  <c r="X127" i="36" s="1"/>
  <c r="CP48" i="25"/>
  <c r="R111" i="36"/>
  <c r="Q47" i="30"/>
  <c r="CX73" i="25"/>
  <c r="CX46" i="25"/>
  <c r="AU37" i="30" l="1"/>
  <c r="BH37" i="30" s="1"/>
  <c r="AU43" i="30"/>
  <c r="BH43" i="30" s="1"/>
  <c r="AU33" i="30"/>
  <c r="BH33" i="30" s="1"/>
  <c r="BI33" i="30" s="1"/>
  <c r="AU36" i="30"/>
  <c r="BH36" i="30" s="1"/>
  <c r="AU41" i="30"/>
  <c r="BH41" i="30" s="1"/>
  <c r="AU46" i="30"/>
  <c r="BH46" i="30" s="1"/>
  <c r="AU35" i="30"/>
  <c r="BH35" i="30" s="1"/>
  <c r="AU39" i="30"/>
  <c r="BH39" i="30" s="1"/>
  <c r="AU45" i="30"/>
  <c r="BH45" i="30" s="1"/>
  <c r="AU34" i="30"/>
  <c r="BH34" i="30" s="1"/>
  <c r="AU38" i="30"/>
  <c r="BH38" i="30" s="1"/>
  <c r="AU44" i="30"/>
  <c r="BH44" i="30" s="1"/>
  <c r="AU47" i="30"/>
  <c r="BH47" i="30" s="1"/>
  <c r="Q97" i="30"/>
  <c r="AU31" i="30"/>
  <c r="Q81" i="30"/>
  <c r="AU42" i="30"/>
  <c r="BH42" i="30" s="1"/>
  <c r="CQ48" i="25"/>
  <c r="AO48" i="25" s="1"/>
  <c r="X128" i="36" s="1"/>
  <c r="CY29" i="25"/>
  <c r="CY22" i="25"/>
  <c r="CY25" i="25"/>
  <c r="CY23" i="25"/>
  <c r="CY16" i="25"/>
  <c r="CY19" i="25"/>
  <c r="CY12" i="25"/>
  <c r="CY10" i="25"/>
  <c r="CY13" i="25"/>
  <c r="CY27" i="25"/>
  <c r="CY9" i="25"/>
  <c r="CY15" i="25"/>
  <c r="CY21" i="25"/>
  <c r="CY24" i="25"/>
  <c r="CY17" i="25"/>
  <c r="CY20" i="25"/>
  <c r="CY18" i="25"/>
  <c r="CY11" i="25"/>
  <c r="CY14" i="25"/>
  <c r="CY28" i="25"/>
  <c r="CY26" i="25"/>
  <c r="CY30" i="25"/>
  <c r="AN30" i="25" s="1"/>
  <c r="CY31" i="25"/>
  <c r="AN31" i="25" s="1"/>
  <c r="CY32" i="25"/>
  <c r="AN32" i="25" s="1"/>
  <c r="CY33" i="25"/>
  <c r="AN33" i="25" s="1"/>
  <c r="CY34" i="25"/>
  <c r="AN34" i="25" s="1"/>
  <c r="CY35" i="25"/>
  <c r="AN35" i="25" s="1"/>
  <c r="CY36" i="25"/>
  <c r="AN36" i="25" s="1"/>
  <c r="CY37" i="25"/>
  <c r="AN37" i="25" s="1"/>
  <c r="CY38" i="25"/>
  <c r="AN38" i="25" s="1"/>
  <c r="CY40" i="25"/>
  <c r="AN40" i="25" s="1"/>
  <c r="CY39" i="25"/>
  <c r="AN39" i="25" s="1"/>
  <c r="CY41" i="25"/>
  <c r="AN41" i="25" s="1"/>
  <c r="CY42" i="25"/>
  <c r="AN42" i="25" s="1"/>
  <c r="CY43" i="25"/>
  <c r="AN43" i="25" s="1"/>
  <c r="CY44" i="25"/>
  <c r="AN44" i="25" s="1"/>
  <c r="CY46" i="25"/>
  <c r="AN46" i="25" s="1"/>
  <c r="CX47" i="25"/>
  <c r="CY45" i="25"/>
  <c r="AN45" i="25" s="1"/>
  <c r="Q48" i="30"/>
  <c r="R112" i="36"/>
  <c r="BI34" i="30" l="1"/>
  <c r="BI35" i="30" s="1"/>
  <c r="BI36" i="30" s="1"/>
  <c r="AU48" i="30"/>
  <c r="BH48" i="30" s="1"/>
  <c r="Q98" i="30"/>
  <c r="AS45" i="25"/>
  <c r="W125" i="36" s="1"/>
  <c r="AP45" i="25"/>
  <c r="AS46" i="25"/>
  <c r="W126" i="36" s="1"/>
  <c r="AP46" i="25"/>
  <c r="AS44" i="25"/>
  <c r="AP44" i="25"/>
  <c r="AP42" i="25"/>
  <c r="AS42" i="25"/>
  <c r="AS39" i="25"/>
  <c r="AP39" i="25"/>
  <c r="AS38" i="25"/>
  <c r="AP38" i="25"/>
  <c r="AS36" i="25"/>
  <c r="AP36" i="25"/>
  <c r="AS34" i="25"/>
  <c r="AP34" i="25"/>
  <c r="AS32" i="25"/>
  <c r="AP32" i="25"/>
  <c r="AP30" i="25"/>
  <c r="AS30" i="25"/>
  <c r="R113" i="36"/>
  <c r="Q49" i="30"/>
  <c r="CY47" i="25"/>
  <c r="AN47" i="25" s="1"/>
  <c r="CX48" i="25"/>
  <c r="AS43" i="25"/>
  <c r="AP43" i="25"/>
  <c r="AS41" i="25"/>
  <c r="AP41" i="25"/>
  <c r="AS40" i="25"/>
  <c r="AP40" i="25"/>
  <c r="AS37" i="25"/>
  <c r="AP37" i="25"/>
  <c r="AS35" i="25"/>
  <c r="AP35" i="25"/>
  <c r="AS33" i="25"/>
  <c r="AP33" i="25"/>
  <c r="AS31" i="25"/>
  <c r="AP31" i="25"/>
  <c r="AU49" i="30" l="1"/>
  <c r="BH49" i="30" s="1"/>
  <c r="Q99" i="30"/>
  <c r="T32" i="30"/>
  <c r="W111" i="36"/>
  <c r="T34" i="30"/>
  <c r="W113" i="36"/>
  <c r="T36" i="30"/>
  <c r="W115" i="36"/>
  <c r="T38" i="30"/>
  <c r="W117" i="36"/>
  <c r="T41" i="30"/>
  <c r="W120" i="36"/>
  <c r="T42" i="30"/>
  <c r="W121" i="36"/>
  <c r="T44" i="30"/>
  <c r="W123" i="36"/>
  <c r="T33" i="30"/>
  <c r="BE33" i="30" s="1"/>
  <c r="BP33" i="30" s="1"/>
  <c r="W112" i="36"/>
  <c r="T35" i="30"/>
  <c r="BE35" i="30" s="1"/>
  <c r="BP35" i="30" s="1"/>
  <c r="W114" i="36"/>
  <c r="T37" i="30"/>
  <c r="BE37" i="30" s="1"/>
  <c r="BP37" i="30" s="1"/>
  <c r="W116" i="36"/>
  <c r="T39" i="30"/>
  <c r="BE39" i="30" s="1"/>
  <c r="BP39" i="30" s="1"/>
  <c r="W118" i="36"/>
  <c r="T40" i="30"/>
  <c r="BE40" i="30" s="1"/>
  <c r="BP40" i="30" s="1"/>
  <c r="W119" i="36"/>
  <c r="T45" i="30"/>
  <c r="BE45" i="30" s="1"/>
  <c r="BP45" i="30" s="1"/>
  <c r="W124" i="36"/>
  <c r="T31" i="30"/>
  <c r="BE31" i="30" s="1"/>
  <c r="W110" i="36"/>
  <c r="T43" i="30"/>
  <c r="BE43" i="30" s="1"/>
  <c r="BP43" i="30" s="1"/>
  <c r="W122" i="36"/>
  <c r="BE42" i="30"/>
  <c r="BP42" i="30" s="1"/>
  <c r="AP47" i="25"/>
  <c r="AS47" i="25"/>
  <c r="W127" i="36" s="1"/>
  <c r="T47" i="30"/>
  <c r="Q111" i="36"/>
  <c r="Q110" i="36"/>
  <c r="T46" i="30"/>
  <c r="BI37" i="30"/>
  <c r="CY48" i="25"/>
  <c r="AN48" i="25" s="1"/>
  <c r="BE46" i="30" l="1"/>
  <c r="BP46" i="30" s="1"/>
  <c r="BE44" i="30"/>
  <c r="BP44" i="30" s="1"/>
  <c r="BE41" i="30"/>
  <c r="BP41" i="30" s="1"/>
  <c r="BE38" i="30"/>
  <c r="BP38" i="30" s="1"/>
  <c r="BE36" i="30"/>
  <c r="BP36" i="30" s="1"/>
  <c r="BE34" i="30"/>
  <c r="BP34" i="30" s="1"/>
  <c r="BE32" i="30"/>
  <c r="BP32" i="30" s="1"/>
  <c r="BQ32" i="30" s="1"/>
  <c r="BQ33" i="30" s="1"/>
  <c r="BI38" i="30"/>
  <c r="Q112" i="36"/>
  <c r="T48" i="30"/>
  <c r="BE48" i="30" s="1"/>
  <c r="BP48" i="30" s="1"/>
  <c r="AP48" i="25"/>
  <c r="AS48" i="25"/>
  <c r="W128" i="36" s="1"/>
  <c r="BE47" i="30"/>
  <c r="BP47" i="30" s="1"/>
  <c r="BQ34" i="30" l="1"/>
  <c r="BQ35" i="30" s="1"/>
  <c r="BQ36" i="30" s="1"/>
  <c r="BI39" i="30"/>
  <c r="Q113" i="36"/>
  <c r="T49" i="30"/>
  <c r="BE49" i="30" s="1"/>
  <c r="BP49" i="30" s="1"/>
  <c r="BI40" i="30" l="1"/>
  <c r="BQ37" i="30"/>
  <c r="BQ38" i="30" l="1"/>
  <c r="BI41" i="30"/>
  <c r="BI42" i="30" l="1"/>
  <c r="BQ39" i="30"/>
  <c r="BQ40" i="30" l="1"/>
  <c r="BI43" i="30"/>
  <c r="BI44" i="30" l="1"/>
  <c r="BQ41" i="30"/>
  <c r="BQ42" i="30" l="1"/>
  <c r="BI45" i="30"/>
  <c r="BI46" i="30" l="1"/>
  <c r="BQ43" i="30"/>
  <c r="BQ44" i="30" l="1"/>
  <c r="BI74" i="30"/>
  <c r="BI47" i="30"/>
  <c r="BJ47" i="30" l="1"/>
  <c r="Z47" i="30" s="1"/>
  <c r="BI48" i="30"/>
  <c r="BJ19" i="30"/>
  <c r="BJ15" i="30"/>
  <c r="BJ22" i="30"/>
  <c r="BJ28" i="30"/>
  <c r="BJ14" i="30"/>
  <c r="BJ10" i="30"/>
  <c r="BJ21" i="30"/>
  <c r="BJ23" i="30"/>
  <c r="BJ24" i="30"/>
  <c r="BJ29" i="30"/>
  <c r="BJ11" i="30"/>
  <c r="BJ25" i="30"/>
  <c r="BJ16" i="30"/>
  <c r="BJ30" i="30"/>
  <c r="BJ26" i="30"/>
  <c r="BJ13" i="30"/>
  <c r="BJ18" i="30"/>
  <c r="BJ20" i="30"/>
  <c r="BJ12" i="30"/>
  <c r="BJ27" i="30"/>
  <c r="BJ17" i="30"/>
  <c r="BJ31" i="30"/>
  <c r="Z31" i="30" s="1"/>
  <c r="BJ32" i="30"/>
  <c r="Z32" i="30" s="1"/>
  <c r="BJ34" i="30"/>
  <c r="Z34" i="30" s="1"/>
  <c r="BJ33" i="30"/>
  <c r="Z33" i="30" s="1"/>
  <c r="BJ35" i="30"/>
  <c r="Z35" i="30" s="1"/>
  <c r="BJ36" i="30"/>
  <c r="Z36" i="30" s="1"/>
  <c r="BJ37" i="30"/>
  <c r="Z37" i="30" s="1"/>
  <c r="BJ38" i="30"/>
  <c r="Z38" i="30" s="1"/>
  <c r="BJ39" i="30"/>
  <c r="Z39" i="30" s="1"/>
  <c r="BJ40" i="30"/>
  <c r="Z40" i="30" s="1"/>
  <c r="BJ41" i="30"/>
  <c r="Z41" i="30" s="1"/>
  <c r="BJ42" i="30"/>
  <c r="Z42" i="30" s="1"/>
  <c r="BJ43" i="30"/>
  <c r="Z43" i="30" s="1"/>
  <c r="BJ44" i="30"/>
  <c r="Z44" i="30" s="1"/>
  <c r="BJ45" i="30"/>
  <c r="Z45" i="30" s="1"/>
  <c r="BJ46" i="30"/>
  <c r="Z46" i="30" s="1"/>
  <c r="BQ45" i="30"/>
  <c r="X17" i="36" l="1"/>
  <c r="X15" i="36"/>
  <c r="X13" i="36"/>
  <c r="X11" i="36"/>
  <c r="X9" i="36"/>
  <c r="X8" i="36"/>
  <c r="X5" i="36"/>
  <c r="X19" i="36"/>
  <c r="X18" i="36"/>
  <c r="X16" i="36"/>
  <c r="X14" i="36"/>
  <c r="X12" i="36"/>
  <c r="X10" i="36"/>
  <c r="X7" i="36"/>
  <c r="X6" i="36"/>
  <c r="X21" i="36"/>
  <c r="BJ48" i="30"/>
  <c r="Z48" i="30" s="1"/>
  <c r="BI49" i="30"/>
  <c r="BQ46" i="30"/>
  <c r="BZ32" i="30"/>
  <c r="X20" i="36"/>
  <c r="R5" i="36"/>
  <c r="R6" i="36"/>
  <c r="BZ33" i="30"/>
  <c r="X22" i="36" l="1"/>
  <c r="BZ34" i="30"/>
  <c r="R7" i="36"/>
  <c r="BQ74" i="30"/>
  <c r="BQ47" i="30"/>
  <c r="BJ49" i="30"/>
  <c r="Z49" i="30" s="1"/>
  <c r="X23" i="36" l="1"/>
  <c r="BR11" i="30"/>
  <c r="BR22" i="30"/>
  <c r="BR13" i="30"/>
  <c r="BR18" i="30"/>
  <c r="BR25" i="30"/>
  <c r="BR12" i="30"/>
  <c r="BR30" i="30"/>
  <c r="BR20" i="30"/>
  <c r="BR21" i="30"/>
  <c r="BR17" i="30"/>
  <c r="BR29" i="30"/>
  <c r="BR16" i="30"/>
  <c r="BR24" i="30"/>
  <c r="BR27" i="30"/>
  <c r="BR15" i="30"/>
  <c r="BR23" i="30"/>
  <c r="BR19" i="30"/>
  <c r="BR14" i="30"/>
  <c r="BR28" i="30"/>
  <c r="BR26" i="30"/>
  <c r="BR10" i="30"/>
  <c r="BR31" i="30"/>
  <c r="Y31" i="30" s="1"/>
  <c r="BR32" i="30"/>
  <c r="Y32" i="30" s="1"/>
  <c r="BR33" i="30"/>
  <c r="Y33" i="30" s="1"/>
  <c r="BR35" i="30"/>
  <c r="Y35" i="30" s="1"/>
  <c r="BR34" i="30"/>
  <c r="Y34" i="30" s="1"/>
  <c r="BR36" i="30"/>
  <c r="Y36" i="30" s="1"/>
  <c r="BR37" i="30"/>
  <c r="Y37" i="30" s="1"/>
  <c r="BR38" i="30"/>
  <c r="Y38" i="30" s="1"/>
  <c r="BR39" i="30"/>
  <c r="Y39" i="30" s="1"/>
  <c r="BR40" i="30"/>
  <c r="Y40" i="30" s="1"/>
  <c r="BR41" i="30"/>
  <c r="Y41" i="30" s="1"/>
  <c r="BR42" i="30"/>
  <c r="Y42" i="30" s="1"/>
  <c r="BR43" i="30"/>
  <c r="Y43" i="30" s="1"/>
  <c r="BR44" i="30"/>
  <c r="Y44" i="30" s="1"/>
  <c r="BR45" i="30"/>
  <c r="Y45" i="30" s="1"/>
  <c r="BZ35" i="30"/>
  <c r="R8" i="36"/>
  <c r="BR47" i="30"/>
  <c r="Y47" i="30" s="1"/>
  <c r="BQ48" i="30"/>
  <c r="BR46" i="30"/>
  <c r="Y46" i="30" s="1"/>
  <c r="BR48" i="30" l="1"/>
  <c r="Y48" i="30" s="1"/>
  <c r="BQ49" i="30"/>
  <c r="AD46" i="30"/>
  <c r="AA46" i="30"/>
  <c r="AD47" i="30"/>
  <c r="AA47" i="30"/>
  <c r="AD44" i="30"/>
  <c r="AA44" i="30"/>
  <c r="AD42" i="30"/>
  <c r="AA42" i="30"/>
  <c r="AD40" i="30"/>
  <c r="AA40" i="30"/>
  <c r="AD38" i="30"/>
  <c r="AA38" i="30"/>
  <c r="AD36" i="30"/>
  <c r="AA36" i="30"/>
  <c r="AD35" i="30"/>
  <c r="AA35" i="30"/>
  <c r="AD32" i="30"/>
  <c r="AA32" i="30"/>
  <c r="AD45" i="30"/>
  <c r="AA45" i="30"/>
  <c r="AD43" i="30"/>
  <c r="AA43" i="30"/>
  <c r="AD41" i="30"/>
  <c r="AA41" i="30"/>
  <c r="AD39" i="30"/>
  <c r="AA39" i="30"/>
  <c r="AD37" i="30"/>
  <c r="AA37" i="30"/>
  <c r="AD34" i="30"/>
  <c r="AA34" i="30"/>
  <c r="AD33" i="30"/>
  <c r="AA33" i="30"/>
  <c r="AD31" i="30"/>
  <c r="AA31" i="30"/>
  <c r="W5" i="36" l="1"/>
  <c r="W7" i="36"/>
  <c r="W8" i="36"/>
  <c r="W11" i="36"/>
  <c r="W13" i="36"/>
  <c r="W15" i="36"/>
  <c r="W17" i="36"/>
  <c r="W19" i="36"/>
  <c r="W6" i="36"/>
  <c r="W9" i="36"/>
  <c r="W10" i="36"/>
  <c r="W12" i="36"/>
  <c r="W14" i="36"/>
  <c r="W16" i="36"/>
  <c r="W18" i="36"/>
  <c r="W21" i="36"/>
  <c r="BR49" i="30"/>
  <c r="Y49" i="30" s="1"/>
  <c r="Q6" i="36"/>
  <c r="BY33" i="30"/>
  <c r="BY32" i="30"/>
  <c r="W20" i="36"/>
  <c r="Q5" i="36"/>
  <c r="AD48" i="30"/>
  <c r="AA48" i="30"/>
  <c r="W22" i="36" l="1"/>
  <c r="Q7" i="36"/>
  <c r="BY34" i="30"/>
  <c r="AD49" i="30"/>
  <c r="AA49" i="30"/>
  <c r="W23" i="36" l="1"/>
  <c r="BY35" i="30"/>
  <c r="Q8" i="36"/>
  <c r="AX25" i="50"/>
  <c r="AY25" i="50" s="1"/>
  <c r="I50" i="7"/>
  <c r="M50" i="7" s="1"/>
  <c r="Q50" i="7" s="1"/>
  <c r="AR50" i="7" l="1"/>
  <c r="BA50" i="7" s="1"/>
  <c r="BB50" i="7" s="1"/>
  <c r="BC50" i="7" s="1"/>
  <c r="W50" i="7" s="1"/>
  <c r="AR51" i="7"/>
  <c r="BA51" i="7" s="1"/>
  <c r="J50" i="7"/>
  <c r="N50" i="7" l="1"/>
  <c r="R50" i="7" s="1"/>
  <c r="U50" i="7" s="1"/>
  <c r="T50" i="7"/>
  <c r="AT50" i="7"/>
  <c r="K49" i="25"/>
  <c r="AU50" i="7"/>
  <c r="BB51" i="7"/>
  <c r="R340" i="36"/>
  <c r="Y49" i="25"/>
  <c r="Y105" i="25" l="1"/>
  <c r="BQ49" i="25"/>
  <c r="CO49" i="25" s="1"/>
  <c r="CP49" i="25" s="1"/>
  <c r="CQ49" i="25" s="1"/>
  <c r="AO49" i="25" s="1"/>
  <c r="BC51" i="7"/>
  <c r="W51" i="7" s="1"/>
  <c r="BB52" i="7"/>
  <c r="R49" i="25"/>
  <c r="R105" i="25" s="1"/>
  <c r="T433" i="36"/>
  <c r="P433" i="36" s="1"/>
  <c r="P49" i="25"/>
  <c r="P340" i="36"/>
  <c r="AX50" i="7"/>
  <c r="AX51" i="7"/>
  <c r="AW51" i="7"/>
  <c r="AW50" i="7"/>
  <c r="BE50" i="7" l="1"/>
  <c r="BF50" i="7" s="1"/>
  <c r="BG50" i="7" s="1"/>
  <c r="V50" i="7" s="1"/>
  <c r="Q340" i="36" s="1"/>
  <c r="AK49" i="25"/>
  <c r="BX49" i="25"/>
  <c r="BZ49" i="25"/>
  <c r="W49" i="25"/>
  <c r="AL49" i="25" s="1"/>
  <c r="BY49" i="25"/>
  <c r="CA49" i="25"/>
  <c r="I50" i="30"/>
  <c r="BC52" i="7"/>
  <c r="W52" i="7" s="1"/>
  <c r="BB53" i="7"/>
  <c r="X129" i="36"/>
  <c r="Q50" i="30"/>
  <c r="R114" i="36"/>
  <c r="BE51" i="7"/>
  <c r="BW49" i="25"/>
  <c r="R341" i="36"/>
  <c r="Y50" i="25"/>
  <c r="X50" i="7" l="1"/>
  <c r="AA50" i="7"/>
  <c r="BF51" i="7"/>
  <c r="BF52" i="7" s="1"/>
  <c r="AE49" i="25"/>
  <c r="CI49" i="25" s="1"/>
  <c r="CW49" i="25" s="1"/>
  <c r="CX49" i="25" s="1"/>
  <c r="CY49" i="25" s="1"/>
  <c r="AN49" i="25" s="1"/>
  <c r="BG51" i="7"/>
  <c r="V51" i="7" s="1"/>
  <c r="Y106" i="25"/>
  <c r="BQ50" i="25"/>
  <c r="CO50" i="25" s="1"/>
  <c r="CP50" i="25" s="1"/>
  <c r="CQ50" i="25" s="1"/>
  <c r="AO50" i="25" s="1"/>
  <c r="CC50" i="25"/>
  <c r="CC49" i="25"/>
  <c r="R342" i="36"/>
  <c r="Y51" i="25"/>
  <c r="CG49" i="25"/>
  <c r="CG50" i="25"/>
  <c r="CD49" i="25"/>
  <c r="CD50" i="25"/>
  <c r="Q100" i="30"/>
  <c r="AU50" i="30"/>
  <c r="BH50" i="30" s="1"/>
  <c r="BI50" i="30" s="1"/>
  <c r="BJ50" i="30" s="1"/>
  <c r="Z50" i="30" s="1"/>
  <c r="BC53" i="7"/>
  <c r="W53" i="7" s="1"/>
  <c r="BB54" i="7"/>
  <c r="M50" i="30"/>
  <c r="AX50" i="30"/>
  <c r="CE49" i="25"/>
  <c r="CE50" i="25"/>
  <c r="CF49" i="25"/>
  <c r="CF50" i="25"/>
  <c r="V129" i="36"/>
  <c r="P114" i="36"/>
  <c r="BZ36" i="30" l="1"/>
  <c r="R9" i="36"/>
  <c r="X24" i="36"/>
  <c r="Y107" i="25"/>
  <c r="BQ51" i="25"/>
  <c r="CO51" i="25" s="1"/>
  <c r="CP51" i="25" s="1"/>
  <c r="CQ51" i="25" s="1"/>
  <c r="AO51" i="25" s="1"/>
  <c r="CS49" i="25"/>
  <c r="CT49" i="25" s="1"/>
  <c r="CU49" i="25" s="1"/>
  <c r="AM49" i="25" s="1"/>
  <c r="X130" i="36"/>
  <c r="R115" i="36"/>
  <c r="Q51" i="30"/>
  <c r="BG52" i="7"/>
  <c r="V52" i="7" s="1"/>
  <c r="BF53" i="7"/>
  <c r="BA50" i="30"/>
  <c r="BL50" i="30" s="1"/>
  <c r="BM50" i="30" s="1"/>
  <c r="BN50" i="30" s="1"/>
  <c r="BA51" i="30"/>
  <c r="BL51" i="30" s="1"/>
  <c r="BC54" i="7"/>
  <c r="W54" i="7" s="1"/>
  <c r="BB55" i="7"/>
  <c r="R343" i="36"/>
  <c r="Y52" i="25"/>
  <c r="CS50" i="25"/>
  <c r="CT50" i="25" s="1"/>
  <c r="Q341" i="36"/>
  <c r="AE50" i="25"/>
  <c r="CI50" i="25" s="1"/>
  <c r="CW50" i="25" s="1"/>
  <c r="CX50" i="25" s="1"/>
  <c r="CY50" i="25" s="1"/>
  <c r="AN50" i="25" s="1"/>
  <c r="AA51" i="7"/>
  <c r="X51" i="7"/>
  <c r="BM51" i="30" l="1"/>
  <c r="BN51" i="30" s="1"/>
  <c r="CU50" i="25"/>
  <c r="AM50" i="25" s="1"/>
  <c r="CT51" i="25"/>
  <c r="R344" i="36"/>
  <c r="Y53" i="25"/>
  <c r="V50" i="30"/>
  <c r="J50" i="30"/>
  <c r="X52" i="7"/>
  <c r="Q342" i="36"/>
  <c r="AE51" i="25"/>
  <c r="CI51" i="25" s="1"/>
  <c r="CW51" i="25" s="1"/>
  <c r="CX51" i="25" s="1"/>
  <c r="CY51" i="25" s="1"/>
  <c r="AN51" i="25" s="1"/>
  <c r="AA52" i="7"/>
  <c r="AS49" i="25"/>
  <c r="AP49" i="25"/>
  <c r="Y108" i="25"/>
  <c r="BQ52" i="25"/>
  <c r="CO52" i="25" s="1"/>
  <c r="CP52" i="25" s="1"/>
  <c r="CQ52" i="25" s="1"/>
  <c r="AO52" i="25" s="1"/>
  <c r="BC55" i="7"/>
  <c r="W55" i="7" s="1"/>
  <c r="BB56" i="7"/>
  <c r="BG53" i="7"/>
  <c r="V53" i="7" s="1"/>
  <c r="BF54" i="7"/>
  <c r="Q101" i="30"/>
  <c r="AU51" i="30"/>
  <c r="BH51" i="30" s="1"/>
  <c r="BI51" i="30" s="1"/>
  <c r="BJ51" i="30" s="1"/>
  <c r="Z51" i="30" s="1"/>
  <c r="X131" i="36"/>
  <c r="R116" i="36"/>
  <c r="Q52" i="30"/>
  <c r="N50" i="30" l="1"/>
  <c r="W50" i="30" s="1"/>
  <c r="BM52" i="30"/>
  <c r="BM53" i="30" s="1"/>
  <c r="BZ37" i="30"/>
  <c r="X25" i="36"/>
  <c r="R10" i="36"/>
  <c r="BG54" i="7"/>
  <c r="V54" i="7" s="1"/>
  <c r="BF55" i="7"/>
  <c r="BN52" i="30"/>
  <c r="BC56" i="7"/>
  <c r="W56" i="7" s="1"/>
  <c r="BB57" i="7"/>
  <c r="X132" i="36"/>
  <c r="R117" i="36"/>
  <c r="Q53" i="30"/>
  <c r="Y109" i="25"/>
  <c r="BQ53" i="25"/>
  <c r="CO53" i="25" s="1"/>
  <c r="CP53" i="25" s="1"/>
  <c r="CQ53" i="25" s="1"/>
  <c r="AO53" i="25" s="1"/>
  <c r="CU51" i="25"/>
  <c r="AM51" i="25" s="1"/>
  <c r="CT52" i="25"/>
  <c r="Q102" i="30"/>
  <c r="AU52" i="30"/>
  <c r="BH52" i="30" s="1"/>
  <c r="BI52" i="30" s="1"/>
  <c r="BJ52" i="30" s="1"/>
  <c r="Z52" i="30" s="1"/>
  <c r="Q343" i="36"/>
  <c r="X53" i="7"/>
  <c r="AA53" i="7"/>
  <c r="AE52" i="25"/>
  <c r="CI52" i="25" s="1"/>
  <c r="CW52" i="25" s="1"/>
  <c r="CX52" i="25" s="1"/>
  <c r="CY52" i="25" s="1"/>
  <c r="AN52" i="25" s="1"/>
  <c r="J51" i="30"/>
  <c r="V51" i="30"/>
  <c r="R345" i="36"/>
  <c r="Y54" i="25"/>
  <c r="W129" i="36"/>
  <c r="Q114" i="36"/>
  <c r="T50" i="30"/>
  <c r="BE50" i="30" s="1"/>
  <c r="BP50" i="30" s="1"/>
  <c r="BQ50" i="30" s="1"/>
  <c r="BR50" i="30" s="1"/>
  <c r="Y50" i="30" s="1"/>
  <c r="AD50" i="30" s="1"/>
  <c r="V24" i="36"/>
  <c r="BX36" i="30"/>
  <c r="P9" i="36"/>
  <c r="AS50" i="25"/>
  <c r="AP50" i="25"/>
  <c r="N51" i="30" l="1"/>
  <c r="W51" i="30" s="1"/>
  <c r="AA50" i="30"/>
  <c r="BZ38" i="30"/>
  <c r="X26" i="36"/>
  <c r="R11" i="36"/>
  <c r="CU52" i="25"/>
  <c r="AM52" i="25" s="1"/>
  <c r="CT53" i="25"/>
  <c r="R118" i="36"/>
  <c r="X133" i="36"/>
  <c r="Q54" i="30"/>
  <c r="Q103" i="30"/>
  <c r="AU53" i="30"/>
  <c r="BH53" i="30" s="1"/>
  <c r="BI53" i="30" s="1"/>
  <c r="BJ53" i="30" s="1"/>
  <c r="Z53" i="30" s="1"/>
  <c r="R346" i="36"/>
  <c r="Y55" i="25"/>
  <c r="J52" i="30"/>
  <c r="V52" i="30"/>
  <c r="AA54" i="7"/>
  <c r="X54" i="7"/>
  <c r="Q344" i="36"/>
  <c r="AE53" i="25"/>
  <c r="CI53" i="25" s="1"/>
  <c r="CW53" i="25" s="1"/>
  <c r="CX53" i="25" s="1"/>
  <c r="CY53" i="25" s="1"/>
  <c r="AN53" i="25" s="1"/>
  <c r="Q115" i="36"/>
  <c r="W130" i="36"/>
  <c r="T51" i="30"/>
  <c r="BE51" i="30" s="1"/>
  <c r="BP51" i="30" s="1"/>
  <c r="BQ51" i="30" s="1"/>
  <c r="BR51" i="30" s="1"/>
  <c r="Y51" i="30" s="1"/>
  <c r="AD51" i="30" s="1"/>
  <c r="Y110" i="25"/>
  <c r="BQ54" i="25"/>
  <c r="CO54" i="25" s="1"/>
  <c r="CP54" i="25" s="1"/>
  <c r="CQ54" i="25" s="1"/>
  <c r="AO54" i="25" s="1"/>
  <c r="V25" i="36"/>
  <c r="BX37" i="30"/>
  <c r="P10" i="36"/>
  <c r="Q9" i="36"/>
  <c r="BY36" i="30"/>
  <c r="W24" i="36"/>
  <c r="AP51" i="25"/>
  <c r="AS51" i="25"/>
  <c r="BC57" i="7"/>
  <c r="W57" i="7" s="1"/>
  <c r="BB58" i="7"/>
  <c r="BN53" i="30"/>
  <c r="BM54" i="30"/>
  <c r="BG55" i="7"/>
  <c r="V55" i="7" s="1"/>
  <c r="BF56" i="7"/>
  <c r="N52" i="30" l="1"/>
  <c r="W52" i="30" s="1"/>
  <c r="AA51" i="30"/>
  <c r="V53" i="30"/>
  <c r="J53" i="30"/>
  <c r="BG56" i="7"/>
  <c r="V56" i="7" s="1"/>
  <c r="BF57" i="7"/>
  <c r="BN54" i="30"/>
  <c r="BM55" i="30"/>
  <c r="BC58" i="7"/>
  <c r="W58" i="7" s="1"/>
  <c r="BB59" i="7"/>
  <c r="Q116" i="36"/>
  <c r="W131" i="36"/>
  <c r="T52" i="30"/>
  <c r="BE52" i="30" s="1"/>
  <c r="BP52" i="30" s="1"/>
  <c r="BQ52" i="30" s="1"/>
  <c r="BR52" i="30" s="1"/>
  <c r="Y52" i="30" s="1"/>
  <c r="AD52" i="30" s="1"/>
  <c r="BX38" i="30"/>
  <c r="V26" i="36"/>
  <c r="P11" i="36"/>
  <c r="Y111" i="25"/>
  <c r="BQ55" i="25"/>
  <c r="CO55" i="25" s="1"/>
  <c r="CP55" i="25" s="1"/>
  <c r="CQ55" i="25" s="1"/>
  <c r="AO55" i="25" s="1"/>
  <c r="BZ39" i="30"/>
  <c r="X27" i="36"/>
  <c r="R12" i="36"/>
  <c r="Q104" i="30"/>
  <c r="AU54" i="30"/>
  <c r="BH54" i="30" s="1"/>
  <c r="BI54" i="30" s="1"/>
  <c r="BJ54" i="30" s="1"/>
  <c r="Z54" i="30" s="1"/>
  <c r="AP52" i="25"/>
  <c r="AS52" i="25"/>
  <c r="X55" i="7"/>
  <c r="AA55" i="7"/>
  <c r="Q345" i="36"/>
  <c r="AE54" i="25"/>
  <c r="CI54" i="25" s="1"/>
  <c r="CW54" i="25" s="1"/>
  <c r="CX54" i="25" s="1"/>
  <c r="CY54" i="25" s="1"/>
  <c r="AN54" i="25" s="1"/>
  <c r="R347" i="36"/>
  <c r="Y56" i="25"/>
  <c r="X134" i="36"/>
  <c r="R119" i="36"/>
  <c r="Q55" i="30"/>
  <c r="W25" i="36"/>
  <c r="Q10" i="36"/>
  <c r="BY37" i="30"/>
  <c r="CU53" i="25"/>
  <c r="AM53" i="25" s="1"/>
  <c r="CT54" i="25"/>
  <c r="N53" i="30" l="1"/>
  <c r="W53" i="30" s="1"/>
  <c r="AA52" i="30"/>
  <c r="AP53" i="25"/>
  <c r="AS53" i="25"/>
  <c r="CU54" i="25"/>
  <c r="AM54" i="25" s="1"/>
  <c r="CT55" i="25"/>
  <c r="Y112" i="25"/>
  <c r="BQ56" i="25"/>
  <c r="CO56" i="25" s="1"/>
  <c r="CP56" i="25" s="1"/>
  <c r="CQ56" i="25" s="1"/>
  <c r="AO56" i="25" s="1"/>
  <c r="W132" i="36"/>
  <c r="Q117" i="36"/>
  <c r="T53" i="30"/>
  <c r="BE53" i="30" s="1"/>
  <c r="BP53" i="30" s="1"/>
  <c r="BQ53" i="30" s="1"/>
  <c r="BR53" i="30" s="1"/>
  <c r="Y53" i="30" s="1"/>
  <c r="AD53" i="30" s="1"/>
  <c r="X28" i="36"/>
  <c r="R13" i="36"/>
  <c r="BZ40" i="30"/>
  <c r="BC59" i="7"/>
  <c r="W59" i="7" s="1"/>
  <c r="BB60" i="7"/>
  <c r="BN55" i="30"/>
  <c r="BM56" i="30"/>
  <c r="BG57" i="7"/>
  <c r="V57" i="7" s="1"/>
  <c r="BF58" i="7"/>
  <c r="Q105" i="30"/>
  <c r="AU55" i="30"/>
  <c r="BH55" i="30" s="1"/>
  <c r="BI55" i="30" s="1"/>
  <c r="BJ55" i="30" s="1"/>
  <c r="Z55" i="30" s="1"/>
  <c r="X135" i="36"/>
  <c r="R120" i="36"/>
  <c r="Q56" i="30"/>
  <c r="W26" i="36"/>
  <c r="Q11" i="36"/>
  <c r="BY38" i="30"/>
  <c r="R348" i="36"/>
  <c r="Y57" i="25"/>
  <c r="V54" i="30"/>
  <c r="J54" i="30"/>
  <c r="AA56" i="7"/>
  <c r="Q346" i="36"/>
  <c r="AE55" i="25"/>
  <c r="CI55" i="25" s="1"/>
  <c r="CW55" i="25" s="1"/>
  <c r="CX55" i="25" s="1"/>
  <c r="CY55" i="25" s="1"/>
  <c r="AN55" i="25" s="1"/>
  <c r="X56" i="7"/>
  <c r="P12" i="36"/>
  <c r="BX39" i="30"/>
  <c r="V27" i="36"/>
  <c r="N54" i="30" l="1"/>
  <c r="W54" i="30" s="1"/>
  <c r="AA53" i="30"/>
  <c r="BQ57" i="25"/>
  <c r="CO57" i="25" s="1"/>
  <c r="CP57" i="25" s="1"/>
  <c r="CQ57" i="25" s="1"/>
  <c r="AO57" i="25" s="1"/>
  <c r="Y113" i="25"/>
  <c r="BZ41" i="30"/>
  <c r="R14" i="36"/>
  <c r="X29" i="36"/>
  <c r="BG58" i="7"/>
  <c r="V58" i="7" s="1"/>
  <c r="BF59" i="7"/>
  <c r="BN56" i="30"/>
  <c r="BM57" i="30"/>
  <c r="BC60" i="7"/>
  <c r="W60" i="7" s="1"/>
  <c r="BB61" i="7"/>
  <c r="R121" i="36"/>
  <c r="X136" i="36"/>
  <c r="Q57" i="30"/>
  <c r="CU55" i="25"/>
  <c r="AM55" i="25" s="1"/>
  <c r="CT56" i="25"/>
  <c r="Q118" i="36"/>
  <c r="T54" i="30"/>
  <c r="BE54" i="30" s="1"/>
  <c r="BP54" i="30" s="1"/>
  <c r="BQ54" i="30" s="1"/>
  <c r="BR54" i="30" s="1"/>
  <c r="Y54" i="30" s="1"/>
  <c r="AD54" i="30" s="1"/>
  <c r="W133" i="36"/>
  <c r="BX40" i="30"/>
  <c r="V28" i="36"/>
  <c r="P13" i="36"/>
  <c r="Q106" i="30"/>
  <c r="AU56" i="30"/>
  <c r="BH56" i="30" s="1"/>
  <c r="BI56" i="30" s="1"/>
  <c r="BJ56" i="30" s="1"/>
  <c r="Z56" i="30" s="1"/>
  <c r="X57" i="7"/>
  <c r="Q347" i="36"/>
  <c r="AA57" i="7"/>
  <c r="AE56" i="25"/>
  <c r="CI56" i="25" s="1"/>
  <c r="CW56" i="25" s="1"/>
  <c r="CX56" i="25" s="1"/>
  <c r="CY56" i="25" s="1"/>
  <c r="AN56" i="25" s="1"/>
  <c r="J55" i="30"/>
  <c r="V55" i="30"/>
  <c r="R349" i="36"/>
  <c r="Y58" i="25"/>
  <c r="Q12" i="36"/>
  <c r="BY39" i="30"/>
  <c r="W27" i="36"/>
  <c r="AS54" i="25"/>
  <c r="AP54" i="25"/>
  <c r="N55" i="30" l="1"/>
  <c r="W55" i="30" s="1"/>
  <c r="AA54" i="30"/>
  <c r="Q13" i="36"/>
  <c r="W28" i="36"/>
  <c r="BY40" i="30"/>
  <c r="CU56" i="25"/>
  <c r="AM56" i="25" s="1"/>
  <c r="CT57" i="25"/>
  <c r="Q107" i="30"/>
  <c r="AU57" i="30"/>
  <c r="BH57" i="30" s="1"/>
  <c r="BI57" i="30" s="1"/>
  <c r="BJ57" i="30" s="1"/>
  <c r="Z57" i="30" s="1"/>
  <c r="R350" i="36"/>
  <c r="Y59" i="25"/>
  <c r="V56" i="30"/>
  <c r="J56" i="30"/>
  <c r="X58" i="7"/>
  <c r="Q348" i="36"/>
  <c r="AA58" i="7"/>
  <c r="AE57" i="25"/>
  <c r="CI57" i="25" s="1"/>
  <c r="CW57" i="25" s="1"/>
  <c r="CX57" i="25" s="1"/>
  <c r="CY57" i="25" s="1"/>
  <c r="AN57" i="25" s="1"/>
  <c r="Q119" i="36"/>
  <c r="W134" i="36"/>
  <c r="T55" i="30"/>
  <c r="BE55" i="30" s="1"/>
  <c r="BP55" i="30" s="1"/>
  <c r="BQ55" i="30" s="1"/>
  <c r="BR55" i="30" s="1"/>
  <c r="Y55" i="30" s="1"/>
  <c r="AD55" i="30" s="1"/>
  <c r="BQ58" i="25"/>
  <c r="CO58" i="25" s="1"/>
  <c r="CP58" i="25" s="1"/>
  <c r="CQ58" i="25" s="1"/>
  <c r="AO58" i="25" s="1"/>
  <c r="Y114" i="25"/>
  <c r="BX41" i="30"/>
  <c r="V29" i="36"/>
  <c r="P14" i="36"/>
  <c r="X30" i="36"/>
  <c r="R15" i="36"/>
  <c r="BZ42" i="30"/>
  <c r="AP55" i="25"/>
  <c r="AS55" i="25"/>
  <c r="BC61" i="7"/>
  <c r="W61" i="7" s="1"/>
  <c r="BB62" i="7"/>
  <c r="BN57" i="30"/>
  <c r="BM58" i="30"/>
  <c r="BG59" i="7"/>
  <c r="V59" i="7" s="1"/>
  <c r="BF60" i="7"/>
  <c r="X137" i="36"/>
  <c r="R122" i="36"/>
  <c r="Q58" i="30"/>
  <c r="N56" i="30" l="1"/>
  <c r="W56" i="30" s="1"/>
  <c r="AA55" i="30"/>
  <c r="BG60" i="7"/>
  <c r="V60" i="7" s="1"/>
  <c r="BF61" i="7"/>
  <c r="BN58" i="30"/>
  <c r="BM59" i="30"/>
  <c r="BC62" i="7"/>
  <c r="W62" i="7" s="1"/>
  <c r="BB63" i="7"/>
  <c r="W135" i="36"/>
  <c r="Q120" i="36"/>
  <c r="T56" i="30"/>
  <c r="BE56" i="30" s="1"/>
  <c r="BP56" i="30" s="1"/>
  <c r="BQ56" i="30" s="1"/>
  <c r="BR56" i="30" s="1"/>
  <c r="Y56" i="30" s="1"/>
  <c r="AD56" i="30" s="1"/>
  <c r="Q108" i="30"/>
  <c r="AU58" i="30"/>
  <c r="BH58" i="30" s="1"/>
  <c r="BI58" i="30" s="1"/>
  <c r="BJ58" i="30" s="1"/>
  <c r="Z58" i="30" s="1"/>
  <c r="Q349" i="36"/>
  <c r="X59" i="7"/>
  <c r="AE58" i="25"/>
  <c r="CI58" i="25" s="1"/>
  <c r="CW58" i="25" s="1"/>
  <c r="CX58" i="25" s="1"/>
  <c r="CY58" i="25" s="1"/>
  <c r="AN58" i="25" s="1"/>
  <c r="AA59" i="7"/>
  <c r="V57" i="30"/>
  <c r="J57" i="30"/>
  <c r="R351" i="36"/>
  <c r="Y60" i="25"/>
  <c r="BY41" i="30"/>
  <c r="Q14" i="36"/>
  <c r="W29" i="36"/>
  <c r="V30" i="36"/>
  <c r="BX42" i="30"/>
  <c r="P15" i="36"/>
  <c r="AP56" i="25"/>
  <c r="AS56" i="25"/>
  <c r="X138" i="36"/>
  <c r="R123" i="36"/>
  <c r="Q59" i="30"/>
  <c r="Y115" i="25"/>
  <c r="BQ59" i="25"/>
  <c r="CO59" i="25" s="1"/>
  <c r="CP59" i="25" s="1"/>
  <c r="CQ59" i="25" s="1"/>
  <c r="AO59" i="25" s="1"/>
  <c r="X31" i="36"/>
  <c r="R16" i="36"/>
  <c r="BZ43" i="30"/>
  <c r="CU57" i="25"/>
  <c r="AM57" i="25" s="1"/>
  <c r="CT58" i="25"/>
  <c r="AA56" i="30" l="1"/>
  <c r="AP57" i="25"/>
  <c r="AS57" i="25"/>
  <c r="Q109" i="30"/>
  <c r="AU59" i="30"/>
  <c r="BH59" i="30" s="1"/>
  <c r="BI59" i="30" s="1"/>
  <c r="BJ59" i="30" s="1"/>
  <c r="Z59" i="30" s="1"/>
  <c r="Y116" i="25"/>
  <c r="BQ60" i="25"/>
  <c r="CO60" i="25" s="1"/>
  <c r="CP60" i="25" s="1"/>
  <c r="CQ60" i="25" s="1"/>
  <c r="AO60" i="25" s="1"/>
  <c r="CU58" i="25"/>
  <c r="AM58" i="25" s="1"/>
  <c r="CT59" i="25"/>
  <c r="W136" i="36"/>
  <c r="Q121" i="36"/>
  <c r="T57" i="30"/>
  <c r="BE57" i="30" s="1"/>
  <c r="BP57" i="30" s="1"/>
  <c r="BQ57" i="30" s="1"/>
  <c r="BR57" i="30" s="1"/>
  <c r="Y57" i="30" s="1"/>
  <c r="AD57" i="30" s="1"/>
  <c r="BX43" i="30"/>
  <c r="V31" i="36"/>
  <c r="P16" i="36"/>
  <c r="BC63" i="7"/>
  <c r="W63" i="7" s="1"/>
  <c r="BB64" i="7"/>
  <c r="BN59" i="30"/>
  <c r="BM60" i="30"/>
  <c r="BG61" i="7"/>
  <c r="V61" i="7" s="1"/>
  <c r="BF62" i="7"/>
  <c r="X139" i="36"/>
  <c r="R124" i="36"/>
  <c r="Q60" i="30"/>
  <c r="J75" i="30"/>
  <c r="N57" i="30"/>
  <c r="BZ44" i="30"/>
  <c r="R17" i="36"/>
  <c r="X32" i="36"/>
  <c r="Q15" i="36"/>
  <c r="W30" i="36"/>
  <c r="BY42" i="30"/>
  <c r="R352" i="36"/>
  <c r="Y61" i="25"/>
  <c r="J58" i="30"/>
  <c r="V58" i="30"/>
  <c r="AA60" i="7"/>
  <c r="X60" i="7"/>
  <c r="AE59" i="25"/>
  <c r="CI59" i="25" s="1"/>
  <c r="CW59" i="25" s="1"/>
  <c r="CX59" i="25" s="1"/>
  <c r="CY59" i="25" s="1"/>
  <c r="AN59" i="25" s="1"/>
  <c r="Q350" i="36"/>
  <c r="N58" i="30" l="1"/>
  <c r="W58" i="30" s="1"/>
  <c r="AA57" i="30"/>
  <c r="BX44" i="30"/>
  <c r="P17" i="36"/>
  <c r="V32" i="36"/>
  <c r="Y117" i="25"/>
  <c r="BQ61" i="25"/>
  <c r="CO61" i="25" s="1"/>
  <c r="CP61" i="25" s="1"/>
  <c r="CQ61" i="25" s="1"/>
  <c r="AO61" i="25" s="1"/>
  <c r="W57" i="30"/>
  <c r="N75" i="30"/>
  <c r="AU60" i="30"/>
  <c r="BH60" i="30" s="1"/>
  <c r="BI60" i="30" s="1"/>
  <c r="BJ60" i="30" s="1"/>
  <c r="Z60" i="30" s="1"/>
  <c r="Q110" i="30"/>
  <c r="X61" i="7"/>
  <c r="AA61" i="7"/>
  <c r="Q351" i="36"/>
  <c r="AE60" i="25"/>
  <c r="CI60" i="25" s="1"/>
  <c r="CW60" i="25" s="1"/>
  <c r="CX60" i="25" s="1"/>
  <c r="CY60" i="25" s="1"/>
  <c r="AN60" i="25" s="1"/>
  <c r="V59" i="30"/>
  <c r="J59" i="30"/>
  <c r="R353" i="36"/>
  <c r="Y62" i="25"/>
  <c r="CU59" i="25"/>
  <c r="AM59" i="25" s="1"/>
  <c r="CT60" i="25"/>
  <c r="X140" i="36"/>
  <c r="R125" i="36"/>
  <c r="Q61" i="30"/>
  <c r="X33" i="36"/>
  <c r="R18" i="36"/>
  <c r="BZ45" i="30"/>
  <c r="Q122" i="36"/>
  <c r="W137" i="36"/>
  <c r="T58" i="30"/>
  <c r="BE58" i="30" s="1"/>
  <c r="BP58" i="30" s="1"/>
  <c r="BQ58" i="30" s="1"/>
  <c r="BR58" i="30" s="1"/>
  <c r="Y58" i="30" s="1"/>
  <c r="AD58" i="30" s="1"/>
  <c r="BG62" i="7"/>
  <c r="V62" i="7" s="1"/>
  <c r="BF63" i="7"/>
  <c r="BN60" i="30"/>
  <c r="BM61" i="30"/>
  <c r="BC64" i="7"/>
  <c r="W64" i="7" s="1"/>
  <c r="BB65" i="7"/>
  <c r="W31" i="36"/>
  <c r="Q16" i="36"/>
  <c r="BY43" i="30"/>
  <c r="AP58" i="25"/>
  <c r="AS58" i="25"/>
  <c r="N59" i="30" l="1"/>
  <c r="W59" i="30" s="1"/>
  <c r="R354" i="36"/>
  <c r="Y63" i="25"/>
  <c r="V60" i="30"/>
  <c r="J60" i="30"/>
  <c r="Q352" i="36"/>
  <c r="AE61" i="25"/>
  <c r="CI61" i="25" s="1"/>
  <c r="CW61" i="25" s="1"/>
  <c r="CX61" i="25" s="1"/>
  <c r="CY61" i="25" s="1"/>
  <c r="AN61" i="25" s="1"/>
  <c r="X62" i="7"/>
  <c r="AA62" i="7"/>
  <c r="CU60" i="25"/>
  <c r="AM60" i="25" s="1"/>
  <c r="CT61" i="25"/>
  <c r="BQ62" i="25"/>
  <c r="CO62" i="25" s="1"/>
  <c r="CP62" i="25" s="1"/>
  <c r="CQ62" i="25" s="1"/>
  <c r="AO62" i="25" s="1"/>
  <c r="Y118" i="25"/>
  <c r="R126" i="36"/>
  <c r="X141" i="36"/>
  <c r="Q62" i="30"/>
  <c r="W138" i="36"/>
  <c r="Q123" i="36"/>
  <c r="T59" i="30"/>
  <c r="BE59" i="30" s="1"/>
  <c r="BP59" i="30" s="1"/>
  <c r="BQ59" i="30" s="1"/>
  <c r="BR59" i="30" s="1"/>
  <c r="Y59" i="30" s="1"/>
  <c r="AD59" i="30" s="1"/>
  <c r="BC65" i="7"/>
  <c r="W65" i="7" s="1"/>
  <c r="BB66" i="7"/>
  <c r="BN61" i="30"/>
  <c r="BM62" i="30"/>
  <c r="BG63" i="7"/>
  <c r="V63" i="7" s="1"/>
  <c r="BF64" i="7"/>
  <c r="BY44" i="30"/>
  <c r="Q17" i="36"/>
  <c r="W32" i="36"/>
  <c r="Q111" i="30"/>
  <c r="AU61" i="30"/>
  <c r="BH61" i="30" s="1"/>
  <c r="BI61" i="30" s="1"/>
  <c r="BJ61" i="30" s="1"/>
  <c r="Z61" i="30" s="1"/>
  <c r="AP59" i="25"/>
  <c r="AS59" i="25"/>
  <c r="P18" i="36"/>
  <c r="BX45" i="30"/>
  <c r="V33" i="36"/>
  <c r="BZ46" i="30"/>
  <c r="R19" i="36"/>
  <c r="X34" i="36"/>
  <c r="AA58" i="30"/>
  <c r="N60" i="30" l="1"/>
  <c r="W60" i="30" s="1"/>
  <c r="AA59" i="30"/>
  <c r="BG64" i="7"/>
  <c r="V64" i="7" s="1"/>
  <c r="BF65" i="7"/>
  <c r="BN62" i="30"/>
  <c r="BM63" i="30"/>
  <c r="BC66" i="7"/>
  <c r="W66" i="7" s="1"/>
  <c r="BB67" i="7"/>
  <c r="W33" i="36"/>
  <c r="BY45" i="30"/>
  <c r="Q18" i="36"/>
  <c r="CU61" i="25"/>
  <c r="AM61" i="25" s="1"/>
  <c r="CT62" i="25"/>
  <c r="Y119" i="25"/>
  <c r="BQ63" i="25"/>
  <c r="CO63" i="25" s="1"/>
  <c r="CP63" i="25" s="1"/>
  <c r="CQ63" i="25" s="1"/>
  <c r="AO63" i="25" s="1"/>
  <c r="W139" i="36"/>
  <c r="Q124" i="36"/>
  <c r="T60" i="30"/>
  <c r="BE60" i="30" s="1"/>
  <c r="BP60" i="30" s="1"/>
  <c r="BQ60" i="30" s="1"/>
  <c r="BR60" i="30" s="1"/>
  <c r="Y60" i="30" s="1"/>
  <c r="AD60" i="30" s="1"/>
  <c r="R20" i="36"/>
  <c r="X35" i="36"/>
  <c r="Q353" i="36"/>
  <c r="X63" i="7"/>
  <c r="AA63" i="7"/>
  <c r="AE62" i="25"/>
  <c r="CI62" i="25" s="1"/>
  <c r="CW62" i="25" s="1"/>
  <c r="CX62" i="25" s="1"/>
  <c r="CY62" i="25" s="1"/>
  <c r="AN62" i="25" s="1"/>
  <c r="J61" i="30"/>
  <c r="V61" i="30"/>
  <c r="Y64" i="25"/>
  <c r="R355" i="36"/>
  <c r="Q112" i="30"/>
  <c r="AU62" i="30"/>
  <c r="BH62" i="30" s="1"/>
  <c r="BI62" i="30" s="1"/>
  <c r="BJ62" i="30" s="1"/>
  <c r="Z62" i="30" s="1"/>
  <c r="X142" i="36"/>
  <c r="R127" i="36"/>
  <c r="Q63" i="30"/>
  <c r="AS60" i="25"/>
  <c r="AP60" i="25"/>
  <c r="V34" i="36"/>
  <c r="BX46" i="30"/>
  <c r="P19" i="36"/>
  <c r="N61" i="30" l="1"/>
  <c r="W61" i="30" s="1"/>
  <c r="AA60" i="30"/>
  <c r="W140" i="36"/>
  <c r="Q125" i="36"/>
  <c r="T61" i="30"/>
  <c r="BE61" i="30" s="1"/>
  <c r="BP61" i="30" s="1"/>
  <c r="BQ61" i="30" s="1"/>
  <c r="BR61" i="30" s="1"/>
  <c r="Y61" i="30" s="1"/>
  <c r="AD61" i="30" s="1"/>
  <c r="W34" i="36"/>
  <c r="Q19" i="36"/>
  <c r="BY46" i="30"/>
  <c r="AP61" i="25"/>
  <c r="AS61" i="25"/>
  <c r="BC67" i="7"/>
  <c r="W67" i="7" s="1"/>
  <c r="BB68" i="7"/>
  <c r="BN63" i="30"/>
  <c r="BM64" i="30"/>
  <c r="BG65" i="7"/>
  <c r="V65" i="7" s="1"/>
  <c r="BF66" i="7"/>
  <c r="R21" i="36"/>
  <c r="X36" i="36"/>
  <c r="P20" i="36"/>
  <c r="V35" i="36"/>
  <c r="Q113" i="30"/>
  <c r="AU63" i="30"/>
  <c r="BH63" i="30" s="1"/>
  <c r="BI63" i="30" s="1"/>
  <c r="BJ63" i="30" s="1"/>
  <c r="Z63" i="30" s="1"/>
  <c r="Y120" i="25"/>
  <c r="BQ64" i="25"/>
  <c r="CO64" i="25" s="1"/>
  <c r="CP64" i="25" s="1"/>
  <c r="CQ64" i="25" s="1"/>
  <c r="AO64" i="25" s="1"/>
  <c r="X143" i="36"/>
  <c r="Q64" i="30"/>
  <c r="R128" i="36"/>
  <c r="CU62" i="25"/>
  <c r="AM62" i="25" s="1"/>
  <c r="CT63" i="25"/>
  <c r="R356" i="36"/>
  <c r="Y65" i="25"/>
  <c r="V62" i="30"/>
  <c r="J62" i="30"/>
  <c r="AA64" i="7"/>
  <c r="AE63" i="25"/>
  <c r="CI63" i="25" s="1"/>
  <c r="CW63" i="25" s="1"/>
  <c r="CX63" i="25" s="1"/>
  <c r="CY63" i="25" s="1"/>
  <c r="AN63" i="25" s="1"/>
  <c r="X64" i="7"/>
  <c r="Q354" i="36"/>
  <c r="N62" i="30" l="1"/>
  <c r="W62" i="30" s="1"/>
  <c r="AA61" i="30"/>
  <c r="X144" i="36"/>
  <c r="Q65" i="30"/>
  <c r="R129" i="36"/>
  <c r="Y121" i="25"/>
  <c r="BQ65" i="25"/>
  <c r="CO65" i="25" s="1"/>
  <c r="CP65" i="25" s="1"/>
  <c r="CQ65" i="25" s="1"/>
  <c r="AO65" i="25" s="1"/>
  <c r="CT64" i="25"/>
  <c r="CU63" i="25"/>
  <c r="AM63" i="25" s="1"/>
  <c r="BG66" i="7"/>
  <c r="V66" i="7" s="1"/>
  <c r="BF67" i="7"/>
  <c r="BN64" i="30"/>
  <c r="BM65" i="30"/>
  <c r="BC68" i="7"/>
  <c r="W68" i="7" s="1"/>
  <c r="BB69" i="7"/>
  <c r="W141" i="36"/>
  <c r="T62" i="30"/>
  <c r="BE62" i="30" s="1"/>
  <c r="BP62" i="30" s="1"/>
  <c r="BQ62" i="30" s="1"/>
  <c r="BR62" i="30" s="1"/>
  <c r="Y62" i="30" s="1"/>
  <c r="AD62" i="30" s="1"/>
  <c r="Q126" i="36"/>
  <c r="P21" i="36"/>
  <c r="V36" i="36"/>
  <c r="AP62" i="25"/>
  <c r="AS62" i="25"/>
  <c r="Q114" i="30"/>
  <c r="AU64" i="30"/>
  <c r="BH64" i="30" s="1"/>
  <c r="BI64" i="30" s="1"/>
  <c r="BJ64" i="30" s="1"/>
  <c r="Z64" i="30" s="1"/>
  <c r="R22" i="36"/>
  <c r="X37" i="36"/>
  <c r="AA65" i="7"/>
  <c r="AE64" i="25"/>
  <c r="CI64" i="25" s="1"/>
  <c r="CW64" i="25" s="1"/>
  <c r="CX64" i="25" s="1"/>
  <c r="CY64" i="25" s="1"/>
  <c r="AN64" i="25" s="1"/>
  <c r="Q355" i="36"/>
  <c r="X65" i="7"/>
  <c r="V63" i="30"/>
  <c r="J63" i="30"/>
  <c r="R357" i="36"/>
  <c r="Y66" i="25"/>
  <c r="W35" i="36"/>
  <c r="Q20" i="36"/>
  <c r="N63" i="30" l="1"/>
  <c r="W63" i="30" s="1"/>
  <c r="Y122" i="25"/>
  <c r="BQ66" i="25"/>
  <c r="CO66" i="25" s="1"/>
  <c r="CP66" i="25" s="1"/>
  <c r="CQ66" i="25" s="1"/>
  <c r="AO66" i="25" s="1"/>
  <c r="X38" i="36"/>
  <c r="R23" i="36"/>
  <c r="Q127" i="36"/>
  <c r="W142" i="36"/>
  <c r="T63" i="30"/>
  <c r="BE63" i="30" s="1"/>
  <c r="BP63" i="30" s="1"/>
  <c r="BQ63" i="30" s="1"/>
  <c r="BR63" i="30" s="1"/>
  <c r="Y63" i="30" s="1"/>
  <c r="AD63" i="30" s="1"/>
  <c r="BC69" i="7"/>
  <c r="W69" i="7" s="1"/>
  <c r="BB70" i="7"/>
  <c r="P22" i="36"/>
  <c r="V37" i="36"/>
  <c r="AA62" i="30"/>
  <c r="R358" i="36"/>
  <c r="Y67" i="25"/>
  <c r="J64" i="30"/>
  <c r="V64" i="30"/>
  <c r="Q356" i="36"/>
  <c r="AA66" i="7"/>
  <c r="X66" i="7"/>
  <c r="AE65" i="25"/>
  <c r="CI65" i="25" s="1"/>
  <c r="CW65" i="25" s="1"/>
  <c r="CX65" i="25" s="1"/>
  <c r="CY65" i="25" s="1"/>
  <c r="AN65" i="25" s="1"/>
  <c r="CU64" i="25"/>
  <c r="AM64" i="25" s="1"/>
  <c r="CT65" i="25"/>
  <c r="Q77" i="30"/>
  <c r="Q115" i="30"/>
  <c r="AU65" i="30"/>
  <c r="BH65" i="30" s="1"/>
  <c r="BI65" i="30" s="1"/>
  <c r="BJ65" i="30" s="1"/>
  <c r="Z65" i="30" s="1"/>
  <c r="W36" i="36"/>
  <c r="Q21" i="36"/>
  <c r="BM66" i="30"/>
  <c r="BN65" i="30"/>
  <c r="BG67" i="7"/>
  <c r="V67" i="7" s="1"/>
  <c r="BF68" i="7"/>
  <c r="AP63" i="25"/>
  <c r="AS63" i="25"/>
  <c r="R130" i="36"/>
  <c r="X145" i="36"/>
  <c r="Q66" i="30"/>
  <c r="N64" i="30" l="1"/>
  <c r="W64" i="30" s="1"/>
  <c r="AA63" i="30"/>
  <c r="Q116" i="30"/>
  <c r="AU66" i="30"/>
  <c r="BH66" i="30" s="1"/>
  <c r="BI66" i="30" s="1"/>
  <c r="BJ66" i="30" s="1"/>
  <c r="Z66" i="30" s="1"/>
  <c r="W143" i="36"/>
  <c r="Q128" i="36"/>
  <c r="T64" i="30"/>
  <c r="BE64" i="30" s="1"/>
  <c r="BP64" i="30" s="1"/>
  <c r="BQ64" i="30" s="1"/>
  <c r="BR64" i="30" s="1"/>
  <c r="Y64" i="30" s="1"/>
  <c r="AD64" i="30" s="1"/>
  <c r="BG68" i="7"/>
  <c r="V68" i="7" s="1"/>
  <c r="BF69" i="7"/>
  <c r="J65" i="30"/>
  <c r="V65" i="30"/>
  <c r="X39" i="36"/>
  <c r="R24" i="36"/>
  <c r="AP64" i="25"/>
  <c r="AS64" i="25"/>
  <c r="R359" i="36"/>
  <c r="Y68" i="25"/>
  <c r="R131" i="36"/>
  <c r="X146" i="36"/>
  <c r="Q67" i="30"/>
  <c r="AA67" i="7"/>
  <c r="X67" i="7"/>
  <c r="AE66" i="25"/>
  <c r="CI66" i="25" s="1"/>
  <c r="CW66" i="25" s="1"/>
  <c r="CX66" i="25" s="1"/>
  <c r="CY66" i="25" s="1"/>
  <c r="AN66" i="25" s="1"/>
  <c r="Q357" i="36"/>
  <c r="BN66" i="30"/>
  <c r="BM67" i="30"/>
  <c r="CU65" i="25"/>
  <c r="AM65" i="25" s="1"/>
  <c r="CT66" i="25"/>
  <c r="P23" i="36"/>
  <c r="V38" i="36"/>
  <c r="Y123" i="25"/>
  <c r="BQ67" i="25"/>
  <c r="CO67" i="25" s="1"/>
  <c r="CP67" i="25" s="1"/>
  <c r="CQ67" i="25" s="1"/>
  <c r="AO67" i="25" s="1"/>
  <c r="BB71" i="7"/>
  <c r="BC70" i="7"/>
  <c r="W70" i="7" s="1"/>
  <c r="Y69" i="25" s="1"/>
  <c r="W37" i="36"/>
  <c r="Q22" i="36"/>
  <c r="N65" i="30" l="1"/>
  <c r="W65" i="30" s="1"/>
  <c r="BC71" i="7"/>
  <c r="W71" i="7" s="1"/>
  <c r="Y70" i="25" s="1"/>
  <c r="Y126" i="25" s="1"/>
  <c r="BB72" i="7"/>
  <c r="BC72" i="7" s="1"/>
  <c r="W72" i="7" s="1"/>
  <c r="Y71" i="25" s="1"/>
  <c r="Y127" i="25" s="1"/>
  <c r="AA64" i="30"/>
  <c r="Y125" i="25"/>
  <c r="BQ69" i="25"/>
  <c r="CO69" i="25" s="1"/>
  <c r="V66" i="30"/>
  <c r="J66" i="30"/>
  <c r="CU66" i="25"/>
  <c r="AM66" i="25" s="1"/>
  <c r="CT67" i="25"/>
  <c r="BM68" i="30"/>
  <c r="BN67" i="30"/>
  <c r="Q117" i="30"/>
  <c r="AU67" i="30"/>
  <c r="BH67" i="30" s="1"/>
  <c r="BI67" i="30" s="1"/>
  <c r="BJ67" i="30" s="1"/>
  <c r="Z67" i="30" s="1"/>
  <c r="X68" i="7"/>
  <c r="AA68" i="7"/>
  <c r="Q358" i="36"/>
  <c r="AE67" i="25"/>
  <c r="CI67" i="25" s="1"/>
  <c r="CW67" i="25" s="1"/>
  <c r="CX67" i="25" s="1"/>
  <c r="CY67" i="25" s="1"/>
  <c r="AN67" i="25" s="1"/>
  <c r="X40" i="36"/>
  <c r="R25" i="36"/>
  <c r="X147" i="36"/>
  <c r="R132" i="36"/>
  <c r="Q68" i="30"/>
  <c r="AP65" i="25"/>
  <c r="AS65" i="25"/>
  <c r="Y124" i="25"/>
  <c r="BQ68" i="25"/>
  <c r="CO68" i="25" s="1"/>
  <c r="CP68" i="25" s="1"/>
  <c r="CQ68" i="25" s="1"/>
  <c r="AO68" i="25" s="1"/>
  <c r="W144" i="36"/>
  <c r="T65" i="30"/>
  <c r="BE65" i="30" s="1"/>
  <c r="BP65" i="30" s="1"/>
  <c r="BQ65" i="30" s="1"/>
  <c r="BR65" i="30" s="1"/>
  <c r="Y65" i="30" s="1"/>
  <c r="AD65" i="30" s="1"/>
  <c r="Q129" i="36"/>
  <c r="P24" i="36"/>
  <c r="V39" i="36"/>
  <c r="BF70" i="7"/>
  <c r="BG69" i="7"/>
  <c r="V69" i="7" s="1"/>
  <c r="W38" i="36"/>
  <c r="Q23" i="36"/>
  <c r="BQ70" i="25" l="1"/>
  <c r="CO70" i="25" s="1"/>
  <c r="N66" i="30"/>
  <c r="W66" i="30" s="1"/>
  <c r="BQ71" i="25"/>
  <c r="CO71" i="25" s="1"/>
  <c r="AA65" i="30"/>
  <c r="R26" i="36"/>
  <c r="X41" i="36"/>
  <c r="J67" i="30"/>
  <c r="V67" i="30"/>
  <c r="CT68" i="25"/>
  <c r="CU67" i="25"/>
  <c r="AM67" i="25" s="1"/>
  <c r="CP69" i="25"/>
  <c r="CQ69" i="25" s="1"/>
  <c r="AO69" i="25" s="1"/>
  <c r="BG70" i="7"/>
  <c r="V70" i="7" s="1"/>
  <c r="BF71" i="7"/>
  <c r="AA69" i="7"/>
  <c r="AE68" i="25"/>
  <c r="CI68" i="25" s="1"/>
  <c r="CW68" i="25" s="1"/>
  <c r="CX68" i="25" s="1"/>
  <c r="CY68" i="25" s="1"/>
  <c r="AN68" i="25" s="1"/>
  <c r="X69" i="7"/>
  <c r="Q359" i="36"/>
  <c r="W39" i="36"/>
  <c r="Q24" i="36"/>
  <c r="R133" i="36"/>
  <c r="Q69" i="30"/>
  <c r="X148" i="36"/>
  <c r="W145" i="36"/>
  <c r="Q130" i="36"/>
  <c r="T66" i="30"/>
  <c r="BE66" i="30" s="1"/>
  <c r="BP66" i="30" s="1"/>
  <c r="BQ66" i="30" s="1"/>
  <c r="BR66" i="30" s="1"/>
  <c r="Y66" i="30" s="1"/>
  <c r="AD66" i="30" s="1"/>
  <c r="Q118" i="30"/>
  <c r="AU68" i="30"/>
  <c r="BH68" i="30" s="1"/>
  <c r="BI68" i="30" s="1"/>
  <c r="BJ68" i="30" s="1"/>
  <c r="Z68" i="30" s="1"/>
  <c r="BN68" i="30"/>
  <c r="BM69" i="30"/>
  <c r="AP66" i="25"/>
  <c r="AS66" i="25"/>
  <c r="P25" i="36"/>
  <c r="V40" i="36"/>
  <c r="N67" i="30" l="1"/>
  <c r="W67" i="30" s="1"/>
  <c r="BG71" i="7"/>
  <c r="V71" i="7" s="1"/>
  <c r="X71" i="7" s="1"/>
  <c r="BF72" i="7"/>
  <c r="BG72" i="7" s="1"/>
  <c r="V72" i="7" s="1"/>
  <c r="CP70" i="25"/>
  <c r="AA66" i="30"/>
  <c r="Q131" i="36"/>
  <c r="W146" i="36"/>
  <c r="T67" i="30"/>
  <c r="BE67" i="30" s="1"/>
  <c r="BP67" i="30" s="1"/>
  <c r="BQ67" i="30" s="1"/>
  <c r="BR67" i="30" s="1"/>
  <c r="Y67" i="30" s="1"/>
  <c r="AD67" i="30" s="1"/>
  <c r="W40" i="36"/>
  <c r="Q25" i="36"/>
  <c r="Q119" i="30"/>
  <c r="AU69" i="30"/>
  <c r="BH69" i="30" s="1"/>
  <c r="BI69" i="30" s="1"/>
  <c r="BJ69" i="30" s="1"/>
  <c r="Z69" i="30" s="1"/>
  <c r="AE70" i="25"/>
  <c r="X149" i="36"/>
  <c r="Q70" i="30"/>
  <c r="R134" i="36"/>
  <c r="AP67" i="25"/>
  <c r="AS67" i="25"/>
  <c r="P26" i="36"/>
  <c r="V41" i="36"/>
  <c r="BN69" i="30"/>
  <c r="X42" i="36"/>
  <c r="R27" i="36"/>
  <c r="V68" i="30"/>
  <c r="J68" i="30"/>
  <c r="AA70" i="7"/>
  <c r="X70" i="7"/>
  <c r="AE69" i="25"/>
  <c r="CI69" i="25" s="1"/>
  <c r="CW69" i="25" s="1"/>
  <c r="CX69" i="25" s="1"/>
  <c r="CY69" i="25" s="1"/>
  <c r="AN69" i="25" s="1"/>
  <c r="CT69" i="25"/>
  <c r="CU68" i="25"/>
  <c r="AM68" i="25" s="1"/>
  <c r="N68" i="30" l="1"/>
  <c r="W68" i="30" s="1"/>
  <c r="AA71" i="7"/>
  <c r="AA72" i="7"/>
  <c r="AE71" i="25"/>
  <c r="CI71" i="25" s="1"/>
  <c r="CW71" i="25" s="1"/>
  <c r="X72" i="7"/>
  <c r="CQ70" i="25"/>
  <c r="AO70" i="25" s="1"/>
  <c r="CP71" i="25"/>
  <c r="CQ71" i="25" s="1"/>
  <c r="AO71" i="25" s="1"/>
  <c r="R136" i="36" s="1"/>
  <c r="AA67" i="30"/>
  <c r="V69" i="30"/>
  <c r="J69" i="30"/>
  <c r="W147" i="36"/>
  <c r="T68" i="30"/>
  <c r="BE68" i="30" s="1"/>
  <c r="BP68" i="30" s="1"/>
  <c r="BQ68" i="30" s="1"/>
  <c r="BR68" i="30" s="1"/>
  <c r="Y68" i="30" s="1"/>
  <c r="AD68" i="30" s="1"/>
  <c r="Q132" i="36"/>
  <c r="CI70" i="25"/>
  <c r="CW70" i="25" s="1"/>
  <c r="CX70" i="25" s="1"/>
  <c r="CY70" i="25" s="1"/>
  <c r="AN70" i="25" s="1"/>
  <c r="AP68" i="25"/>
  <c r="AS68" i="25"/>
  <c r="Q120" i="30"/>
  <c r="AU70" i="30"/>
  <c r="CT70" i="25"/>
  <c r="CU69" i="25"/>
  <c r="AM69" i="25" s="1"/>
  <c r="V42" i="36"/>
  <c r="P27" i="36"/>
  <c r="X43" i="36"/>
  <c r="R28" i="36"/>
  <c r="Q26" i="36"/>
  <c r="W41" i="36"/>
  <c r="N69" i="30" l="1"/>
  <c r="W69" i="30" s="1"/>
  <c r="Q72" i="30"/>
  <c r="X151" i="36"/>
  <c r="Q122" i="30"/>
  <c r="X150" i="36"/>
  <c r="R135" i="36"/>
  <c r="Q71" i="30"/>
  <c r="CX71" i="25"/>
  <c r="CY71" i="25" s="1"/>
  <c r="AN71" i="25" s="1"/>
  <c r="CU70" i="25"/>
  <c r="AM70" i="25" s="1"/>
  <c r="AP70" i="25" s="1"/>
  <c r="CT71" i="25"/>
  <c r="CU71" i="25" s="1"/>
  <c r="AM71" i="25" s="1"/>
  <c r="AA68" i="30"/>
  <c r="W148" i="36"/>
  <c r="T69" i="30"/>
  <c r="BE69" i="30" s="1"/>
  <c r="BP69" i="30" s="1"/>
  <c r="BQ69" i="30" s="1"/>
  <c r="BR69" i="30" s="1"/>
  <c r="Y69" i="30" s="1"/>
  <c r="AD69" i="30" s="1"/>
  <c r="Q133" i="36"/>
  <c r="W42" i="36"/>
  <c r="Q27" i="36"/>
  <c r="AP69" i="25"/>
  <c r="AS69" i="25"/>
  <c r="V43" i="36"/>
  <c r="P28" i="36"/>
  <c r="AU72" i="30" l="1"/>
  <c r="AS70" i="25"/>
  <c r="T71" i="30" s="1"/>
  <c r="AS71" i="25"/>
  <c r="Q136" i="36" s="1"/>
  <c r="AP71" i="25"/>
  <c r="Q121" i="30"/>
  <c r="AU71" i="30"/>
  <c r="AA69" i="30"/>
  <c r="Q28" i="36"/>
  <c r="W43" i="36"/>
  <c r="W150" i="36"/>
  <c r="S150" i="36" s="1"/>
  <c r="Q134" i="36"/>
  <c r="T70" i="30"/>
  <c r="BE70" i="30" s="1"/>
  <c r="W149" i="36"/>
  <c r="Q135" i="36" l="1"/>
  <c r="T72" i="30"/>
  <c r="W151" i="36"/>
  <c r="BE72" i="30"/>
  <c r="BE71" i="30"/>
  <c r="D63" i="58"/>
  <c r="D64" i="58"/>
  <c r="D65" i="58"/>
  <c r="AB69" i="13" l="1"/>
  <c r="H46" i="59" s="1"/>
  <c r="AB70" i="13"/>
  <c r="H47" i="59" s="1"/>
  <c r="AB68" i="13"/>
  <c r="H45" i="59" s="1"/>
  <c r="E65" i="58"/>
  <c r="M65" i="58" s="1"/>
  <c r="W65" i="58"/>
  <c r="H69" i="19" s="1"/>
  <c r="H65" i="58"/>
  <c r="W64" i="58"/>
  <c r="H68" i="19" s="1"/>
  <c r="E64" i="58"/>
  <c r="M64" i="58" s="1"/>
  <c r="E63" i="58"/>
  <c r="M63" i="58" s="1"/>
  <c r="W63" i="58"/>
  <c r="H67" i="19" s="1"/>
  <c r="C68" i="13" l="1"/>
  <c r="J70" i="34" s="1"/>
  <c r="C70" i="13"/>
  <c r="J72" i="34" s="1"/>
  <c r="H45" i="53" s="1"/>
  <c r="P45" i="53" s="1"/>
  <c r="C69" i="13"/>
  <c r="J71" i="34" s="1"/>
  <c r="L71" i="34" s="1"/>
  <c r="G45" i="59"/>
  <c r="I45" i="59" s="1"/>
  <c r="J67" i="19"/>
  <c r="L67" i="19"/>
  <c r="K67" i="19"/>
  <c r="G46" i="59"/>
  <c r="I46" i="59" s="1"/>
  <c r="J68" i="19"/>
  <c r="L68" i="19"/>
  <c r="K68" i="19"/>
  <c r="H63" i="58"/>
  <c r="H64" i="58"/>
  <c r="G47" i="59"/>
  <c r="I47" i="59" s="1"/>
  <c r="I49" i="59" s="1"/>
  <c r="I51" i="59" s="1"/>
  <c r="J69" i="19"/>
  <c r="L69" i="19"/>
  <c r="K69" i="19"/>
  <c r="BD71" i="34" l="1"/>
  <c r="X71" i="34"/>
  <c r="BB71" i="34"/>
  <c r="BC71" i="34"/>
  <c r="I67" i="19"/>
  <c r="D67" i="14" s="1"/>
  <c r="E70" i="34" s="1"/>
  <c r="O70" i="34" s="1"/>
  <c r="T70" i="34" s="1"/>
  <c r="AY70" i="34" s="1"/>
  <c r="I69" i="19"/>
  <c r="D69" i="14" s="1"/>
  <c r="E72" i="34" s="1"/>
  <c r="H33" i="53" s="1"/>
  <c r="I71" i="24"/>
  <c r="L71" i="24" s="1"/>
  <c r="BE71" i="24" s="1"/>
  <c r="L72" i="34"/>
  <c r="I68" i="19"/>
  <c r="D68" i="14" s="1"/>
  <c r="E71" i="34" s="1"/>
  <c r="G71" i="34" s="1"/>
  <c r="L70" i="34"/>
  <c r="BC70" i="34" s="1"/>
  <c r="P33" i="53"/>
  <c r="G72" i="34"/>
  <c r="O72" i="34"/>
  <c r="G70" i="34" l="1"/>
  <c r="AK70" i="34" s="1"/>
  <c r="AO70" i="34" s="1"/>
  <c r="BB72" i="34"/>
  <c r="BF72" i="34" s="1"/>
  <c r="I72" i="24"/>
  <c r="L72" i="24" s="1"/>
  <c r="BG72" i="24" s="1"/>
  <c r="BD72" i="34"/>
  <c r="BH72" i="34" s="1"/>
  <c r="X72" i="34"/>
  <c r="BC72" i="34"/>
  <c r="BG72" i="34" s="1"/>
  <c r="O71" i="34"/>
  <c r="T71" i="34" s="1"/>
  <c r="AY71" i="34" s="1"/>
  <c r="BG70" i="34"/>
  <c r="BG71" i="34"/>
  <c r="BD70" i="34"/>
  <c r="BB70" i="34"/>
  <c r="X70" i="34"/>
  <c r="I70" i="24"/>
  <c r="L70" i="24" s="1"/>
  <c r="BG70" i="24" s="1"/>
  <c r="BK70" i="24" s="1"/>
  <c r="O77" i="34"/>
  <c r="T72" i="34"/>
  <c r="AY72" i="34" s="1"/>
  <c r="D72" i="24"/>
  <c r="AL72" i="34"/>
  <c r="AJ72" i="34"/>
  <c r="AC72" i="34"/>
  <c r="Q72" i="34"/>
  <c r="V72" i="34" s="1"/>
  <c r="Y72" i="34" s="1"/>
  <c r="AJ71" i="34"/>
  <c r="D71" i="24"/>
  <c r="AL71" i="34"/>
  <c r="AC71" i="34"/>
  <c r="Q71" i="34"/>
  <c r="V71" i="34" s="1"/>
  <c r="Y71" i="34" s="1"/>
  <c r="AL70" i="34"/>
  <c r="AP70" i="34" s="1"/>
  <c r="AC70" i="34"/>
  <c r="AK72" i="34"/>
  <c r="AK71" i="34"/>
  <c r="BG71" i="24"/>
  <c r="Z71" i="24"/>
  <c r="BF71" i="24"/>
  <c r="I71" i="32"/>
  <c r="BF70" i="24"/>
  <c r="BJ70" i="24" s="1"/>
  <c r="Z70" i="24"/>
  <c r="BF72" i="24"/>
  <c r="BJ72" i="24" s="1"/>
  <c r="Z72" i="24"/>
  <c r="BE72" i="24"/>
  <c r="BI72" i="24" s="1"/>
  <c r="BE70" i="24" l="1"/>
  <c r="BI70" i="24" s="1"/>
  <c r="I72" i="32"/>
  <c r="H43" i="53" s="1"/>
  <c r="I70" i="32"/>
  <c r="L70" i="32" s="1"/>
  <c r="Q70" i="34"/>
  <c r="V70" i="34" s="1"/>
  <c r="Y70" i="34" s="1"/>
  <c r="D70" i="24"/>
  <c r="N70" i="24" s="1"/>
  <c r="AJ70" i="34"/>
  <c r="AN70" i="34" s="1"/>
  <c r="P185" i="36"/>
  <c r="V200" i="36"/>
  <c r="P183" i="36"/>
  <c r="V198" i="36"/>
  <c r="P184" i="36"/>
  <c r="V199" i="36"/>
  <c r="BF70" i="34"/>
  <c r="BF71" i="34"/>
  <c r="AN72" i="34"/>
  <c r="BH70" i="34"/>
  <c r="BH71" i="34"/>
  <c r="R17" i="57"/>
  <c r="AO71" i="34"/>
  <c r="AO72" i="34"/>
  <c r="G71" i="24"/>
  <c r="AM71" i="24" s="1"/>
  <c r="N71" i="24"/>
  <c r="G72" i="24"/>
  <c r="E80" i="24" s="1"/>
  <c r="N72" i="24"/>
  <c r="AQ70" i="34"/>
  <c r="AU70" i="34" s="1"/>
  <c r="BK72" i="24"/>
  <c r="G70" i="24"/>
  <c r="AM70" i="24" s="1"/>
  <c r="AQ70" i="24" s="1"/>
  <c r="R18" i="57"/>
  <c r="AP71" i="34"/>
  <c r="R16" i="57"/>
  <c r="AN71" i="34"/>
  <c r="AP72" i="34"/>
  <c r="L71" i="32"/>
  <c r="BJ71" i="24"/>
  <c r="BK71" i="24"/>
  <c r="L72" i="32"/>
  <c r="BI71" i="24"/>
  <c r="D72" i="32" l="1"/>
  <c r="AO72" i="24"/>
  <c r="AF72" i="24"/>
  <c r="AN72" i="24"/>
  <c r="Q72" i="24"/>
  <c r="AQ72" i="34"/>
  <c r="AQ71" i="24"/>
  <c r="Q15" i="57"/>
  <c r="R48" i="57" s="1"/>
  <c r="AQ71" i="34"/>
  <c r="AT71" i="34" s="1"/>
  <c r="AN70" i="24"/>
  <c r="AR70" i="24" s="1"/>
  <c r="AO70" i="24"/>
  <c r="AS70" i="24" s="1"/>
  <c r="AF70" i="24"/>
  <c r="D70" i="32"/>
  <c r="Q70" i="24"/>
  <c r="AA70" i="24" s="1"/>
  <c r="AS70" i="34"/>
  <c r="AT70" i="34"/>
  <c r="AM72" i="24"/>
  <c r="AQ72" i="24" s="1"/>
  <c r="D71" i="32"/>
  <c r="AN71" i="24"/>
  <c r="AF71" i="24"/>
  <c r="AO71" i="24"/>
  <c r="AS71" i="24" s="1"/>
  <c r="Q71" i="24"/>
  <c r="AA71" i="24" s="1"/>
  <c r="AA74" i="24" s="1"/>
  <c r="BH70" i="32"/>
  <c r="BL70" i="32" s="1"/>
  <c r="BG70" i="32"/>
  <c r="BK70" i="32" s="1"/>
  <c r="AA70" i="32"/>
  <c r="H70" i="30"/>
  <c r="BF70" i="32"/>
  <c r="BJ70" i="32" s="1"/>
  <c r="BG72" i="32"/>
  <c r="BH72" i="32"/>
  <c r="AA72" i="32"/>
  <c r="H72" i="30"/>
  <c r="BF72" i="32"/>
  <c r="BG71" i="32"/>
  <c r="BK71" i="32" s="1"/>
  <c r="BH71" i="32"/>
  <c r="AA71" i="32"/>
  <c r="H71" i="30"/>
  <c r="H48" i="53"/>
  <c r="P43" i="53"/>
  <c r="BF71" i="32"/>
  <c r="S184" i="36" l="1"/>
  <c r="Y199" i="36"/>
  <c r="S183" i="36"/>
  <c r="Y198" i="36"/>
  <c r="S185" i="36"/>
  <c r="Y200" i="36"/>
  <c r="P80" i="36"/>
  <c r="V95" i="36"/>
  <c r="P79" i="36"/>
  <c r="V94" i="36"/>
  <c r="P78" i="36"/>
  <c r="V93" i="36"/>
  <c r="AU71" i="34"/>
  <c r="BL71" i="32"/>
  <c r="AS71" i="34"/>
  <c r="BN71" i="34" s="1"/>
  <c r="G71" i="32"/>
  <c r="AN71" i="32" s="1"/>
  <c r="N71" i="32"/>
  <c r="N133" i="32" s="1"/>
  <c r="AA72" i="24"/>
  <c r="H31" i="53"/>
  <c r="H36" i="53" s="1"/>
  <c r="G72" i="32"/>
  <c r="P31" i="53"/>
  <c r="P36" i="53" s="1"/>
  <c r="N72" i="32"/>
  <c r="N134" i="32" s="1"/>
  <c r="L134" i="32" s="1"/>
  <c r="AT70" i="24"/>
  <c r="AV70" i="24" s="1"/>
  <c r="AR71" i="24"/>
  <c r="Q20" i="57"/>
  <c r="BN70" i="34"/>
  <c r="BO70" i="34" s="1"/>
  <c r="BP70" i="34" s="1"/>
  <c r="Z70" i="34" s="1"/>
  <c r="BJ70" i="34"/>
  <c r="BK70" i="34" s="1"/>
  <c r="BL70" i="34" s="1"/>
  <c r="AA70" i="34" s="1"/>
  <c r="R70" i="24" s="1"/>
  <c r="BA70" i="24" s="1"/>
  <c r="G70" i="32"/>
  <c r="N70" i="32"/>
  <c r="N132" i="32" s="1"/>
  <c r="AT72" i="34"/>
  <c r="AS72" i="34"/>
  <c r="AR72" i="24"/>
  <c r="AS72" i="24"/>
  <c r="AU72" i="34"/>
  <c r="BJ71" i="32"/>
  <c r="BK72" i="32"/>
  <c r="I47" i="53"/>
  <c r="I44" i="53"/>
  <c r="I46" i="53"/>
  <c r="I45" i="53"/>
  <c r="AW71" i="30"/>
  <c r="BJ72" i="32"/>
  <c r="P48" i="53"/>
  <c r="Q43" i="53" s="1"/>
  <c r="I43" i="53"/>
  <c r="AW72" i="30"/>
  <c r="BL72" i="32"/>
  <c r="AW70" i="30"/>
  <c r="AZ70" i="30" s="1"/>
  <c r="BJ71" i="34" l="1"/>
  <c r="BK71" i="34" s="1"/>
  <c r="BL71" i="34" s="1"/>
  <c r="AA71" i="34" s="1"/>
  <c r="R71" i="24" s="1"/>
  <c r="BA71" i="24" s="1"/>
  <c r="AT72" i="24"/>
  <c r="AV72" i="24" s="1"/>
  <c r="AX70" i="24"/>
  <c r="AW72" i="24"/>
  <c r="P14" i="57"/>
  <c r="R49" i="57" s="1"/>
  <c r="AN72" i="32"/>
  <c r="AR72" i="32" s="1"/>
  <c r="AO72" i="32"/>
  <c r="AP72" i="32"/>
  <c r="D72" i="30"/>
  <c r="AG72" i="32"/>
  <c r="Q72" i="32"/>
  <c r="AB72" i="32" s="1"/>
  <c r="AW70" i="24"/>
  <c r="AX72" i="24"/>
  <c r="BN72" i="34"/>
  <c r="BJ72" i="34"/>
  <c r="AN70" i="32"/>
  <c r="AR70" i="32" s="1"/>
  <c r="AO70" i="32"/>
  <c r="AS70" i="32" s="1"/>
  <c r="D70" i="30"/>
  <c r="AP70" i="32"/>
  <c r="AT70" i="32" s="1"/>
  <c r="AG70" i="32"/>
  <c r="Q70" i="32"/>
  <c r="AB70" i="32" s="1"/>
  <c r="V70" i="24"/>
  <c r="BM70" i="24" s="1"/>
  <c r="AB70" i="34"/>
  <c r="AE70" i="34"/>
  <c r="BV70" i="24"/>
  <c r="BW70" i="24" s="1"/>
  <c r="BX70" i="24" s="1"/>
  <c r="AB70" i="24" s="1"/>
  <c r="Q31" i="53"/>
  <c r="Q34" i="53"/>
  <c r="Q35" i="53"/>
  <c r="Q32" i="53"/>
  <c r="Q33" i="53"/>
  <c r="I31" i="53"/>
  <c r="I32" i="53"/>
  <c r="I35" i="53"/>
  <c r="I34" i="53"/>
  <c r="I33" i="53"/>
  <c r="AT71" i="24"/>
  <c r="AW71" i="24" s="1"/>
  <c r="BO71" i="34"/>
  <c r="BP71" i="34" s="1"/>
  <c r="Z71" i="34" s="1"/>
  <c r="AO71" i="32"/>
  <c r="D71" i="30"/>
  <c r="AP71" i="32"/>
  <c r="AG71" i="32"/>
  <c r="Q71" i="32"/>
  <c r="AB71" i="32" s="1"/>
  <c r="AZ72" i="30"/>
  <c r="Q47" i="53"/>
  <c r="Q46" i="53"/>
  <c r="Q44" i="53"/>
  <c r="Q45" i="53"/>
  <c r="AZ71" i="30"/>
  <c r="BK72" i="34" l="1"/>
  <c r="BL72" i="34" s="1"/>
  <c r="AA72" i="34" s="1"/>
  <c r="R72" i="24" s="1"/>
  <c r="BA72" i="24" s="1"/>
  <c r="BR72" i="24" s="1"/>
  <c r="S79" i="36"/>
  <c r="Y94" i="36"/>
  <c r="Y95" i="36"/>
  <c r="S80" i="36"/>
  <c r="Y93" i="36"/>
  <c r="S78" i="36"/>
  <c r="BZ70" i="24"/>
  <c r="CA70" i="24" s="1"/>
  <c r="CB70" i="24" s="1"/>
  <c r="AC70" i="24" s="1"/>
  <c r="AH70" i="24" s="1"/>
  <c r="BR70" i="24"/>
  <c r="BS70" i="24" s="1"/>
  <c r="BT70" i="24" s="1"/>
  <c r="AD70" i="24" s="1"/>
  <c r="F71" i="30"/>
  <c r="L71" i="30"/>
  <c r="AE71" i="34"/>
  <c r="V71" i="24"/>
  <c r="BM71" i="24" s="1"/>
  <c r="AB71" i="34"/>
  <c r="F72" i="30"/>
  <c r="L72" i="30"/>
  <c r="AS72" i="32"/>
  <c r="AR71" i="32"/>
  <c r="BV72" i="24"/>
  <c r="P33" i="57"/>
  <c r="AT71" i="32"/>
  <c r="AS71" i="32"/>
  <c r="P26" i="57"/>
  <c r="AV71" i="24"/>
  <c r="AX71" i="24"/>
  <c r="BR71" i="24" s="1"/>
  <c r="BS71" i="24" s="1"/>
  <c r="BT71" i="24" s="1"/>
  <c r="AD71" i="24" s="1"/>
  <c r="F70" i="30"/>
  <c r="L70" i="30"/>
  <c r="AU70" i="32"/>
  <c r="AX70" i="32" s="1"/>
  <c r="BO72" i="34"/>
  <c r="BP72" i="34" s="1"/>
  <c r="Z72" i="34" s="1"/>
  <c r="AT72" i="32"/>
  <c r="AU72" i="32" l="1"/>
  <c r="AW72" i="32" s="1"/>
  <c r="S71" i="32"/>
  <c r="X199" i="36"/>
  <c r="R184" i="36"/>
  <c r="S70" i="32"/>
  <c r="BB70" i="32" s="1"/>
  <c r="R183" i="36"/>
  <c r="X198" i="36"/>
  <c r="W70" i="32"/>
  <c r="BN70" i="32" s="1"/>
  <c r="W198" i="36"/>
  <c r="Q183" i="36"/>
  <c r="AI72" i="30"/>
  <c r="E46" i="52"/>
  <c r="F46" i="52" s="1"/>
  <c r="G46" i="52" s="1"/>
  <c r="AE70" i="24"/>
  <c r="AW70" i="32"/>
  <c r="AY70" i="32"/>
  <c r="BV71" i="24"/>
  <c r="BW71" i="24" s="1"/>
  <c r="BX71" i="24" s="1"/>
  <c r="AB71" i="24" s="1"/>
  <c r="AJ70" i="30"/>
  <c r="AM70" i="30" s="1"/>
  <c r="E44" i="52"/>
  <c r="F44" i="52" s="1"/>
  <c r="G44" i="52" s="1"/>
  <c r="AB70" i="30"/>
  <c r="BW72" i="24"/>
  <c r="BX72" i="24" s="1"/>
  <c r="AB72" i="24" s="1"/>
  <c r="AX72" i="32"/>
  <c r="BS72" i="24"/>
  <c r="BT72" i="24" s="1"/>
  <c r="AD72" i="24" s="1"/>
  <c r="BZ71" i="24"/>
  <c r="CA71" i="24" s="1"/>
  <c r="CB71" i="24" s="1"/>
  <c r="AC71" i="24" s="1"/>
  <c r="AJ71" i="30"/>
  <c r="E45" i="52"/>
  <c r="F45" i="52" s="1"/>
  <c r="G45" i="52" s="1"/>
  <c r="AB71" i="30"/>
  <c r="AY72" i="32"/>
  <c r="BV72" i="32" s="1"/>
  <c r="V72" i="24"/>
  <c r="BM72" i="24" s="1"/>
  <c r="BZ72" i="24" s="1"/>
  <c r="AE72" i="34"/>
  <c r="AB72" i="34"/>
  <c r="AI70" i="30"/>
  <c r="AL70" i="30" s="1"/>
  <c r="AU71" i="32"/>
  <c r="AX71" i="32" s="1"/>
  <c r="AJ72" i="30"/>
  <c r="AB72" i="30"/>
  <c r="Y46" i="36" s="1"/>
  <c r="AI71" i="30"/>
  <c r="BB71" i="32" l="1"/>
  <c r="R185" i="36"/>
  <c r="X200" i="36"/>
  <c r="BV70" i="32"/>
  <c r="BW70" i="32" s="1"/>
  <c r="BX70" i="32" s="1"/>
  <c r="AC70" i="32" s="1"/>
  <c r="AM72" i="30"/>
  <c r="BR70" i="32"/>
  <c r="BS70" i="32" s="1"/>
  <c r="BT70" i="32" s="1"/>
  <c r="AE70" i="32" s="1"/>
  <c r="AH71" i="24"/>
  <c r="BZ70" i="32"/>
  <c r="CA70" i="32" s="1"/>
  <c r="CB70" i="32" s="1"/>
  <c r="AD70" i="32" s="1"/>
  <c r="AF70" i="32" s="1"/>
  <c r="O13" i="57"/>
  <c r="R50" i="57" s="1"/>
  <c r="R51" i="57" s="1"/>
  <c r="R56" i="57" s="1"/>
  <c r="AL71" i="30"/>
  <c r="AN70" i="30"/>
  <c r="AQ70" i="30" s="1"/>
  <c r="AL72" i="30"/>
  <c r="AE71" i="24"/>
  <c r="AW71" i="32"/>
  <c r="AY71" i="32"/>
  <c r="CA72" i="24"/>
  <c r="CB72" i="24" s="1"/>
  <c r="AC72" i="24" s="1"/>
  <c r="AE72" i="24" s="1"/>
  <c r="Y45" i="36"/>
  <c r="S30" i="36"/>
  <c r="O35" i="57"/>
  <c r="AM71" i="30"/>
  <c r="S72" i="32"/>
  <c r="BB72" i="32" s="1"/>
  <c r="BR72" i="32" s="1"/>
  <c r="AD74" i="24"/>
  <c r="AD76" i="24" s="1"/>
  <c r="Y44" i="36"/>
  <c r="S29" i="36"/>
  <c r="AN72" i="30" l="1"/>
  <c r="AP72" i="30" s="1"/>
  <c r="W71" i="32"/>
  <c r="BN71" i="32" s="1"/>
  <c r="BZ71" i="32" s="1"/>
  <c r="CA71" i="32" s="1"/>
  <c r="CB71" i="32" s="1"/>
  <c r="AD71" i="32" s="1"/>
  <c r="Q184" i="36"/>
  <c r="W199" i="36"/>
  <c r="P70" i="30"/>
  <c r="X93" i="36"/>
  <c r="R78" i="36"/>
  <c r="AI70" i="32"/>
  <c r="AH72" i="24"/>
  <c r="AP70" i="30"/>
  <c r="BL70" i="30" s="1"/>
  <c r="BM70" i="30" s="1"/>
  <c r="BN70" i="30" s="1"/>
  <c r="V70" i="30" s="1"/>
  <c r="AQ72" i="30"/>
  <c r="BL72" i="30" s="1"/>
  <c r="BV71" i="32"/>
  <c r="BW71" i="32" s="1"/>
  <c r="BR71" i="32"/>
  <c r="BS71" i="32" s="1"/>
  <c r="BT71" i="32" s="1"/>
  <c r="AE71" i="32" s="1"/>
  <c r="AN71" i="30"/>
  <c r="AQ71" i="30" s="1"/>
  <c r="W72" i="32" l="1"/>
  <c r="BN72" i="32" s="1"/>
  <c r="BZ72" i="32" s="1"/>
  <c r="CA72" i="32" s="1"/>
  <c r="CB72" i="32" s="1"/>
  <c r="AD72" i="32" s="1"/>
  <c r="W200" i="36"/>
  <c r="Q185" i="36"/>
  <c r="P71" i="30"/>
  <c r="P73" i="30" s="1"/>
  <c r="X94" i="36"/>
  <c r="R79" i="36"/>
  <c r="S70" i="30"/>
  <c r="BD70" i="30" s="1"/>
  <c r="BP70" i="30" s="1"/>
  <c r="BQ70" i="30" s="1"/>
  <c r="BR70" i="30" s="1"/>
  <c r="Y70" i="30" s="1"/>
  <c r="AD70" i="30" s="1"/>
  <c r="W44" i="36" s="1"/>
  <c r="W93" i="36"/>
  <c r="Q78" i="36"/>
  <c r="P120" i="30"/>
  <c r="AT70" i="30"/>
  <c r="BH70" i="30" s="1"/>
  <c r="BI70" i="30" s="1"/>
  <c r="BJ70" i="30" s="1"/>
  <c r="Z70" i="30" s="1"/>
  <c r="J70" i="30"/>
  <c r="AP71" i="30"/>
  <c r="BL71" i="30" s="1"/>
  <c r="BM71" i="30" s="1"/>
  <c r="BN71" i="30" s="1"/>
  <c r="V71" i="30" s="1"/>
  <c r="BS72" i="32"/>
  <c r="BT72" i="32" s="1"/>
  <c r="AE72" i="32" s="1"/>
  <c r="BX71" i="32"/>
  <c r="AC71" i="32" s="1"/>
  <c r="BW72" i="32"/>
  <c r="BX72" i="32" s="1"/>
  <c r="AC72" i="32" s="1"/>
  <c r="P29" i="36"/>
  <c r="V44" i="36"/>
  <c r="AT71" i="30"/>
  <c r="P121" i="30" l="1"/>
  <c r="BH71" i="30"/>
  <c r="BI71" i="30" s="1"/>
  <c r="BJ71" i="30" s="1"/>
  <c r="Z71" i="30" s="1"/>
  <c r="P72" i="30"/>
  <c r="P122" i="30" s="1"/>
  <c r="X95" i="36"/>
  <c r="R80" i="36"/>
  <c r="N70" i="30"/>
  <c r="W70" i="30" s="1"/>
  <c r="X44" i="36"/>
  <c r="Q29" i="36"/>
  <c r="R29" i="36"/>
  <c r="J71" i="30"/>
  <c r="BM72" i="30"/>
  <c r="BN72" i="30" s="1"/>
  <c r="V72" i="30" s="1"/>
  <c r="AA70" i="30"/>
  <c r="AI72" i="32"/>
  <c r="AF72" i="32"/>
  <c r="V45" i="36"/>
  <c r="P30" i="36"/>
  <c r="AF71" i="32"/>
  <c r="AI71" i="32"/>
  <c r="J72" i="30" l="1"/>
  <c r="N72" i="30" s="1"/>
  <c r="W72" i="30" s="1"/>
  <c r="AT72" i="30"/>
  <c r="BH72" i="30" s="1"/>
  <c r="BI72" i="30" s="1"/>
  <c r="BJ72" i="30" s="1"/>
  <c r="Z72" i="30" s="1"/>
  <c r="S72" i="30"/>
  <c r="W95" i="36"/>
  <c r="Q80" i="36"/>
  <c r="S71" i="30"/>
  <c r="BD71" i="30" s="1"/>
  <c r="BP71" i="30" s="1"/>
  <c r="BQ71" i="30" s="1"/>
  <c r="BR71" i="30" s="1"/>
  <c r="Y71" i="30" s="1"/>
  <c r="AD71" i="30" s="1"/>
  <c r="W45" i="36" s="1"/>
  <c r="Q79" i="36"/>
  <c r="W94" i="36"/>
  <c r="N71" i="30"/>
  <c r="W71" i="30" s="1"/>
  <c r="R30" i="36"/>
  <c r="X45" i="36"/>
  <c r="V46" i="36"/>
  <c r="Q30" i="36" l="1"/>
  <c r="BD72" i="30"/>
  <c r="BP72" i="30" s="1"/>
  <c r="BQ72" i="30" s="1"/>
  <c r="BR72" i="30" s="1"/>
  <c r="Y72" i="30" s="1"/>
  <c r="AA71" i="30"/>
  <c r="X46" i="36"/>
  <c r="AD72" i="30" l="1"/>
  <c r="AA72" i="30"/>
  <c r="W46" i="36" l="1"/>
</calcChain>
</file>

<file path=xl/comments1.xml><?xml version="1.0" encoding="utf-8"?>
<comments xmlns="http://schemas.openxmlformats.org/spreadsheetml/2006/main">
  <authors>
    <author>Belzer, David B</author>
  </authors>
  <commentList>
    <comment ref="AE4" authorId="0">
      <text>
        <r>
          <rPr>
            <b/>
            <sz val="8"/>
            <color indexed="81"/>
            <rFont val="Tahoma"/>
            <family val="2"/>
          </rPr>
          <t>Belzer, David B:</t>
        </r>
        <r>
          <rPr>
            <sz val="8"/>
            <color indexed="81"/>
            <rFont val="Tahoma"/>
            <family val="2"/>
          </rPr>
          <t xml:space="preserve">
See TEDB-32, p. A.32 for reference to Dager estimates for waterborne energy intensities</t>
        </r>
      </text>
    </comment>
  </commentList>
</comments>
</file>

<file path=xl/comments2.xml><?xml version="1.0" encoding="utf-8"?>
<comments xmlns="http://schemas.openxmlformats.org/spreadsheetml/2006/main">
  <authors>
    <author>Belzer, David B</author>
  </authors>
  <commentList>
    <comment ref="Y5" authorId="0">
      <text>
        <r>
          <rPr>
            <b/>
            <sz val="8"/>
            <color indexed="81"/>
            <rFont val="Tahoma"/>
            <family val="2"/>
          </rPr>
          <t>Belzer, David B:</t>
        </r>
        <r>
          <rPr>
            <sz val="8"/>
            <color indexed="81"/>
            <rFont val="Tahoma"/>
            <family val="2"/>
          </rPr>
          <t xml:space="preserve">
This series has been discontinued by DOT</t>
        </r>
      </text>
    </comment>
    <comment ref="S7" authorId="0">
      <text>
        <r>
          <rPr>
            <b/>
            <sz val="8"/>
            <color indexed="81"/>
            <rFont val="Tahoma"/>
            <family val="2"/>
          </rPr>
          <t>Belzer, David B:</t>
        </r>
        <r>
          <rPr>
            <sz val="8"/>
            <color indexed="81"/>
            <rFont val="Tahoma"/>
            <family val="2"/>
          </rPr>
          <t xml:space="preserve">
This adjustment was considered for 2012, but rejected.  No breakdown between domestic and international for years prior to 1996.  </t>
        </r>
      </text>
    </comment>
    <comment ref="T12" authorId="0">
      <text>
        <r>
          <rPr>
            <b/>
            <sz val="8"/>
            <color indexed="81"/>
            <rFont val="Tahoma"/>
            <family val="2"/>
          </rPr>
          <t>Belzer, David B:</t>
        </r>
        <r>
          <rPr>
            <sz val="8"/>
            <color indexed="81"/>
            <rFont val="Tahoma"/>
            <family val="2"/>
          </rPr>
          <t xml:space="preserve">
Based on Boeing 757, with revenue cargo capacity of 87,700 lbs, and prevalent seat plan of 224 passengers.  B-757 is primary aircraft used by Federal Express (from Wikipedia)</t>
        </r>
      </text>
    </comment>
    <comment ref="D25" authorId="0">
      <text>
        <r>
          <rPr>
            <b/>
            <sz val="8"/>
            <color indexed="81"/>
            <rFont val="Tahoma"/>
            <family val="2"/>
          </rPr>
          <t>Belzer, David B:</t>
        </r>
        <r>
          <rPr>
            <sz val="8"/>
            <color indexed="81"/>
            <rFont val="Tahoma"/>
            <family val="2"/>
          </rPr>
          <t xml:space="preserve">
Very unstable series of implied load factors from 2012 BTS data.  Selected course:  assume 1.1 load factor for all years
</t>
        </r>
      </text>
    </comment>
  </commentList>
</comments>
</file>

<file path=xl/comments3.xml><?xml version="1.0" encoding="utf-8"?>
<comments xmlns="http://schemas.openxmlformats.org/spreadsheetml/2006/main">
  <authors>
    <author>Belzer, David B</author>
  </authors>
  <commentList>
    <comment ref="N6" authorId="0">
      <text>
        <r>
          <rPr>
            <b/>
            <sz val="8"/>
            <color indexed="81"/>
            <rFont val="Tahoma"/>
            <family val="2"/>
          </rPr>
          <t>Belzer, David B:</t>
        </r>
        <r>
          <rPr>
            <sz val="8"/>
            <color indexed="81"/>
            <rFont val="Tahoma"/>
            <family val="2"/>
          </rPr>
          <t xml:space="preserve">
Energy use estimated as product of activity (ton-miles from the Corps of Engineers) and Dager's estimated intensities as published in TEDB and extrapolated historically (see worksheet 'water_freight_regression'</t>
        </r>
      </text>
    </comment>
    <comment ref="M69" authorId="0">
      <text>
        <r>
          <rPr>
            <b/>
            <sz val="8"/>
            <color indexed="81"/>
            <rFont val="Tahoma"/>
            <family val="2"/>
          </rPr>
          <t>Belzer, David B:</t>
        </r>
        <r>
          <rPr>
            <sz val="8"/>
            <color indexed="81"/>
            <rFont val="Tahoma"/>
            <family val="2"/>
          </rPr>
          <t xml:space="preserve">
From TEDB-32, value for 2011 is not available.  Assumed intensity for 2011 is set equal to 2010 value.</t>
        </r>
      </text>
    </comment>
  </commentList>
</comments>
</file>

<file path=xl/comments4.xml><?xml version="1.0" encoding="utf-8"?>
<comments xmlns="http://schemas.openxmlformats.org/spreadsheetml/2006/main">
  <authors>
    <author>David B. Belzer</author>
    <author>D. Belzer</author>
    <author>Karen Belzer</author>
  </authors>
  <commentList>
    <comment ref="CG23" authorId="0">
      <text>
        <r>
          <rPr>
            <b/>
            <sz val="8"/>
            <color indexed="81"/>
            <rFont val="Tahoma"/>
            <family val="2"/>
          </rPr>
          <t>David B. Belzer:</t>
        </r>
        <r>
          <rPr>
            <sz val="8"/>
            <color indexed="81"/>
            <rFont val="Tahoma"/>
            <family val="2"/>
          </rPr>
          <t xml:space="preserve">
Table 31, Appendix A of of 2009 Public Transportion Fact Book, APTA.  </t>
        </r>
      </text>
    </comment>
    <comment ref="CH23" authorId="0">
      <text>
        <r>
          <rPr>
            <b/>
            <sz val="8"/>
            <color indexed="81"/>
            <rFont val="Tahoma"/>
            <family val="2"/>
          </rPr>
          <t>David B. Belzer:</t>
        </r>
        <r>
          <rPr>
            <sz val="8"/>
            <color indexed="81"/>
            <rFont val="Tahoma"/>
            <family val="2"/>
          </rPr>
          <t xml:space="preserve">
All gasoline assumed to be for busses between 1965 and 1983
</t>
        </r>
      </text>
    </comment>
    <comment ref="DC24" authorId="1">
      <text>
        <r>
          <rPr>
            <b/>
            <sz val="8"/>
            <color indexed="81"/>
            <rFont val="Tahoma"/>
            <family val="2"/>
          </rPr>
          <t>D. Belzer:</t>
        </r>
        <r>
          <rPr>
            <sz val="8"/>
            <color indexed="81"/>
            <rFont val="Tahoma"/>
            <family val="2"/>
          </rPr>
          <t xml:space="preserve">
The original fuel consumption estimate from ORNL in 2002 used Eno as a source.  These columns compare Eno with consumption from EIA's Fuel Oil and Kerosene Sales report
</t>
        </r>
      </text>
    </comment>
    <comment ref="CG42" authorId="0">
      <text>
        <r>
          <rPr>
            <b/>
            <sz val="8"/>
            <color indexed="81"/>
            <rFont val="Tahoma"/>
            <family val="2"/>
          </rPr>
          <t>David B. Belzer:</t>
        </r>
        <r>
          <rPr>
            <sz val="8"/>
            <color indexed="81"/>
            <rFont val="Tahoma"/>
            <family val="2"/>
          </rPr>
          <t xml:space="preserve">
Estimated as 85% of non-diesel use, based on data for 1992
</t>
        </r>
      </text>
    </comment>
    <comment ref="CX46" authorId="1">
      <text>
        <r>
          <rPr>
            <b/>
            <sz val="8"/>
            <color indexed="81"/>
            <rFont val="Tahoma"/>
            <family val="2"/>
          </rPr>
          <t>D. Belzer:</t>
        </r>
        <r>
          <rPr>
            <sz val="8"/>
            <color indexed="81"/>
            <rFont val="Tahoma"/>
            <family val="2"/>
          </rPr>
          <t xml:space="preserve">
From notes to TEDB Ed. 16 for Table 2.15 (Page A-15).  Numbers are from DOC Report on bunker fuels that was discontinued in 1989
</t>
        </r>
      </text>
    </comment>
    <comment ref="Q56" authorId="2">
      <text>
        <r>
          <rPr>
            <b/>
            <sz val="8"/>
            <color indexed="81"/>
            <rFont val="Tahoma"/>
            <family val="2"/>
          </rPr>
          <t xml:space="preserve">David Belzer:
The fuel consumption numbers from FHWA are adjusted to smooth MPG changes for 1998 and for 2005 and 2006. See columns AW to BA.   DBB, 6/2/2010
</t>
        </r>
        <r>
          <rPr>
            <sz val="8"/>
            <color indexed="81"/>
            <rFont val="Tahoma"/>
            <family val="2"/>
          </rPr>
          <t xml:space="preserve">
</t>
        </r>
      </text>
    </comment>
    <comment ref="BW56" authorId="2">
      <text>
        <r>
          <rPr>
            <b/>
            <sz val="8"/>
            <color indexed="81"/>
            <rFont val="Tahoma"/>
            <family val="2"/>
          </rPr>
          <t xml:space="preserve">David Belzer:
The fuel consumption numbers from FHWA are adjusted to smooth MPG changes for 1998 and for 2005 and 2006. See columns AW to BA.   DBB, 6/2/2010
</t>
        </r>
        <r>
          <rPr>
            <sz val="8"/>
            <color indexed="81"/>
            <rFont val="Tahoma"/>
            <family val="2"/>
          </rPr>
          <t xml:space="preserve">
</t>
        </r>
      </text>
    </comment>
    <comment ref="Q61" authorId="2">
      <text>
        <r>
          <rPr>
            <b/>
            <sz val="8"/>
            <color indexed="81"/>
            <rFont val="Tahoma"/>
            <family val="2"/>
          </rPr>
          <t xml:space="preserve">David Belzer:
The fuel consumption numbers from FHWA are adjusted to smooth MPG changes for 1998 and for 2005 and 2006. See columns AW to BA.   DBB, 6/2/2010
</t>
        </r>
        <r>
          <rPr>
            <sz val="8"/>
            <color indexed="81"/>
            <rFont val="Tahoma"/>
            <family val="2"/>
          </rPr>
          <t xml:space="preserve">
</t>
        </r>
      </text>
    </comment>
    <comment ref="BW61" authorId="2">
      <text>
        <r>
          <rPr>
            <b/>
            <sz val="8"/>
            <color indexed="81"/>
            <rFont val="Tahoma"/>
            <family val="2"/>
          </rPr>
          <t xml:space="preserve">David Belzer:
The fuel consumption numbers from FHWA are adjusted to smooth MPG changes for 1998 and for 2005 and 2006. See columns AW to BA.   DBB, 6/2/2010
</t>
        </r>
        <r>
          <rPr>
            <sz val="8"/>
            <color indexed="81"/>
            <rFont val="Tahoma"/>
            <family val="2"/>
          </rPr>
          <t xml:space="preserve">
</t>
        </r>
      </text>
    </comment>
  </commentList>
</comments>
</file>

<file path=xl/comments5.xml><?xml version="1.0" encoding="utf-8"?>
<comments xmlns="http://schemas.openxmlformats.org/spreadsheetml/2006/main">
  <authors>
    <author>Belzer, David B</author>
  </authors>
  <commentList>
    <comment ref="Q11" authorId="0">
      <text>
        <r>
          <rPr>
            <b/>
            <sz val="8"/>
            <color indexed="81"/>
            <rFont val="Tahoma"/>
            <family val="2"/>
          </rPr>
          <t>Belzer, David B:</t>
        </r>
        <r>
          <rPr>
            <sz val="8"/>
            <color indexed="81"/>
            <rFont val="Tahoma"/>
            <family val="2"/>
          </rPr>
          <t xml:space="preserve">
From 1978 American Bus Association.  Table with revenue passenger miles per gallon, assuming 47-seat capacity
</t>
        </r>
      </text>
    </comment>
    <comment ref="Q12" authorId="0">
      <text>
        <r>
          <rPr>
            <b/>
            <sz val="8"/>
            <color indexed="81"/>
            <rFont val="Tahoma"/>
            <family val="2"/>
          </rPr>
          <t>Belzer, David B:</t>
        </r>
        <r>
          <rPr>
            <sz val="8"/>
            <color indexed="81"/>
            <rFont val="Tahoma"/>
            <family val="2"/>
          </rPr>
          <t xml:space="preserve">
From 1978 American Bus Association.  Table with revenue passenger miles per gallon, assuming 47-seat capacity.  Note match with column (11)
</t>
        </r>
      </text>
    </comment>
    <comment ref="D20" authorId="0">
      <text>
        <r>
          <rPr>
            <b/>
            <sz val="8"/>
            <color indexed="81"/>
            <rFont val="Tahoma"/>
            <family val="2"/>
          </rPr>
          <t>Belzer, David B:</t>
        </r>
        <r>
          <rPr>
            <sz val="8"/>
            <color indexed="81"/>
            <rFont val="Tahoma"/>
            <family val="2"/>
          </rPr>
          <t xml:space="preserve">
Apparent error in BTS report (25600),  ABA annual report for 1984 shows 26,500.  </t>
        </r>
      </text>
    </comment>
    <comment ref="F20" authorId="0">
      <text>
        <r>
          <rPr>
            <b/>
            <sz val="8"/>
            <color indexed="81"/>
            <rFont val="Tahoma"/>
            <family val="2"/>
          </rPr>
          <t>Belzer, David B:</t>
        </r>
        <r>
          <rPr>
            <sz val="8"/>
            <color indexed="81"/>
            <rFont val="Tahoma"/>
            <family val="2"/>
          </rPr>
          <t xml:space="preserve">
The BTS value for this year is 20,300.  Changed to match ABA data.  Obvious discontinuity between 1983 and 1984</t>
        </r>
      </text>
    </comment>
    <comment ref="I41" authorId="0">
      <text>
        <r>
          <rPr>
            <b/>
            <sz val="8"/>
            <color indexed="81"/>
            <rFont val="Tahoma"/>
            <family val="2"/>
          </rPr>
          <t>Belzer, David B:</t>
        </r>
        <r>
          <rPr>
            <sz val="8"/>
            <color indexed="81"/>
            <rFont val="Tahoma"/>
            <family val="2"/>
          </rPr>
          <t xml:space="preserve">
Value of 2,390 from May 2007 ABA report, "Comparison of Energy Use &amp; CO2 Emissions from Different Transportation Modes" was not used.  The value was deemed inconsistent with earlier and later estimates.  D.B. 8/7/2014</t>
        </r>
      </text>
    </comment>
    <comment ref="J41" authorId="0">
      <text>
        <r>
          <rPr>
            <b/>
            <sz val="8"/>
            <color indexed="81"/>
            <rFont val="Tahoma"/>
            <family val="2"/>
          </rPr>
          <t>Belzer, David B:</t>
        </r>
        <r>
          <rPr>
            <sz val="8"/>
            <color indexed="81"/>
            <rFont val="Tahoma"/>
            <family val="2"/>
          </rPr>
          <t xml:space="preserve">
Value of 33 implied from ABA May 2007 report.  79,826 pass-miles divided by 2,390 bus miles</t>
        </r>
      </text>
    </comment>
  </commentList>
</comments>
</file>

<file path=xl/comments6.xml><?xml version="1.0" encoding="utf-8"?>
<comments xmlns="http://schemas.openxmlformats.org/spreadsheetml/2006/main">
  <authors>
    <author>Belzer, David B</author>
  </authors>
  <commentList>
    <comment ref="AE1" authorId="0">
      <text>
        <r>
          <rPr>
            <b/>
            <sz val="8"/>
            <color indexed="81"/>
            <rFont val="Tahoma"/>
            <family val="2"/>
          </rPr>
          <t>Belzer, David B:</t>
        </r>
        <r>
          <rPr>
            <sz val="8"/>
            <color indexed="81"/>
            <rFont val="Tahoma"/>
            <family val="2"/>
          </rPr>
          <t xml:space="preserve">
Average miles per pupil = 26 times an adjustment factor 0.0.88 to account for bus travel to pick up first pupil.  See cells F286 and I286 in worksheet School Bus Fleet Data
</t>
        </r>
      </text>
    </comment>
  </commentList>
</comments>
</file>

<file path=xl/sharedStrings.xml><?xml version="1.0" encoding="utf-8"?>
<sst xmlns="http://schemas.openxmlformats.org/spreadsheetml/2006/main" count="4842" uniqueCount="1429">
  <si>
    <t>Grw. Rate</t>
  </si>
  <si>
    <r>
      <t xml:space="preserve">1970-74: ORNL. 1993. </t>
    </r>
    <r>
      <rPr>
        <i/>
        <sz val="10"/>
        <rFont val="Arial"/>
        <family val="2"/>
      </rPr>
      <t>Transportation Energy Data Book: Edition 13</t>
    </r>
    <r>
      <rPr>
        <sz val="10"/>
        <rFont val="Arial"/>
        <family val="2"/>
      </rPr>
      <t>. Table 6.2, page 6-7.</t>
    </r>
  </si>
  <si>
    <t>Note: The TEDB did not use the revised number of passenger-miles for 1998. Therefore, we have used the original revised Office of Airline Information source for that year.</t>
  </si>
  <si>
    <t>Passenger Car + Motorcycle</t>
  </si>
  <si>
    <t xml:space="preserve">2000-2005:  Fuel consumption estimates for 1999 extrapolated by passenger-miles estimate </t>
  </si>
  <si>
    <t>http://www.bts.gov/publications/national_transportation_statistics/html/table_04_26.html</t>
  </si>
  <si>
    <t>http://www.eia.doe.gov/aer/natgas.html</t>
  </si>
  <si>
    <r>
      <t xml:space="preserve">1970-76: Oak Ridge National Laboratory. 1993. </t>
    </r>
    <r>
      <rPr>
        <i/>
        <sz val="10"/>
        <rFont val="Arial"/>
        <family val="2"/>
      </rPr>
      <t>Transportation Energy Data Book, Edition 13</t>
    </r>
    <r>
      <rPr>
        <sz val="10"/>
        <rFont val="Arial"/>
        <family val="2"/>
      </rPr>
      <t>. ORNL-6743. Oak Ridge, Tennessee, Table 6.13, p. 6-31.</t>
    </r>
  </si>
  <si>
    <r>
      <t xml:space="preserve">1950-99: Eno Transportation Foundation, Inc. 2001. </t>
    </r>
    <r>
      <rPr>
        <i/>
        <sz val="10"/>
        <rFont val="Arial"/>
        <family val="2"/>
      </rPr>
      <t>Transportation in America 2000</t>
    </r>
    <r>
      <rPr>
        <sz val="10"/>
        <rFont val="Arial"/>
        <family val="2"/>
      </rPr>
      <t>, 18th ed. Washington, DC, April, pp. 14-15.</t>
    </r>
  </si>
  <si>
    <t xml:space="preserve"> Constant (1977) shares assumed for 1970-1976</t>
  </si>
  <si>
    <t>See the FuelConsump sheet for most of the information used to estimate energy consumption in Btu's.</t>
  </si>
  <si>
    <r>
      <t xml:space="preserve">1950-99: Eno Transportation Foundation, Inc. 2001. </t>
    </r>
    <r>
      <rPr>
        <i/>
        <sz val="10"/>
        <rFont val="Arial"/>
        <family val="2"/>
      </rPr>
      <t>Transportation in America 2000</t>
    </r>
    <r>
      <rPr>
        <sz val="10"/>
        <rFont val="Arial"/>
        <family val="2"/>
      </rPr>
      <t>, 18th ed. Washington, DC, April, p. 12.</t>
    </r>
  </si>
  <si>
    <t>Freight % of Air Carrier Energy Use</t>
  </si>
  <si>
    <t>Share of</t>
  </si>
  <si>
    <t>Waterborne energy use for 2000 extrapolated based on change in activity from 1999 to 2000.</t>
  </si>
  <si>
    <t>Not Used in Calc</t>
  </si>
  <si>
    <r>
      <t xml:space="preserve">1949-1969: Federal Highway Administration. </t>
    </r>
    <r>
      <rPr>
        <i/>
        <sz val="10"/>
        <rFont val="Arial"/>
        <family val="2"/>
      </rPr>
      <t>Highway Statistics Summary to 1995.</t>
    </r>
    <r>
      <rPr>
        <sz val="10"/>
        <rFont val="Arial"/>
        <family val="2"/>
      </rPr>
      <t xml:space="preserve"> Table VM-201A, April 1997.</t>
    </r>
  </si>
  <si>
    <r>
      <t xml:space="preserve">1970-2002: Secondary Source:  </t>
    </r>
    <r>
      <rPr>
        <i/>
        <sz val="10"/>
        <rFont val="Arial"/>
        <family val="2"/>
      </rPr>
      <t xml:space="preserve">Transportation Energy Data Book, Edition 24.  </t>
    </r>
    <r>
      <rPr>
        <sz val="10"/>
        <rFont val="Arial"/>
        <family val="2"/>
      </rPr>
      <t>Tables 4.2 and A.1   Original sources from:</t>
    </r>
  </si>
  <si>
    <t xml:space="preserve">  Diesel and other fuels</t>
  </si>
  <si>
    <r>
      <t>January 2009</t>
    </r>
    <r>
      <rPr>
        <vertAlign val="superscript"/>
        <sz val="10"/>
        <color indexed="8"/>
        <rFont val="Calibri"/>
        <family val="2"/>
      </rPr>
      <t>R</t>
    </r>
  </si>
  <si>
    <r>
      <t>February 2009</t>
    </r>
    <r>
      <rPr>
        <vertAlign val="superscript"/>
        <sz val="10"/>
        <color indexed="8"/>
        <rFont val="Calibri"/>
        <family val="2"/>
      </rPr>
      <t>P</t>
    </r>
  </si>
  <si>
    <r>
      <t>March 2009</t>
    </r>
    <r>
      <rPr>
        <vertAlign val="superscript"/>
        <sz val="10"/>
        <color indexed="8"/>
        <rFont val="Calibri"/>
        <family val="2"/>
      </rPr>
      <t>P</t>
    </r>
  </si>
  <si>
    <r>
      <t>April 2009</t>
    </r>
    <r>
      <rPr>
        <vertAlign val="superscript"/>
        <sz val="10"/>
        <color indexed="8"/>
        <rFont val="Calibri"/>
        <family val="2"/>
      </rPr>
      <t>P</t>
    </r>
  </si>
  <si>
    <r>
      <t>May 2009</t>
    </r>
    <r>
      <rPr>
        <vertAlign val="superscript"/>
        <sz val="10"/>
        <color indexed="8"/>
        <rFont val="Calibri"/>
        <family val="2"/>
      </rPr>
      <t>P</t>
    </r>
  </si>
  <si>
    <t>January 1990 - May 2009 (Seasonally Adjusted)</t>
  </si>
  <si>
    <t xml:space="preserve">2008 Average </t>
  </si>
  <si>
    <t>% change 06-07</t>
  </si>
  <si>
    <t>% change 07-08</t>
  </si>
  <si>
    <t>1981-2007: Bureau of Transportation Statistics, Office of Airline Information.                  (http://www.bts.gov/oai/indicators/airtraffic/annual/1981-2001.html)</t>
  </si>
  <si>
    <t>Table 6.5  Natural Gas Consumption by Sector, 1949-2008</t>
  </si>
  <si>
    <r>
      <t>Electric Power Sector </t>
    </r>
    <r>
      <rPr>
        <vertAlign val="superscript"/>
        <sz val="5"/>
        <color indexed="8"/>
        <rFont val="Arial"/>
        <family val="2"/>
      </rPr>
      <t>1</t>
    </r>
  </si>
  <si>
    <r>
      <t>CHP </t>
    </r>
    <r>
      <rPr>
        <vertAlign val="superscript"/>
        <sz val="5"/>
        <color indexed="8"/>
        <rFont val="Arial"/>
        <family val="2"/>
      </rPr>
      <t>2</t>
    </r>
  </si>
  <si>
    <r>
      <t>Other </t>
    </r>
    <r>
      <rPr>
        <vertAlign val="superscript"/>
        <sz val="5"/>
        <color indexed="8"/>
        <rFont val="Arial"/>
        <family val="2"/>
      </rPr>
      <t>3</t>
    </r>
  </si>
  <si>
    <r>
      <t>Pipelines </t>
    </r>
    <r>
      <rPr>
        <vertAlign val="superscript"/>
        <sz val="5"/>
        <color indexed="8"/>
        <rFont val="Arial"/>
        <family val="2"/>
      </rPr>
      <t>6</t>
    </r>
  </si>
  <si>
    <r>
      <t>CHP </t>
    </r>
    <r>
      <rPr>
        <vertAlign val="superscript"/>
        <sz val="5"/>
        <color indexed="8"/>
        <rFont val="Arial"/>
        <family val="2"/>
      </rPr>
      <t>4</t>
    </r>
  </si>
  <si>
    <r>
      <t>Non-CHP </t>
    </r>
    <r>
      <rPr>
        <vertAlign val="superscript"/>
        <sz val="5"/>
        <color indexed="8"/>
        <rFont val="Arial"/>
        <family val="2"/>
      </rPr>
      <t>5</t>
    </r>
  </si>
  <si>
    <r>
      <t>tribution </t>
    </r>
    <r>
      <rPr>
        <vertAlign val="superscript"/>
        <sz val="5"/>
        <color indexed="8"/>
        <rFont val="Arial"/>
        <family val="2"/>
      </rPr>
      <t>7</t>
    </r>
  </si>
  <si>
    <r>
      <t>Fuel </t>
    </r>
    <r>
      <rPr>
        <vertAlign val="superscript"/>
        <sz val="5"/>
        <color indexed="8"/>
        <rFont val="Arial"/>
        <family val="2"/>
      </rPr>
      <t>8</t>
    </r>
  </si>
  <si>
    <r>
      <t>2008</t>
    </r>
    <r>
      <rPr>
        <vertAlign val="superscript"/>
        <sz val="5"/>
        <color indexed="8"/>
        <rFont val="Arial"/>
        <family val="2"/>
      </rPr>
      <t>P</t>
    </r>
  </si>
  <si>
    <r>
      <t>1</t>
    </r>
    <r>
      <rPr>
        <sz val="7"/>
        <color indexed="8"/>
        <rFont val="Arial"/>
        <family val="2"/>
      </rPr>
      <t>Electricity-only and combined-heat-and-power (CHP) plants within the NAICS 22 category whose primary</t>
    </r>
  </si>
  <si>
    <r>
      <t>9</t>
    </r>
    <r>
      <rPr>
        <sz val="7"/>
        <color indexed="8"/>
        <rFont val="Arial"/>
        <family val="2"/>
      </rPr>
      <t>Included in "Commercial Other."</t>
    </r>
  </si>
  <si>
    <r>
      <t>2</t>
    </r>
    <r>
      <rPr>
        <sz val="7"/>
        <color indexed="8"/>
        <rFont val="Arial"/>
        <family val="2"/>
      </rPr>
      <t>Commercial combined-heat-and-power (CHP) and a small number of commercial electricity-only plants.</t>
    </r>
  </si>
  <si>
    <r>
      <t>10</t>
    </r>
    <r>
      <rPr>
        <sz val="7"/>
        <color indexed="8"/>
        <rFont val="Arial"/>
        <family val="2"/>
      </rPr>
      <t>Included in "Industrial Non-CHP."</t>
    </r>
  </si>
  <si>
    <r>
      <t>3</t>
    </r>
    <r>
      <rPr>
        <sz val="7"/>
        <color indexed="8"/>
        <rFont val="Arial"/>
        <family val="2"/>
      </rPr>
      <t>All commercial sector fuel use other than that in "Commercial CHP."</t>
    </r>
  </si>
  <si>
    <r>
      <t>11</t>
    </r>
    <r>
      <rPr>
        <sz val="7"/>
        <color indexed="8"/>
        <rFont val="Arial"/>
        <family val="2"/>
      </rPr>
      <t>For 1989-1992, a small amount of consumption at independent power producers may be counted in both</t>
    </r>
  </si>
  <si>
    <r>
      <t>4</t>
    </r>
    <r>
      <rPr>
        <sz val="7"/>
        <color indexed="8"/>
        <rFont val="Arial"/>
        <family val="2"/>
      </rPr>
      <t>Industrial combined-heat-and-power (CHP) and a small number of industrial electricity-only plants.</t>
    </r>
  </si>
  <si>
    <r>
      <t>5</t>
    </r>
    <r>
      <rPr>
        <sz val="7"/>
        <color indexed="8"/>
        <rFont val="Arial"/>
        <family val="2"/>
      </rPr>
      <t>All industrial sector fuel use other than that in "Lease and Plant Fuel" and "Industrial CHP."</t>
    </r>
  </si>
  <si>
    <r>
      <t>Notes:  </t>
    </r>
    <r>
      <rPr>
        <sz val="7"/>
        <color indexed="8"/>
        <rFont val="Symbol"/>
        <family val="1"/>
        <charset val="2"/>
      </rPr>
      <t>·</t>
    </r>
    <r>
      <rPr>
        <sz val="7"/>
        <color indexed="8"/>
        <rFont val="Arial"/>
        <family val="2"/>
      </rPr>
      <t>  Data are for natural gas, plus a small amount of supplemental gaseous fuels.  See Note 1,</t>
    </r>
  </si>
  <si>
    <r>
      <t>"Supplemental Gaseous Fuels," at end of section.  </t>
    </r>
    <r>
      <rPr>
        <sz val="7"/>
        <color indexed="8"/>
        <rFont val="Symbol"/>
        <family val="1"/>
        <charset val="2"/>
      </rPr>
      <t>·</t>
    </r>
    <r>
      <rPr>
        <sz val="7"/>
        <color indexed="8"/>
        <rFont val="Arial"/>
        <family val="2"/>
      </rPr>
      <t>  See Tables 8.5a-8.5d for the amount of natural gas used to</t>
    </r>
  </si>
  <si>
    <r>
      <t>produce electricity and Tables 8.6a-8.6c for the amount of natural gas used to produce useful thermal output.  </t>
    </r>
    <r>
      <rPr>
        <sz val="7"/>
        <color indexed="8"/>
        <rFont val="Symbol"/>
        <family val="1"/>
        <charset val="2"/>
      </rPr>
      <t>·</t>
    </r>
    <r>
      <rPr>
        <sz val="7"/>
        <color indexed="8"/>
        <rFont val="Arial"/>
        <family val="2"/>
      </rPr>
      <t> </t>
    </r>
  </si>
  <si>
    <r>
      <t>See Note 2, "Natural Gas Consumption," at end of section.  </t>
    </r>
    <r>
      <rPr>
        <sz val="7"/>
        <color indexed="8"/>
        <rFont val="Symbol"/>
        <family val="1"/>
        <charset val="2"/>
      </rPr>
      <t>·</t>
    </r>
    <r>
      <rPr>
        <sz val="7"/>
        <color indexed="8"/>
        <rFont val="Arial"/>
        <family val="2"/>
      </rPr>
      <t>  Beginning with 1965, all volumes are shown on a</t>
    </r>
  </si>
  <si>
    <r>
      <t>pressure base of 14.73 p.s.i.a. at 60</t>
    </r>
    <r>
      <rPr>
        <sz val="7"/>
        <color indexed="8"/>
        <rFont val="Symbol"/>
        <family val="1"/>
        <charset val="2"/>
      </rPr>
      <t>° </t>
    </r>
    <r>
      <rPr>
        <sz val="7"/>
        <color indexed="8"/>
        <rFont val="Arial"/>
        <family val="2"/>
      </rPr>
      <t>F.  For prior years, the pressure base was 14.65 p.s.i.a. at 60</t>
    </r>
    <r>
      <rPr>
        <sz val="7"/>
        <color indexed="8"/>
        <rFont val="Symbol"/>
        <family val="1"/>
        <charset val="2"/>
      </rPr>
      <t>° </t>
    </r>
    <r>
      <rPr>
        <sz val="7"/>
        <color indexed="8"/>
        <rFont val="Arial"/>
        <family val="2"/>
      </rPr>
      <t>F.  </t>
    </r>
    <r>
      <rPr>
        <sz val="7"/>
        <color indexed="8"/>
        <rFont val="Symbol"/>
        <family val="1"/>
        <charset val="2"/>
      </rPr>
      <t>·</t>
    </r>
    <r>
      <rPr>
        <sz val="7"/>
        <color indexed="8"/>
        <rFont val="Arial"/>
        <family val="2"/>
      </rPr>
      <t>  Totals</t>
    </r>
  </si>
  <si>
    <r>
      <t>6</t>
    </r>
    <r>
      <rPr>
        <sz val="7"/>
        <color indexed="8"/>
        <rFont val="Arial"/>
        <family val="2"/>
      </rPr>
      <t>Natural gas consumed in the operation of pipelines, primarily in compressors.</t>
    </r>
  </si>
  <si>
    <r>
      <t>7</t>
    </r>
    <r>
      <rPr>
        <sz val="7"/>
        <color indexed="8"/>
        <rFont val="Arial"/>
        <family val="2"/>
      </rPr>
      <t>Natural gas used as fuel in the delivery of natural gas to consumers.</t>
    </r>
  </si>
  <si>
    <r>
      <t>Sources:  </t>
    </r>
    <r>
      <rPr>
        <b/>
        <sz val="7"/>
        <color indexed="8"/>
        <rFont val="Arial"/>
        <family val="2"/>
      </rPr>
      <t>Residential, Commercial Total, Lease and Plant Fuel, Other Industrial Total, </t>
    </r>
    <r>
      <rPr>
        <sz val="7"/>
        <color indexed="8"/>
        <rFont val="Arial"/>
        <family val="2"/>
      </rPr>
      <t>and </t>
    </r>
    <r>
      <rPr>
        <b/>
        <sz val="7"/>
        <color indexed="8"/>
        <rFont val="Arial"/>
        <family val="2"/>
      </rPr>
      <t>Pipelines</t>
    </r>
  </si>
  <si>
    <r>
      <t>and Distribution:  </t>
    </r>
    <r>
      <rPr>
        <sz val="7"/>
        <color indexed="8"/>
        <rFont val="Symbol"/>
        <family val="1"/>
        <charset val="2"/>
      </rPr>
      <t>·</t>
    </r>
    <r>
      <rPr>
        <sz val="7"/>
        <color indexed="8"/>
        <rFont val="Arial"/>
        <family val="2"/>
      </rPr>
      <t>  1949-2003Energy Information Administration (EIA), </t>
    </r>
    <r>
      <rPr>
        <i/>
        <sz val="7"/>
        <color indexed="8"/>
        <rFont val="Arial"/>
        <family val="2"/>
      </rPr>
      <t>Natural Gas Annual (NGA), </t>
    </r>
    <r>
      <rPr>
        <sz val="7"/>
        <color indexed="8"/>
        <rFont val="Arial"/>
        <family val="2"/>
      </rPr>
      <t>annual</t>
    </r>
  </si>
  <si>
    <r>
      <t>reports and unpublished revisions.  </t>
    </r>
    <r>
      <rPr>
        <sz val="7"/>
        <color indexed="8"/>
        <rFont val="Symbol"/>
        <family val="1"/>
        <charset val="2"/>
      </rPr>
      <t>·</t>
    </r>
    <r>
      <rPr>
        <sz val="7"/>
        <color indexed="8"/>
        <rFont val="Arial"/>
        <family val="2"/>
      </rPr>
      <t>  2004 forwardEIA, </t>
    </r>
    <r>
      <rPr>
        <i/>
        <sz val="7"/>
        <color indexed="8"/>
        <rFont val="Arial"/>
        <family val="2"/>
      </rPr>
      <t>Natural Gas Monthly (NGM) </t>
    </r>
    <r>
      <rPr>
        <sz val="7"/>
        <color indexed="8"/>
        <rFont val="Arial"/>
        <family val="2"/>
      </rPr>
      <t>(March 2009), Table 2. </t>
    </r>
  </si>
  <si>
    <t>WA</t>
  </si>
  <si>
    <t>OR</t>
  </si>
  <si>
    <t>ID</t>
  </si>
  <si>
    <t>Total route mileage (millions)</t>
  </si>
  <si>
    <t>Route mileage divided public school pupil transported (2006-2007 school year)</t>
  </si>
  <si>
    <t>Total pupils U.S. =</t>
  </si>
  <si>
    <t>x 1 mile/day/person</t>
  </si>
  <si>
    <t>x 270 days</t>
  </si>
  <si>
    <t>Altenative calculation</t>
  </si>
  <si>
    <t>Total Route mileage</t>
  </si>
  <si>
    <t>x ave occupancy</t>
  </si>
  <si>
    <t>million passenger-miles - NOT appropriate way to calculate</t>
  </si>
  <si>
    <t>million passenger-miles - similar to earlier estimates from ENO</t>
  </si>
  <si>
    <t>Note:  Energy for school bus scaled to small number to remove its effect on overall intensity index for buses</t>
  </si>
  <si>
    <r>
      <t>Commercial CHP </t>
    </r>
    <r>
      <rPr>
        <sz val="7"/>
        <color indexed="8"/>
        <rFont val="Arial"/>
        <family val="2"/>
      </rPr>
      <t>and </t>
    </r>
    <r>
      <rPr>
        <b/>
        <sz val="7"/>
        <color indexed="8"/>
        <rFont val="Arial"/>
        <family val="2"/>
      </rPr>
      <t>Industrial CHP:  </t>
    </r>
    <r>
      <rPr>
        <sz val="7"/>
        <color indexed="8"/>
        <rFont val="Arial"/>
        <family val="2"/>
      </rPr>
      <t>Table 8.7c.  </t>
    </r>
    <r>
      <rPr>
        <b/>
        <sz val="7"/>
        <color indexed="8"/>
        <rFont val="Arial"/>
        <family val="2"/>
      </rPr>
      <t>Vehicle Fuel:  </t>
    </r>
    <r>
      <rPr>
        <sz val="7"/>
        <color indexed="8"/>
        <rFont val="Symbol"/>
        <family val="1"/>
        <charset val="2"/>
      </rPr>
      <t>·</t>
    </r>
    <r>
      <rPr>
        <sz val="7"/>
        <color indexed="8"/>
        <rFont val="Arial"/>
        <family val="2"/>
      </rPr>
      <t>  1990 and 1991EIA, </t>
    </r>
    <r>
      <rPr>
        <i/>
        <sz val="7"/>
        <color indexed="8"/>
        <rFont val="Arial"/>
        <family val="2"/>
      </rPr>
      <t>NGA 2000</t>
    </r>
  </si>
  <si>
    <r>
      <t>(November 2001), Table 95.  </t>
    </r>
    <r>
      <rPr>
        <sz val="7"/>
        <color indexed="8"/>
        <rFont val="Symbol"/>
        <family val="1"/>
        <charset val="2"/>
      </rPr>
      <t>·</t>
    </r>
    <r>
      <rPr>
        <sz val="7"/>
        <color indexed="8"/>
        <rFont val="Arial"/>
        <family val="2"/>
      </rPr>
      <t>  1992-1998EIA, "Alternatives to Traditional Transportation Fuels 1999" (October</t>
    </r>
  </si>
  <si>
    <r>
      <t>sectors conversion factor (see Table A4).  </t>
    </r>
    <r>
      <rPr>
        <sz val="7"/>
        <color indexed="8"/>
        <rFont val="Symbol"/>
        <family val="1"/>
        <charset val="2"/>
      </rPr>
      <t>·</t>
    </r>
    <r>
      <rPr>
        <sz val="7"/>
        <color indexed="8"/>
        <rFont val="Arial"/>
        <family val="2"/>
      </rPr>
      <t>  1999-2003EIA, </t>
    </r>
    <r>
      <rPr>
        <i/>
        <sz val="7"/>
        <color indexed="8"/>
        <rFont val="Arial"/>
        <family val="2"/>
      </rPr>
      <t>NGA, </t>
    </r>
    <r>
      <rPr>
        <sz val="7"/>
        <color indexed="8"/>
        <rFont val="Arial"/>
        <family val="2"/>
      </rPr>
      <t>annual reports.  </t>
    </r>
    <r>
      <rPr>
        <sz val="7"/>
        <color indexed="8"/>
        <rFont val="Symbol"/>
        <family val="1"/>
        <charset val="2"/>
      </rPr>
      <t>·</t>
    </r>
    <r>
      <rPr>
        <sz val="7"/>
        <color indexed="8"/>
        <rFont val="Arial"/>
        <family val="2"/>
      </rPr>
      <t>  2004 forwardEIA, </t>
    </r>
    <r>
      <rPr>
        <i/>
        <sz val="7"/>
        <color indexed="8"/>
        <rFont val="Arial"/>
        <family val="2"/>
      </rPr>
      <t>NGM</t>
    </r>
  </si>
  <si>
    <r>
      <t>(March 2009), Table 2.  </t>
    </r>
    <r>
      <rPr>
        <b/>
        <sz val="7"/>
        <color indexed="8"/>
        <rFont val="Arial"/>
        <family val="2"/>
      </rPr>
      <t>Electric Power Sector:  </t>
    </r>
    <r>
      <rPr>
        <sz val="7"/>
        <color indexed="8"/>
        <rFont val="Arial"/>
        <family val="2"/>
      </rPr>
      <t>Tables 8.5b, 8.5c, 8.6b, and 8.7b.  </t>
    </r>
    <r>
      <rPr>
        <b/>
        <sz val="7"/>
        <color indexed="8"/>
        <rFont val="Arial"/>
        <family val="2"/>
      </rPr>
      <t>All Other Data: </t>
    </r>
  </si>
  <si>
    <r>
      <t>8</t>
    </r>
    <r>
      <rPr>
        <sz val="7"/>
        <color indexed="8"/>
        <rFont val="Arial"/>
        <family val="2"/>
      </rPr>
      <t>Vehicle fuel data do not reflect revised data shown in Table 10.4.  See Note 4, "Natural Gas Vehicle Fuel,"</t>
    </r>
  </si>
  <si>
    <t>2005-2007:</t>
  </si>
  <si>
    <t>Biodiesel (B100)</t>
  </si>
  <si>
    <t xml:space="preserve">Biodiesel Fuel content from EIA </t>
  </si>
  <si>
    <t>http://www.eia.doe.gov/oiaf/analysispaper/errata_biofuels.html</t>
  </si>
  <si>
    <t>Million passenger-miles</t>
  </si>
  <si>
    <t>Motorcycles</t>
  </si>
  <si>
    <t>Motor-cycles</t>
  </si>
  <si>
    <t>MotorCycles</t>
  </si>
  <si>
    <t>MotorCycles: fraction of total (col. S)</t>
  </si>
  <si>
    <t>Passenger Cars = Total - Motorcycles</t>
  </si>
  <si>
    <t>Fraction</t>
  </si>
  <si>
    <t xml:space="preserve">   (Assumed for linkage) ---&gt;</t>
  </si>
  <si>
    <t>All other fuels:</t>
  </si>
  <si>
    <t xml:space="preserve">  Other fuel is assumed to be ethanol for purposes of Btu conversion</t>
  </si>
  <si>
    <t xml:space="preserve">Based upon 1994 data from Table 31 in Appendix A of APTA Fact Book, entries prior to 1994 assumed to be negligible </t>
  </si>
  <si>
    <t>Buses</t>
  </si>
  <si>
    <t xml:space="preserve">Jet fuel use is sum of domestic and one-half of international operations (one half of fuel assumed to be purchased outside U.S. - consistent with treatment </t>
  </si>
  <si>
    <t>in ORNL Transportation Energy Data Book</t>
  </si>
  <si>
    <t>1970-1976</t>
  </si>
  <si>
    <t>Domestic and International operations not separated reported.  Domestic operations account for 0.828 of total in 1977.  That fraction</t>
  </si>
  <si>
    <t>was used to allocate total fuel use between domestic and international for 1970 through 1976.</t>
  </si>
  <si>
    <t>To maintain some consistency with the 2009 Transportation Energy Data Book, conversion efficiency was set 10,339 (thus, including losses)</t>
  </si>
  <si>
    <t>Urban Rail (Commuter)</t>
  </si>
  <si>
    <t>Urban Rail (Heavy and Light)</t>
  </si>
  <si>
    <t>Note:  no separate data for years 1974-1983.  Values for light rail interpolated; heavy rail computed as residual (orange values in columns BB and BC).</t>
  </si>
  <si>
    <r>
      <t xml:space="preserve">American Public Transportation Association.  2009 </t>
    </r>
    <r>
      <rPr>
        <i/>
        <sz val="10"/>
        <rFont val="Arial"/>
        <family val="2"/>
      </rPr>
      <t>Public Transportation Fact Book</t>
    </r>
    <r>
      <rPr>
        <sz val="10"/>
        <rFont val="Arial"/>
        <family val="2"/>
      </rPr>
      <t>; Appendix A, Table 29</t>
    </r>
  </si>
  <si>
    <t>Includes Motorcycles</t>
  </si>
  <si>
    <t>through 1969</t>
  </si>
  <si>
    <t xml:space="preserve">Passenger Car </t>
  </si>
  <si>
    <t xml:space="preserve">  All Fuels</t>
  </si>
  <si>
    <r>
      <t xml:space="preserve">1970-2002: Secondary Source:  </t>
    </r>
    <r>
      <rPr>
        <i/>
        <sz val="10"/>
        <rFont val="Arial"/>
        <family val="2"/>
      </rPr>
      <t xml:space="preserve">Transportation Energy Data Book, Edition 24.  </t>
    </r>
    <r>
      <rPr>
        <sz val="10"/>
        <rFont val="Arial"/>
        <family val="2"/>
      </rPr>
      <t>Tables 4.1 and A.1   Original sources from:</t>
    </r>
  </si>
  <si>
    <t>Multiplied by 0.000001 to negate impact</t>
  </si>
  <si>
    <t>Set equal to ton-miles x 0.001</t>
  </si>
  <si>
    <t>Final Indexes, 1985 = 1.0</t>
  </si>
  <si>
    <t>Urban (transit) Bus</t>
  </si>
  <si>
    <r>
      <t xml:space="preserve">1965-74: American Public Transit Association. </t>
    </r>
    <r>
      <rPr>
        <i/>
        <sz val="10"/>
        <rFont val="Arial"/>
        <family val="2"/>
      </rPr>
      <t>Transit Fact Book, 1978-79 Edition</t>
    </r>
    <r>
      <rPr>
        <sz val="10"/>
        <rFont val="Arial"/>
        <family val="2"/>
      </rPr>
      <t>. Washington, DC, Table 17, p. 40.</t>
    </r>
  </si>
  <si>
    <r>
      <t xml:space="preserve">1975-83: American Public Transit Association. </t>
    </r>
    <r>
      <rPr>
        <i/>
        <sz val="10"/>
        <rFont val="Arial"/>
        <family val="2"/>
      </rPr>
      <t>Transit Fact Book, 1988 Edition</t>
    </r>
    <r>
      <rPr>
        <sz val="10"/>
        <rFont val="Arial"/>
        <family val="2"/>
      </rPr>
      <t>. Washington, DC, Table 21, p. 39.</t>
    </r>
  </si>
  <si>
    <t>For 1965-83, we assume all gasoline, diesel, and propane in the APTA fuel consumption estimate are consumed by urban bus, since commuter rail (which can run on diesel or electricity) is excluded from the estimates.</t>
  </si>
  <si>
    <r>
      <t xml:space="preserve">1965-74: American Public Transit Association. </t>
    </r>
    <r>
      <rPr>
        <i/>
        <sz val="10"/>
        <rFont val="Arial"/>
        <family val="2"/>
      </rPr>
      <t>Transit Fact Book, 1978-79 Edition</t>
    </r>
    <r>
      <rPr>
        <sz val="10"/>
        <rFont val="Arial"/>
        <family val="2"/>
      </rPr>
      <t xml:space="preserve">. Washington, DC, Table 17, p. 40. </t>
    </r>
    <r>
      <rPr>
        <sz val="10"/>
        <color indexed="12"/>
        <rFont val="Arial"/>
        <family val="2"/>
      </rPr>
      <t>(Hvy &amp; Lt only)</t>
    </r>
  </si>
  <si>
    <r>
      <t xml:space="preserve">1975-83: American Public Transit Association. </t>
    </r>
    <r>
      <rPr>
        <i/>
        <sz val="10"/>
        <rFont val="Arial"/>
        <family val="2"/>
      </rPr>
      <t>Transit Fact Book, 1988 Edition</t>
    </r>
    <r>
      <rPr>
        <sz val="10"/>
        <rFont val="Arial"/>
        <family val="2"/>
      </rPr>
      <t xml:space="preserve">. Washington, DC, Table 21, p. 39. </t>
    </r>
    <r>
      <rPr>
        <sz val="10"/>
        <color indexed="12"/>
        <rFont val="Arial"/>
        <family val="2"/>
      </rPr>
      <t>(Hvy &amp; Lt only)</t>
    </r>
  </si>
  <si>
    <r>
      <t xml:space="preserve">1970-83: ORNL. </t>
    </r>
    <r>
      <rPr>
        <i/>
        <sz val="10"/>
        <rFont val="Arial"/>
        <family val="2"/>
      </rPr>
      <t>Transportation Energy Data Book, Edition 8</t>
    </r>
    <r>
      <rPr>
        <sz val="10"/>
        <rFont val="Arial"/>
        <family val="2"/>
      </rPr>
      <t xml:space="preserve"> and earlier editions. Oak Ridge, Tennessee. </t>
    </r>
    <r>
      <rPr>
        <sz val="10"/>
        <color indexed="12"/>
        <rFont val="Arial"/>
        <family val="2"/>
      </rPr>
      <t>(Commuter only)</t>
    </r>
  </si>
  <si>
    <t>Structure:Modal Shifts</t>
  </si>
  <si>
    <t>Structure: Mix of Rail Modes</t>
  </si>
  <si>
    <t>Structure:Mix of Bus Types</t>
  </si>
  <si>
    <t>Structure:Passenger vs Freight (*)</t>
  </si>
  <si>
    <t>Structure: Lower level (**)</t>
  </si>
  <si>
    <t>**  Includes impacts of modal shifts within both passenger and freight segments</t>
  </si>
  <si>
    <t>Weighted Activity Index</t>
  </si>
  <si>
    <t xml:space="preserve">of the hierarchy contained in a single worksheet (WS).   The organization of the indicators in this spreadsheet </t>
  </si>
  <si>
    <t xml:space="preserve">  </t>
  </si>
  <si>
    <t>Passenger Transportation  [WS:  Passenger_Total]</t>
  </si>
  <si>
    <t>Highway Transportation [WS:  Passenger-Highway]</t>
  </si>
  <si>
    <t>Personal Vehicles (automobiles and light trucks) [WS:  Personal_vehicles]</t>
  </si>
  <si>
    <t>Busses  [WS: Busses]</t>
  </si>
  <si>
    <t xml:space="preserve">   Level:</t>
  </si>
  <si>
    <t>Urban rail [WS: Urban_rail]</t>
  </si>
  <si>
    <t>Rail transportation (intercity and urban rail) [WS:  Passenger-Rail]</t>
  </si>
  <si>
    <t>Total Transportation  [WS:  Total_Transportation]</t>
  </si>
  <si>
    <t xml:space="preserve">   Transportation Energy Intensity Indicators</t>
  </si>
  <si>
    <t>Trucking (single-unit and combination)  [WS: Freight-Trucks]</t>
  </si>
  <si>
    <t>Pipelines (gas and oil) [WS: Pipelines]</t>
  </si>
  <si>
    <t>Structure Index  (from lower level, if applicable)</t>
  </si>
  <si>
    <t>is as follows:</t>
  </si>
  <si>
    <t>Each worksheet with energy intensity indicators is arranged in a similar fashion.  The following schematic shows</t>
  </si>
  <si>
    <t xml:space="preserve">how the data and computed indexes are arranged: </t>
  </si>
  <si>
    <t>:</t>
  </si>
  <si>
    <t xml:space="preserve">     :</t>
  </si>
  <si>
    <t xml:space="preserve">     (1)</t>
  </si>
  <si>
    <t>Energy Type (1)</t>
  </si>
  <si>
    <t xml:space="preserve"> In this spreadsheet, all energy is defined in terms of delivered energy (Deliv)</t>
  </si>
  <si>
    <t>xx</t>
  </si>
  <si>
    <t xml:space="preserve"> Energy Intensity Indexes</t>
  </si>
  <si>
    <t xml:space="preserve">     (2) </t>
  </si>
  <si>
    <t xml:space="preserve"> Activities for transportation are passenger-miles and freight ton-miles</t>
  </si>
  <si>
    <t xml:space="preserve">     (3)</t>
  </si>
  <si>
    <t xml:space="preserve"> See separate discussion for treatment of structural effects in the indicators hierarchy</t>
  </si>
  <si>
    <t xml:space="preserve">  Activity</t>
  </si>
  <si>
    <t xml:space="preserve"> Struc-ture</t>
  </si>
  <si>
    <t xml:space="preserve">     Delivered </t>
  </si>
  <si>
    <r>
      <t xml:space="preserve">    Secondary (</t>
    </r>
    <r>
      <rPr>
        <i/>
        <sz val="10"/>
        <rFont val="Arial"/>
        <family val="2"/>
      </rPr>
      <t>not used)</t>
    </r>
  </si>
  <si>
    <t xml:space="preserve"> Activity Levels (2)</t>
  </si>
  <si>
    <t xml:space="preserve"> Final Aggregate Indexes for this Level</t>
  </si>
  <si>
    <t xml:space="preserve">      Primary Data for Each Activity in this Level of the Hierarchy</t>
  </si>
  <si>
    <t>Energy Intensity Indexes</t>
  </si>
  <si>
    <t xml:space="preserve"> Nominal Energy Intensities (e.g., Btu/ton-mile)</t>
  </si>
  <si>
    <t>Energy Consump-tion (Trillion Btu, TBtu)</t>
  </si>
  <si>
    <t xml:space="preserve">  (From next lower level)[3]</t>
  </si>
  <si>
    <t xml:space="preserve">  Energy Intensity (4)</t>
  </si>
  <si>
    <t xml:space="preserve">     (4)</t>
  </si>
  <si>
    <t>does not include the impacts of structural change (e.g., compositional shifts between sectors with disparate energy</t>
  </si>
  <si>
    <t xml:space="preserve">efficiency at this level of indicators hierarchy.  </t>
  </si>
  <si>
    <t xml:space="preserve"> In the second column of this yellow highlighted area is shown the Index of Aggregate Energy Intensity, defined as simply</t>
  </si>
  <si>
    <t>Adjustment of fuel consumption to account for discontinuities</t>
  </si>
  <si>
    <t>Combination Trucks</t>
  </si>
  <si>
    <t>VMT</t>
  </si>
  <si>
    <t>Adj. Fuel</t>
  </si>
  <si>
    <t xml:space="preserve">  Fuel Use (bill. Gal.)</t>
  </si>
  <si>
    <t>Adj. MPG</t>
  </si>
  <si>
    <t xml:space="preserve">Single-Unit Truck </t>
  </si>
  <si>
    <t xml:space="preserve">*   Constant index of index of 1.0 denotes no structural effect--passenger and freight segments are defined </t>
  </si>
  <si>
    <t>(Total Energy)/(Total Activity).  The component-based energy intensity, shown further to the right in the highlighted area,</t>
  </si>
  <si>
    <t>Development of Indexes, log mean Divisia method (5)</t>
  </si>
  <si>
    <t xml:space="preserve">     (5)</t>
  </si>
  <si>
    <t>This section contains about 10 sets of columns that are used to develop the log mean Divisia weights and then</t>
  </si>
  <si>
    <t xml:space="preserve">the application of these weights to develop the final intensity and structural indexes.  Because there are gaps in the </t>
  </si>
  <si>
    <t xml:space="preserve">underlying data, some entries in this portion of the worksheet will show #DIV/0! Entries.   </t>
  </si>
  <si>
    <t xml:space="preserve">is the Divisia-weighted aggregate intensity index, based upon weighting the separate component indexes.  This index </t>
  </si>
  <si>
    <t xml:space="preserve">      2002-2004:</t>
  </si>
  <si>
    <t>http://www.bts.gov/publications/national_transportation_statistics/2005/html/table_04_11.html</t>
  </si>
  <si>
    <t xml:space="preserve">Light Trucks (2-axle, 4-tire trucks), </t>
  </si>
  <si>
    <t>All Fuel</t>
  </si>
  <si>
    <t xml:space="preserve">Bio Diesel </t>
  </si>
  <si>
    <t>Other</t>
  </si>
  <si>
    <t>School (million bbl)</t>
  </si>
  <si>
    <t>Intercity (million bbl)</t>
  </si>
  <si>
    <t>Diesel Fuel &amp; Distillate (1,000 bbl)</t>
  </si>
  <si>
    <t>Residual Fuel Oil (1,000 bbl)</t>
  </si>
  <si>
    <t>Electricity (GWhrs)</t>
  </si>
  <si>
    <t>Distillate Fuel Oil</t>
  </si>
  <si>
    <t>Natural Gas (million cu. ft.)</t>
  </si>
  <si>
    <t xml:space="preserve">Domestic Operations </t>
  </si>
  <si>
    <t xml:space="preserve">International Operations </t>
  </si>
  <si>
    <t>Gasoline (million gallons)</t>
  </si>
  <si>
    <t>Jet fuel (million gallons)</t>
  </si>
  <si>
    <t>http://www.bts.gov/publications/national_transportation_statistics/2005/html/table_04_12.html</t>
  </si>
  <si>
    <t>2001-2004</t>
  </si>
  <si>
    <t xml:space="preserve">  Data from:</t>
  </si>
  <si>
    <r>
      <t xml:space="preserve">VMT 1996-2001: Primary source:  Federal Highway Administration. </t>
    </r>
    <r>
      <rPr>
        <i/>
        <sz val="10"/>
        <rFont val="Arial"/>
        <family val="2"/>
      </rPr>
      <t xml:space="preserve">Highway Statistics, </t>
    </r>
    <r>
      <rPr>
        <sz val="10"/>
        <rFont val="Arial"/>
        <family val="2"/>
      </rPr>
      <t>annual editions. Table VM-1.  Data taken from:</t>
    </r>
  </si>
  <si>
    <t xml:space="preserve">  Passenger Car</t>
  </si>
  <si>
    <t xml:space="preserve">  Light Truck</t>
  </si>
  <si>
    <t>For 1984-1991, the APTA non-diesel fuel consumption estimate only includes gasoline. We assume all gasoline to be consumed by buses.</t>
  </si>
  <si>
    <t xml:space="preserve"> (See note at end re: 2004 data)</t>
  </si>
  <si>
    <t>http://www.fhwa.dot.gov/policy/ohim/hs04/htm/mf33e.htm</t>
  </si>
  <si>
    <t xml:space="preserve">Note:  Gasohol is defined here as E10 or less (10 percent or less total ethanol used); see </t>
  </si>
  <si>
    <t>http://www.ugpti.org/tia2007/</t>
  </si>
  <si>
    <r>
      <t xml:space="preserve">Eno Transportation Foundation, Inc. 2007. </t>
    </r>
    <r>
      <rPr>
        <i/>
        <sz val="10"/>
        <rFont val="Arial"/>
        <family val="2"/>
      </rPr>
      <t>Transportation in America</t>
    </r>
    <r>
      <rPr>
        <sz val="10"/>
        <rFont val="Arial"/>
        <family val="2"/>
      </rPr>
      <t>, 20th ed. Washington, DC</t>
    </r>
  </si>
  <si>
    <t>http://www.enotrans.com/</t>
  </si>
  <si>
    <t xml:space="preserve"> Not Used</t>
  </si>
  <si>
    <t>intensities).  Thus, the component-based intensity index is the best measure of the underlying improvement in energy</t>
  </si>
  <si>
    <t xml:space="preserve">The second worksheet (General_inputs) is still under development.   Cell F6 (primary base year) can be </t>
  </si>
  <si>
    <t>changed to renormalize all the time series indexes to a different base year.  As delivered, the base year is 1985.</t>
  </si>
  <si>
    <t>Energy Intensity Indicators</t>
  </si>
  <si>
    <t>The basic activity and energy data for the transportation sector are arranged in six worksheets at the end of spreadsheet:</t>
  </si>
  <si>
    <t>Passenger-based Activity</t>
  </si>
  <si>
    <t>Freight-based Energy Use</t>
  </si>
  <si>
    <t>Passenger-based Energy Use</t>
  </si>
  <si>
    <t>Fuel_Comsump</t>
  </si>
  <si>
    <t>Fuel Heat Content</t>
  </si>
  <si>
    <t>This spreadsheet contains energy intensity indicators and underlying basic data for the transportation sector.</t>
  </si>
  <si>
    <t>Basic Data</t>
  </si>
  <si>
    <t>The intensity indicators are organized in an hierarchical fashion, with energy intensity indicators for each level</t>
  </si>
  <si>
    <t xml:space="preserve">Struc-tural Indexes </t>
  </si>
  <si>
    <t>Freight Transportation (trucking, rail, air, water, and pipelines) [WS: Freight_Total]</t>
  </si>
  <si>
    <t>Energy-weighted index</t>
  </si>
  <si>
    <t xml:space="preserve">  Btu/Index</t>
  </si>
  <si>
    <t>Vehicle</t>
  </si>
  <si>
    <t>The Charts on this page are posted on the Intensity Indicators website (intensityindicators.pnl.gov)</t>
  </si>
  <si>
    <t>The name of the image file (.png), html page and figure number are listed as a reference</t>
  </si>
  <si>
    <t>In most cases, the associated data is included to the right of each chart</t>
  </si>
  <si>
    <t>see 'Passenger Total' tab for data</t>
  </si>
  <si>
    <t>see 'Freight_Total' tab for data</t>
  </si>
  <si>
    <t>transportation_t1.png</t>
  </si>
  <si>
    <t>transportation_t2.png</t>
  </si>
  <si>
    <t>transportation_t4.png</t>
  </si>
  <si>
    <t>transportation_t3.png</t>
  </si>
  <si>
    <t>total_transportation.stm; delivered_transportation.stm</t>
  </si>
  <si>
    <t xml:space="preserve">Passenger Structural Changes: Mode Shifts and Lower Level Effects </t>
  </si>
  <si>
    <t>'Freight' box on Transportation flow chart</t>
  </si>
  <si>
    <t>'Total Transportation' box on Transportation flow chart</t>
  </si>
  <si>
    <t>trans_total85.pdf</t>
  </si>
  <si>
    <t>'Passenger' box on Transportation flow chart</t>
  </si>
  <si>
    <t>trans_passenger85.pdf</t>
  </si>
  <si>
    <t>trans_freight85.pdf</t>
  </si>
  <si>
    <t>Highway Passenger' box on Transportation flow chart</t>
  </si>
  <si>
    <t>trans_pass_highway85.pdf</t>
  </si>
  <si>
    <t>trans_pass_vehicles85.pdf</t>
  </si>
  <si>
    <t>Autos and lt trucks' box on Transportation flow chart</t>
  </si>
  <si>
    <t>trans_pass_air85.pdf</t>
  </si>
  <si>
    <t>Air Carrier' box on Transportation flow chart</t>
  </si>
  <si>
    <t>trans_pass_rail85.pdf</t>
  </si>
  <si>
    <t>Rail' box on Transportation flow chart</t>
  </si>
  <si>
    <t>trans_pass_railurban85.pdf</t>
  </si>
  <si>
    <t>Urban Rail' box on Transportation flow chart</t>
  </si>
  <si>
    <t>trans_freight_trucks85.pdf</t>
  </si>
  <si>
    <t>Highway Freight' box on Transportation flow chart</t>
  </si>
  <si>
    <t>trans_freight_pipelines85.pdf</t>
  </si>
  <si>
    <t>Pipeline' box on Transportation flow chart</t>
  </si>
  <si>
    <t>see 'Passenger-Highway' tab for data</t>
  </si>
  <si>
    <t>see 'Personal_vehicles' tab for data</t>
  </si>
  <si>
    <t>see 'Busses' tab for data</t>
  </si>
  <si>
    <t>see 'Passenger-Air' tab for data</t>
  </si>
  <si>
    <t>see 'Passenger-Rail' tab for data</t>
  </si>
  <si>
    <t>see 'Urban_Rail' tab for data</t>
  </si>
  <si>
    <t>see 'Freight-Trucks' tab for data</t>
  </si>
  <si>
    <t>see 'Pipelines' tab for data</t>
  </si>
  <si>
    <t>Index (1985 = 1.0)</t>
  </si>
  <si>
    <t>Total Transportation:  Activity, Intensity, and Structural Change</t>
  </si>
  <si>
    <t>Passenger Total:  Activity, Intensity, and Structural Change</t>
  </si>
  <si>
    <t>Freight Total:  Activity, Intensity, and Structural Change</t>
  </si>
  <si>
    <t>Passenger Highway:  Activity, Intensity, and Structural Change</t>
  </si>
  <si>
    <t>Personal Vehicles:  Activity, Intensity, and Structural Change</t>
  </si>
  <si>
    <t>Buses:  Activity, Intensity, and Structural Change</t>
  </si>
  <si>
    <t>Passenger Air:  Activity, Intensity, and Structural Change</t>
  </si>
  <si>
    <t>Passenger Rail:  Activity, Intensity, and Structural Change</t>
  </si>
  <si>
    <t xml:space="preserve">School Bus </t>
  </si>
  <si>
    <t>Public &amp; Private</t>
  </si>
  <si>
    <r>
      <t xml:space="preserve">Source:  </t>
    </r>
    <r>
      <rPr>
        <i/>
        <sz val="10"/>
        <rFont val="Arial"/>
        <family val="2"/>
      </rPr>
      <t>School Bus Fleet</t>
    </r>
    <r>
      <rPr>
        <sz val="10"/>
        <rFont val="Arial"/>
        <family val="2"/>
      </rPr>
      <t xml:space="preserve"> magazine, by permission</t>
    </r>
  </si>
  <si>
    <t>Urban Rail:  Activity, Intensity, and Structural Change</t>
  </si>
  <si>
    <t>Freight Trucks:  Activity, Intensity, and Structural Change</t>
  </si>
  <si>
    <t>Pipelines:  Activity, Intensity, and Structural Change</t>
  </si>
  <si>
    <t>Lower Structure</t>
  </si>
  <si>
    <t>Passenger Structural Shifts</t>
  </si>
  <si>
    <t>Modal Shifts</t>
  </si>
  <si>
    <t>1977-1999: Bureau of Transportation Statistics (BTS), Office of Airline Information (OAI). http://www.bts.gov/programs/oai/fuel/fuelyearly.html</t>
  </si>
  <si>
    <t>Activity (passenger-miles [P-M], ton-miles [T-M]))</t>
  </si>
  <si>
    <t>Figure T1</t>
  </si>
  <si>
    <t>Energy Use, Activity, Energy Intensity, and Modal Shifts in Transportation</t>
  </si>
  <si>
    <t>Figure T2</t>
  </si>
  <si>
    <t>Passenger Activity, Intensity, Energy Use, and Mode Shifts</t>
  </si>
  <si>
    <t>Figure T3</t>
  </si>
  <si>
    <t>Freight Activity, Energy Use, Intensity, and Modal Shifts</t>
  </si>
  <si>
    <t>Figure T4</t>
  </si>
  <si>
    <t>* No reliable source for the amount of energy consumed by Oil Pipelines has yet been found.</t>
  </si>
  <si>
    <t>Note:  No up-to-date source data is available for cells with values in red.   Extrapolations made on basis of related series or value is set equal to previous year.</t>
  </si>
  <si>
    <t>CHP</t>
  </si>
  <si>
    <t>Only</t>
  </si>
  <si>
    <t>[9]</t>
  </si>
  <si>
    <t xml:space="preserve">   For diesel:</t>
  </si>
  <si>
    <t xml:space="preserve">   For compressed natural gas:</t>
  </si>
  <si>
    <t>http://www.apta.com/research/stats/factbook/index.cfm</t>
  </si>
  <si>
    <t>American Public Transportation Association.  APTA Website (http://www.apta.com/research/stats/bus/busfuel.cfm). "Other" is assumed to be methanol</t>
  </si>
  <si>
    <t>For gasoline:</t>
  </si>
  <si>
    <t xml:space="preserve"> For 1965:1999, same source as diesel, above   (Gasoline usage exceeds that of urban busses, includes demand vehicles and other)</t>
  </si>
  <si>
    <t xml:space="preserve">     with different activity measures (i.e., passenger-miles, ton-miles)</t>
  </si>
  <si>
    <t>Year</t>
  </si>
  <si>
    <t>Mode</t>
  </si>
  <si>
    <t>Highway</t>
  </si>
  <si>
    <t>Light Truck</t>
  </si>
  <si>
    <t>Urban Bus</t>
  </si>
  <si>
    <t>Intercity Bus</t>
  </si>
  <si>
    <t>Rail</t>
  </si>
  <si>
    <t>Intercity Rail</t>
  </si>
  <si>
    <t>Air</t>
  </si>
  <si>
    <t>Carrier</t>
  </si>
  <si>
    <t>General Aviation</t>
  </si>
  <si>
    <t>Annual Passenger-related Transportation Activity by Mode, 1949-2000</t>
  </si>
  <si>
    <t>(million passenger-miles)</t>
  </si>
  <si>
    <t>(trillion Btu)</t>
  </si>
  <si>
    <r>
      <t xml:space="preserve">1975-84: ORNL. 1999. </t>
    </r>
    <r>
      <rPr>
        <i/>
        <sz val="10"/>
        <rFont val="Arial"/>
        <family val="2"/>
      </rPr>
      <t>Transportation Energy Data Book: Edition 19</t>
    </r>
    <r>
      <rPr>
        <sz val="10"/>
        <rFont val="Arial"/>
        <family val="2"/>
      </rPr>
      <t>. Table 12.1, page 12-2.</t>
    </r>
  </si>
  <si>
    <t>NA</t>
  </si>
  <si>
    <t>Single-Unit Truck</t>
  </si>
  <si>
    <t>Class I Rail</t>
  </si>
  <si>
    <t>Waterborne</t>
  </si>
  <si>
    <t>Domestic Vessel</t>
  </si>
  <si>
    <t>Pipeline</t>
  </si>
  <si>
    <t>Oil Pipeline</t>
  </si>
  <si>
    <t>Passenger Car</t>
  </si>
  <si>
    <t>Intercity Rail (Amtrak)</t>
  </si>
  <si>
    <t>Passenger Car and Light Truck</t>
  </si>
  <si>
    <t>Commerical Air Carrier</t>
  </si>
  <si>
    <t>Gasohol</t>
  </si>
  <si>
    <t>Gasoline</t>
  </si>
  <si>
    <t>Diesel</t>
  </si>
  <si>
    <t>LPG</t>
  </si>
  <si>
    <t>Fuel</t>
  </si>
  <si>
    <t>Gross Content</t>
  </si>
  <si>
    <t>Net Content</t>
  </si>
  <si>
    <t>Auto gasoline</t>
  </si>
  <si>
    <t>Diesel motor fuel</t>
  </si>
  <si>
    <t>Aviation gasoline</t>
  </si>
  <si>
    <t>Jet fuel (naptha)</t>
  </si>
  <si>
    <t>Jet fuel (kerosene)</t>
  </si>
  <si>
    <t>Fuel oil - Residual</t>
  </si>
  <si>
    <t>Fuel oil - Distillate</t>
  </si>
  <si>
    <t>Btu/gallon</t>
  </si>
  <si>
    <t>Fuel Consumption</t>
  </si>
  <si>
    <t>Other Single-Unit Truck</t>
  </si>
  <si>
    <t>Combination Truck</t>
  </si>
  <si>
    <t>1982 TIUS</t>
  </si>
  <si>
    <t>1987 TIUS</t>
  </si>
  <si>
    <t>1992 TIUS</t>
  </si>
  <si>
    <t>1997 VIUS</t>
  </si>
  <si>
    <t>Other Single-Unit &amp; Heavy Truck Fuel Use Shares by Fuel Type</t>
  </si>
  <si>
    <t>Commercial Carrier</t>
  </si>
  <si>
    <r>
      <t xml:space="preserve">1970-80: DOE, Energy Information Administration, Office of Energy Markets and End Use. </t>
    </r>
    <r>
      <rPr>
        <i/>
        <sz val="10"/>
        <rFont val="Arial"/>
        <family val="2"/>
      </rPr>
      <t>Residential Energy Consumption Survey: Consumption patterns of Household Vehicles: June 1979 to December 1980</t>
    </r>
    <r>
      <rPr>
        <sz val="10"/>
        <rFont val="Arial"/>
        <family val="2"/>
      </rPr>
      <t>. Washington, DC, p. 10.</t>
    </r>
  </si>
  <si>
    <t>Website:</t>
  </si>
  <si>
    <t>http://www.bts.gov/xml/air_traffic/src/datadisp.xml</t>
  </si>
  <si>
    <t>Commercial Carriers</t>
  </si>
  <si>
    <t>Structure:Comm. Carrier vs. Gen. Aviation.</t>
  </si>
  <si>
    <t xml:space="preserve">Air transportation (commercial carriers and general aviation)  [WS: Passenger-Air] </t>
  </si>
  <si>
    <r>
      <t xml:space="preserve">1981-82: DOE, Energy Information Administration, Office of Energy Markets and End Use. </t>
    </r>
    <r>
      <rPr>
        <i/>
        <sz val="10"/>
        <rFont val="Arial"/>
        <family val="2"/>
      </rPr>
      <t>Residential Energy Consumption Survey: Consumption patterns of Household Vehicles, Supplement: January 1981 to September 1981</t>
    </r>
    <r>
      <rPr>
        <sz val="10"/>
        <rFont val="Arial"/>
        <family val="2"/>
      </rPr>
      <t>. Washington, DC, pp. 11, 13.</t>
    </r>
  </si>
  <si>
    <t>Energy Use (Tbtu)</t>
  </si>
  <si>
    <t xml:space="preserve"> Distillate</t>
  </si>
  <si>
    <t xml:space="preserve"> Residual</t>
  </si>
  <si>
    <t xml:space="preserve"> Total</t>
  </si>
  <si>
    <t xml:space="preserve">    Percent Domestic</t>
  </si>
  <si>
    <t>Heat content (kBtu/gal)</t>
  </si>
  <si>
    <t>Compare Quantities</t>
  </si>
  <si>
    <t xml:space="preserve">  New - Orig ORNL)</t>
  </si>
  <si>
    <t xml:space="preserve"> Th. Barrels</t>
  </si>
  <si>
    <t>Domestic</t>
  </si>
  <si>
    <t>Calculated</t>
  </si>
  <si>
    <t>Published</t>
  </si>
  <si>
    <t xml:space="preserve"> TEDB Ed.</t>
  </si>
  <si>
    <t>24, T. 9.5</t>
  </si>
  <si>
    <t xml:space="preserve"> Tril. Btu</t>
  </si>
  <si>
    <t xml:space="preserve"> Th. Gallons</t>
  </si>
  <si>
    <t>This section of worksheet work to reconcile various estimates of fuel use for waterborne commerce</t>
  </si>
  <si>
    <t>Table 9.10</t>
  </si>
  <si>
    <t>Revenue</t>
  </si>
  <si>
    <t>Energy</t>
  </si>
  <si>
    <t>passenger-</t>
  </si>
  <si>
    <t>Average</t>
  </si>
  <si>
    <t>Energy intensity</t>
  </si>
  <si>
    <t>use</t>
  </si>
  <si>
    <t>locomotives</t>
  </si>
  <si>
    <t>miles</t>
  </si>
  <si>
    <t>trip length</t>
  </si>
  <si>
    <t>(Btu per revenue</t>
  </si>
  <si>
    <t>(trillion</t>
  </si>
  <si>
    <t>cars</t>
  </si>
  <si>
    <t>(thousands)</t>
  </si>
  <si>
    <t>(millions)</t>
  </si>
  <si>
    <t>(miles)</t>
  </si>
  <si>
    <t>passenger-mile)</t>
  </si>
  <si>
    <t>Btu)</t>
  </si>
  <si>
    <t>a</t>
  </si>
  <si>
    <t>Average annual percentage change</t>
  </si>
  <si>
    <t>Train miles were essentially constant between 1993 and 1994, and so 1993 value was set equal to 1994, Extrapolated</t>
  </si>
  <si>
    <t>to earlier years based upon published energy figures from the TEDB.</t>
  </si>
  <si>
    <t>Pre-2009 Sources in Columns AN - AP (No longer used, but retained for historical comparison)</t>
  </si>
  <si>
    <r>
      <t xml:space="preserve">1970-83: Based on Oak Ridge National Laboratory. </t>
    </r>
    <r>
      <rPr>
        <i/>
        <sz val="10"/>
        <color indexed="53"/>
        <rFont val="Arial"/>
        <family val="2"/>
      </rPr>
      <t xml:space="preserve">Transportation Energy Data Book, Edition 8 </t>
    </r>
    <r>
      <rPr>
        <sz val="10"/>
        <color indexed="53"/>
        <rFont val="Arial"/>
        <family val="2"/>
      </rPr>
      <t>and earlier annual editions. Oak Ridge, Tennessee.</t>
    </r>
  </si>
  <si>
    <t>1973-1993</t>
  </si>
  <si>
    <t>Changes in fuel consumption from 1970-1973 implausible compared to passenger-mile data.  Therefore, 1973 energy</t>
  </si>
  <si>
    <t>data extrapolated back to 1970 based upon passenger-miles.  (Implicit assumption - fuel intensity unchanged over this period)</t>
  </si>
  <si>
    <t>1971-1972</t>
  </si>
  <si>
    <t>Amtrak was not established until May 1971.  Data for 1970 assumes same passenger activity as 1971, primarily</t>
  </si>
  <si>
    <t>included to fill out all transportation-related time series back to 1970</t>
  </si>
  <si>
    <t>Alternative source:</t>
  </si>
  <si>
    <t xml:space="preserve">        1970:</t>
  </si>
  <si>
    <t>Note: Series not continuous for transit bus between 2006 and 2007; estimation procedures changed for bus systems outside urban areas</t>
  </si>
  <si>
    <t>http://www.apta.com/resources/statistics/Pages/transitstats.aspx</t>
  </si>
  <si>
    <t>1992-1999:  same as above for diesel (Transit Fact Book)</t>
  </si>
  <si>
    <t>same as above for diesel (APTA website)</t>
  </si>
  <si>
    <t>1992-1994:  same as above for diesel (Transit Fact Book)</t>
  </si>
  <si>
    <r>
      <t xml:space="preserve">  For Other </t>
    </r>
    <r>
      <rPr>
        <sz val="10"/>
        <rFont val="Arial"/>
        <family val="2"/>
      </rPr>
      <t>(From APTA Table 32 notes: includes bio/soy fuel, biodiesel (through 2006), hydrogen, methanol, enthanol, and various blends.</t>
    </r>
  </si>
  <si>
    <t xml:space="preserve"> For gasoline:</t>
  </si>
  <si>
    <t xml:space="preserve">  For LPG (Propane):</t>
  </si>
  <si>
    <t xml:space="preserve">  For LNG:</t>
  </si>
  <si>
    <t>Bio-diesel was added as separate category in 2007</t>
  </si>
  <si>
    <t>1992-1993:   For these years, use data from Transit Fact book as cited above.  From queried website it appears as if "Other" is primarily methanol</t>
  </si>
  <si>
    <t>While updating the 2007 number, the "other" category for years 2004-06 were set with an estimate of 2.0, while the remainder was allocated to biofuel to reflect the ramp up of biodiesel use that was counted in the other category.  Bio-diesel was added as separate category in 2007</t>
  </si>
  <si>
    <t>Para-Transit</t>
  </si>
  <si>
    <t>Note: Data prior to 1984 was not collected by APTA</t>
  </si>
  <si>
    <t>Paratransit</t>
  </si>
  <si>
    <t>Paratransit (demand response, "dial-a-ride")</t>
  </si>
  <si>
    <t>For diesel:</t>
  </si>
  <si>
    <t>1965-1994:  '</t>
  </si>
  <si>
    <t>Not separately reported by APTA in latest historical data; assumed to be negligible as 1995 value was only 0.3 million gallons</t>
  </si>
  <si>
    <t>All Modes</t>
  </si>
  <si>
    <t>(estimated)</t>
  </si>
  <si>
    <t/>
  </si>
  <si>
    <t>Non-Diesel</t>
  </si>
  <si>
    <t>Para-transit</t>
  </si>
  <si>
    <t>Intensity - Paratransit</t>
  </si>
  <si>
    <t>Btu/P-m</t>
  </si>
  <si>
    <t>Paratransit (Demand Response, "Dial-a-Ride")</t>
  </si>
  <si>
    <t xml:space="preserve">All non-diesel fuel from 1984-1991 is gasoline (based upon communication with APTA).  </t>
  </si>
  <si>
    <t>Bus use is assumed to decline to 2 million gallons per year by 1988, see column BQ, cells BQ45-BQ47 (orange values denote estimated values)</t>
  </si>
  <si>
    <t>Residual gasoline use is assumed to be for paratransit</t>
  </si>
  <si>
    <t>From Lower Level (if applicable)</t>
  </si>
  <si>
    <t>Values in red used to integrate paratransit data into series - set to yield no influence on indexes before 1984</t>
  </si>
  <si>
    <t>Structure:Personal Veh. vs. Transit</t>
  </si>
  <si>
    <t>Note:  In September 2005, the activity measure for waterborne commerce was changed to include only tonnage carried by domestic vessels.  This</t>
  </si>
  <si>
    <t>treatment is now consistent with ORNL's Transportation Energy Data Book</t>
  </si>
  <si>
    <t>Domestic &amp; Foreign Commerce in US Waters - Revised</t>
  </si>
  <si>
    <t>Domestic &amp; Foreign Commerce in US Waters - 2002 Definition</t>
  </si>
  <si>
    <t>Old (2002) Series</t>
  </si>
  <si>
    <t>Source:</t>
  </si>
  <si>
    <t>Note:  In September 2005, source was changed to energy consumption estimates for domestic vessels produced in ORNL's</t>
  </si>
  <si>
    <t xml:space="preserve">1985-1999: National Railroad Passenger Corporation (Amtrak), personal communication, </t>
  </si>
  <si>
    <t>Alternative data source is from BTS</t>
  </si>
  <si>
    <t xml:space="preserve">However, BTS consumption estimates are lower than those in the TEDB and further work is needed to reconcile.  </t>
  </si>
  <si>
    <t>Vehicle-Miles - Busses</t>
  </si>
  <si>
    <t>2000:2001</t>
  </si>
  <si>
    <r>
      <t xml:space="preserve">Eno Transportation Foundation, Inc. 2002. </t>
    </r>
    <r>
      <rPr>
        <i/>
        <sz val="10"/>
        <rFont val="Arial"/>
        <family val="2"/>
      </rPr>
      <t>Transportation in America 2000</t>
    </r>
    <r>
      <rPr>
        <sz val="10"/>
        <rFont val="Arial"/>
        <family val="2"/>
      </rPr>
      <t>, 19th ed. Washington, DC</t>
    </r>
  </si>
  <si>
    <r>
      <t xml:space="preserve">1983-84: DOE, Energy Information Administration, Office of Energy Markets and End Use. 1985. </t>
    </r>
    <r>
      <rPr>
        <i/>
        <sz val="10"/>
        <rFont val="Arial"/>
        <family val="2"/>
      </rPr>
      <t>Residential Transportation Energy Consumption Survey: Consumption patterns of Household Vehicles, 1983</t>
    </r>
    <r>
      <rPr>
        <sz val="10"/>
        <rFont val="Arial"/>
        <family val="2"/>
      </rPr>
      <t>. Washington, DC, January, pp. 7, 9.</t>
    </r>
  </si>
  <si>
    <r>
      <t xml:space="preserve">1985-87: DOE, Energy Information Administration, Office of Energy Markets and End Use. 1987. </t>
    </r>
    <r>
      <rPr>
        <i/>
        <sz val="10"/>
        <rFont val="Arial"/>
        <family val="2"/>
      </rPr>
      <t>Residential Transportation Energy Consumption Survey: Consumption patterns of Household Vehicles, 1985</t>
    </r>
    <r>
      <rPr>
        <sz val="10"/>
        <rFont val="Arial"/>
        <family val="2"/>
      </rPr>
      <t>. Washington, DC, April, pp. 25, 27.</t>
    </r>
  </si>
  <si>
    <r>
      <t xml:space="preserve">1988-90: DOE, Energy Information Administration, Office of Energy Markets and End Use, Energy End Use Division. 1990. </t>
    </r>
    <r>
      <rPr>
        <i/>
        <sz val="10"/>
        <rFont val="Arial"/>
        <family val="2"/>
      </rPr>
      <t>Residential Transportation Energy Consumption Survey: Consumption patterns of Household Vehicles 1988</t>
    </r>
    <r>
      <rPr>
        <sz val="10"/>
        <rFont val="Arial"/>
        <family val="2"/>
      </rPr>
      <t>. Washington, DC, March, p. 65.</t>
    </r>
  </si>
  <si>
    <t>http://www.apta.com/research/stats/index.cfm</t>
  </si>
  <si>
    <r>
      <t xml:space="preserve">1991-93: DOE, Energy Information Administration, Office of Energy Markets and End Use, Energy End Use Division. 1993. </t>
    </r>
    <r>
      <rPr>
        <i/>
        <sz val="10"/>
        <rFont val="Arial"/>
        <family val="2"/>
      </rPr>
      <t>Household Vehicles Energy Consumption 1991</t>
    </r>
    <r>
      <rPr>
        <sz val="10"/>
        <rFont val="Arial"/>
        <family val="2"/>
      </rPr>
      <t>. Washington, DC, December, p. 46.</t>
    </r>
  </si>
  <si>
    <t>1970-86: 1982 Truck Inventory and Use Survey (TIUS) Public Use Tapes.</t>
  </si>
  <si>
    <t>1987-91: 1987 Truck Inventory and Use Survey (TIUS).</t>
  </si>
  <si>
    <t>1992-96: 1992 Truck Inventory and Use Survey (TIUS).</t>
  </si>
  <si>
    <t>Air Carrier</t>
  </si>
  <si>
    <t>Freight-based Activity</t>
  </si>
  <si>
    <t>http://www.bts.gov/publications/national_transportation_statistics/html/table_04_11.html</t>
  </si>
  <si>
    <t>http://www.bts.gov/publications/national_transportation_statistics/html/table_04_12.html</t>
  </si>
  <si>
    <t>http://www.bts.gov/publications/national_transportation_statistics/html/table_01_32.html</t>
  </si>
  <si>
    <t>                     (Million Cubic Feet)</t>
  </si>
  <si>
    <t>Commercial Sector</t>
  </si>
  <si>
    <t>Industrial Sector</t>
  </si>
  <si>
    <t>Transportation Sector</t>
  </si>
  <si>
    <t>Residential</t>
  </si>
  <si>
    <t>Other Industrial</t>
  </si>
  <si>
    <t>Sector</t>
  </si>
  <si>
    <t>Lease and</t>
  </si>
  <si>
    <t>and Dis-</t>
  </si>
  <si>
    <t>Plant Fuel</t>
  </si>
  <si>
    <t>at end of section.</t>
  </si>
  <si>
    <t>R=Revised.  P=Preliminary.  NA=Not available.  (s)=Less than 0.5 billion cubic feet.  </t>
  </si>
  <si>
    <t>Web Page:  See http://www.eia.doe.gov/oil_gas_/natural_gas/info_glance/natural_gas.html for related</t>
  </si>
  <si>
    <t>information.</t>
  </si>
  <si>
    <t>1999), Table 10, and "Alternatives to Traditional Transportation Fuels 2003" (February 2004), Table 10.  Data for</t>
  </si>
  <si>
    <t>compressed natural gas and liquefied natural gas in gasoline-equivalent gallons were converted to cubic feet by</t>
  </si>
  <si>
    <t>multiplying by the motor gasoline conversion factor (see Table A3) and dividing by the natural gas end-use</t>
  </si>
  <si>
    <t>Calculated.</t>
  </si>
  <si>
    <t>Transportation Services Index</t>
  </si>
  <si>
    <t>Chain-type Index: 2000 = 100</t>
  </si>
  <si>
    <t>Date</t>
  </si>
  <si>
    <t>TSI-Freight</t>
  </si>
  <si>
    <t>Change from previous month</t>
  </si>
  <si>
    <t>TSI-Passenger</t>
  </si>
  <si>
    <t>TSI-Combined</t>
  </si>
  <si>
    <t>NOTE: P = preliminary; R = revised</t>
  </si>
  <si>
    <t>NOTE: TSI is updated monthly. The index numbers for the latest three months are considered to be preliminary. BTS releases the preliminary number for the latest month and replaces the number for the oldest preliminary month with a revised number. All othe</t>
  </si>
  <si>
    <t>SOURCES:</t>
  </si>
  <si>
    <t>TSI numbers are BTS estimates.</t>
  </si>
  <si>
    <t>Monthly Gross Domestic Product (GDP) Quantity Index numbers are BTS estimates based on Quarterly GDP data published by the Bureau of Economic Analysis (BEA).</t>
  </si>
  <si>
    <t xml:space="preserve">2006 Average </t>
  </si>
  <si>
    <t xml:space="preserve">2007 Average </t>
  </si>
  <si>
    <t>Three-yr ave</t>
  </si>
  <si>
    <t>Weight</t>
  </si>
  <si>
    <t>Weighted change</t>
  </si>
  <si>
    <t>Calc. MPG</t>
  </si>
  <si>
    <t>Note:  The Federal Highway Administration in the 2006 edition of Highway Statistics states:</t>
  </si>
  <si>
    <t xml:space="preserve">     gallon for both diesel and gasoline powered vehicles using State-supplied data,</t>
  </si>
  <si>
    <t xml:space="preserve">     the 2002 VIUS, and other sources for motorcycles and buses.  Procedures were revised</t>
  </si>
  <si>
    <r>
      <t xml:space="preserve">   "Distribution (</t>
    </r>
    <r>
      <rPr>
        <i/>
        <sz val="10"/>
        <rFont val="Arial"/>
        <family val="2"/>
      </rPr>
      <t>of fuel use</t>
    </r>
    <r>
      <rPr>
        <sz val="10"/>
        <rFont val="Arial"/>
        <family val="2"/>
      </rPr>
      <t>) by vehicle use is estimated by the FHWA base on miles per</t>
    </r>
  </si>
  <si>
    <r>
      <t xml:space="preserve">     for this (</t>
    </r>
    <r>
      <rPr>
        <i/>
        <sz val="10"/>
        <rFont val="Arial"/>
        <family val="2"/>
      </rPr>
      <t>2005</t>
    </r>
    <r>
      <rPr>
        <sz val="10"/>
        <rFont val="Arial"/>
        <family val="2"/>
      </rPr>
      <t>) table.  (Italics added).  The major result of this change was to reduce</t>
    </r>
  </si>
  <si>
    <t xml:space="preserve">     average MPG for combination trucks from 5.9 to 5.2</t>
  </si>
  <si>
    <t xml:space="preserve">           As Published and Revised in FHWA VM-1 for Fuel Use and VMT</t>
  </si>
  <si>
    <t xml:space="preserve"> Orig. Pub. MPG</t>
  </si>
  <si>
    <t>caused by 1997 VIUS and 2002 VIUS, applied in 1998 and 2003-2004</t>
  </si>
  <si>
    <r>
      <t xml:space="preserve">Energy Information Adminstration. 2007.  </t>
    </r>
    <r>
      <rPr>
        <i/>
        <sz val="10"/>
        <rFont val="Arial"/>
        <family val="2"/>
      </rPr>
      <t>Annual Energy Review, 2006</t>
    </r>
    <r>
      <rPr>
        <sz val="10"/>
        <rFont val="Arial"/>
        <family val="2"/>
      </rPr>
      <t xml:space="preserve">.  Table 6.5 (Total </t>
    </r>
    <r>
      <rPr>
        <sz val="10"/>
        <rFont val="Arial"/>
        <family val="2"/>
      </rPr>
      <t xml:space="preserve"> consumption less pipeline fuel less lease and plant fuel)  See worksheet Table 6.5(AER2006)</t>
    </r>
  </si>
  <si>
    <r>
      <t xml:space="preserve">1996-2005: American Public Transportation Association. 2007. </t>
    </r>
    <r>
      <rPr>
        <i/>
        <sz val="10"/>
        <rFont val="Arial"/>
        <family val="2"/>
      </rPr>
      <t>Public Transportation Fact Book</t>
    </r>
    <r>
      <rPr>
        <sz val="10"/>
        <rFont val="Arial"/>
        <family val="2"/>
      </rPr>
      <t>; Table 85</t>
    </r>
  </si>
  <si>
    <r>
      <t xml:space="preserve">2002-2004:  Estimates shares for diesel and LPG from </t>
    </r>
    <r>
      <rPr>
        <i/>
        <sz val="10"/>
        <rFont val="Arial"/>
        <family val="2"/>
      </rPr>
      <t>Transportation Energy Data Book, Edition 24.</t>
    </r>
    <r>
      <rPr>
        <sz val="10"/>
        <rFont val="Arial"/>
        <family val="2"/>
      </rPr>
      <t xml:space="preserve"> Table A.6 </t>
    </r>
  </si>
  <si>
    <r>
      <t xml:space="preserve">1958-80: Bureau of Transportation Statistics, Office of Airline Information. </t>
    </r>
    <r>
      <rPr>
        <i/>
        <sz val="10"/>
        <rFont val="Arial"/>
        <family val="2"/>
      </rPr>
      <t>Historical Air Traffic Statistics, Annual 1954-1980</t>
    </r>
    <r>
      <rPr>
        <sz val="10"/>
        <rFont val="Arial"/>
        <family val="2"/>
      </rPr>
      <t>. (http://www.bts.gov/oai/indicators/airtraffic/annual/1954-1980.html)</t>
    </r>
  </si>
  <si>
    <t>Note: Includes Revenue Freight Ton-Miles for all Form 41 Carriers: Majors, Nationals, and Large and Medium Regionals. Small Certificated Air Carriers and Commuter Air Carriers are not included.</t>
  </si>
  <si>
    <t>Waterborne Vessels</t>
  </si>
  <si>
    <r>
      <t xml:space="preserve">1980-99: U.S. Army Corps of Engineers. </t>
    </r>
    <r>
      <rPr>
        <i/>
        <sz val="10"/>
        <rFont val="Arial"/>
        <family val="2"/>
      </rPr>
      <t>Waterborne Commerce of the United States: Calendar Year 1999, Part 5-National Summaries</t>
    </r>
    <r>
      <rPr>
        <sz val="10"/>
        <rFont val="Arial"/>
        <family val="2"/>
      </rPr>
      <t>. Alexandria, Virginia, Table 1-4.</t>
    </r>
  </si>
  <si>
    <t>Passenger Cars</t>
  </si>
  <si>
    <t>Light Trucks, Other Single Unit Trucks, Combination Trucks</t>
  </si>
  <si>
    <r>
      <t xml:space="preserve">1990-2000: Association of American Railroads. 2001. </t>
    </r>
    <r>
      <rPr>
        <i/>
        <sz val="10"/>
        <rFont val="Arial"/>
        <family val="2"/>
      </rPr>
      <t>Railroad Facts, 2001 Edition</t>
    </r>
    <r>
      <rPr>
        <sz val="10"/>
        <rFont val="Arial"/>
        <family val="2"/>
      </rPr>
      <t>. Washington, DC, October, p. 27.</t>
    </r>
  </si>
  <si>
    <r>
      <t xml:space="preserve">1968-79: Association of American Railroads. 1983. </t>
    </r>
    <r>
      <rPr>
        <i/>
        <sz val="10"/>
        <rFont val="Arial"/>
        <family val="2"/>
      </rPr>
      <t>Railroad Facts, 1983 Edition</t>
    </r>
    <r>
      <rPr>
        <sz val="10"/>
        <rFont val="Arial"/>
        <family val="2"/>
      </rPr>
      <t>. Washington, DC, September, p. 29.</t>
    </r>
  </si>
  <si>
    <r>
      <t xml:space="preserve">1951, 1955, 1960, 1980-89: Association of American Railroads. 1991. </t>
    </r>
    <r>
      <rPr>
        <i/>
        <sz val="10"/>
        <rFont val="Arial"/>
        <family val="2"/>
      </rPr>
      <t>Railroad Facts, 1991 Edition</t>
    </r>
    <r>
      <rPr>
        <sz val="10"/>
        <rFont val="Arial"/>
        <family val="2"/>
      </rPr>
      <t>. Washington, DC, September, p. 27.</t>
    </r>
  </si>
  <si>
    <r>
      <t xml:space="preserve">1961-67: Association of American Railroads. 1976. </t>
    </r>
    <r>
      <rPr>
        <i/>
        <sz val="10"/>
        <rFont val="Arial"/>
        <family val="2"/>
      </rPr>
      <t>Railroad Facts, 1976 Edition</t>
    </r>
    <r>
      <rPr>
        <sz val="10"/>
        <rFont val="Arial"/>
        <family val="2"/>
      </rPr>
      <t>. Washington, DC, p. 29.</t>
    </r>
  </si>
  <si>
    <t>Bus</t>
  </si>
  <si>
    <t>Intercity</t>
  </si>
  <si>
    <t>Heavy/Light Rail</t>
  </si>
  <si>
    <t>Unlinked Passenger Trips</t>
  </si>
  <si>
    <t xml:space="preserve">  Heavy</t>
  </si>
  <si>
    <t xml:space="preserve">  Light</t>
  </si>
  <si>
    <t>Implied Miles/Trip</t>
  </si>
  <si>
    <t xml:space="preserve">     Passenger-trips:  Table 1, Appendix A</t>
  </si>
  <si>
    <t xml:space="preserve">     of 2009 Public Transportation Fact Book</t>
  </si>
  <si>
    <t xml:space="preserve">     From Table 3, average trip lengths</t>
  </si>
  <si>
    <t xml:space="preserve">     for 1977-1979 are 4.5 and 3.8 miles</t>
  </si>
  <si>
    <t xml:space="preserve"> Calculated Pass-Miles</t>
  </si>
  <si>
    <t>Urban Rail (Light, Heavy)</t>
  </si>
  <si>
    <t>Unlinked passenger trips multiplied by average miles per trip (4.5 for heavy, 3.8 for light), see columns AE-AK</t>
  </si>
  <si>
    <t xml:space="preserve">Alternative source: </t>
  </si>
  <si>
    <t>Buses and Paratransit</t>
  </si>
  <si>
    <r>
      <t xml:space="preserve">    </t>
    </r>
    <r>
      <rPr>
        <b/>
        <i/>
        <sz val="10"/>
        <rFont val="Arial"/>
        <family val="2"/>
      </rPr>
      <t xml:space="preserve"> Note: No reliable data source yet available for oil pipeline energy consumption, oil pipeline data in this worksheet is adjusted to negate impact from this mode.</t>
    </r>
  </si>
  <si>
    <t>Transit Bus</t>
  </si>
  <si>
    <t>School Bus</t>
  </si>
  <si>
    <t>Transit</t>
  </si>
  <si>
    <t>Note: Amtrak data is compiled by fiscal year rather than calendar year.</t>
  </si>
  <si>
    <t>Intercity (Amtrak)</t>
  </si>
  <si>
    <t>Class I Freight</t>
  </si>
  <si>
    <t>Domestic &amp; Foreign Commerce in U.S. Waters</t>
  </si>
  <si>
    <t>Unit</t>
  </si>
  <si>
    <t>Approximate Energy Content of Fuels</t>
  </si>
  <si>
    <t>Btu/kWhr</t>
  </si>
  <si>
    <t>Commercial Air Carrier (Form 41 Carriers)</t>
  </si>
  <si>
    <r>
      <t xml:space="preserve">1980-89: Association of American Railroads. 1991. </t>
    </r>
    <r>
      <rPr>
        <i/>
        <sz val="10"/>
        <rFont val="Arial"/>
        <family val="2"/>
      </rPr>
      <t>Railroad Facts, 1991 Edition</t>
    </r>
    <r>
      <rPr>
        <sz val="10"/>
        <rFont val="Arial"/>
        <family val="2"/>
      </rPr>
      <t>. Washington, DC, September, p. 60.</t>
    </r>
  </si>
  <si>
    <r>
      <t xml:space="preserve">1968-79: Association of American Railroads. 1983. </t>
    </r>
    <r>
      <rPr>
        <i/>
        <sz val="10"/>
        <rFont val="Arial"/>
        <family val="2"/>
      </rPr>
      <t>Railroad Facts, 1983 Edition</t>
    </r>
    <r>
      <rPr>
        <sz val="10"/>
        <rFont val="Arial"/>
        <family val="2"/>
      </rPr>
      <t>. Washington, DC, September, p. 60.</t>
    </r>
  </si>
  <si>
    <t>School</t>
  </si>
  <si>
    <t>Bus - School</t>
  </si>
  <si>
    <t>Bus - Urban</t>
  </si>
  <si>
    <t>CNG</t>
  </si>
  <si>
    <t>LNG</t>
  </si>
  <si>
    <t>Methanol</t>
  </si>
  <si>
    <t>Compressed gas at 2,400 psi.</t>
  </si>
  <si>
    <t>(million gallons, unless otherwise specified)</t>
  </si>
  <si>
    <r>
      <t xml:space="preserve">1984-99: American Public Transportation Association. 2001. </t>
    </r>
    <r>
      <rPr>
        <i/>
        <sz val="10"/>
        <rFont val="Arial"/>
        <family val="2"/>
      </rPr>
      <t>Public Transportation Fact Book</t>
    </r>
    <r>
      <rPr>
        <sz val="10"/>
        <rFont val="Arial"/>
        <family val="2"/>
      </rPr>
      <t>, 52nd edition. Tables 65-66, pp. 112-113.</t>
    </r>
  </si>
  <si>
    <t>Total Commerce - US Waters</t>
  </si>
  <si>
    <t>Natural Gas</t>
  </si>
  <si>
    <t>International Vessel (in US Waters)</t>
  </si>
  <si>
    <t>Oil</t>
  </si>
  <si>
    <t>Natural Gas Consumption (million tons)</t>
  </si>
  <si>
    <t>Natural Gas Delivered to End Users (million cu. ft.)</t>
  </si>
  <si>
    <t>Conversion Factor (cu. ft. to tons)</t>
  </si>
  <si>
    <t>Avg. Length of Natural Gas Shipment (miles)</t>
  </si>
  <si>
    <t>Data Used to Calculate Natural Gas Ton-Miles</t>
  </si>
  <si>
    <t>Gas Pipeline</t>
  </si>
  <si>
    <r>
      <t xml:space="preserve">Original sources: For 1950-77, </t>
    </r>
    <r>
      <rPr>
        <i/>
        <sz val="10"/>
        <rFont val="Arial"/>
        <family val="2"/>
      </rPr>
      <t>Transport Economics</t>
    </r>
    <r>
      <rPr>
        <sz val="10"/>
        <rFont val="Arial"/>
        <family val="2"/>
      </rPr>
      <t xml:space="preserve"> (Interstate Commerce Commission). Figures from 1978 taken from </t>
    </r>
    <r>
      <rPr>
        <i/>
        <sz val="10"/>
        <rFont val="Arial"/>
        <family val="2"/>
      </rPr>
      <t>Shifts in Petroleum Transportation</t>
    </r>
    <r>
      <rPr>
        <sz val="10"/>
        <rFont val="Arial"/>
        <family val="2"/>
      </rPr>
      <t xml:space="preserve"> (Association of Oil Pipe Lines).</t>
    </r>
  </si>
  <si>
    <t>Calculated based on the following data:</t>
  </si>
  <si>
    <t xml:space="preserve">Natural gas delivered to consumers used as a surrogate for natural gas transported by pipeline. </t>
  </si>
  <si>
    <r>
      <t xml:space="preserve">Natural gas tonnage converted to ton-miles based on an estimated average length of haul of 620 miles (Ross. 1989. Energy and Transportation in the United States. </t>
    </r>
    <r>
      <rPr>
        <i/>
        <sz val="10"/>
        <rFont val="Arial"/>
        <family val="2"/>
      </rPr>
      <t>Annual Reviews of Energy.</t>
    </r>
    <r>
      <rPr>
        <sz val="10"/>
        <rFont val="Arial"/>
        <family val="2"/>
      </rPr>
      <t xml:space="preserve"> vol. 14, Table 2, footnote j.)</t>
    </r>
  </si>
  <si>
    <r>
      <t>Natural gas cu. ft. converted to tons using a methane density of 0.04479 lb/cu. ft. (</t>
    </r>
    <r>
      <rPr>
        <i/>
        <sz val="10"/>
        <rFont val="Arial"/>
        <family val="2"/>
      </rPr>
      <t>CRC Handbook of Chemistry and Physics</t>
    </r>
    <r>
      <rPr>
        <sz val="10"/>
        <rFont val="Arial"/>
        <family val="2"/>
      </rPr>
      <t>, 73rd Edition, p. 8-50.)</t>
    </r>
  </si>
  <si>
    <t>Gas</t>
  </si>
  <si>
    <t>Natural Gas - Dry</t>
  </si>
  <si>
    <t>Btu/ft3</t>
  </si>
  <si>
    <t>Comments</t>
  </si>
  <si>
    <t>Natural Gas Pipeline</t>
  </si>
  <si>
    <t>Bus - Intercity</t>
  </si>
  <si>
    <t>Notes:</t>
  </si>
  <si>
    <t>Commuter Rail</t>
  </si>
  <si>
    <t>Heavy Rail</t>
  </si>
  <si>
    <t>Light Rail</t>
  </si>
  <si>
    <r>
      <t xml:space="preserve">1984-99: American Public Transportation Association. 2001. </t>
    </r>
    <r>
      <rPr>
        <i/>
        <sz val="10"/>
        <rFont val="Arial"/>
        <family val="2"/>
      </rPr>
      <t>Public Transportation Fact Book</t>
    </r>
    <r>
      <rPr>
        <sz val="10"/>
        <rFont val="Arial"/>
        <family val="2"/>
      </rPr>
      <t>, 52nd edition. Tables 65-67, pp. 112-114.</t>
    </r>
  </si>
  <si>
    <t>(million ton-miles, unless otherwise noted)</t>
  </si>
  <si>
    <t>Single-Unit Truck (million vehicle-miles)</t>
  </si>
  <si>
    <t>Form 41 Carrier</t>
  </si>
  <si>
    <t>Form 41 Carrier - Domestic &amp; International</t>
  </si>
  <si>
    <r>
      <t xml:space="preserve">1974-79: U.S. Army Corps of Engineers. </t>
    </r>
    <r>
      <rPr>
        <i/>
        <sz val="10"/>
        <rFont val="Arial"/>
        <family val="2"/>
      </rPr>
      <t>Waterborne Commerce of the United States: Calendar Year 1983, Part 5-National Summaries</t>
    </r>
    <r>
      <rPr>
        <sz val="10"/>
        <rFont val="Arial"/>
        <family val="2"/>
      </rPr>
      <t>. Fort Belvoir, Virginia, Table 1.</t>
    </r>
  </si>
  <si>
    <r>
      <t xml:space="preserve">1962-65: U.S. Army Corps of Engineers. </t>
    </r>
    <r>
      <rPr>
        <i/>
        <sz val="10"/>
        <rFont val="Arial"/>
        <family val="2"/>
      </rPr>
      <t>Waterborne Commerce of the United States: Calendar Year 1970, Part 5-National Summaries</t>
    </r>
    <r>
      <rPr>
        <sz val="10"/>
        <rFont val="Arial"/>
        <family val="2"/>
      </rPr>
      <t>. Fort Belvoir, Virginia, Section 3, Table 1, p. 121.</t>
    </r>
  </si>
  <si>
    <r>
      <t xml:space="preserve">1966-73: U.S. Army Corps of Engineers. </t>
    </r>
    <r>
      <rPr>
        <i/>
        <sz val="10"/>
        <rFont val="Arial"/>
        <family val="2"/>
      </rPr>
      <t>Waterborne Commerce of the United States: Calendar Year 1975, Part 5-National Summaries</t>
    </r>
    <r>
      <rPr>
        <sz val="10"/>
        <rFont val="Arial"/>
        <family val="2"/>
      </rPr>
      <t>. Fort Belvoir, Virginia, Section 3, Table 1, p. 89.</t>
    </r>
  </si>
  <si>
    <r>
      <t xml:space="preserve">1980-83: Research and Special Programs Administration (RSPA). 1985. </t>
    </r>
    <r>
      <rPr>
        <i/>
        <sz val="10"/>
        <rFont val="Arial"/>
        <family val="2"/>
      </rPr>
      <t>National Transportation Statistics: Annual Report, 1985</t>
    </r>
    <r>
      <rPr>
        <sz val="10"/>
        <rFont val="Arial"/>
        <family val="2"/>
      </rPr>
      <t>. Cambridge, Massachusetts, Table 30. (Original source: FAA)</t>
    </r>
  </si>
  <si>
    <t xml:space="preserve">      2005-2007:</t>
  </si>
  <si>
    <t>Total Energy (Tbtu)</t>
  </si>
  <si>
    <t>Total Energy (Tbtu) - old series</t>
  </si>
  <si>
    <t>http://tonto.eia.doe.gov/dnav/pet/pet_cons_821dsta_dcu_nus_a.htm</t>
  </si>
  <si>
    <t>distillate</t>
  </si>
  <si>
    <t>http://tonto.eia.doe.gov/dnav/pet/pet_cons_821rsda_dcu_nus_a.htm</t>
  </si>
  <si>
    <t xml:space="preserve">fuel oil </t>
  </si>
  <si>
    <t>Values interpolated or extrapolated from data at 5-year intervals</t>
  </si>
  <si>
    <t>i</t>
  </si>
  <si>
    <t>User Select:  Gross (1) or Net (2) content</t>
  </si>
  <si>
    <t>(Net content always used for electricity)</t>
  </si>
  <si>
    <t xml:space="preserve"> Selected:</t>
  </si>
  <si>
    <t>http://www.bts.gov/programs/airline_information/air_carrier_traffic_statistics/airtraffic/annual/1981_present.html</t>
  </si>
  <si>
    <t>business is to sell electricity, or electricity and heat, to the public.  Through 1988, data are for electric utilities</t>
  </si>
  <si>
    <t>only; beginning in 1989, data are for electric utilities and independent power producers.  Electric utility CHP</t>
  </si>
  <si>
    <t>plants are included in "Electricity Only."</t>
  </si>
  <si>
    <t>"Other Industrial" and "Electric Power Sector."  See Note 3, "Natural Gas Consumption, 1989-1992," at end of</t>
  </si>
  <si>
    <t>section.</t>
  </si>
  <si>
    <t>may not equal sum of components due to independent rounding.</t>
  </si>
  <si>
    <t>Note: Series not continuous between 1983 and 1984.</t>
  </si>
  <si>
    <r>
      <t xml:space="preserve">1962-79: Research and Special Programs Administration (RSPA). 1993. </t>
    </r>
    <r>
      <rPr>
        <i/>
        <sz val="10"/>
        <rFont val="Arial"/>
        <family val="2"/>
      </rPr>
      <t>National Transportation Statistics: Annual Report, September 1993</t>
    </r>
    <r>
      <rPr>
        <sz val="10"/>
        <rFont val="Arial"/>
        <family val="2"/>
      </rPr>
      <t>. Cambridge, Massachusetts, September, Table 77, p. 171. (Original source: FAA)</t>
    </r>
  </si>
  <si>
    <t>Electricity *</t>
  </si>
  <si>
    <t>* Not including energy losses for energy conversion at power plant and transmission efficiency</t>
  </si>
  <si>
    <t>For consistency, the person responsible for the utility sector should decide what the conversion efficiency and transmission efficiency should be.</t>
  </si>
  <si>
    <t>Excluding Losses</t>
  </si>
  <si>
    <t>Including Losses</t>
  </si>
  <si>
    <t>Sources:</t>
  </si>
  <si>
    <t xml:space="preserve">        Data from:</t>
  </si>
  <si>
    <t>Other Single Unit Trucks</t>
  </si>
  <si>
    <t xml:space="preserve"> All Fuels</t>
  </si>
  <si>
    <t>Combination trucks</t>
  </si>
  <si>
    <t xml:space="preserve">1994-2003:  </t>
  </si>
  <si>
    <r>
      <t xml:space="preserve">1985-1999: ORNL. 2001. </t>
    </r>
    <r>
      <rPr>
        <i/>
        <sz val="10"/>
        <rFont val="Arial"/>
        <family val="2"/>
      </rPr>
      <t>Transportation Energy Data Book: Edition 21</t>
    </r>
    <r>
      <rPr>
        <sz val="10"/>
        <rFont val="Arial"/>
        <family val="2"/>
      </rPr>
      <t>. Table 12.1, page 12-2.</t>
    </r>
  </si>
  <si>
    <r>
      <t xml:space="preserve">1996:2003:  </t>
    </r>
    <r>
      <rPr>
        <i/>
        <sz val="10"/>
        <rFont val="Arial"/>
        <family val="2"/>
      </rPr>
      <t xml:space="preserve">Original Source:  Shifts in Petroleum Transportation </t>
    </r>
    <r>
      <rPr>
        <sz val="10"/>
        <rFont val="Arial"/>
        <family val="2"/>
      </rPr>
      <t xml:space="preserve">(Washington, D.C.:  Annual Issues, Table 1.  Data here taken from: </t>
    </r>
  </si>
  <si>
    <t xml:space="preserve"> (millions)</t>
  </si>
  <si>
    <t xml:space="preserve">Source: </t>
  </si>
  <si>
    <r>
      <t xml:space="preserve">2000-02: U.S  Army Corps of Engineers. </t>
    </r>
    <r>
      <rPr>
        <i/>
        <sz val="10"/>
        <rFont val="Arial"/>
        <family val="2"/>
      </rPr>
      <t>Waterborne Commerce of the United States: Calendar Year 2002, Part 5-National Summaries</t>
    </r>
    <r>
      <rPr>
        <sz val="10"/>
        <rFont val="Arial"/>
        <family val="2"/>
      </rPr>
      <t xml:space="preserve">.  Alexandria, Virginia, Table 1-4. </t>
    </r>
  </si>
  <si>
    <t>Bunker Fuel</t>
  </si>
  <si>
    <t>Distillate</t>
  </si>
  <si>
    <t>Residual</t>
  </si>
  <si>
    <r>
      <t xml:space="preserve">1984-1989: Federal Aviation Administration (FAA). </t>
    </r>
    <r>
      <rPr>
        <i/>
        <sz val="10"/>
        <rFont val="Arial"/>
        <family val="2"/>
      </rPr>
      <t>General Aviation Activity and Avionics Survey</t>
    </r>
    <r>
      <rPr>
        <sz val="10"/>
        <rFont val="Arial"/>
        <family val="2"/>
      </rPr>
      <t>, annual issues. Washington, DC.</t>
    </r>
  </si>
  <si>
    <t>Primary source as from 1984-1989, however data from BTS web site:</t>
  </si>
  <si>
    <t>[10]</t>
  </si>
  <si>
    <t>[11]</t>
  </si>
  <si>
    <t>[R]</t>
  </si>
  <si>
    <t>Component Intensity        Index</t>
  </si>
  <si>
    <t>Component Intensity Index</t>
  </si>
  <si>
    <t>Component   Intensity       Index</t>
  </si>
  <si>
    <t>Component Intensity       Index</t>
  </si>
  <si>
    <t>Component Intensity      Index</t>
  </si>
  <si>
    <t>Million Pass-Miles</t>
  </si>
  <si>
    <t>Total of Indicators Categories (Col E,F,H)</t>
  </si>
  <si>
    <t>* We have not yet found a source for ton-miles transported by Single-Unit Trucks. Therefore, we have included vehicle-miles of travel as a placeholder.</t>
  </si>
  <si>
    <t>Urban Rail (Hvy, Lt, Commuter)</t>
  </si>
  <si>
    <t>Freight</t>
  </si>
  <si>
    <t>Pipelines</t>
  </si>
  <si>
    <t>Electricity</t>
  </si>
  <si>
    <t>Delivered</t>
  </si>
  <si>
    <t>Deliv</t>
  </si>
  <si>
    <t>Activity</t>
  </si>
  <si>
    <t>General Inputs</t>
  </si>
  <si>
    <t>Base Year for Indexes:</t>
  </si>
  <si>
    <t xml:space="preserve">    Primary</t>
  </si>
  <si>
    <t>Fuel Type</t>
  </si>
  <si>
    <t xml:space="preserve">     Primary</t>
  </si>
  <si>
    <t>x</t>
  </si>
  <si>
    <t xml:space="preserve">     Electricity</t>
  </si>
  <si>
    <t xml:space="preserve">     Fossil + Renewables</t>
  </si>
  <si>
    <t xml:space="preserve">     Natural Gas</t>
  </si>
  <si>
    <t xml:space="preserve">     Petroleum</t>
  </si>
  <si>
    <t xml:space="preserve">                 </t>
  </si>
  <si>
    <t>Selected:</t>
  </si>
  <si>
    <t>Starting year for charts:</t>
  </si>
  <si>
    <t>Ending year for charts:</t>
  </si>
  <si>
    <t>Base Row</t>
  </si>
  <si>
    <t>Base Row2</t>
  </si>
  <si>
    <t>Nominal Energy Intensity (Btu/P-M)</t>
  </si>
  <si>
    <t>Base_yr2</t>
  </si>
  <si>
    <t>Base_yr</t>
  </si>
  <si>
    <t>Energy Intensity (Index)</t>
  </si>
  <si>
    <t xml:space="preserve"> Btu/P-M</t>
  </si>
  <si>
    <t xml:space="preserve"> Million P-M</t>
  </si>
  <si>
    <t>Million P-M</t>
  </si>
  <si>
    <t>1985 = 1.0</t>
  </si>
  <si>
    <t xml:space="preserve">   Total</t>
  </si>
  <si>
    <t xml:space="preserve">  Delivered</t>
  </si>
  <si>
    <t>Product: Activity x Structure x Intensity</t>
  </si>
  <si>
    <t>Structure:Vehicle Mix</t>
  </si>
  <si>
    <t xml:space="preserve"> Energy Shares</t>
  </si>
  <si>
    <t>Log-Mean Weights</t>
  </si>
  <si>
    <t xml:space="preserve">Log-Mean Divisia Weights </t>
  </si>
  <si>
    <t xml:space="preserve">        (normalized)</t>
  </si>
  <si>
    <t>Log Changes - Intensity</t>
  </si>
  <si>
    <t>Activity Shares</t>
  </si>
  <si>
    <t>Log Changes - Activity Shares</t>
  </si>
  <si>
    <t xml:space="preserve">Index chg. </t>
  </si>
  <si>
    <t xml:space="preserve">  Index</t>
  </si>
  <si>
    <t>(unnorm.)</t>
  </si>
  <si>
    <t xml:space="preserve"> 1985 = 1</t>
  </si>
  <si>
    <t>Compute Intensity Index</t>
  </si>
  <si>
    <t>Compute Structure Index</t>
  </si>
  <si>
    <t>Index of  Aggregate Intensity</t>
  </si>
  <si>
    <t>Component Intensity          Index</t>
  </si>
  <si>
    <t>Actual Energy Use</t>
  </si>
  <si>
    <t>Structure x Intensity Index</t>
  </si>
  <si>
    <t>(1)</t>
  </si>
  <si>
    <t>(2)</t>
  </si>
  <si>
    <t>(3)</t>
  </si>
  <si>
    <t>(4)</t>
  </si>
  <si>
    <t>(5)</t>
  </si>
  <si>
    <t>(6)</t>
  </si>
  <si>
    <t>Personal Passenger Vehicles</t>
  </si>
  <si>
    <t>=(1)x(3)x(4)</t>
  </si>
  <si>
    <t xml:space="preserve"> =(1) x (2)</t>
  </si>
  <si>
    <t>(7)</t>
  </si>
  <si>
    <t>Activity (passenger-miles)</t>
  </si>
  <si>
    <t>Activity (passenger-miles [P-M])</t>
  </si>
  <si>
    <t>Air Passenger Transportation</t>
  </si>
  <si>
    <t>Highway Passenger Transportation</t>
  </si>
  <si>
    <t>Passenger Cars and Trucks</t>
  </si>
  <si>
    <t xml:space="preserve">Energy Intensity (Index)  </t>
  </si>
  <si>
    <t>From Lower Level</t>
  </si>
  <si>
    <t>Structure Index</t>
  </si>
  <si>
    <t>Log Changes--Lower-level Structure</t>
  </si>
  <si>
    <t xml:space="preserve">        (Current Level)</t>
  </si>
  <si>
    <t xml:space="preserve">        (Lower Level)           </t>
  </si>
  <si>
    <t>Structure: Lower level</t>
  </si>
  <si>
    <t>=(1)x(3)x(4)x(5)</t>
  </si>
  <si>
    <t>Total Structure</t>
  </si>
  <si>
    <t>=(3) x (4)</t>
  </si>
  <si>
    <t xml:space="preserve">Urban Rail </t>
  </si>
  <si>
    <t>Rail Passenger Transportation</t>
  </si>
  <si>
    <t>Urban Rail</t>
  </si>
  <si>
    <t>Structure:Urban vs Intercity</t>
  </si>
  <si>
    <t>Total</t>
  </si>
  <si>
    <t xml:space="preserve"> =(3) x (4)</t>
  </si>
  <si>
    <t xml:space="preserve">        (Next Lower Level)           </t>
  </si>
  <si>
    <t>Structure: Next lower level</t>
  </si>
  <si>
    <t>Assume ave. load of 3 tons</t>
  </si>
  <si>
    <t>Million T-M</t>
  </si>
  <si>
    <t>Freight -  Trucks</t>
  </si>
  <si>
    <t>Activity (ton-miles [T-M])</t>
  </si>
  <si>
    <t>Nominal Energy Intensity (Btu/T-M)</t>
  </si>
  <si>
    <t>Total Passenger Transportation</t>
  </si>
  <si>
    <t xml:space="preserve"> Year</t>
  </si>
  <si>
    <t>Total Freight Transportation</t>
  </si>
  <si>
    <t xml:space="preserve"> Million T-M</t>
  </si>
  <si>
    <t xml:space="preserve">  Highway</t>
  </si>
  <si>
    <t>All Passenger</t>
  </si>
  <si>
    <t>All Freight</t>
  </si>
  <si>
    <t xml:space="preserve">    NA</t>
  </si>
  <si>
    <t>Activity Index</t>
  </si>
  <si>
    <t xml:space="preserve">Log Changes - Activity </t>
  </si>
  <si>
    <t>Compute Activity Index</t>
  </si>
  <si>
    <t>Energy Consumption (TBtu)</t>
  </si>
  <si>
    <t xml:space="preserve"> (TBtu)</t>
  </si>
  <si>
    <t xml:space="preserve">   (TBtu)</t>
  </si>
  <si>
    <t>(8)</t>
  </si>
  <si>
    <t>Total Transportation</t>
  </si>
  <si>
    <t>(9)</t>
  </si>
  <si>
    <t>Structure: Activity Mix</t>
  </si>
  <si>
    <t>Freight -  Pipelines</t>
  </si>
  <si>
    <t xml:space="preserve">        (not used)</t>
  </si>
  <si>
    <t xml:space="preserve"> Btu/T-M</t>
  </si>
  <si>
    <t>Activity (ton -miles)</t>
  </si>
  <si>
    <t>Structure:Modal Shift</t>
  </si>
  <si>
    <t>Log-Mean Divisia Weights</t>
  </si>
  <si>
    <t>Charts</t>
  </si>
  <si>
    <t>Model Shifts</t>
  </si>
  <si>
    <t>Energy Intensity</t>
  </si>
  <si>
    <t>Energy Use</t>
  </si>
  <si>
    <t>Veh-Miles</t>
  </si>
  <si>
    <t>NPTS Load Factor</t>
  </si>
  <si>
    <t>Pass-Mi Deline</t>
  </si>
  <si>
    <r>
      <t xml:space="preserve">VMT 1981-95: Federal Highway Administration. </t>
    </r>
    <r>
      <rPr>
        <i/>
        <sz val="10"/>
        <rFont val="Arial"/>
        <family val="2"/>
      </rPr>
      <t>Highway Statistics Summary to 1995.</t>
    </r>
    <r>
      <rPr>
        <sz val="10"/>
        <rFont val="Arial"/>
        <family val="2"/>
      </rPr>
      <t xml:space="preserve"> Table VM-201A, April 1997.</t>
    </r>
  </si>
  <si>
    <r>
      <t xml:space="preserve">1970-76: Oak Ridge National Laboratory. 1993. </t>
    </r>
    <r>
      <rPr>
        <i/>
        <sz val="10"/>
        <rFont val="Arial"/>
        <family val="2"/>
      </rPr>
      <t>Transportation Energy Data Book, Edition 13</t>
    </r>
    <r>
      <rPr>
        <sz val="10"/>
        <rFont val="Arial"/>
        <family val="2"/>
      </rPr>
      <t>. ORNL-6743. Oak Ridge, Tennessee, Table 3.30, p. 3-46.</t>
    </r>
  </si>
  <si>
    <t>Total Personal Vehicles</t>
  </si>
  <si>
    <t>Air Freight:  Activity and Intensity Change</t>
  </si>
  <si>
    <t>Rail Freight:  Activity and Intensity Change</t>
  </si>
  <si>
    <t>Waterborne:  Activity and Intensity Change</t>
  </si>
  <si>
    <t>Intercity Rail:  Activity and Intensity Change</t>
  </si>
  <si>
    <t xml:space="preserve">Activity </t>
  </si>
  <si>
    <t>Commercial Air:  Activity and Intensity Change</t>
  </si>
  <si>
    <t>General Air:  Activity and Intensity Change</t>
  </si>
  <si>
    <t xml:space="preserve">Energy Use </t>
  </si>
  <si>
    <r>
      <t xml:space="preserve">      1996-2001:  Primary source:  U.S. Department of Transportation, Federal Highway Administration, </t>
    </r>
    <r>
      <rPr>
        <i/>
        <sz val="10"/>
        <rFont val="Arial"/>
        <family val="2"/>
      </rPr>
      <t xml:space="preserve">Highway Statistics, </t>
    </r>
    <r>
      <rPr>
        <sz val="10"/>
        <rFont val="Arial"/>
        <family val="2"/>
      </rPr>
      <t>Annual Editions, Table VM-1</t>
    </r>
  </si>
  <si>
    <r>
      <t xml:space="preserve">      1970-1995:  U.S. Department of Transportation, Federal Highway Administration, </t>
    </r>
    <r>
      <rPr>
        <i/>
        <sz val="10"/>
        <rFont val="Arial"/>
        <family val="2"/>
      </rPr>
      <t>Highway Statistics Summary to 1995</t>
    </r>
  </si>
  <si>
    <t xml:space="preserve">                       </t>
  </si>
  <si>
    <r>
      <t xml:space="preserve">      1996-2001:  U.S. Department of Transportation, Federal Highway Administration, </t>
    </r>
    <r>
      <rPr>
        <i/>
        <sz val="10"/>
        <rFont val="Arial"/>
        <family val="2"/>
      </rPr>
      <t xml:space="preserve">Highway Statistics, </t>
    </r>
    <r>
      <rPr>
        <sz val="10"/>
        <rFont val="Arial"/>
        <family val="2"/>
      </rPr>
      <t>Annual Editions, Table VM-1</t>
    </r>
  </si>
  <si>
    <t>For 1992 to 1994, we assume all non-diesel fuels are consumed by urban bus, except fuel categorized as “Other,” which was omitted.</t>
  </si>
  <si>
    <t>2000-2006</t>
  </si>
  <si>
    <t xml:space="preserve">The National Railroad Passenger Corporation, known as Amtrak, began operation in 1971.  Amtrak revenue passenger-miles have grown at an </t>
  </si>
  <si>
    <t xml:space="preserve">average annual rate of 2.9% from 1971 to 2009.  </t>
  </si>
  <si>
    <t>Summary Statistics for the National Railroad Passenger Corporation (Amtrak), 1971–2009</t>
  </si>
  <si>
    <t>Number of</t>
  </si>
  <si>
    <t>passenger</t>
  </si>
  <si>
    <t>Train-miles</t>
  </si>
  <si>
    <t>Car-miles</t>
  </si>
  <si>
    <t xml:space="preserve"> in service</t>
  </si>
  <si>
    <t>1971–2009</t>
  </si>
  <si>
    <t>1999–2009</t>
  </si>
  <si>
    <r>
      <t xml:space="preserve">1971–83- Association of American Railroads, Economics and Finance Department, </t>
    </r>
    <r>
      <rPr>
        <i/>
        <sz val="10"/>
        <color indexed="8"/>
        <rFont val="Times New Roman"/>
        <family val="1"/>
      </rPr>
      <t>Statistics of Class I Railroads</t>
    </r>
    <r>
      <rPr>
        <sz val="10"/>
        <color indexed="8"/>
        <rFont val="Times New Roman"/>
        <family val="1"/>
      </rPr>
      <t>, Washington, DC, and annual.</t>
    </r>
  </si>
  <si>
    <r>
      <t xml:space="preserve">1984–88- Association of American Railroads, </t>
    </r>
    <r>
      <rPr>
        <i/>
        <sz val="10"/>
        <color indexed="8"/>
        <rFont val="Times New Roman"/>
        <family val="1"/>
      </rPr>
      <t>Railroad Facts</t>
    </r>
    <r>
      <rPr>
        <sz val="10"/>
        <color indexed="8"/>
        <rFont val="Times New Roman"/>
        <family val="1"/>
      </rPr>
      <t>, 1988 Edition, Washington, DC, December 1989, p. 61, and annual.</t>
    </r>
  </si>
  <si>
    <t>1989–93- Personal communication with the Corporate Accounting Office of Amtrak, Washington, D.C.</t>
  </si>
  <si>
    <r>
      <t xml:space="preserve">1994–2009 - Number of locomotives in service, number of passenger cars, train-miles, car-miles, revenue passenger-miles, and average trip length - Association of American Railroads, </t>
    </r>
    <r>
      <rPr>
        <i/>
        <sz val="10"/>
        <color indexed="8"/>
        <rFont val="Times New Roman"/>
        <family val="1"/>
      </rPr>
      <t>Railroad Facts</t>
    </r>
    <r>
      <rPr>
        <sz val="10"/>
        <color indexed="8"/>
        <rFont val="Times New Roman"/>
        <family val="1"/>
      </rPr>
      <t>,</t>
    </r>
    <r>
      <rPr>
        <i/>
        <sz val="10"/>
        <color indexed="8"/>
        <rFont val="Times New Roman"/>
        <family val="1"/>
      </rPr>
      <t xml:space="preserve"> 2010 Edition</t>
    </r>
    <r>
      <rPr>
        <sz val="10"/>
        <color indexed="8"/>
        <rFont val="Times New Roman"/>
        <family val="1"/>
      </rPr>
      <t>, Washington, DC, 2010, p. 77.</t>
    </r>
  </si>
  <si>
    <t>Energy use - Personal communication with the Amtrak, Washington, DC.  (Additional resources: www.amtrak.com, www.aar.org)</t>
  </si>
  <si>
    <r>
      <t>a</t>
    </r>
    <r>
      <rPr>
        <sz val="10"/>
        <color indexed="8"/>
        <rFont val="Times New Roman"/>
        <family val="1"/>
      </rPr>
      <t xml:space="preserve"> Data are not available.</t>
    </r>
  </si>
  <si>
    <r>
      <t>b</t>
    </r>
    <r>
      <rPr>
        <sz val="10"/>
        <color indexed="8"/>
        <rFont val="Times New Roman"/>
        <family val="1"/>
      </rPr>
      <t xml:space="preserve"> Energy use for 1994 on is not directly comparable to earlier years.  Some commuter rail energy use may have been inadvertently included in earlier years.</t>
    </r>
  </si>
  <si>
    <t>b</t>
  </si>
  <si>
    <t>2006-09:  American Public Transportation Association.  2008 Public Transportation Fact Book; Table 33</t>
  </si>
  <si>
    <t>1965-2009:</t>
  </si>
  <si>
    <t xml:space="preserve">2001-2009: </t>
  </si>
  <si>
    <t>Table 6.5  Natural Gas Consumption by Sector, 1949-2010</t>
  </si>
  <si>
    <r>
      <t>2010</t>
    </r>
    <r>
      <rPr>
        <vertAlign val="superscript"/>
        <sz val="5"/>
        <color indexed="8"/>
        <rFont val="Arial"/>
        <family val="2"/>
      </rPr>
      <t>P</t>
    </r>
  </si>
  <si>
    <t>Web Page:  For related information, see http://www.eia.gov/naturalgas/.</t>
  </si>
  <si>
    <r>
      <t>and Distribution:  </t>
    </r>
    <r>
      <rPr>
        <sz val="7"/>
        <color indexed="8"/>
        <rFont val="Symbol"/>
        <family val="1"/>
        <charset val="2"/>
      </rPr>
      <t>·</t>
    </r>
    <r>
      <rPr>
        <sz val="7"/>
        <color indexed="8"/>
        <rFont val="Arial"/>
        <family val="2"/>
      </rPr>
      <t>  1949-2005U.S. Energy Information Administration (EIA), </t>
    </r>
    <r>
      <rPr>
        <i/>
        <sz val="7"/>
        <color indexed="8"/>
        <rFont val="Arial"/>
        <family val="2"/>
      </rPr>
      <t>Natural Gas Annual (NGA),</t>
    </r>
  </si>
  <si>
    <r>
      <t>annual reports and unpublished revisions.  </t>
    </r>
    <r>
      <rPr>
        <sz val="7"/>
        <color indexed="8"/>
        <rFont val="Symbol"/>
        <family val="1"/>
        <charset val="2"/>
      </rPr>
      <t>·</t>
    </r>
    <r>
      <rPr>
        <sz val="7"/>
        <color indexed="8"/>
        <rFont val="Arial"/>
        <family val="2"/>
      </rPr>
      <t>  2006 forwardEIA, </t>
    </r>
    <r>
      <rPr>
        <i/>
        <sz val="7"/>
        <color indexed="8"/>
        <rFont val="Arial"/>
        <family val="2"/>
      </rPr>
      <t>Natural Gas Monthly (NGM) </t>
    </r>
    <r>
      <rPr>
        <sz val="7"/>
        <color indexed="8"/>
        <rFont val="Arial"/>
        <family val="2"/>
      </rPr>
      <t>(March 2011),</t>
    </r>
  </si>
  <si>
    <r>
      <t>Table 2.  </t>
    </r>
    <r>
      <rPr>
        <b/>
        <sz val="7"/>
        <color indexed="8"/>
        <rFont val="Arial"/>
        <family val="2"/>
      </rPr>
      <t>Commercial CHP </t>
    </r>
    <r>
      <rPr>
        <sz val="7"/>
        <color indexed="8"/>
        <rFont val="Arial"/>
        <family val="2"/>
      </rPr>
      <t>and </t>
    </r>
    <r>
      <rPr>
        <b/>
        <sz val="7"/>
        <color indexed="8"/>
        <rFont val="Arial"/>
        <family val="2"/>
      </rPr>
      <t>Industrial CHP:  </t>
    </r>
    <r>
      <rPr>
        <sz val="7"/>
        <color indexed="8"/>
        <rFont val="Arial"/>
        <family val="2"/>
      </rPr>
      <t>Table 8.7c.  </t>
    </r>
    <r>
      <rPr>
        <b/>
        <sz val="7"/>
        <color indexed="8"/>
        <rFont val="Arial"/>
        <family val="2"/>
      </rPr>
      <t>Vehicle Fuel:  </t>
    </r>
    <r>
      <rPr>
        <sz val="7"/>
        <color indexed="8"/>
        <rFont val="Symbol"/>
        <family val="1"/>
        <charset val="2"/>
      </rPr>
      <t>·</t>
    </r>
    <r>
      <rPr>
        <sz val="7"/>
        <color indexed="8"/>
        <rFont val="Arial"/>
        <family val="2"/>
      </rPr>
      <t>  1990 and 1991EIA, NGA</t>
    </r>
  </si>
  <si>
    <r>
      <t>2000 (November 2001), Table 95.  </t>
    </r>
    <r>
      <rPr>
        <sz val="7"/>
        <color indexed="8"/>
        <rFont val="Symbol"/>
        <family val="1"/>
        <charset val="2"/>
      </rPr>
      <t>·</t>
    </r>
    <r>
      <rPr>
        <sz val="7"/>
        <color indexed="8"/>
        <rFont val="Arial"/>
        <family val="2"/>
      </rPr>
      <t>  1992-1998EIA, "Alternatives to Traditional Transportation Fuels 1999"</t>
    </r>
  </si>
  <si>
    <t>(October 1999), Table 10, and "Alternatives to Traditional Transportation Fuels 2003" (February 2004), Table 10.</t>
  </si>
  <si>
    <t> Data for compressed natural gas and liquefied natural gas in gasoline-equivalent gallons were converted to</t>
  </si>
  <si>
    <t>cubic feet by multiplying by the motor gasoline conversion factor (see Table A3) and dividing by the natural gas</t>
  </si>
  <si>
    <t>end-use sectors conversion factor (see Table A4).</t>
  </si>
  <si>
    <r>
      <t>·</t>
    </r>
    <r>
      <rPr>
        <sz val="7"/>
        <color indexed="8"/>
        <rFont val="Arial"/>
        <family val="2"/>
      </rPr>
      <t>  1999-2005EIA, NGA, annual reports.  </t>
    </r>
    <r>
      <rPr>
        <sz val="7"/>
        <color indexed="8"/>
        <rFont val="Symbol"/>
        <family val="1"/>
        <charset val="2"/>
      </rPr>
      <t>·</t>
    </r>
    <r>
      <rPr>
        <sz val="7"/>
        <color indexed="8"/>
        <rFont val="Arial"/>
        <family val="2"/>
      </rPr>
      <t>  2006 forwardEIA, NGM (March 2011), Table 2.  </t>
    </r>
    <r>
      <rPr>
        <b/>
        <sz val="7"/>
        <color indexed="8"/>
        <rFont val="Arial"/>
        <family val="2"/>
      </rPr>
      <t>Electric Power</t>
    </r>
  </si>
  <si>
    <r>
      <t>Sector:  </t>
    </r>
    <r>
      <rPr>
        <sz val="7"/>
        <color indexed="8"/>
        <rFont val="Arial"/>
        <family val="2"/>
      </rPr>
      <t>Tables 8.5b, 8.5c, 8.6b, and 8.7b.  </t>
    </r>
    <r>
      <rPr>
        <b/>
        <sz val="7"/>
        <color indexed="8"/>
        <rFont val="Arial"/>
        <family val="2"/>
      </rPr>
      <t>All Other Data:  </t>
    </r>
    <r>
      <rPr>
        <sz val="7"/>
        <color indexed="8"/>
        <rFont val="Arial"/>
        <family val="2"/>
      </rPr>
      <t>Calculated.</t>
    </r>
  </si>
  <si>
    <r>
      <t>8</t>
    </r>
    <r>
      <rPr>
        <sz val="7"/>
        <color indexed="8"/>
        <rFont val="Arial"/>
        <family val="2"/>
      </rPr>
      <t>Vehicle fuel data do not reflect revised data shown in Table 10.5.  See Note 4, "Natural Gas Vehicle Fuel,"</t>
    </r>
  </si>
  <si>
    <t>Table 2.1e  Transportation Sector Energy Consumption Estimates, 1949-2010</t>
  </si>
  <si>
    <t>                        (Billion Btu)</t>
  </si>
  <si>
    <r>
      <t>Primary Consumption </t>
    </r>
    <r>
      <rPr>
        <vertAlign val="superscript"/>
        <sz val="5"/>
        <color indexed="8"/>
        <rFont val="Arial"/>
        <family val="2"/>
      </rPr>
      <t>1</t>
    </r>
  </si>
  <si>
    <t>Total </t>
  </si>
  <si>
    <t>Electrical</t>
  </si>
  <si>
    <t>System</t>
  </si>
  <si>
    <t>Fossil Fuels</t>
  </si>
  <si>
    <r>
      <t>Renewable Energy </t>
    </r>
    <r>
      <rPr>
        <vertAlign val="superscript"/>
        <sz val="5"/>
        <color indexed="8"/>
        <rFont val="Arial"/>
        <family val="2"/>
      </rPr>
      <t>2</t>
    </r>
  </si>
  <si>
    <t>Retail</t>
  </si>
  <si>
    <r>
      <t>Sales </t>
    </r>
    <r>
      <rPr>
        <vertAlign val="superscript"/>
        <sz val="5"/>
        <color indexed="8"/>
        <rFont val="Arial"/>
        <family val="2"/>
      </rPr>
      <t>7</t>
    </r>
  </si>
  <si>
    <r>
      <t>Losses </t>
    </r>
    <r>
      <rPr>
        <vertAlign val="superscript"/>
        <sz val="5"/>
        <color indexed="8"/>
        <rFont val="Arial"/>
        <family val="2"/>
      </rPr>
      <t>8</t>
    </r>
  </si>
  <si>
    <t>Coal</t>
  </si>
  <si>
    <r>
      <t>Natural Gas </t>
    </r>
    <r>
      <rPr>
        <vertAlign val="superscript"/>
        <sz val="5"/>
        <color indexed="8"/>
        <rFont val="Arial"/>
        <family val="2"/>
      </rPr>
      <t>3</t>
    </r>
  </si>
  <si>
    <r>
      <t>Petroleum </t>
    </r>
    <r>
      <rPr>
        <vertAlign val="superscript"/>
        <sz val="5"/>
        <color indexed="8"/>
        <rFont val="Arial"/>
        <family val="2"/>
      </rPr>
      <t>4,5</t>
    </r>
  </si>
  <si>
    <r>
      <t>Biomass </t>
    </r>
    <r>
      <rPr>
        <vertAlign val="superscript"/>
        <sz val="5"/>
        <color indexed="8"/>
        <rFont val="Arial"/>
        <family val="2"/>
      </rPr>
      <t>6</t>
    </r>
  </si>
  <si>
    <t>Primary</t>
  </si>
  <si>
    <r>
      <t>1</t>
    </r>
    <r>
      <rPr>
        <sz val="7"/>
        <color indexed="8"/>
        <rFont val="Arial"/>
        <family val="2"/>
      </rPr>
      <t>See "Primary Energy Consumption" in Glossary.</t>
    </r>
  </si>
  <si>
    <r>
      <t>7</t>
    </r>
    <r>
      <rPr>
        <sz val="7"/>
        <color indexed="8"/>
        <rFont val="Arial"/>
        <family val="2"/>
      </rPr>
      <t>Electricity retail sales to ultimate customers reported by electric utilities and, beginning in 1996, other</t>
    </r>
  </si>
  <si>
    <t>energy service providers.</t>
  </si>
  <si>
    <r>
      <t>2</t>
    </r>
    <r>
      <rPr>
        <sz val="7"/>
        <color indexed="8"/>
        <rFont val="Arial"/>
        <family val="2"/>
      </rPr>
      <t>Data are estimates.  See Table 10.2b for notes on series components.</t>
    </r>
  </si>
  <si>
    <r>
      <t>8</t>
    </r>
    <r>
      <rPr>
        <sz val="7"/>
        <color indexed="8"/>
        <rFont val="Arial"/>
        <family val="2"/>
      </rPr>
      <t>Total losses are calculated as the primary energy consumed by the electric power sector minus the</t>
    </r>
  </si>
  <si>
    <t>energy content of electricity retail sales.  Total losses are allocated to the end-use sectors in proportion to</t>
  </si>
  <si>
    <t>each sector's share of total electricity retail sales.  See Note, "Electrical System Energy Losses," at end of</t>
  </si>
  <si>
    <r>
      <t>3</t>
    </r>
    <r>
      <rPr>
        <sz val="7"/>
        <color indexed="8"/>
        <rFont val="Arial"/>
        <family val="2"/>
      </rPr>
      <t>Natural gas only; does not include supplemental gaseous fuelssee Note 1, "Supplemental Gaseous</t>
    </r>
  </si>
  <si>
    <r>
      <t>9</t>
    </r>
    <r>
      <rPr>
        <sz val="7"/>
        <color indexed="8"/>
        <rFont val="Arial"/>
        <family val="2"/>
      </rPr>
      <t>Beginning in 1978, the small amounts of coal consumed for transportation are reported as industrial</t>
    </r>
  </si>
  <si>
    <t>Fuels," at end of Section 6.  Data are for natural gas consumed in the operation of pipelines (primarily in</t>
  </si>
  <si>
    <t>sector consumption.</t>
  </si>
  <si>
    <t>compressors) and small amounts consumed as vehicle fuelsee Table 6.5.</t>
  </si>
  <si>
    <r>
      <t>4</t>
    </r>
    <r>
      <rPr>
        <sz val="7"/>
        <color indexed="8"/>
        <rFont val="Arial"/>
        <family val="2"/>
      </rPr>
      <t>Based on petroleum product supplied.  For petroleum, product supplied is used as an approximation of</t>
    </r>
  </si>
  <si>
    <t>R=Revised.  P=Preliminary.  NA=Not available.  (s)=Less than 0.5 trillion Btu.  </t>
  </si>
  <si>
    <t>petroleum consumption.  See Note 1, "Petroleum Products Supplied and Petroleum Consumption," at end</t>
  </si>
  <si>
    <t>of Section 5.</t>
  </si>
  <si>
    <r>
      <t>5</t>
    </r>
    <r>
      <rPr>
        <sz val="7"/>
        <color indexed="8"/>
        <rFont val="Arial"/>
        <family val="2"/>
      </rPr>
      <t>Does not include biofuels that have been blended with petroleumbiofuels are included in "Biomass." </t>
    </r>
  </si>
  <si>
    <t>Note:  Totals may not equal sum of components due to independent rounding.</t>
  </si>
  <si>
    <r>
      <t>6</t>
    </r>
    <r>
      <rPr>
        <sz val="7"/>
        <color indexed="8"/>
        <rFont val="Arial"/>
        <family val="2"/>
      </rPr>
      <t>Fuel ethanol (minus denaturant) and biodiesel.</t>
    </r>
  </si>
  <si>
    <t>Sources:  Tables 2.1f, 5.14c, 6.5, 7.3, 8.9, 10.2b, A4, A5, and A6.</t>
  </si>
  <si>
    <t xml:space="preserve">2009&amp;2010 </t>
  </si>
  <si>
    <t>Bureau of Transportation Statistics Airline Data and Statistics</t>
  </si>
  <si>
    <t>http://www.bts.gov/xml/air_traffic/src/index.xml#CustomizeTable</t>
  </si>
  <si>
    <t>Data is for both domestic and international, total scheduled and non scheduled and both passenger and cargo for Freight Ton Miles (data is presented monthly on the website)</t>
  </si>
  <si>
    <t xml:space="preserve">         </t>
  </si>
  <si>
    <t>"0.05% difference because of change in motorcycle intensity"</t>
  </si>
  <si>
    <t>1970-1977</t>
  </si>
  <si>
    <t>Diesel (million gallons)</t>
  </si>
  <si>
    <r>
      <t xml:space="preserve">2002-2004:  Estimated shares for diesel and LPG from </t>
    </r>
    <r>
      <rPr>
        <i/>
        <sz val="10"/>
        <rFont val="Arial"/>
        <family val="2"/>
      </rPr>
      <t>Transportation Energy Data Book, Edition 24.</t>
    </r>
    <r>
      <rPr>
        <sz val="10"/>
        <rFont val="Arial"/>
        <family val="2"/>
      </rPr>
      <t xml:space="preserve"> Table A.6 </t>
    </r>
  </si>
  <si>
    <t>`</t>
  </si>
  <si>
    <t>2000-2010</t>
  </si>
  <si>
    <t>Highway Bus - BTS (T. 1-40)</t>
  </si>
  <si>
    <t xml:space="preserve">average annual rate of 3.0% from 1971 to 2010.  </t>
  </si>
  <si>
    <t>Summary Statistics for the National Railroad Passenger Corporation (Amtrak), 1971–2010</t>
  </si>
  <si>
    <r>
      <t>15.9</t>
    </r>
    <r>
      <rPr>
        <vertAlign val="superscript"/>
        <sz val="11"/>
        <color indexed="8"/>
        <rFont val="Times New Roman"/>
        <family val="1"/>
      </rPr>
      <t>b</t>
    </r>
  </si>
  <si>
    <t>1971-2010</t>
  </si>
  <si>
    <r>
      <t xml:space="preserve">1971–83- Association of American Railroads, Economics and Finance Department, </t>
    </r>
    <r>
      <rPr>
        <i/>
        <sz val="11"/>
        <color indexed="8"/>
        <rFont val="Times New Roman"/>
        <family val="1"/>
      </rPr>
      <t>Statistics of Class I Railroads</t>
    </r>
    <r>
      <rPr>
        <sz val="11"/>
        <color indexed="8"/>
        <rFont val="Times New Roman"/>
        <family val="1"/>
      </rPr>
      <t>, Washington, DC, and annual.</t>
    </r>
  </si>
  <si>
    <r>
      <t xml:space="preserve">1984–88- Association of American Railroads, </t>
    </r>
    <r>
      <rPr>
        <i/>
        <sz val="11"/>
        <color indexed="8"/>
        <rFont val="Times New Roman"/>
        <family val="1"/>
      </rPr>
      <t>Railroad Facts</t>
    </r>
    <r>
      <rPr>
        <sz val="11"/>
        <color indexed="8"/>
        <rFont val="Times New Roman"/>
        <family val="1"/>
      </rPr>
      <t>, 1988 Edition, Washington, DC, December 1989, p. 61, and annual.</t>
    </r>
  </si>
  <si>
    <t xml:space="preserve">1994–2010 - Number of locomotives in service, number of passenger cars, train-miles, car-miles, revenue passenger-miles, and average trip </t>
  </si>
  <si>
    <t xml:space="preserve">     length - Association of American Railroads, Railroad Facts, 2011 Edition, Washington, DC, 2011, p. 77.</t>
  </si>
  <si>
    <r>
      <t xml:space="preserve">     a</t>
    </r>
    <r>
      <rPr>
        <sz val="11"/>
        <color indexed="8"/>
        <rFont val="Times New Roman"/>
        <family val="1"/>
      </rPr>
      <t xml:space="preserve"> Data are not available.</t>
    </r>
  </si>
  <si>
    <r>
      <t xml:space="preserve">     b</t>
    </r>
    <r>
      <rPr>
        <sz val="11"/>
        <color indexed="8"/>
        <rFont val="Times New Roman"/>
        <family val="1"/>
      </rPr>
      <t xml:space="preserve"> Energy use for 1994 on is not directly comparable to earlier years.  Some commuter rail energy use may have been </t>
    </r>
  </si>
  <si>
    <t>inadvertently included in earlier years.</t>
  </si>
  <si>
    <t xml:space="preserve"> (alternative)</t>
  </si>
  <si>
    <t xml:space="preserve">1990-1999:  </t>
  </si>
  <si>
    <t>Developed from TEDB, Edition 21 data</t>
  </si>
  <si>
    <t xml:space="preserve"> Waterborne Transportation</t>
  </si>
  <si>
    <t>Domesti+Intl.</t>
  </si>
  <si>
    <t>Domestic+Intl.</t>
  </si>
  <si>
    <t>Auxiliary Analysis:   Compare Intensity Indexes, without and with Foreign Traffic</t>
  </si>
  <si>
    <t>Vehicle-miles from FHWA data</t>
  </si>
  <si>
    <t xml:space="preserve">Old Methodology -2007 Extrapolated values </t>
  </si>
  <si>
    <t>Gross Output</t>
  </si>
  <si>
    <t>Single-Unit Trucks</t>
  </si>
  <si>
    <t>Plot with Unadjusted Data</t>
  </si>
  <si>
    <t xml:space="preserve">          Estimates in columns H and I based upon extrapolations of 2006 V-M data by gross output</t>
  </si>
  <si>
    <t>Single Unit</t>
  </si>
  <si>
    <t>Combination</t>
  </si>
  <si>
    <t xml:space="preserve"> New Method for 2006, assume no change from 2006 to 2007</t>
  </si>
  <si>
    <t>Revised Fuel Consumption Estimates, based upon 2007 FHWA Methodology</t>
  </si>
  <si>
    <t>Single Unit (Million Gal.)</t>
  </si>
  <si>
    <t>Combination (Million Gal.)</t>
  </si>
  <si>
    <t xml:space="preserve"> Revised Miles per Gallon</t>
  </si>
  <si>
    <t>As Published, Fuel Consumption Data</t>
  </si>
  <si>
    <t>Other Single-Unit Truck, Adjusted (see columns BR-BU)</t>
  </si>
  <si>
    <t>Combination Truck, Adjusted (See column BV-BY)</t>
  </si>
  <si>
    <t>Combination Truck, Extrapolated from published data</t>
  </si>
  <si>
    <t>Highway, Published</t>
  </si>
  <si>
    <t>Single-Unit Truck (million vehicle-miles), adjusted</t>
  </si>
  <si>
    <t>Vehicle-Miles - Combination Trucks, Adjusted</t>
  </si>
  <si>
    <t>Miles per Gallon, derived from published</t>
  </si>
  <si>
    <t>Old 1970-2007 series scaled to New Series</t>
  </si>
  <si>
    <t>Assume no change, earlier estimates scaled</t>
  </si>
  <si>
    <t>Intensity Index, based upon MPG</t>
  </si>
  <si>
    <t>Sum of Modes</t>
  </si>
  <si>
    <t xml:space="preserve"> Difference</t>
  </si>
  <si>
    <t>% Difference</t>
  </si>
  <si>
    <t>Published -AER</t>
  </si>
  <si>
    <t xml:space="preserve"> (million gallons)</t>
  </si>
  <si>
    <t>2006 (Old)</t>
  </si>
  <si>
    <t>2007 (New)</t>
  </si>
  <si>
    <t>Scale Factor</t>
  </si>
  <si>
    <t>Vehicle travel</t>
  </si>
  <si>
    <t>(million miles)</t>
  </si>
  <si>
    <t>Total Fuel</t>
  </si>
  <si>
    <t>Old</t>
  </si>
  <si>
    <t>New</t>
  </si>
  <si>
    <t>1985 (Revised)</t>
  </si>
  <si>
    <t>2006 (Revised)</t>
  </si>
  <si>
    <t>1985 (Old)</t>
  </si>
  <si>
    <t xml:space="preserve">      NA</t>
  </si>
  <si>
    <t>(miles/gallon)</t>
  </si>
  <si>
    <t xml:space="preserve"> Fuel use</t>
  </si>
  <si>
    <t>Fuel economy</t>
  </si>
  <si>
    <t>Single-Unit</t>
  </si>
  <si>
    <t>Ton-miles</t>
  </si>
  <si>
    <t>tons/truck (original series)</t>
  </si>
  <si>
    <t>Fuel Economy - miles per gallon</t>
  </si>
  <si>
    <t>Trucking</t>
  </si>
  <si>
    <t xml:space="preserve">    (%)</t>
  </si>
  <si>
    <t>Pipelines (Gas)</t>
  </si>
  <si>
    <t xml:space="preserve">    Total</t>
  </si>
  <si>
    <t>(mill. ton-miles)</t>
  </si>
  <si>
    <t>Check 2010</t>
  </si>
  <si>
    <t>(mill. pass-miles)</t>
  </si>
  <si>
    <t xml:space="preserve">   Automobiles</t>
  </si>
  <si>
    <t>Note:  Highway also includes buses, para-transit, and motorcycles, not shown explicitly in table</t>
  </si>
  <si>
    <t>Activity, Ton-miles</t>
  </si>
  <si>
    <t>Notes:  Highway also includes buses, para-transit, and motorcycles, not shown explicitly in table</t>
  </si>
  <si>
    <t>Energy Use, Trillion Btu (TBtu)</t>
  </si>
  <si>
    <t>Copy and Paste values</t>
  </si>
  <si>
    <t xml:space="preserve">   Light trucks</t>
  </si>
  <si>
    <t>Passenger</t>
  </si>
  <si>
    <t>NPTS /NHTS Load Factor</t>
  </si>
  <si>
    <t>1949-1969:  Based upon data published in Table 4_11 of Bureau of Transportation Statistics (BTS), fuel consumption is based assumption of 50 miles per gallon</t>
  </si>
  <si>
    <t>Passenger-miles (BTS source)</t>
  </si>
  <si>
    <t>Not used</t>
  </si>
  <si>
    <t xml:space="preserve">Passenger </t>
  </si>
  <si>
    <t>mile series</t>
  </si>
  <si>
    <t>is unstable</t>
  </si>
  <si>
    <t>See PNNL</t>
  </si>
  <si>
    <t>spreadsheet</t>
  </si>
  <si>
    <t>.xlsx</t>
  </si>
  <si>
    <t xml:space="preserve">Vehicle-miles from Table 1-35 of BTS NTS </t>
  </si>
  <si>
    <t>For APTA, transit bus, 2010</t>
  </si>
  <si>
    <t>Tbtu</t>
  </si>
  <si>
    <t>Elec</t>
  </si>
  <si>
    <t>Thermal conversion factor from 2008 AER for biodiesel, p373</t>
  </si>
  <si>
    <t>See Note b in worksheet TEDB_Ed30_Table 9.10.  Discontinuity in series between 1993 and 1994.</t>
  </si>
  <si>
    <t>2010 freight</t>
  </si>
  <si>
    <t>2010 total</t>
  </si>
  <si>
    <t>Check airline energy for 2010</t>
  </si>
  <si>
    <t>All Carriers (pass miles), millions</t>
  </si>
  <si>
    <t>Domestic Carriers (passenger-miles, millions)</t>
  </si>
  <si>
    <t>Domestic/Total</t>
  </si>
  <si>
    <t>All Carrier ( pass ton-miles)[ used for fuel allocation]</t>
  </si>
  <si>
    <t>Estimated or reported International</t>
  </si>
  <si>
    <t>Estimated or reported Domestic</t>
  </si>
  <si>
    <t>Adjusted total (domestic + 1/2 international)</t>
  </si>
  <si>
    <t>(Data are for scheduled and unscheduled carriers, only from 1996 forward, appear to be revised, but no revision for earlier data, thus ORNL TEDB-31 data is used)</t>
  </si>
  <si>
    <t xml:space="preserve"> (matches TEDB-31, Table 9.2)</t>
  </si>
  <si>
    <t>Intensity</t>
  </si>
  <si>
    <t>ln (intensity)</t>
  </si>
  <si>
    <t>predicted</t>
  </si>
  <si>
    <t>actual</t>
  </si>
  <si>
    <t>Growth rate</t>
  </si>
  <si>
    <t>TEDB-31, published intensity, T. 2.15 Btu/T-M</t>
  </si>
  <si>
    <t>Pre-1997 trend rate</t>
  </si>
  <si>
    <t>Revised Energy Use (Tbtu)</t>
  </si>
  <si>
    <t>Use fuel estimates from EIA, as adjusted for domestic waterborne (use column G in freight-based_energy use)</t>
  </si>
  <si>
    <t>Conversion factor</t>
  </si>
  <si>
    <t>Electricity (million kWh)</t>
  </si>
  <si>
    <t>Table A.6 (TEDB-31)</t>
  </si>
  <si>
    <t>Replaced ORNL Series</t>
  </si>
  <si>
    <t>Old Series from 2001 Eno, Trans. In America</t>
  </si>
  <si>
    <t>Combination Truck, adjusted, extrapolated</t>
  </si>
  <si>
    <t xml:space="preserve">Trend extrapolation </t>
  </si>
  <si>
    <t>Dager estimates</t>
  </si>
  <si>
    <t>Table 2.1e  Transportation Sector Energy Consumption Estimates, 1949-2011</t>
  </si>
  <si>
    <r>
      <t>Primary Consumption </t>
    </r>
    <r>
      <rPr>
        <vertAlign val="superscript"/>
        <sz val="5"/>
        <color theme="1"/>
        <rFont val="Arial"/>
        <family val="2"/>
      </rPr>
      <t>1</t>
    </r>
  </si>
  <si>
    <r>
      <t>Renewable Energy </t>
    </r>
    <r>
      <rPr>
        <vertAlign val="superscript"/>
        <sz val="5"/>
        <color theme="1"/>
        <rFont val="Arial"/>
        <family val="2"/>
      </rPr>
      <t>2</t>
    </r>
  </si>
  <si>
    <r>
      <t>Sales </t>
    </r>
    <r>
      <rPr>
        <vertAlign val="superscript"/>
        <sz val="5"/>
        <color theme="1"/>
        <rFont val="Arial"/>
        <family val="2"/>
      </rPr>
      <t>7</t>
    </r>
  </si>
  <si>
    <r>
      <t>Losses </t>
    </r>
    <r>
      <rPr>
        <vertAlign val="superscript"/>
        <sz val="5"/>
        <color theme="1"/>
        <rFont val="Arial"/>
        <family val="2"/>
      </rPr>
      <t>8</t>
    </r>
  </si>
  <si>
    <r>
      <t>Natural Gas </t>
    </r>
    <r>
      <rPr>
        <vertAlign val="superscript"/>
        <sz val="5"/>
        <color theme="1"/>
        <rFont val="Arial"/>
        <family val="2"/>
      </rPr>
      <t>3</t>
    </r>
  </si>
  <si>
    <r>
      <t>Petroleum </t>
    </r>
    <r>
      <rPr>
        <vertAlign val="superscript"/>
        <sz val="5"/>
        <color theme="1"/>
        <rFont val="Arial"/>
        <family val="2"/>
      </rPr>
      <t>4,5</t>
    </r>
  </si>
  <si>
    <r>
      <t>Biomass </t>
    </r>
    <r>
      <rPr>
        <vertAlign val="superscript"/>
        <sz val="5"/>
        <color theme="1"/>
        <rFont val="Arial"/>
        <family val="2"/>
      </rPr>
      <t>6</t>
    </r>
  </si>
  <si>
    <r>
      <t>2011</t>
    </r>
    <r>
      <rPr>
        <vertAlign val="superscript"/>
        <sz val="5"/>
        <color theme="1"/>
        <rFont val="Arial"/>
        <family val="2"/>
      </rPr>
      <t>P</t>
    </r>
  </si>
  <si>
    <r>
      <t>1</t>
    </r>
    <r>
      <rPr>
        <sz val="7"/>
        <color theme="1"/>
        <rFont val="Arial"/>
        <family val="2"/>
      </rPr>
      <t>See "Primary Energy Consumption" in Glossary.</t>
    </r>
  </si>
  <si>
    <r>
      <t>8</t>
    </r>
    <r>
      <rPr>
        <sz val="7"/>
        <color theme="1"/>
        <rFont val="Arial"/>
        <family val="2"/>
      </rPr>
      <t>Total losses are calculated as the primary energy consumed by the electric power sector minus the</t>
    </r>
  </si>
  <si>
    <r>
      <t>2</t>
    </r>
    <r>
      <rPr>
        <sz val="7"/>
        <color theme="1"/>
        <rFont val="Arial"/>
        <family val="2"/>
      </rPr>
      <t>Data are estimates.  See Table 10.2b for notes on series components.</t>
    </r>
  </si>
  <si>
    <r>
      <t>9</t>
    </r>
    <r>
      <rPr>
        <sz val="7"/>
        <color theme="1"/>
        <rFont val="Arial"/>
        <family val="2"/>
      </rPr>
      <t>Beginning in 1978, the small amounts of coal consumed for transportation are reported as industrial</t>
    </r>
  </si>
  <si>
    <r>
      <t>3</t>
    </r>
    <r>
      <rPr>
        <sz val="7"/>
        <color theme="1"/>
        <rFont val="Arial"/>
        <family val="2"/>
      </rPr>
      <t>Natural gas only; does not include supplemental gaseous fuelssee Note 1, "Supplemental Gaseous</t>
    </r>
  </si>
  <si>
    <r>
      <t>4</t>
    </r>
    <r>
      <rPr>
        <sz val="7"/>
        <color theme="1"/>
        <rFont val="Arial"/>
        <family val="2"/>
      </rPr>
      <t>Based on petroleum product supplied.  For petroleum, product supplied is used as an approximation of</t>
    </r>
  </si>
  <si>
    <r>
      <t>5</t>
    </r>
    <r>
      <rPr>
        <sz val="7"/>
        <color theme="1"/>
        <rFont val="Arial"/>
        <family val="2"/>
      </rPr>
      <t>Does not include biofuels that have been blended with petroleumbiofuels are included in "Biomass." </t>
    </r>
  </si>
  <si>
    <t>Web Page:    See http://www.eia.gov/totalenergy/data/monthly/#consumption for updated monthly and</t>
  </si>
  <si>
    <t>annual data.</t>
  </si>
  <si>
    <r>
      <t>6</t>
    </r>
    <r>
      <rPr>
        <sz val="7"/>
        <color theme="1"/>
        <rFont val="Arial"/>
        <family val="2"/>
      </rPr>
      <t>Fuel ethanol (minus denaturant) and biodiesel.</t>
    </r>
  </si>
  <si>
    <r>
      <t>7</t>
    </r>
    <r>
      <rPr>
        <sz val="7"/>
        <color theme="1"/>
        <rFont val="Arial"/>
        <family val="2"/>
      </rPr>
      <t>Electricity retail sales to ultimate customers reported by electric utilities and, beginning in 1996, other</t>
    </r>
  </si>
  <si>
    <t>Millions of passengers</t>
  </si>
  <si>
    <t>No available data.  2007 Eno report does not include estimate for private air.   Passenger-miles extrapolated on basis on fuel consumption for general aviation</t>
  </si>
  <si>
    <t>No estimates</t>
  </si>
  <si>
    <t xml:space="preserve">  Vehicle-miles from Adjust_Truck_Freight worksheet</t>
  </si>
  <si>
    <r>
      <t xml:space="preserve">1990-2003: Revised estimates from Eno Foundatation 2007 , Transportation in America  Data here from </t>
    </r>
    <r>
      <rPr>
        <i/>
        <sz val="10"/>
        <rFont val="Arial"/>
        <family val="2"/>
      </rPr>
      <t>National Transportation Statistics</t>
    </r>
    <r>
      <rPr>
        <sz val="10"/>
        <rFont val="Arial"/>
        <family val="2"/>
      </rPr>
      <t>, Table 1-49 from following website:</t>
    </r>
  </si>
  <si>
    <t xml:space="preserve">   </t>
  </si>
  <si>
    <r>
      <t xml:space="preserve">1950-89: Eno Transportation Foundation, Inc. 2002. </t>
    </r>
    <r>
      <rPr>
        <i/>
        <sz val="10"/>
        <rFont val="Arial"/>
        <family val="2"/>
      </rPr>
      <t>Transportation in America 2000</t>
    </r>
    <r>
      <rPr>
        <sz val="10"/>
        <rFont val="Arial"/>
        <family val="2"/>
      </rPr>
      <t>, 19th ed. Washington, DC, April, pp. 44.</t>
    </r>
  </si>
  <si>
    <t xml:space="preserve">Note:  The values from the 2002 Eno report were used to extrapolate the subsequent estimate for 1990 in the 2007 Eno report back to earlier years </t>
  </si>
  <si>
    <t>Annual Freight-related Transportation Activity by Mode, 1949-2010</t>
  </si>
  <si>
    <t>Annual Energy Use for Passenger-related Travel by Mode, 1949-2010</t>
  </si>
  <si>
    <t>Annual Energy Use for Freight Activities by Mode, 1949-2010</t>
  </si>
  <si>
    <t>http://www.rita.dot.gov/bts/sites/rita.dot.gov.bts/files/publications/national_transportation_statistics/html/table_04_08.html</t>
  </si>
  <si>
    <t>http://www.rita.dot.gov/bts/sites/rita.dot.gov.bts/files/publications/national_transportation_statistics/html/table_04_05.html</t>
  </si>
  <si>
    <r>
      <t xml:space="preserve">2000-2010: Bureau of Transporation Statistics (BTS), </t>
    </r>
    <r>
      <rPr>
        <i/>
        <sz val="10"/>
        <rFont val="Arial"/>
        <family val="2"/>
      </rPr>
      <t>National Transportation Statistics</t>
    </r>
    <r>
      <rPr>
        <sz val="10"/>
        <rFont val="Arial"/>
        <family val="2"/>
      </rPr>
      <t xml:space="preserve">, Table 4-8.  </t>
    </r>
  </si>
  <si>
    <t>Activity, Passenger-miles</t>
  </si>
  <si>
    <t>Shares - Freight and Passenger</t>
  </si>
  <si>
    <t>Btu/ton-mile</t>
  </si>
  <si>
    <r>
      <t xml:space="preserve">Estimated shares for diesel and gasohol from 2013 </t>
    </r>
    <r>
      <rPr>
        <i/>
        <sz val="10"/>
        <rFont val="Arial"/>
        <family val="2"/>
      </rPr>
      <t>Transportation Energy Data Book, Edition 32.</t>
    </r>
    <r>
      <rPr>
        <sz val="10"/>
        <rFont val="Arial"/>
        <family val="2"/>
      </rPr>
      <t xml:space="preserve"> Table A.5</t>
    </r>
  </si>
  <si>
    <t>1970-2011</t>
  </si>
  <si>
    <t>2013 Transportation Energy Data Book, Edition 32, Table A.2</t>
  </si>
  <si>
    <r>
      <t xml:space="preserve">Estimated shares for diesel and gasohol from 2013 </t>
    </r>
    <r>
      <rPr>
        <i/>
        <sz val="10"/>
        <rFont val="Arial"/>
        <family val="2"/>
      </rPr>
      <t>Transportation Energy Data Book, Edition 32.</t>
    </r>
    <r>
      <rPr>
        <sz val="10"/>
        <rFont val="Arial"/>
        <family val="2"/>
      </rPr>
      <t xml:space="preserve"> Table A.1</t>
    </r>
  </si>
  <si>
    <r>
      <rPr>
        <sz val="10"/>
        <rFont val="Arial"/>
        <family val="2"/>
      </rPr>
      <t xml:space="preserve">ORNL 2013 </t>
    </r>
    <r>
      <rPr>
        <i/>
        <sz val="10"/>
        <rFont val="Arial"/>
        <family val="2"/>
      </rPr>
      <t>Transportation Energy Data Book, Edition 32.</t>
    </r>
    <r>
      <rPr>
        <sz val="10"/>
        <rFont val="Arial"/>
        <family val="2"/>
      </rPr>
      <t xml:space="preserve"> Table 5.1</t>
    </r>
  </si>
  <si>
    <r>
      <t xml:space="preserve">2005-2011:  Estimated shares for diesel and LPG from </t>
    </r>
    <r>
      <rPr>
        <i/>
        <sz val="10"/>
        <rFont val="Arial"/>
        <family val="2"/>
      </rPr>
      <t>Transportation Energy Data Book, Edition 32.</t>
    </r>
    <r>
      <rPr>
        <sz val="10"/>
        <rFont val="Arial"/>
        <family val="2"/>
      </rPr>
      <t xml:space="preserve"> Table A.6</t>
    </r>
  </si>
  <si>
    <t>Used ORNL shares as published</t>
  </si>
  <si>
    <t>Energy Use, As Published in TEDB</t>
  </si>
  <si>
    <t>2007-2011</t>
  </si>
  <si>
    <r>
      <t xml:space="preserve">ORNL 2013 </t>
    </r>
    <r>
      <rPr>
        <i/>
        <sz val="10"/>
        <rFont val="Arial"/>
        <family val="2"/>
      </rPr>
      <t>Transportation Energy Data Book, Edition 32.</t>
    </r>
    <r>
      <rPr>
        <sz val="10"/>
        <rFont val="Arial"/>
        <family val="2"/>
      </rPr>
      <t xml:space="preserve"> Table 5.2</t>
    </r>
  </si>
  <si>
    <t>Annual Fuel Consumption by Mode, 1949-2011</t>
  </si>
  <si>
    <t>Source: TEDB, Edition 32, for 1970-2011, Table A.10</t>
  </si>
  <si>
    <t xml:space="preserve">for international shipping.  See Columns CS and CT for estimates used for intensity indicators.  (Intensities now match those </t>
  </si>
  <si>
    <t>2000-2011</t>
  </si>
  <si>
    <r>
      <t xml:space="preserve">Oak Ridge National Laboratory.  </t>
    </r>
    <r>
      <rPr>
        <i/>
        <sz val="10"/>
        <rFont val="Arial"/>
        <family val="2"/>
      </rPr>
      <t>Transportation Energy Data Book</t>
    </r>
    <r>
      <rPr>
        <sz val="10"/>
        <rFont val="Arial"/>
        <family val="2"/>
      </rPr>
      <t>, Edition 32 - 2013, Table A.8 (Annual data from 1970 forward, matches data from source listed above).</t>
    </r>
  </si>
  <si>
    <t>1977-2011</t>
  </si>
  <si>
    <t>Alternative source:  ORNL 2013 Transportation Energy Data Book, Edition 32, Table A.9</t>
  </si>
  <si>
    <t>1994-2011</t>
  </si>
  <si>
    <r>
      <t xml:space="preserve">Oak Ridge National Laboratory. </t>
    </r>
    <r>
      <rPr>
        <i/>
        <sz val="10"/>
        <rFont val="Arial"/>
        <family val="2"/>
      </rPr>
      <t xml:space="preserve">Transportation Energy Data Book (TEDB), Edition 32, T. A.16 </t>
    </r>
    <r>
      <rPr>
        <sz val="10"/>
        <rFont val="Arial"/>
        <family val="2"/>
      </rPr>
      <t xml:space="preserve"> Oak Ridge, Tennessee.</t>
    </r>
  </si>
  <si>
    <t>2010-2011</t>
  </si>
  <si>
    <r>
      <t xml:space="preserve">ORNL 2013 </t>
    </r>
    <r>
      <rPr>
        <i/>
        <sz val="10"/>
        <rFont val="Arial"/>
        <family val="2"/>
      </rPr>
      <t>Transportation Energy Data Book, Edition 32.</t>
    </r>
    <r>
      <rPr>
        <sz val="10"/>
        <rFont val="Arial"/>
        <family val="2"/>
      </rPr>
      <t xml:space="preserve"> Table A.15</t>
    </r>
  </si>
  <si>
    <t>Class I Rail - Freight</t>
  </si>
  <si>
    <t>1990-2011:</t>
  </si>
  <si>
    <r>
      <t xml:space="preserve">1950-2008:  DOE, Energy Informationa Administration, </t>
    </r>
    <r>
      <rPr>
        <i/>
        <sz val="10"/>
        <rFont val="Arial"/>
        <family val="2"/>
      </rPr>
      <t>Annual Energy Review</t>
    </r>
    <r>
      <rPr>
        <sz val="10"/>
        <rFont val="Arial"/>
        <family val="2"/>
      </rPr>
      <t xml:space="preserve">, Table 6.5 (pipeline fuel)  </t>
    </r>
  </si>
  <si>
    <t>2009-2011</t>
  </si>
  <si>
    <r>
      <t xml:space="preserve">ORNL 2013 </t>
    </r>
    <r>
      <rPr>
        <i/>
        <sz val="10"/>
        <rFont val="Arial"/>
        <family val="2"/>
      </rPr>
      <t>Transportation Energy Data Book, Edition 32.</t>
    </r>
    <r>
      <rPr>
        <sz val="10"/>
        <rFont val="Arial"/>
        <family val="2"/>
      </rPr>
      <t xml:space="preserve"> Table A.12</t>
    </r>
  </si>
  <si>
    <t>Veh-Miles, from DOT</t>
  </si>
  <si>
    <t>Million Vehicle-Miles- ORNL T. 4.1</t>
  </si>
  <si>
    <t xml:space="preserve">  Data from ORNL 2013 Transportation Energy Data Book, Edition 32, Table 4.1</t>
  </si>
  <si>
    <t xml:space="preserve">  Data from ORNL 2013 Transportation Energy Data Book, Edition 32, Table 4.2</t>
  </si>
  <si>
    <t>http://www.apta.com/resources/statistics/Documents/FactBook/2013-Fact-Book-Appendix-A.pdf</t>
  </si>
  <si>
    <t>1984:2011</t>
  </si>
  <si>
    <t>2013 Public Transportation Fact Book, Appendix A, March 2012, Table 3, Pt. A</t>
  </si>
  <si>
    <r>
      <t xml:space="preserve">1977-2011:  American Public Transportation Association. </t>
    </r>
    <r>
      <rPr>
        <i/>
        <sz val="10"/>
        <rFont val="Arial"/>
        <family val="2"/>
      </rPr>
      <t xml:space="preserve">2013 Public Transportation Fact Book. </t>
    </r>
    <r>
      <rPr>
        <sz val="10"/>
        <rFont val="Arial"/>
        <family val="2"/>
      </rPr>
      <t>Appendix A, Table 3</t>
    </r>
  </si>
  <si>
    <t>2001-2011</t>
  </si>
  <si>
    <r>
      <t xml:space="preserve">ORNL 2013.  </t>
    </r>
    <r>
      <rPr>
        <i/>
        <sz val="10"/>
        <rFont val="Arial"/>
        <family val="2"/>
      </rPr>
      <t>Transportation Energy Data Book</t>
    </r>
    <r>
      <rPr>
        <sz val="10"/>
        <rFont val="Arial"/>
        <family val="2"/>
      </rPr>
      <t>: Edition 32, Table 9.2</t>
    </r>
  </si>
  <si>
    <t>Value for domestic passenger-miles from Table 2.12 in 2013 TEDB</t>
  </si>
  <si>
    <r>
      <t xml:space="preserve">  2013 ORNL </t>
    </r>
    <r>
      <rPr>
        <i/>
        <sz val="10"/>
        <rFont val="Arial"/>
        <family val="2"/>
      </rPr>
      <t>Transportation Energy Data Book</t>
    </r>
    <r>
      <rPr>
        <sz val="10"/>
        <rFont val="Arial"/>
        <family val="2"/>
      </rPr>
      <t>, Edition 32, Table 5.1</t>
    </r>
  </si>
  <si>
    <r>
      <t xml:space="preserve">  2013 ORNL </t>
    </r>
    <r>
      <rPr>
        <i/>
        <sz val="10"/>
        <rFont val="Arial"/>
        <family val="2"/>
      </rPr>
      <t>Transportation Energy Data Book</t>
    </r>
    <r>
      <rPr>
        <sz val="10"/>
        <rFont val="Arial"/>
        <family val="2"/>
      </rPr>
      <t>, Edition 32, Table 5.2</t>
    </r>
  </si>
  <si>
    <t>for Comb. Trks</t>
  </si>
  <si>
    <r>
      <t xml:space="preserve">Oak Ridge National Laboratory, </t>
    </r>
    <r>
      <rPr>
        <i/>
        <sz val="10"/>
        <rFont val="Arial"/>
        <family val="2"/>
      </rPr>
      <t>Transportation Energy Data Book</t>
    </r>
    <r>
      <rPr>
        <sz val="10"/>
        <rFont val="Arial"/>
        <family val="2"/>
      </rPr>
      <t>, Edition 32 - 2013, Table 9.8  (contains data back to 1970)</t>
    </r>
  </si>
  <si>
    <t>2004-2011: Extrapolated based upon vehicle-miles traveled, after adjustment for vehicle-miles in worksheet Adjust_Truck_Freight (see column T)</t>
  </si>
  <si>
    <t>From MER 9/13</t>
  </si>
  <si>
    <t>excl lease,pipe</t>
  </si>
  <si>
    <r>
      <t xml:space="preserve">  2013 ORNL </t>
    </r>
    <r>
      <rPr>
        <i/>
        <sz val="10"/>
        <rFont val="Arial"/>
        <family val="2"/>
      </rPr>
      <t>Transportation Energy Data Book</t>
    </r>
    <r>
      <rPr>
        <sz val="10"/>
        <rFont val="Arial"/>
        <family val="2"/>
      </rPr>
      <t>, Edition 32, Table 9.2</t>
    </r>
  </si>
  <si>
    <t>Light-duty vehicles, short wheel base, MER Table 1.8</t>
  </si>
  <si>
    <t>Light-duty vehicles, long  wheel base, MER Table 1.8</t>
  </si>
  <si>
    <t>Miles per Gallon</t>
  </si>
  <si>
    <t>Cars (TEDB Table 4.1)</t>
  </si>
  <si>
    <t>Two-axle, four-tire trucks (TEDB Table 4.2)</t>
  </si>
  <si>
    <t xml:space="preserve">  In Economy-wide index</t>
  </si>
  <si>
    <t>Transportation Sector</t>
  </si>
  <si>
    <t xml:space="preserve">  Passenger</t>
  </si>
  <si>
    <t>Personal vehicles</t>
  </si>
  <si>
    <t>Urban rail</t>
  </si>
  <si>
    <t>Commuter</t>
  </si>
  <si>
    <t>Heavy</t>
  </si>
  <si>
    <t>Light</t>
  </si>
  <si>
    <t>Intercity rail</t>
  </si>
  <si>
    <t>Passenger cars</t>
  </si>
  <si>
    <t>Light trucks</t>
  </si>
  <si>
    <t>Urban</t>
  </si>
  <si>
    <t xml:space="preserve">  Freight</t>
  </si>
  <si>
    <t>Highway - Trucks</t>
  </si>
  <si>
    <t xml:space="preserve">Single Unit </t>
  </si>
  <si>
    <t>Pipelines (Natural gas)</t>
  </si>
  <si>
    <t xml:space="preserve">Source/Delivered Energy </t>
  </si>
  <si>
    <t>Source</t>
  </si>
  <si>
    <t>share of electricity</t>
  </si>
  <si>
    <t>in urban rail</t>
  </si>
  <si>
    <t>share of electricity in transportation</t>
  </si>
  <si>
    <t>Note:  TEDB, Ed. 32 cites personal communication with Amtrak for data to calculate energy use</t>
  </si>
  <si>
    <t>share of Amtrak for electricity</t>
  </si>
  <si>
    <t>(approximately 90% to urban, 10% to intercity)</t>
  </si>
  <si>
    <t>Vehicle-miles</t>
  </si>
  <si>
    <t>Cars</t>
  </si>
  <si>
    <t>Light Trucks</t>
  </si>
  <si>
    <t xml:space="preserve">  Total</t>
  </si>
  <si>
    <t>LT Share</t>
  </si>
  <si>
    <t>SWB</t>
  </si>
  <si>
    <t>LWB</t>
  </si>
  <si>
    <t>FHWA New Method</t>
  </si>
  <si>
    <t>Ratio</t>
  </si>
  <si>
    <t>Old/New</t>
  </si>
  <si>
    <t>SWB  -1</t>
  </si>
  <si>
    <t>SWB - 2</t>
  </si>
  <si>
    <t>MPG</t>
  </si>
  <si>
    <t>Fuel Use</t>
  </si>
  <si>
    <t>Old System</t>
  </si>
  <si>
    <t>*</t>
  </si>
  <si>
    <t>MPG Relatives (2008)</t>
  </si>
  <si>
    <t>SWB - 1</t>
  </si>
  <si>
    <t xml:space="preserve"> SWB -2</t>
  </si>
  <si>
    <t>Calibrated</t>
  </si>
  <si>
    <t>(Match Col. AH)</t>
  </si>
  <si>
    <t>Fractional Improvement</t>
  </si>
  <si>
    <t>~ Light T</t>
  </si>
  <si>
    <t>SWB-2</t>
  </si>
  <si>
    <t>SWB-1</t>
  </si>
  <si>
    <t>Calculate relatives</t>
  </si>
  <si>
    <t>Trial Relatives  -  Not Used</t>
  </si>
  <si>
    <t>Method 1</t>
  </si>
  <si>
    <t>Method 2</t>
  </si>
  <si>
    <t>SWB-1=cars</t>
  </si>
  <si>
    <t>Estimated</t>
  </si>
  <si>
    <t>Assume simple average of relatives for SWB-2</t>
  </si>
  <si>
    <t>SWB-1 =</t>
  </si>
  <si>
    <t>SUVs, small trucks formerly classified as trucks</t>
  </si>
  <si>
    <t>Light Truck (Calibrated to FHWA)</t>
  </si>
  <si>
    <t>Passenger Cars (Calibrated to FHWA)</t>
  </si>
  <si>
    <t>TEDB Ed. 32 - Not Used</t>
  </si>
  <si>
    <t>increment -----&gt;</t>
  </si>
  <si>
    <t>Fuel Econ.</t>
  </si>
  <si>
    <t>Load factors 1966-2011: Nationwide Personal Transportation B52Survey data (1969, 1977, 1983, 1990, 1995) National Highway Transportation Survey (2001,2009).  Interpolated for other years.</t>
  </si>
  <si>
    <t>Assumed tons/</t>
  </si>
  <si>
    <t xml:space="preserve">passenger </t>
  </si>
  <si>
    <t>Data for graphic:  Absolute Energy Intensities</t>
  </si>
  <si>
    <t>Relative Changes</t>
  </si>
  <si>
    <t>Data for graphic on absolute energy intensities</t>
  </si>
  <si>
    <t>Data for graphic on intensity indexes by mode</t>
  </si>
  <si>
    <t>Use TEDB-32, Table A.3</t>
  </si>
  <si>
    <t>Use TEDB-32, Table A.12</t>
  </si>
  <si>
    <t xml:space="preserve">      2008</t>
  </si>
  <si>
    <r>
      <t xml:space="preserve">2013 ORNL </t>
    </r>
    <r>
      <rPr>
        <i/>
        <sz val="10"/>
        <rFont val="Arial"/>
        <family val="2"/>
      </rPr>
      <t>Transportation Energy Data Book</t>
    </r>
    <r>
      <rPr>
        <sz val="10"/>
        <rFont val="Arial"/>
        <family val="2"/>
      </rPr>
      <t>, Ed. 32, Table 4.1</t>
    </r>
  </si>
  <si>
    <t xml:space="preserve">      2009-2011</t>
  </si>
  <si>
    <t>Estimated:</t>
  </si>
  <si>
    <t>See PNNL-22267 for discussion of extrapolation method</t>
  </si>
  <si>
    <r>
      <t xml:space="preserve">2013 </t>
    </r>
    <r>
      <rPr>
        <i/>
        <sz val="10"/>
        <rFont val="Arial"/>
        <family val="2"/>
      </rPr>
      <t>Transportation Energy Data Book</t>
    </r>
    <r>
      <rPr>
        <sz val="10"/>
        <rFont val="Arial"/>
        <family val="2"/>
      </rPr>
      <t>, Edition 32, Table 4.2</t>
    </r>
  </si>
  <si>
    <t>1970-2006</t>
  </si>
  <si>
    <t>Historical series adjusted to match methodolgy/data revision by FHWA for 2007.  See PNNL-22267, Appendix A.</t>
  </si>
  <si>
    <t xml:space="preserve">For 1995 to 2011 same as above for diesel (APTA) website) </t>
  </si>
  <si>
    <t>Table 63 in Appendix A, Historical Tables</t>
  </si>
  <si>
    <t>1984-2011  American Public Transportation Association.  APTA Website:</t>
  </si>
  <si>
    <t>Same website (Appendix A Fact Book) as for diesel, Table 63</t>
  </si>
  <si>
    <t>Table 62 in Appendix A, Historical Tables</t>
  </si>
  <si>
    <t>New (1970-2011) Series</t>
  </si>
  <si>
    <r>
      <t xml:space="preserve">1970-1999: Eno Transportation Foundation. 2001. </t>
    </r>
    <r>
      <rPr>
        <i/>
        <sz val="10"/>
        <color theme="9" tint="-0.249977111117893"/>
        <rFont val="Arial"/>
        <family val="2"/>
      </rPr>
      <t>Transportation in America 2000</t>
    </r>
    <r>
      <rPr>
        <sz val="10"/>
        <color theme="9" tint="-0.249977111117893"/>
        <rFont val="Arial"/>
        <family val="2"/>
      </rPr>
      <t>. Washington, DC, pp. 24-27.</t>
    </r>
  </si>
  <si>
    <r>
      <t xml:space="preserve">2000:         Eno Transportation Foundation. 2002.  </t>
    </r>
    <r>
      <rPr>
        <i/>
        <sz val="10"/>
        <color theme="9" tint="-0.249977111117893"/>
        <rFont val="Arial"/>
        <family val="2"/>
      </rPr>
      <t>Transportation in Amerca, 19th Edition.</t>
    </r>
    <r>
      <rPr>
        <sz val="10"/>
        <color theme="9" tint="-0.249977111117893"/>
        <rFont val="Arial"/>
        <family val="2"/>
      </rPr>
      <t>, p. 51.</t>
    </r>
  </si>
  <si>
    <r>
      <t xml:space="preserve">Data directly from EIA report, </t>
    </r>
    <r>
      <rPr>
        <i/>
        <sz val="10"/>
        <color theme="9" tint="-0.249977111117893"/>
        <rFont val="Arial"/>
        <family val="2"/>
      </rPr>
      <t xml:space="preserve">Fuel Oil and Kerosene Sales.  </t>
    </r>
    <r>
      <rPr>
        <sz val="10"/>
        <color theme="9" tint="-0.249977111117893"/>
        <rFont val="Arial"/>
        <family val="2"/>
      </rPr>
      <t>See Cell BD64</t>
    </r>
  </si>
  <si>
    <r>
      <t xml:space="preserve">Transportation Energy Data Book.  </t>
    </r>
    <r>
      <rPr>
        <b/>
        <sz val="9"/>
        <color theme="9" tint="-0.249977111117893"/>
        <rFont val="Arial"/>
        <family val="2"/>
      </rPr>
      <t>The ORNL methodology attempts to remove the residual fuel oil consumption used</t>
    </r>
  </si>
  <si>
    <r>
      <t xml:space="preserve">published in the </t>
    </r>
    <r>
      <rPr>
        <b/>
        <i/>
        <sz val="9"/>
        <color theme="9" tint="-0.249977111117893"/>
        <rFont val="Arial"/>
        <family val="2"/>
      </rPr>
      <t xml:space="preserve">Transportation Energy Data Book </t>
    </r>
    <r>
      <rPr>
        <b/>
        <sz val="9"/>
        <color theme="9" tint="-0.249977111117893"/>
        <rFont val="Arial"/>
        <family val="2"/>
      </rPr>
      <t>for waterborne commerce/</t>
    </r>
  </si>
  <si>
    <t>Revised waterborne energy consumption estimated based on Dager Model</t>
  </si>
  <si>
    <t xml:space="preserve">Waterborne </t>
  </si>
  <si>
    <t>Fuel consumption estimates based on product of ton-mile estimates from Corps of Engineers, and external (Dager model) estimates of intensity.  See column N in worksheet 'Freight-based Energy Use'</t>
  </si>
  <si>
    <t>Fuel Type Shares  -  ORNL Transportation Energy Data Book, Ed. 32, for most recent estimates of shares by type of fuel</t>
  </si>
  <si>
    <t>1997-2001: 1997 Vehicle Inventory and Use Survey (VIUS).</t>
  </si>
  <si>
    <t>2002-2011:</t>
  </si>
  <si>
    <t xml:space="preserve">2002 Vehicle Inventory and Use Survey (VIUS), </t>
  </si>
  <si>
    <t>See Table A.1 for complete history of sources used for estimates of shares by type of fuel</t>
  </si>
  <si>
    <t>(Tables A.1, A.5, and A.6)</t>
  </si>
  <si>
    <r>
      <t xml:space="preserve">Oak Ridge National Laboratory. 2013 </t>
    </r>
    <r>
      <rPr>
        <i/>
        <sz val="10"/>
        <rFont val="Arial"/>
        <family val="2"/>
      </rPr>
      <t xml:space="preserve">Transportation Energy Data Book (TEDB), Edition 32, T. A.13 </t>
    </r>
    <r>
      <rPr>
        <sz val="10"/>
        <rFont val="Arial"/>
        <family val="2"/>
      </rPr>
      <t xml:space="preserve"> Oak Ridge, Tennessee.</t>
    </r>
  </si>
  <si>
    <r>
      <t xml:space="preserve">ORNL 2013 </t>
    </r>
    <r>
      <rPr>
        <i/>
        <sz val="10"/>
        <rFont val="Arial"/>
        <family val="2"/>
      </rPr>
      <t>Transportation Energy Data Book (TEDB), Edition 32.</t>
    </r>
    <r>
      <rPr>
        <sz val="10"/>
        <rFont val="Arial"/>
        <family val="2"/>
      </rPr>
      <t xml:space="preserve"> Table A.14</t>
    </r>
  </si>
  <si>
    <r>
      <t xml:space="preserve">Passenger car and light truck passenger-miles estimated by multiplying vehicle-miles of travel from </t>
    </r>
    <r>
      <rPr>
        <i/>
        <sz val="10"/>
        <rFont val="Arial"/>
        <family val="2"/>
      </rPr>
      <t>Highway Statistics</t>
    </r>
    <r>
      <rPr>
        <sz val="10"/>
        <rFont val="Arial"/>
        <family val="2"/>
      </rPr>
      <t xml:space="preserve"> by vehicle load factors from Nationwide Personal Transportation Surveys.</t>
    </r>
  </si>
  <si>
    <t xml:space="preserve">See also ORNL 2013 Transportation Energy Data Book, Table A.18 for load factors for cars.  </t>
  </si>
  <si>
    <t>million bbls</t>
  </si>
  <si>
    <t>from TEDB-32</t>
  </si>
  <si>
    <t>Alternative source:  TEDB-32, Table 4.1</t>
  </si>
  <si>
    <t>Alternative source:  TEDB-32, Table 4.2</t>
  </si>
  <si>
    <t>VMT 2009-2011</t>
  </si>
  <si>
    <t>Estimates based on extrapolation of 2008 estimate, using data from Table VM-1, 2011 Highway Statistics, see PNNL-22267, Appendix A, and worksheet 'Passenger vehicles'</t>
  </si>
  <si>
    <t>Column AG</t>
  </si>
  <si>
    <t>Column AB</t>
  </si>
  <si>
    <t>Column AD</t>
  </si>
  <si>
    <t>http://www.rita.dot.gov/bts/sites/rita.dot.gov.bts/files/publications/national_transportation_statistics/html/table_01_40.html_mfd</t>
  </si>
  <si>
    <t>http://www.fhwa.dot.gov/policyinformation/statistics/2012/pdf/vm1.pdf</t>
  </si>
  <si>
    <t>http://www.fhwa.dot.gov/policyinformation/statistics.cfm</t>
  </si>
  <si>
    <t xml:space="preserve">  2011-2012</t>
  </si>
  <si>
    <t xml:space="preserve">  All years</t>
  </si>
  <si>
    <t>http://www.rita.dot.gov/bts/sites/rita.dot.gov.bts/files/publications/national_transportation_statistics/html/table_01_35.html_mfd</t>
  </si>
  <si>
    <t xml:space="preserve">  1970-2010</t>
  </si>
  <si>
    <t>BTS_data</t>
  </si>
  <si>
    <t>VMT 2002-2006:</t>
  </si>
  <si>
    <t>VMT 2007-2008</t>
  </si>
  <si>
    <t>(Use menu on top right of screen to select year)</t>
  </si>
  <si>
    <t>Note:  The data from the Bureau of Transportation Statistics (BTS, bts) is taken from Highway Statistics, as above</t>
  </si>
  <si>
    <r>
      <t xml:space="preserve">ORNL 2013.  </t>
    </r>
    <r>
      <rPr>
        <i/>
        <sz val="10"/>
        <rFont val="Arial"/>
        <family val="2"/>
      </rPr>
      <t>Transportation Energy Data Book</t>
    </r>
    <r>
      <rPr>
        <sz val="10"/>
        <rFont val="Arial"/>
        <family val="2"/>
      </rPr>
      <t>: Edition 32, Table 9.11</t>
    </r>
  </si>
  <si>
    <t>1971-2011:</t>
  </si>
  <si>
    <r>
      <t xml:space="preserve">Oak Ridge National Laboratory. 2013. </t>
    </r>
    <r>
      <rPr>
        <i/>
        <sz val="10"/>
        <rFont val="Arial"/>
        <family val="2"/>
      </rPr>
      <t>Transportation Energy Data Book: Edition 32</t>
    </r>
    <r>
      <rPr>
        <sz val="10"/>
        <rFont val="Arial"/>
        <family val="2"/>
      </rPr>
      <t xml:space="preserve">. Table 9.10 </t>
    </r>
  </si>
  <si>
    <r>
      <t xml:space="preserve">American Public Transportation Association. </t>
    </r>
    <r>
      <rPr>
        <i/>
        <sz val="10"/>
        <rFont val="Arial"/>
        <family val="2"/>
      </rPr>
      <t xml:space="preserve">2013 Public Transportation Fact Book. </t>
    </r>
    <r>
      <rPr>
        <sz val="10"/>
        <rFont val="Arial"/>
        <family val="2"/>
      </rPr>
      <t>Appendix A, Table 3, Pt. B</t>
    </r>
  </si>
  <si>
    <t>2002:2011</t>
  </si>
  <si>
    <t xml:space="preserve">  As Published (See Tables 5.1 and 5.2 in TEDB, Ed. 32)</t>
  </si>
  <si>
    <r>
      <t xml:space="preserve">  Vehicle-miles from </t>
    </r>
    <r>
      <rPr>
        <i/>
        <sz val="10"/>
        <rFont val="Arial"/>
        <family val="2"/>
      </rPr>
      <t>National Transportation Statistics</t>
    </r>
    <r>
      <rPr>
        <sz val="10"/>
        <rFont val="Arial"/>
        <family val="2"/>
      </rPr>
      <t>, Table 1-35, but adjusted for consistency (See worksheet Adjust_Truck_Freight)</t>
    </r>
  </si>
  <si>
    <t xml:space="preserve">  Alternative source:</t>
  </si>
  <si>
    <t xml:space="preserve">  In worksheet Freight-Trucks, an average load of 3 tons is used to estimate ton-miles.</t>
  </si>
  <si>
    <t>http://www.navigationdatacenter.us/wcsc/pdf/wcusnatl11.pdf</t>
  </si>
  <si>
    <t>http://www.rita.dot.gov/bts/sites/rita.dot.gov.bts/files/publications/national_transportation_statistics/html/table_01_49.html_mfd</t>
  </si>
  <si>
    <t>2003-2010</t>
  </si>
  <si>
    <t>1975-2011</t>
  </si>
  <si>
    <t xml:space="preserve">Alternative source:  </t>
  </si>
  <si>
    <t xml:space="preserve">  ORNL 2013 Transportation Energy Data Book, Edition 32, Table 9.4</t>
  </si>
  <si>
    <t>Bureau of Transportation Statistics</t>
  </si>
  <si>
    <t>2004:2009</t>
  </si>
  <si>
    <t>Data unavailable: 2009 value held constant</t>
  </si>
  <si>
    <t>Tbtu for all pipelines in 2011</t>
  </si>
  <si>
    <t>TEDB-32, Table 9.2</t>
  </si>
  <si>
    <t>Passenger-miles, calculated from assumed constant load factor of 1.1 for all years</t>
  </si>
  <si>
    <t>Note:  No energgy intensity indicators are computed for oil pipelines, as there is no time series of energy consumption.  See worksheet 'Pipelines'.</t>
  </si>
  <si>
    <t>This worksheet computes implied MPG estimates for cars and light trucks, based upon energy use and vehicle-miles estimates</t>
  </si>
  <si>
    <t>2011/1985 for MPG</t>
  </si>
  <si>
    <t>2011/1985 for Btu/PM</t>
  </si>
  <si>
    <t>2011/1985 -&gt;</t>
  </si>
  <si>
    <t>2011/1985 load factor</t>
  </si>
  <si>
    <t>Compare AER/MER Transportation Energy Use with Bottom-up Estimates from Various Sources</t>
  </si>
  <si>
    <t>Total Fuel - Trillion Btu</t>
  </si>
  <si>
    <t>SWB-1 shr</t>
  </si>
  <si>
    <t xml:space="preserve">  (See:</t>
  </si>
  <si>
    <t>PNNL spreadsheet: BLS_output_data.xlsx in folder BLS_Industry_Data)</t>
  </si>
  <si>
    <t>Note:  Gross output in million 2005 dollars from BLS database for their employment projections input-output model</t>
  </si>
  <si>
    <t>FOR FINAL TABLE</t>
  </si>
  <si>
    <t>Total - BTS</t>
  </si>
  <si>
    <t xml:space="preserve"> Total - BTS</t>
  </si>
  <si>
    <t>Implied Load Factor -BTS</t>
  </si>
  <si>
    <t>Btu/VM - BTS</t>
  </si>
  <si>
    <t>MPG- BTS</t>
  </si>
  <si>
    <t>ORNL - School Bus</t>
  </si>
  <si>
    <t>Million Gal</t>
  </si>
  <si>
    <t xml:space="preserve">  Tbtu</t>
  </si>
  <si>
    <t>Vehicle-Miles Total - BTS New</t>
  </si>
  <si>
    <t>Vehicle-Miles Total - BTS 1993</t>
  </si>
  <si>
    <t>from website:  sbf.epubxp.com/i/229350/33</t>
  </si>
  <si>
    <t>Pupils transported per day</t>
  </si>
  <si>
    <t>Fuel Use (mill. gallons)</t>
  </si>
  <si>
    <t>ENO Foundation - TIA 2007, p. 45</t>
  </si>
  <si>
    <t>American Bus Association</t>
  </si>
  <si>
    <t>billion passenger-miles</t>
  </si>
  <si>
    <t>US Share of North America (based #buses)</t>
  </si>
  <si>
    <t>million vehicle-miles</t>
  </si>
  <si>
    <t>Ave. MPG</t>
  </si>
  <si>
    <t>transit, TEDB 32</t>
  </si>
  <si>
    <t>Worksheet for Intercity Bus:  Passenger-miles, bus-miles, and fuel use</t>
  </si>
  <si>
    <t>Btu/Gal</t>
  </si>
  <si>
    <t>(10)</t>
  </si>
  <si>
    <t>(11)</t>
  </si>
  <si>
    <t>(12)</t>
  </si>
  <si>
    <t>(13)</t>
  </si>
  <si>
    <t>(14)</t>
  </si>
  <si>
    <t>(15)</t>
  </si>
  <si>
    <t>(16)</t>
  </si>
  <si>
    <t>(17)</t>
  </si>
  <si>
    <t>(18)</t>
  </si>
  <si>
    <t>(19)</t>
  </si>
  <si>
    <t>Pass-Miles</t>
  </si>
  <si>
    <t>Revised Pass. Miles</t>
  </si>
  <si>
    <t>No. of Buses</t>
  </si>
  <si>
    <t>No. of Buses_Old (Not Used)</t>
  </si>
  <si>
    <t>Vehicle-miles, Commercial (Not Used)</t>
  </si>
  <si>
    <t xml:space="preserve">Vehicle-miles, Intercity </t>
  </si>
  <si>
    <t>Implied Load Factor</t>
  </si>
  <si>
    <t>Energy Use (TEDB 19), Not Used</t>
  </si>
  <si>
    <t>Converted Energy Use (TEDB 19), Not Used</t>
  </si>
  <si>
    <t>Energy Use (TEDB 32) Not Used</t>
  </si>
  <si>
    <t>Implied MPG (1) Not Used</t>
  </si>
  <si>
    <t>Implied MPG (2) Not Used</t>
  </si>
  <si>
    <t>Implied MPG (3) Not Used</t>
  </si>
  <si>
    <t>Blended MPG (4)</t>
  </si>
  <si>
    <t>Energy Use - Latest Estimates (TEDB, Edition32), Not Used</t>
  </si>
  <si>
    <t>Revised Energy Use</t>
  </si>
  <si>
    <t>(million)</t>
  </si>
  <si>
    <t>(number)</t>
  </si>
  <si>
    <t>persons/bus</t>
  </si>
  <si>
    <t>(Trillion Btu)</t>
  </si>
  <si>
    <t>(million gallons)</t>
  </si>
  <si>
    <t>mill. Gallons</t>
  </si>
  <si>
    <t>(mill. Bbls)</t>
  </si>
  <si>
    <t>ABA Data</t>
  </si>
  <si>
    <t>increments ---&gt;</t>
  </si>
  <si>
    <t>Note:  From Motorcoach Industry Census from ABA, conducted for 2010 through 2012</t>
  </si>
  <si>
    <t xml:space="preserve">   Col. (1)</t>
  </si>
  <si>
    <t xml:space="preserve">1970 - 1990 Bureau of Transportation Statistics (BTS), 1993 Annual Report (Sept.), Table 6 </t>
  </si>
  <si>
    <t>1991 - 2001 ORNL TEDB, Edition 23, Table 5.13</t>
  </si>
  <si>
    <t xml:space="preserve">   Col. (2)</t>
  </si>
  <si>
    <t>Revised passenger-miles based on alternative load factors, interpolated for 1998 through 2006</t>
  </si>
  <si>
    <t xml:space="preserve">   Col. (3)</t>
  </si>
  <si>
    <t xml:space="preserve">1970-1985:  </t>
  </si>
  <si>
    <t xml:space="preserve">Bureau of Transportation Statistics (BTS), 1993 Annual Report (Sept.), Table 10 </t>
  </si>
  <si>
    <t xml:space="preserve">   Note: data through 1983 shown here consistent with ABA published data in Annual Reports</t>
  </si>
  <si>
    <t xml:space="preserve">  1985-1997: ORNL, TEDB, Edition 19 (1999), Table 8.14 (non-interpolated entries)</t>
  </si>
  <si>
    <t xml:space="preserve">   Col. (4)</t>
  </si>
  <si>
    <t>ORNL, TEDB, Edition 9 (1989), Table 2.46  (based on tables from ABA Annual Reports)</t>
  </si>
  <si>
    <t xml:space="preserve">   Col. (5)</t>
  </si>
  <si>
    <t xml:space="preserve">Bureau of Transportation Statistics, 1993 Annual Report (Sept.), Table 6, </t>
  </si>
  <si>
    <t>(presumably includes both intercity and transit buses), Not used</t>
  </si>
  <si>
    <t xml:space="preserve">   Col. (6)</t>
  </si>
  <si>
    <t>1970-1997:  ORNL - TEDB 19, Table 8.14, and Annual Reports from ABA for 1970-1983, supplied by ORNL</t>
  </si>
  <si>
    <t xml:space="preserve">   1984-1997:  ORNL - TEDB 19, Table 8.14, based on Eno Foundation Transportation in America</t>
  </si>
  <si>
    <r>
      <t xml:space="preserve">2004:  from ABA Motor Coach Industry Census, 2005, as cited in </t>
    </r>
    <r>
      <rPr>
        <i/>
        <sz val="10"/>
        <color theme="1"/>
        <rFont val="Arial"/>
        <family val="2"/>
      </rPr>
      <t>Comparison of Energy Use</t>
    </r>
  </si>
  <si>
    <r>
      <t xml:space="preserve">  &amp; CO2 Emissions From Different Transportation Modes, </t>
    </r>
    <r>
      <rPr>
        <sz val="10"/>
        <rFont val="Arial"/>
        <family val="2"/>
      </rPr>
      <t>Table 2.2, available from ABA website, see comment in cell I41</t>
    </r>
  </si>
  <si>
    <r>
      <t xml:space="preserve">2007:  from ABA </t>
    </r>
    <r>
      <rPr>
        <i/>
        <sz val="10"/>
        <color theme="1"/>
        <rFont val="Arial"/>
        <family val="2"/>
      </rPr>
      <t>Draft Motor Coach Industry Census 2007</t>
    </r>
    <r>
      <rPr>
        <sz val="10"/>
        <rFont val="Arial"/>
        <family val="2"/>
      </rPr>
      <t xml:space="preserve">, as cited in </t>
    </r>
    <r>
      <rPr>
        <i/>
        <sz val="10"/>
        <color theme="1"/>
        <rFont val="Arial"/>
        <family val="2"/>
      </rPr>
      <t>Updated</t>
    </r>
    <r>
      <rPr>
        <sz val="10"/>
        <rFont val="Arial"/>
        <family val="2"/>
      </rPr>
      <t xml:space="preserve"> </t>
    </r>
    <r>
      <rPr>
        <i/>
        <sz val="10"/>
        <color theme="1"/>
        <rFont val="Arial"/>
        <family val="2"/>
      </rPr>
      <t>Comparison of Energy Use</t>
    </r>
  </si>
  <si>
    <r>
      <t xml:space="preserve">  &amp; CO2 Emissions From Different Transportation Modes, </t>
    </r>
    <r>
      <rPr>
        <sz val="10"/>
        <rFont val="Arial"/>
        <family val="2"/>
      </rPr>
      <t>October 2008, Table 2.2, available from ABA website</t>
    </r>
  </si>
  <si>
    <t>2010-2012:  From ABA Motorcoach Census for 2011, 2012, and 2013 (data for previous year)</t>
  </si>
  <si>
    <t xml:space="preserve">   Col. (7)</t>
  </si>
  <si>
    <t>Implied load factor, computed from columns (1) and (5), shaded cells are interpolations</t>
  </si>
  <si>
    <t xml:space="preserve">   Col. (8)</t>
  </si>
  <si>
    <t>ORNL - TEDB 19, Table 8.14, shaded values are linear interpolations</t>
  </si>
  <si>
    <t xml:space="preserve">   Col. (9) </t>
  </si>
  <si>
    <t>Column (7) converted to gallons, using 138.7 kBtu/gallon</t>
  </si>
  <si>
    <t xml:space="preserve">   Col. (10) </t>
  </si>
  <si>
    <t>ORNL - TEDB 32, Table A.4</t>
  </si>
  <si>
    <t xml:space="preserve">   Col. (11) </t>
  </si>
  <si>
    <t xml:space="preserve">Case 1 for MPG - use BTS data + latest TEBD energy data - implausible results </t>
  </si>
  <si>
    <t xml:space="preserve">   Col. (12) </t>
  </si>
  <si>
    <t>Case 2 for MPG - use 'best' estimate of mileage and latest TEDB energy data - implausible results</t>
  </si>
  <si>
    <t xml:space="preserve">   Col. (13)</t>
  </si>
  <si>
    <t>Case 3 for MPG - Compute MPG with data from TEDB 19 - implausible results</t>
  </si>
  <si>
    <t xml:space="preserve">   Col. (14) </t>
  </si>
  <si>
    <t>Case 4 for MPG - Use ICC and ABA data for MPG through 1980, interpolate to 2007, and use ABA data for 2007, 2010-2012</t>
  </si>
  <si>
    <t xml:space="preserve">   Col. (15)</t>
  </si>
  <si>
    <t>Data for columns (15) - (17) from TEBD 32.  However, not used.</t>
  </si>
  <si>
    <t xml:space="preserve">   Col. (16)</t>
  </si>
  <si>
    <t xml:space="preserve">   Col. (17)</t>
  </si>
  <si>
    <t xml:space="preserve">   Col. (18)</t>
  </si>
  <si>
    <t>Final estimates for energy use in million gallons.  Developed by dividing vehicle-miles by average MPG</t>
  </si>
  <si>
    <t xml:space="preserve">   Col. (19)</t>
  </si>
  <si>
    <t>Final estimates for energy use in trillion Btu.  Developed by conversion of fuel use to Btu, assume 100% diesel fuel</t>
  </si>
  <si>
    <t>Not Used</t>
  </si>
  <si>
    <t>Estimates revised in August 2014.  See separate worksheet:  Revised_intercity_bus_estimates</t>
  </si>
  <si>
    <t>Estimates revised in August 2014.  See separate worksheet:  Revised_school_bus_estimates</t>
  </si>
  <si>
    <t xml:space="preserve">    Series completely revised in August 2014.  See separate worksheet:  Revised_intercity_bus_estimates  (Data primarily from American Bus Association)</t>
  </si>
  <si>
    <r>
      <t xml:space="preserve">    Series completely revised in August 2014.  See separate worksheet:  Revised_intercity_bus_estimates  (Data since 1994 based on route mileage from </t>
    </r>
    <r>
      <rPr>
        <i/>
        <sz val="10"/>
        <rFont val="Arial"/>
        <family val="2"/>
      </rPr>
      <t>School Bus Fleet Magazine</t>
    </r>
    <r>
      <rPr>
        <sz val="10"/>
        <rFont val="Arial"/>
        <family val="2"/>
      </rPr>
      <t>)</t>
    </r>
  </si>
  <si>
    <t>Worksheet for School Bus:  Passenger-miles, bus-miles, and fuel use</t>
  </si>
  <si>
    <t>Based on School Bus Fleet Magazine data</t>
  </si>
  <si>
    <t>Average load factor</t>
  </si>
  <si>
    <t>(8</t>
  </si>
  <si>
    <t>No. of Buses_Old</t>
  </si>
  <si>
    <t>Vehicle-miles (V-M)</t>
  </si>
  <si>
    <t>miles/bus</t>
  </si>
  <si>
    <t>Implied MPG (1a)</t>
  </si>
  <si>
    <t>Implied MPG (1b)</t>
  </si>
  <si>
    <t>Implied MPG (2)</t>
  </si>
  <si>
    <t>Implied MPG (3)</t>
  </si>
  <si>
    <t>Adjusted vehicle-miles</t>
  </si>
  <si>
    <t>Energy Use - Latest Estimates (TEDB, Edition32)</t>
  </si>
  <si>
    <t>Revised Pass-Miles</t>
  </si>
  <si>
    <t>Alt Fuel Use, TEDB 19, Table 8.14</t>
  </si>
  <si>
    <t xml:space="preserve"> (million)</t>
  </si>
  <si>
    <t xml:space="preserve">  (Billion)</t>
  </si>
  <si>
    <t xml:space="preserve"> Btu/V-M</t>
  </si>
  <si>
    <t>Extrapolated</t>
  </si>
  <si>
    <t>in TEDB-32</t>
  </si>
  <si>
    <t xml:space="preserve">by total </t>
  </si>
  <si>
    <t>bus vehicle-</t>
  </si>
  <si>
    <t xml:space="preserve">miles </t>
  </si>
  <si>
    <t>Note:</t>
  </si>
  <si>
    <t xml:space="preserve">   Assumed credible vehicle-miles for 1980, 1985, 1990,</t>
  </si>
  <si>
    <t xml:space="preserve">   and 1994 to calculate miles/bus,  Interpolations </t>
  </si>
  <si>
    <t xml:space="preserve">   intervening years shown in light orange</t>
  </si>
  <si>
    <t xml:space="preserve">1980 - 1991 Bureau of Transportation Statistics (BTS), 1993 Annual Report (Sept.), Table 6 </t>
  </si>
  <si>
    <t>1994 1997 ORNL TEDB, Edition 19, Table 8.14</t>
  </si>
  <si>
    <t>ORNL, TEDB, Edition 21 (2001), Table 8.13</t>
  </si>
  <si>
    <t>ORNL, TEDB, Edition 9 (1989), Table 2.46</t>
  </si>
  <si>
    <t xml:space="preserve">Bureau of Transportation Statistics, 1993 Annual Report (Sept.), Table 6, 1970-1976 from FHWA </t>
  </si>
  <si>
    <r>
      <t xml:space="preserve">BTS data from 1977 through 1991 from National Safety Council, </t>
    </r>
    <r>
      <rPr>
        <i/>
        <sz val="10"/>
        <color theme="1"/>
        <rFont val="Arial"/>
        <family val="2"/>
      </rPr>
      <t>Accident Facts</t>
    </r>
    <r>
      <rPr>
        <sz val="10"/>
        <rFont val="Arial"/>
        <family val="2"/>
      </rPr>
      <t xml:space="preserve"> (not reliable)</t>
    </r>
  </si>
  <si>
    <r>
      <t xml:space="preserve">Data from 1994 through 1997 from ORNL, TEDB edition 19, Table 8.14 (also from </t>
    </r>
    <r>
      <rPr>
        <i/>
        <sz val="10"/>
        <color theme="1"/>
        <rFont val="Arial"/>
        <family val="2"/>
      </rPr>
      <t>Accident Facts</t>
    </r>
    <r>
      <rPr>
        <sz val="10"/>
        <rFont val="Arial"/>
        <family val="2"/>
      </rPr>
      <t>)</t>
    </r>
  </si>
  <si>
    <t>ORNL - TEDB 32, Table A.4 (data after 2000 was based on extrapolation with total bus vehicle-miles</t>
  </si>
  <si>
    <t xml:space="preserve">   Col. (6) </t>
  </si>
  <si>
    <t>Average miles per bus, Col. 4 divided by Col. 2 (not used)</t>
  </si>
  <si>
    <t xml:space="preserve">   Col. (7) </t>
  </si>
  <si>
    <t>Case 1:  Average MPG, Col. 4 divided by Col. 7, interpolated values shown in shaded cells</t>
  </si>
  <si>
    <t xml:space="preserve">   Col. (8) </t>
  </si>
  <si>
    <t>Average MPG, same as Col. 7</t>
  </si>
  <si>
    <t xml:space="preserve">   Col. (9)</t>
  </si>
  <si>
    <t>Case 2:  Average MPG computed by dividing total miles from Col. 4 by TEDB 32 estimates of fuel use</t>
  </si>
  <si>
    <t xml:space="preserve">   Col. (10)</t>
  </si>
  <si>
    <t>Case 3:  Average MPG computed by dividing adjusted total miles from Col. 4 by TEDB 32 estimates of fuel use</t>
  </si>
  <si>
    <t xml:space="preserve">   Col. (11)</t>
  </si>
  <si>
    <t>Adjusted miles - use number of buses times interpolated values for annual miles per bus.  For years ending 0 and 5, use published data</t>
  </si>
  <si>
    <t xml:space="preserve">  Thus, adjusted values match in years ending 0 and 5 with Column 4, and for 1994.  After 1994, values taken directly from </t>
  </si>
  <si>
    <t xml:space="preserve">  School Bus Fleet Magazine estimates, adjusted for missing values</t>
  </si>
  <si>
    <t xml:space="preserve">   Col. (12)</t>
  </si>
  <si>
    <t xml:space="preserve">   Col. (14)</t>
  </si>
  <si>
    <t>Estimated total fuel use, calculated by total vehicle-miles/average MPG.  No change in average MPG after 1994 for lack of data or information</t>
  </si>
  <si>
    <t>Estimated total energy use, calculated with 137,330 Btu/gal (90% diesel, 10% gasoline as assumed by ORNL in TEDB 32, Table A.4)</t>
  </si>
  <si>
    <t>Revised passenger-miles, assume constant load factor of 32, based upon School Bus Fleet Magazine data</t>
  </si>
  <si>
    <t>Data from 1995 and later</t>
  </si>
  <si>
    <t>from spreadsheet:  School_Bus_Fleet_Stats:</t>
  </si>
  <si>
    <t>worksheet: School_Bus_Fleet_Data: AB9:AB25</t>
  </si>
  <si>
    <t>Interpolated values</t>
  </si>
  <si>
    <t>bus mileage from School Bus Fleet Magazine</t>
  </si>
  <si>
    <t xml:space="preserve">   Not used, Instead, vehicle-miles extrapolated with adjusted</t>
  </si>
  <si>
    <t>Implied</t>
  </si>
  <si>
    <t>Load Factors</t>
  </si>
  <si>
    <t>1977-2012</t>
  </si>
  <si>
    <r>
      <t xml:space="preserve">American Public Transportation Association. </t>
    </r>
    <r>
      <rPr>
        <i/>
        <sz val="10"/>
        <rFont val="Arial"/>
        <family val="2"/>
      </rPr>
      <t xml:space="preserve">2014 Public Transportation Fact Book. </t>
    </r>
    <r>
      <rPr>
        <sz val="10"/>
        <rFont val="Arial"/>
        <family val="2"/>
      </rPr>
      <t>Appendix A, Table 3, Pt. A</t>
    </r>
  </si>
  <si>
    <t>http://www.apta.com/resources/statistics/Documents/FactBook/2014-Fact-Book-Appendix-A.pdf</t>
  </si>
  <si>
    <t>Note:  Transit bus does not include trolley bus because APTA did not not report electricity consumption for trolley buses separately for all years.</t>
  </si>
  <si>
    <t>Appendix C Examples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</si>
</sst>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0.000"/>
    <numFmt numFmtId="165" formatCode="#,##0.0"/>
    <numFmt numFmtId="166" formatCode="#,##0.0000"/>
    <numFmt numFmtId="167" formatCode="0.0"/>
    <numFmt numFmtId="168" formatCode="0.0000"/>
    <numFmt numFmtId="169" formatCode="0.00000"/>
    <numFmt numFmtId="170" formatCode="0.000"/>
    <numFmt numFmtId="171" formatCode="0.000000"/>
    <numFmt numFmtId="172" formatCode="0.00000000"/>
    <numFmt numFmtId="173" formatCode="0.000000000000"/>
    <numFmt numFmtId="174" formatCode="0.0%"/>
    <numFmt numFmtId="175" formatCode="#,##0_)"/>
    <numFmt numFmtId="176" formatCode="_(* #,##0.0_);_(* \(#,##0.0\);_(* &quot;-&quot;??_);_(@_)"/>
    <numFmt numFmtId="177" formatCode="###0.00_)"/>
    <numFmt numFmtId="178" formatCode="0.0_W"/>
    <numFmt numFmtId="179" formatCode="_(* #,##0_);_(* \(#,##0\);_(* &quot;-&quot;??_);_(@_)"/>
    <numFmt numFmtId="180" formatCode="#,##0.000000"/>
    <numFmt numFmtId="181" formatCode="#,##0.00000"/>
  </numFmts>
  <fonts count="131" x14ac:knownFonts="1">
    <font>
      <sz val="10"/>
      <name val="Arial"/>
    </font>
    <font>
      <sz val="10"/>
      <color theme="1"/>
      <name val="Arial"/>
      <family val="2"/>
    </font>
    <font>
      <sz val="10"/>
      <color theme="1"/>
      <name val="Arial"/>
      <family val="2"/>
    </font>
    <font>
      <sz val="10"/>
      <color theme="1"/>
      <name val="Arial"/>
      <family val="2"/>
    </font>
    <font>
      <sz val="10"/>
      <name val="Arial"/>
      <family val="2"/>
    </font>
    <font>
      <b/>
      <sz val="10"/>
      <name val="Arial"/>
      <family val="2"/>
    </font>
    <font>
      <u/>
      <sz val="10"/>
      <color indexed="12"/>
      <name val="Arial"/>
      <family val="2"/>
    </font>
    <font>
      <sz val="14"/>
      <name val="Arial"/>
      <family val="2"/>
    </font>
    <font>
      <i/>
      <sz val="10"/>
      <name val="Arial"/>
      <family val="2"/>
    </font>
    <font>
      <sz val="10"/>
      <color indexed="10"/>
      <name val="Arial"/>
      <family val="2"/>
    </font>
    <font>
      <sz val="10"/>
      <color indexed="8"/>
      <name val="Arial"/>
      <family val="2"/>
    </font>
    <font>
      <sz val="10"/>
      <name val="Arial"/>
      <family val="2"/>
    </font>
    <font>
      <sz val="10"/>
      <color indexed="12"/>
      <name val="Arial"/>
      <family val="2"/>
    </font>
    <font>
      <sz val="10"/>
      <color indexed="9"/>
      <name val="Arial"/>
      <family val="2"/>
    </font>
    <font>
      <b/>
      <sz val="10"/>
      <color indexed="9"/>
      <name val="Arial"/>
      <family val="2"/>
    </font>
    <font>
      <b/>
      <sz val="10"/>
      <color indexed="63"/>
      <name val="Arial"/>
      <family val="2"/>
    </font>
    <font>
      <sz val="10"/>
      <color indexed="63"/>
      <name val="Arial"/>
      <family val="2"/>
    </font>
    <font>
      <b/>
      <i/>
      <sz val="10"/>
      <name val="Arial"/>
      <family val="2"/>
    </font>
    <font>
      <b/>
      <sz val="12"/>
      <name val="Arial"/>
      <family val="2"/>
    </font>
    <font>
      <sz val="10"/>
      <name val="Times New Roman"/>
      <family val="1"/>
    </font>
    <font>
      <sz val="12"/>
      <name val="Times New Roman"/>
      <family val="1"/>
    </font>
    <font>
      <sz val="9"/>
      <name val="Arial"/>
      <family val="2"/>
    </font>
    <font>
      <b/>
      <sz val="11"/>
      <name val="Arial"/>
      <family val="2"/>
    </font>
    <font>
      <sz val="11"/>
      <name val="Arial"/>
      <family val="2"/>
    </font>
    <font>
      <b/>
      <sz val="14"/>
      <name val="Arial"/>
      <family val="2"/>
    </font>
    <font>
      <b/>
      <sz val="8"/>
      <color indexed="81"/>
      <name val="Tahoma"/>
      <family val="2"/>
    </font>
    <font>
      <sz val="8"/>
      <color indexed="81"/>
      <name val="Tahoma"/>
      <family val="2"/>
    </font>
    <font>
      <sz val="10"/>
      <color indexed="48"/>
      <name val="Arial"/>
      <family val="2"/>
    </font>
    <font>
      <sz val="9"/>
      <name val="Helv"/>
    </font>
    <font>
      <sz val="10"/>
      <color indexed="52"/>
      <name val="Arial"/>
      <family val="2"/>
    </font>
    <font>
      <sz val="10"/>
      <color indexed="10"/>
      <name val="Arial"/>
      <family val="2"/>
    </font>
    <font>
      <sz val="12"/>
      <name val="Helv"/>
    </font>
    <font>
      <b/>
      <sz val="12"/>
      <name val="Helv"/>
    </font>
    <font>
      <vertAlign val="superscript"/>
      <sz val="12"/>
      <name val="Helv"/>
    </font>
    <font>
      <sz val="10"/>
      <name val="Helv"/>
    </font>
    <font>
      <b/>
      <sz val="18"/>
      <name val="Arial"/>
      <family val="2"/>
    </font>
    <font>
      <b/>
      <sz val="12"/>
      <name val="Arial"/>
      <family val="2"/>
    </font>
    <font>
      <b/>
      <sz val="9"/>
      <name val="Helv"/>
    </font>
    <font>
      <sz val="8.5"/>
      <name val="Helv"/>
    </font>
    <font>
      <b/>
      <sz val="10"/>
      <name val="HELV"/>
    </font>
    <font>
      <sz val="8"/>
      <name val="Helv"/>
    </font>
    <font>
      <b/>
      <sz val="14"/>
      <name val="Helv"/>
    </font>
    <font>
      <sz val="10"/>
      <color indexed="48"/>
      <name val="Arial"/>
      <family val="2"/>
    </font>
    <font>
      <b/>
      <sz val="11"/>
      <name val="Arial Narrow"/>
      <family val="2"/>
    </font>
    <font>
      <b/>
      <sz val="9"/>
      <name val="Arial"/>
      <family val="2"/>
    </font>
    <font>
      <b/>
      <u/>
      <sz val="9"/>
      <color indexed="12"/>
      <name val="Arial"/>
      <family val="2"/>
    </font>
    <font>
      <b/>
      <i/>
      <sz val="10"/>
      <color indexed="10"/>
      <name val="Arial"/>
      <family val="2"/>
    </font>
    <font>
      <sz val="8"/>
      <name val="Arial"/>
      <family val="2"/>
    </font>
    <font>
      <b/>
      <sz val="18"/>
      <name val="Arial Unicode MS"/>
      <family val="2"/>
    </font>
    <font>
      <sz val="10"/>
      <name val="Arial Unicode MS"/>
      <family val="2"/>
    </font>
    <font>
      <b/>
      <sz val="10"/>
      <name val="Arial Unicode MS"/>
      <family val="2"/>
    </font>
    <font>
      <vertAlign val="superscript"/>
      <sz val="10"/>
      <color indexed="8"/>
      <name val="Calibri"/>
      <family val="2"/>
    </font>
    <font>
      <b/>
      <sz val="7"/>
      <color indexed="8"/>
      <name val="Arial"/>
      <family val="2"/>
    </font>
    <font>
      <vertAlign val="superscript"/>
      <sz val="5"/>
      <color indexed="8"/>
      <name val="Arial"/>
      <family val="2"/>
    </font>
    <font>
      <sz val="7"/>
      <color indexed="8"/>
      <name val="Arial"/>
      <family val="2"/>
    </font>
    <font>
      <sz val="7"/>
      <color indexed="8"/>
      <name val="Symbol"/>
      <family val="1"/>
      <charset val="2"/>
    </font>
    <font>
      <i/>
      <sz val="7"/>
      <color indexed="8"/>
      <name val="Arial"/>
      <family val="2"/>
    </font>
    <font>
      <sz val="11"/>
      <color indexed="10"/>
      <name val="Arial"/>
      <family val="2"/>
    </font>
    <font>
      <sz val="10"/>
      <color indexed="8"/>
      <name val="Calibri"/>
      <family val="2"/>
    </font>
    <font>
      <sz val="10"/>
      <color indexed="10"/>
      <name val="Arial"/>
      <family val="2"/>
    </font>
    <font>
      <b/>
      <sz val="12"/>
      <color indexed="8"/>
      <name val="Arial"/>
      <family val="2"/>
    </font>
    <font>
      <sz val="10"/>
      <color indexed="8"/>
      <name val="Arial"/>
      <family val="2"/>
    </font>
    <font>
      <b/>
      <sz val="7"/>
      <color indexed="8"/>
      <name val="Arial"/>
      <family val="2"/>
    </font>
    <font>
      <sz val="7"/>
      <color indexed="8"/>
      <name val="Arial"/>
      <family val="2"/>
    </font>
    <font>
      <sz val="5"/>
      <color indexed="8"/>
      <name val="Arial"/>
      <family val="2"/>
    </font>
    <font>
      <vertAlign val="superscript"/>
      <sz val="5"/>
      <color indexed="8"/>
      <name val="Arial"/>
      <family val="2"/>
    </font>
    <font>
      <sz val="10"/>
      <color indexed="53"/>
      <name val="Arial"/>
      <family val="2"/>
    </font>
    <font>
      <i/>
      <sz val="10"/>
      <color indexed="53"/>
      <name val="Arial"/>
      <family val="2"/>
    </font>
    <font>
      <i/>
      <sz val="10"/>
      <color indexed="53"/>
      <name val="Arial"/>
      <family val="2"/>
    </font>
    <font>
      <i/>
      <u/>
      <sz val="10"/>
      <color indexed="53"/>
      <name val="Arial"/>
      <family val="2"/>
    </font>
    <font>
      <sz val="10"/>
      <color indexed="53"/>
      <name val="Arial"/>
      <family val="2"/>
    </font>
    <font>
      <sz val="10"/>
      <color indexed="52"/>
      <name val="Arial"/>
      <family val="2"/>
    </font>
    <font>
      <i/>
      <sz val="10"/>
      <color indexed="8"/>
      <name val="Times New Roman"/>
      <family val="1"/>
    </font>
    <font>
      <sz val="10"/>
      <color indexed="8"/>
      <name val="Times New Roman"/>
      <family val="1"/>
    </font>
    <font>
      <sz val="11"/>
      <name val="Times New Roman"/>
      <family val="1"/>
    </font>
    <font>
      <vertAlign val="superscript"/>
      <sz val="11"/>
      <name val="Times New Roman"/>
      <family val="1"/>
    </font>
    <font>
      <sz val="11"/>
      <color indexed="8"/>
      <name val="Times New Roman"/>
      <family val="1"/>
    </font>
    <font>
      <vertAlign val="superscript"/>
      <sz val="11"/>
      <color indexed="8"/>
      <name val="Times New Roman"/>
      <family val="1"/>
    </font>
    <font>
      <i/>
      <sz val="11"/>
      <color indexed="8"/>
      <name val="Times New Roman"/>
      <family val="1"/>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1"/>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rgb="FF0000FF"/>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rgb="FF0000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sz val="10"/>
      <color theme="1"/>
      <name val="Times New Roman"/>
      <family val="1"/>
    </font>
    <font>
      <b/>
      <sz val="10"/>
      <color theme="1"/>
      <name val="Times New Roman"/>
      <family val="1"/>
    </font>
    <font>
      <sz val="11"/>
      <color theme="1"/>
      <name val="Times New Roman"/>
      <family val="1"/>
    </font>
    <font>
      <vertAlign val="superscript"/>
      <sz val="11"/>
      <color theme="1"/>
      <name val="Times New Roman"/>
      <family val="1"/>
    </font>
    <font>
      <i/>
      <sz val="10"/>
      <color theme="1"/>
      <name val="Times New Roman"/>
      <family val="1"/>
    </font>
    <font>
      <sz val="7"/>
      <color rgb="FF000000"/>
      <name val="Arial"/>
      <family val="2"/>
    </font>
    <font>
      <sz val="5"/>
      <color rgb="FF000000"/>
      <name val="Arial"/>
      <family val="2"/>
    </font>
    <font>
      <vertAlign val="superscript"/>
      <sz val="5"/>
      <color rgb="FF000000"/>
      <name val="Arial"/>
      <family val="2"/>
    </font>
    <font>
      <b/>
      <sz val="7"/>
      <color rgb="FF000000"/>
      <name val="Arial"/>
      <family val="2"/>
    </font>
    <font>
      <sz val="7"/>
      <color rgb="FF000000"/>
      <name val="Symbol"/>
      <family val="1"/>
      <charset val="2"/>
    </font>
    <font>
      <b/>
      <sz val="12"/>
      <color rgb="FF000000"/>
      <name val="Arial"/>
      <family val="2"/>
    </font>
    <font>
      <sz val="10"/>
      <color rgb="FF000000"/>
      <name val="Arial"/>
      <family val="2"/>
    </font>
    <font>
      <b/>
      <sz val="11"/>
      <color theme="1"/>
      <name val="Times New Roman"/>
      <family val="1"/>
    </font>
    <font>
      <i/>
      <sz val="11"/>
      <color theme="1"/>
      <name val="Times New Roman"/>
      <family val="1"/>
    </font>
    <font>
      <vertAlign val="superscript"/>
      <sz val="10"/>
      <color theme="1"/>
      <name val="Times New Roman"/>
      <family val="1"/>
    </font>
    <font>
      <b/>
      <sz val="12"/>
      <color theme="1"/>
      <name val="Arial"/>
      <family val="2"/>
    </font>
    <font>
      <b/>
      <sz val="7"/>
      <color theme="1"/>
      <name val="Arial"/>
      <family val="2"/>
    </font>
    <font>
      <vertAlign val="superscript"/>
      <sz val="5"/>
      <color theme="1"/>
      <name val="Arial"/>
      <family val="2"/>
    </font>
    <font>
      <sz val="7"/>
      <color theme="1"/>
      <name val="Arial"/>
      <family val="2"/>
    </font>
    <font>
      <sz val="5"/>
      <color theme="1"/>
      <name val="Arial"/>
      <family val="2"/>
    </font>
    <font>
      <u/>
      <sz val="10"/>
      <color theme="10"/>
      <name val="Arial"/>
      <family val="2"/>
    </font>
    <font>
      <sz val="10"/>
      <color rgb="FF00B050"/>
      <name val="Arial"/>
      <family val="2"/>
    </font>
    <font>
      <b/>
      <sz val="12"/>
      <name val="Times New Roman"/>
      <family val="1"/>
    </font>
    <font>
      <i/>
      <sz val="12"/>
      <name val="Arial"/>
      <family val="2"/>
    </font>
    <font>
      <sz val="10"/>
      <color theme="9" tint="-0.249977111117893"/>
      <name val="Arial"/>
      <family val="2"/>
    </font>
    <font>
      <i/>
      <sz val="10"/>
      <color theme="9" tint="-0.249977111117893"/>
      <name val="Arial"/>
      <family val="2"/>
    </font>
    <font>
      <b/>
      <sz val="9"/>
      <color theme="9" tint="-0.249977111117893"/>
      <name val="Arial"/>
      <family val="2"/>
    </font>
    <font>
      <b/>
      <u/>
      <sz val="9"/>
      <color theme="9" tint="-0.249977111117893"/>
      <name val="Arial"/>
      <family val="2"/>
    </font>
    <font>
      <b/>
      <i/>
      <sz val="9"/>
      <color theme="9" tint="-0.249977111117893"/>
      <name val="Arial"/>
      <family val="2"/>
    </font>
    <font>
      <b/>
      <sz val="10"/>
      <color theme="1"/>
      <name val="Arial"/>
      <family val="2"/>
    </font>
    <font>
      <i/>
      <sz val="10"/>
      <color theme="1"/>
      <name val="Arial"/>
      <family val="2"/>
    </font>
  </fonts>
  <fills count="79">
    <fill>
      <patternFill patternType="none"/>
    </fill>
    <fill>
      <patternFill patternType="gray125"/>
    </fill>
    <fill>
      <patternFill patternType="solid">
        <fgColor indexed="22"/>
        <bgColor indexed="9"/>
      </patternFill>
    </fill>
    <fill>
      <patternFill patternType="solid">
        <fgColor indexed="22"/>
        <bgColor indexed="55"/>
      </patternFill>
    </fill>
    <fill>
      <patternFill patternType="solid">
        <fgColor indexed="43"/>
        <bgColor indexed="64"/>
      </patternFill>
    </fill>
    <fill>
      <patternFill patternType="solid">
        <fgColor indexed="22"/>
        <bgColor indexed="64"/>
      </patternFill>
    </fill>
    <fill>
      <patternFill patternType="solid">
        <fgColor indexed="18"/>
        <bgColor indexed="64"/>
      </patternFill>
    </fill>
    <fill>
      <patternFill patternType="solid">
        <fgColor indexed="21"/>
        <bgColor indexed="64"/>
      </patternFill>
    </fill>
    <fill>
      <patternFill patternType="solid">
        <fgColor indexed="54"/>
        <bgColor indexed="64"/>
      </patternFill>
    </fill>
    <fill>
      <patternFill patternType="solid">
        <fgColor indexed="42"/>
        <bgColor indexed="64"/>
      </patternFill>
    </fill>
    <fill>
      <patternFill patternType="solid">
        <fgColor indexed="41"/>
        <bgColor indexed="64"/>
      </patternFill>
    </fill>
    <fill>
      <patternFill patternType="solid">
        <fgColor indexed="40"/>
        <bgColor indexed="64"/>
      </patternFill>
    </fill>
    <fill>
      <patternFill patternType="solid">
        <fgColor indexed="55"/>
        <bgColor indexed="64"/>
      </patternFill>
    </fill>
    <fill>
      <patternFill patternType="solid">
        <fgColor indexed="15"/>
        <bgColor indexed="64"/>
      </patternFill>
    </fill>
    <fill>
      <patternFill patternType="solid">
        <fgColor indexed="51"/>
        <bgColor indexed="64"/>
      </patternFill>
    </fill>
    <fill>
      <patternFill patternType="solid">
        <fgColor indexed="13"/>
        <bgColor indexed="64"/>
      </patternFill>
    </fill>
    <fill>
      <patternFill patternType="solid">
        <fgColor indexed="12"/>
        <bgColor indexed="64"/>
      </patternFill>
    </fill>
    <fill>
      <patternFill patternType="solid">
        <fgColor indexed="47"/>
        <bgColor indexed="64"/>
      </patternFill>
    </fill>
    <fill>
      <patternFill patternType="solid">
        <fgColor indexed="52"/>
        <bgColor indexed="64"/>
      </patternFill>
    </fill>
    <fill>
      <patternFill patternType="solid">
        <fgColor indexed="45"/>
        <bgColor indexed="64"/>
      </patternFill>
    </fill>
    <fill>
      <patternFill patternType="solid">
        <fgColor indexed="62"/>
        <bgColor indexed="64"/>
      </patternFill>
    </fill>
    <fill>
      <patternFill patternType="solid">
        <fgColor indexed="10"/>
        <bgColor indexed="64"/>
      </patternFill>
    </fill>
    <fill>
      <patternFill patternType="solid">
        <fgColor indexed="11"/>
        <bgColor indexed="64"/>
      </patternFill>
    </fill>
    <fill>
      <patternFill patternType="solid">
        <fgColor indexed="48"/>
        <bgColor indexed="64"/>
      </patternFill>
    </fill>
    <fill>
      <patternFill patternType="solid">
        <fgColor indexed="9"/>
        <bgColor indexed="64"/>
      </patternFill>
    </fill>
    <fill>
      <patternFill patternType="solid">
        <fgColor indexed="50"/>
        <bgColor indexed="64"/>
      </patternFill>
    </fill>
    <fill>
      <patternFill patternType="solid">
        <fgColor indexed="5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79998168889431442"/>
        <bgColor indexed="64"/>
      </patternFill>
    </fill>
    <fill>
      <patternFill patternType="solid">
        <fgColor rgb="FFF0F0F0"/>
        <bgColor rgb="FF000000"/>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0F0F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00B0F0"/>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theme="5" tint="0.39997558519241921"/>
        <bgColor indexed="64"/>
      </patternFill>
    </fill>
  </fills>
  <borders count="67">
    <border>
      <left/>
      <right/>
      <top/>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double">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8"/>
      </left>
      <right style="thin">
        <color indexed="8"/>
      </right>
      <top style="thin">
        <color indexed="8"/>
      </top>
      <bottom style="thin">
        <color indexed="8"/>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s>
  <cellStyleXfs count="103">
    <xf numFmtId="1" fontId="0" fillId="0" borderId="0"/>
    <xf numFmtId="0" fontId="79" fillId="27" borderId="0" applyNumberFormat="0" applyBorder="0" applyAlignment="0" applyProtection="0"/>
    <xf numFmtId="0" fontId="79" fillId="28" borderId="0" applyNumberFormat="0" applyBorder="0" applyAlignment="0" applyProtection="0"/>
    <xf numFmtId="0" fontId="79" fillId="29" borderId="0" applyNumberFormat="0" applyBorder="0" applyAlignment="0" applyProtection="0"/>
    <xf numFmtId="0" fontId="79"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7" borderId="0" applyNumberFormat="0" applyBorder="0" applyAlignment="0" applyProtection="0"/>
    <xf numFmtId="0" fontId="79" fillId="38" borderId="0" applyNumberFormat="0" applyBorder="0" applyAlignment="0" applyProtection="0"/>
    <xf numFmtId="0" fontId="80" fillId="39" borderId="0" applyNumberFormat="0" applyBorder="0" applyAlignment="0" applyProtection="0"/>
    <xf numFmtId="0" fontId="80"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81" fillId="51" borderId="0" applyNumberFormat="0" applyBorder="0" applyAlignment="0" applyProtection="0"/>
    <xf numFmtId="0" fontId="82" fillId="52" borderId="44" applyNumberFormat="0" applyAlignment="0" applyProtection="0"/>
    <xf numFmtId="0" fontId="83" fillId="53" borderId="45" applyNumberFormat="0" applyAlignment="0" applyProtection="0"/>
    <xf numFmtId="0" fontId="31" fillId="0" borderId="0">
      <alignment horizontal="center" vertical="center" wrapText="1"/>
    </xf>
    <xf numFmtId="43" fontId="4" fillId="0" borderId="0" applyFont="0" applyFill="0" applyBorder="0" applyAlignment="0" applyProtection="0"/>
    <xf numFmtId="43" fontId="79" fillId="0" borderId="0" applyFont="0" applyFill="0" applyBorder="0" applyAlignment="0" applyProtection="0"/>
    <xf numFmtId="3" fontId="4" fillId="0" borderId="0" applyFont="0" applyFill="0" applyBorder="0" applyAlignment="0" applyProtection="0"/>
    <xf numFmtId="0" fontId="32" fillId="0" borderId="0">
      <alignment horizontal="left" vertical="center" wrapText="1"/>
    </xf>
    <xf numFmtId="176" fontId="4" fillId="0" borderId="0" applyFont="0" applyFill="0" applyBorder="0" applyAlignment="0" applyProtection="0"/>
    <xf numFmtId="3" fontId="28" fillId="0" borderId="1" applyAlignment="0">
      <alignment horizontal="right" vertical="center"/>
    </xf>
    <xf numFmtId="175" fontId="28" fillId="0" borderId="1">
      <alignment horizontal="right" vertical="center"/>
    </xf>
    <xf numFmtId="49" fontId="33" fillId="0" borderId="1">
      <alignment horizontal="left" vertical="center"/>
    </xf>
    <xf numFmtId="177" fontId="34" fillId="0" borderId="1" applyNumberFormat="0" applyFill="0">
      <alignment horizontal="right"/>
    </xf>
    <xf numFmtId="178" fontId="34" fillId="0" borderId="1">
      <alignment horizontal="right"/>
    </xf>
    <xf numFmtId="0" fontId="4" fillId="0" borderId="0" applyFont="0" applyFill="0" applyBorder="0" applyAlignment="0" applyProtection="0"/>
    <xf numFmtId="0" fontId="84" fillId="0" borderId="0" applyNumberFormat="0" applyFill="0" applyBorder="0" applyAlignment="0" applyProtection="0"/>
    <xf numFmtId="2" fontId="4" fillId="0" borderId="0" applyFont="0" applyFill="0" applyBorder="0" applyAlignment="0" applyProtection="0"/>
    <xf numFmtId="0" fontId="85" fillId="0" borderId="0" applyNumberFormat="0" applyFill="0" applyBorder="0" applyAlignment="0" applyProtection="0"/>
    <xf numFmtId="0" fontId="86" fillId="54" borderId="0" applyNumberFormat="0" applyBorder="0" applyAlignment="0" applyProtection="0"/>
    <xf numFmtId="0" fontId="35" fillId="0" borderId="0" applyNumberFormat="0" applyFill="0" applyBorder="0" applyAlignment="0" applyProtection="0"/>
    <xf numFmtId="0" fontId="87" fillId="0" borderId="46" applyNumberFormat="0" applyFill="0" applyAlignment="0" applyProtection="0"/>
    <xf numFmtId="0" fontId="36" fillId="0" borderId="0" applyNumberFormat="0" applyFill="0" applyBorder="0" applyAlignment="0" applyProtection="0"/>
    <xf numFmtId="0" fontId="88" fillId="0" borderId="47" applyNumberFormat="0" applyFill="0" applyAlignment="0" applyProtection="0"/>
    <xf numFmtId="0" fontId="89" fillId="0" borderId="48" applyNumberFormat="0" applyFill="0" applyAlignment="0" applyProtection="0"/>
    <xf numFmtId="0" fontId="89" fillId="0" borderId="0" applyNumberFormat="0" applyFill="0" applyBorder="0" applyAlignment="0" applyProtection="0"/>
    <xf numFmtId="0" fontId="37" fillId="0" borderId="1">
      <alignment horizontal="left"/>
    </xf>
    <xf numFmtId="0" fontId="37" fillId="0" borderId="2">
      <alignment horizontal="right" vertical="center"/>
    </xf>
    <xf numFmtId="0" fontId="38" fillId="0" borderId="1">
      <alignment horizontal="left" vertical="center"/>
    </xf>
    <xf numFmtId="0" fontId="34" fillId="0" borderId="1">
      <alignment horizontal="left" vertical="center"/>
    </xf>
    <xf numFmtId="0" fontId="39" fillId="0" borderId="1">
      <alignment horizontal="left"/>
    </xf>
    <xf numFmtId="0" fontId="39" fillId="2" borderId="0">
      <alignment horizontal="centerContinuous" wrapText="1"/>
    </xf>
    <xf numFmtId="49" fontId="39" fillId="2" borderId="3">
      <alignment horizontal="left" vertical="center"/>
    </xf>
    <xf numFmtId="0" fontId="39" fillId="2" borderId="0">
      <alignment horizontal="centerContinuous" vertical="center" wrapText="1"/>
    </xf>
    <xf numFmtId="0" fontId="6" fillId="0" borderId="0" applyNumberFormat="0" applyFill="0" applyBorder="0" applyAlignment="0" applyProtection="0">
      <alignment vertical="top"/>
      <protection locked="0"/>
    </xf>
    <xf numFmtId="0" fontId="90" fillId="0" borderId="0" applyNumberFormat="0" applyFill="0" applyBorder="0" applyAlignment="0" applyProtection="0"/>
    <xf numFmtId="0" fontId="91" fillId="55" borderId="44" applyNumberFormat="0" applyAlignment="0" applyProtection="0"/>
    <xf numFmtId="0" fontId="92" fillId="0" borderId="49" applyNumberFormat="0" applyFill="0" applyAlignment="0" applyProtection="0"/>
    <xf numFmtId="0" fontId="93" fillId="56" borderId="0" applyNumberFormat="0" applyBorder="0" applyAlignment="0" applyProtection="0"/>
    <xf numFmtId="0" fontId="79" fillId="0" borderId="0"/>
    <xf numFmtId="0" fontId="94" fillId="0" borderId="0"/>
    <xf numFmtId="0" fontId="4" fillId="0" borderId="0"/>
    <xf numFmtId="1" fontId="4" fillId="0" borderId="0"/>
    <xf numFmtId="0" fontId="4" fillId="0" borderId="0"/>
    <xf numFmtId="0" fontId="79" fillId="57" borderId="50" applyNumberFormat="0" applyFont="0" applyAlignment="0" applyProtection="0"/>
    <xf numFmtId="0" fontId="95" fillId="52" borderId="51" applyNumberFormat="0" applyAlignment="0" applyProtection="0"/>
    <xf numFmtId="9" fontId="4" fillId="0" borderId="0" applyFont="0" applyFill="0" applyBorder="0" applyAlignment="0" applyProtection="0"/>
    <xf numFmtId="3" fontId="28" fillId="0" borderId="0">
      <alignment horizontal="left" vertical="center"/>
    </xf>
    <xf numFmtId="0" fontId="31" fillId="0" borderId="0">
      <alignment horizontal="left" vertical="center"/>
    </xf>
    <xf numFmtId="0" fontId="40" fillId="0" borderId="0">
      <alignment horizontal="right"/>
    </xf>
    <xf numFmtId="49" fontId="40" fillId="0" borderId="0">
      <alignment horizontal="center"/>
    </xf>
    <xf numFmtId="0" fontId="33" fillId="0" borderId="0">
      <alignment horizontal="right"/>
    </xf>
    <xf numFmtId="0" fontId="40" fillId="0" borderId="0">
      <alignment horizontal="left"/>
    </xf>
    <xf numFmtId="49" fontId="28" fillId="0" borderId="0">
      <alignment horizontal="left" vertical="center"/>
    </xf>
    <xf numFmtId="49" fontId="33" fillId="0" borderId="1">
      <alignment horizontal="left" vertical="center"/>
    </xf>
    <xf numFmtId="49" fontId="31" fillId="0" borderId="1" applyFill="0">
      <alignment horizontal="left" vertical="center"/>
    </xf>
    <xf numFmtId="49" fontId="33" fillId="0" borderId="1">
      <alignment horizontal="left"/>
    </xf>
    <xf numFmtId="177" fontId="28" fillId="0" borderId="0" applyNumberFormat="0">
      <alignment horizontal="right"/>
    </xf>
    <xf numFmtId="0" fontId="37" fillId="3" borderId="0">
      <alignment horizontal="centerContinuous" vertical="center" wrapText="1"/>
    </xf>
    <xf numFmtId="0" fontId="37" fillId="0" borderId="4">
      <alignment horizontal="left" vertical="center"/>
    </xf>
    <xf numFmtId="0" fontId="41" fillId="0" borderId="0">
      <alignment horizontal="left" vertical="top"/>
    </xf>
    <xf numFmtId="0" fontId="96" fillId="0" borderId="0" applyNumberFormat="0" applyFill="0" applyBorder="0" applyAlignment="0" applyProtection="0"/>
    <xf numFmtId="0" fontId="39" fillId="0" borderId="0">
      <alignment horizontal="left"/>
    </xf>
    <xf numFmtId="0" fontId="32" fillId="0" borderId="0">
      <alignment horizontal="left"/>
    </xf>
    <xf numFmtId="0" fontId="34" fillId="0" borderId="0">
      <alignment horizontal="left"/>
    </xf>
    <xf numFmtId="0" fontId="41" fillId="0" borderId="0">
      <alignment horizontal="left" vertical="top"/>
    </xf>
    <xf numFmtId="0" fontId="32" fillId="0" borderId="0">
      <alignment horizontal="left"/>
    </xf>
    <xf numFmtId="0" fontId="34" fillId="0" borderId="0">
      <alignment horizontal="left"/>
    </xf>
    <xf numFmtId="0" fontId="4" fillId="0" borderId="5" applyNumberFormat="0" applyFont="0" applyFill="0" applyAlignment="0" applyProtection="0"/>
    <xf numFmtId="0" fontId="97" fillId="0" borderId="52" applyNumberFormat="0" applyFill="0" applyAlignment="0" applyProtection="0"/>
    <xf numFmtId="0" fontId="98" fillId="0" borderId="0" applyNumberFormat="0" applyFill="0" applyBorder="0" applyAlignment="0" applyProtection="0"/>
    <xf numFmtId="49" fontId="28" fillId="0" borderId="1">
      <alignment horizontal="left"/>
    </xf>
    <xf numFmtId="0" fontId="37" fillId="0" borderId="2">
      <alignment horizontal="left"/>
    </xf>
    <xf numFmtId="0" fontId="39" fillId="0" borderId="0">
      <alignment horizontal="left" vertical="center"/>
    </xf>
    <xf numFmtId="49" fontId="40" fillId="0" borderId="1">
      <alignment horizontal="left"/>
    </xf>
    <xf numFmtId="43" fontId="11" fillId="0" borderId="0" applyFont="0" applyFill="0" applyBorder="0" applyAlignment="0" applyProtection="0"/>
    <xf numFmtId="0" fontId="3" fillId="0" borderId="0"/>
    <xf numFmtId="0" fontId="120" fillId="0" borderId="0" applyNumberFormat="0" applyFill="0" applyBorder="0" applyAlignment="0" applyProtection="0"/>
    <xf numFmtId="0" fontId="2" fillId="0" borderId="0"/>
  </cellStyleXfs>
  <cellXfs count="979">
    <xf numFmtId="1" fontId="0" fillId="0" borderId="0" xfId="0"/>
    <xf numFmtId="1" fontId="0" fillId="0" borderId="0" xfId="0" applyAlignment="1">
      <alignment wrapText="1"/>
    </xf>
    <xf numFmtId="1" fontId="5" fillId="0" borderId="0" xfId="0" applyFont="1" applyAlignment="1">
      <alignment wrapText="1"/>
    </xf>
    <xf numFmtId="1" fontId="7" fillId="0" borderId="0" xfId="0" applyFont="1"/>
    <xf numFmtId="3" fontId="0" fillId="0" borderId="0" xfId="0" applyNumberFormat="1"/>
    <xf numFmtId="165" fontId="0" fillId="0" borderId="0" xfId="0" applyNumberFormat="1"/>
    <xf numFmtId="1" fontId="5" fillId="0" borderId="0" xfId="0" applyFont="1"/>
    <xf numFmtId="1" fontId="11" fillId="0" borderId="0" xfId="0" applyFont="1"/>
    <xf numFmtId="1" fontId="8" fillId="0" borderId="0" xfId="0" applyFont="1"/>
    <xf numFmtId="1" fontId="11" fillId="0" borderId="0" xfId="0" applyFont="1" applyAlignment="1"/>
    <xf numFmtId="1" fontId="5" fillId="0" borderId="0" xfId="0" applyFont="1" applyFill="1" applyBorder="1" applyAlignment="1">
      <alignment wrapText="1"/>
    </xf>
    <xf numFmtId="1" fontId="11" fillId="0" borderId="6" xfId="0" applyFont="1" applyFill="1" applyBorder="1"/>
    <xf numFmtId="1" fontId="11" fillId="0" borderId="0" xfId="0" applyFont="1" applyFill="1" applyBorder="1"/>
    <xf numFmtId="1" fontId="11" fillId="0" borderId="7" xfId="0" applyFont="1" applyFill="1" applyBorder="1"/>
    <xf numFmtId="3" fontId="11" fillId="0" borderId="6" xfId="0" applyNumberFormat="1" applyFont="1" applyFill="1" applyBorder="1"/>
    <xf numFmtId="3" fontId="11" fillId="0" borderId="0" xfId="0" applyNumberFormat="1" applyFont="1" applyFill="1" applyBorder="1"/>
    <xf numFmtId="3" fontId="11" fillId="0" borderId="7" xfId="0" applyNumberFormat="1" applyFont="1" applyFill="1" applyBorder="1"/>
    <xf numFmtId="3" fontId="11" fillId="0" borderId="6" xfId="0" applyNumberFormat="1" applyFont="1" applyFill="1" applyBorder="1" applyAlignment="1"/>
    <xf numFmtId="3" fontId="11" fillId="0" borderId="0" xfId="0" applyNumberFormat="1" applyFont="1" applyFill="1" applyBorder="1" applyAlignment="1"/>
    <xf numFmtId="3" fontId="11" fillId="0" borderId="7" xfId="0" applyNumberFormat="1" applyFont="1" applyFill="1" applyBorder="1" applyAlignment="1"/>
    <xf numFmtId="3" fontId="10" fillId="0" borderId="6" xfId="0" applyNumberFormat="1" applyFont="1" applyFill="1" applyBorder="1" applyAlignment="1">
      <alignment vertical="center"/>
    </xf>
    <xf numFmtId="3" fontId="0" fillId="0" borderId="0" xfId="0" applyNumberFormat="1" applyFill="1" applyBorder="1"/>
    <xf numFmtId="3" fontId="0" fillId="0" borderId="7" xfId="0" applyNumberFormat="1" applyFill="1" applyBorder="1"/>
    <xf numFmtId="3" fontId="0" fillId="0" borderId="3" xfId="0" applyNumberFormat="1" applyFill="1" applyBorder="1"/>
    <xf numFmtId="3" fontId="0" fillId="0" borderId="8" xfId="0" applyNumberFormat="1" applyFill="1" applyBorder="1"/>
    <xf numFmtId="3" fontId="0" fillId="0" borderId="6" xfId="0" applyNumberFormat="1" applyFill="1" applyBorder="1"/>
    <xf numFmtId="1" fontId="0" fillId="0" borderId="3" xfId="0" applyBorder="1"/>
    <xf numFmtId="1" fontId="0" fillId="0" borderId="6" xfId="0" applyBorder="1"/>
    <xf numFmtId="3" fontId="0" fillId="0" borderId="6" xfId="0" applyNumberFormat="1" applyBorder="1"/>
    <xf numFmtId="1" fontId="0" fillId="4" borderId="9" xfId="0" applyFill="1" applyBorder="1" applyAlignment="1">
      <alignment wrapText="1"/>
    </xf>
    <xf numFmtId="1" fontId="0" fillId="4" borderId="10" xfId="0" applyFill="1" applyBorder="1"/>
    <xf numFmtId="1" fontId="0" fillId="4" borderId="9" xfId="0" applyFill="1" applyBorder="1"/>
    <xf numFmtId="165" fontId="11" fillId="0" borderId="6" xfId="0" applyNumberFormat="1" applyFont="1" applyFill="1" applyBorder="1"/>
    <xf numFmtId="165" fontId="0" fillId="0" borderId="7" xfId="0" applyNumberFormat="1" applyBorder="1"/>
    <xf numFmtId="165" fontId="0" fillId="0" borderId="6" xfId="0" applyNumberFormat="1" applyFill="1" applyBorder="1"/>
    <xf numFmtId="165" fontId="0" fillId="0" borderId="6" xfId="0" applyNumberFormat="1" applyBorder="1"/>
    <xf numFmtId="1" fontId="0" fillId="0" borderId="0" xfId="0" applyBorder="1"/>
    <xf numFmtId="3" fontId="0" fillId="0" borderId="10" xfId="0" applyNumberFormat="1" applyBorder="1"/>
    <xf numFmtId="3" fontId="0" fillId="0" borderId="11" xfId="0" applyNumberFormat="1" applyBorder="1"/>
    <xf numFmtId="4" fontId="0" fillId="0" borderId="7" xfId="0" applyNumberFormat="1" applyFill="1" applyBorder="1"/>
    <xf numFmtId="4" fontId="0" fillId="0" borderId="0" xfId="0" applyNumberFormat="1" applyFill="1" applyBorder="1"/>
    <xf numFmtId="4" fontId="11" fillId="0" borderId="7" xfId="0" applyNumberFormat="1" applyFont="1" applyFill="1" applyBorder="1"/>
    <xf numFmtId="1" fontId="0" fillId="4" borderId="7" xfId="0" applyFill="1" applyBorder="1"/>
    <xf numFmtId="4" fontId="11" fillId="0" borderId="0" xfId="0" applyNumberFormat="1" applyFont="1" applyFill="1" applyBorder="1"/>
    <xf numFmtId="164" fontId="0" fillId="0" borderId="6" xfId="0" applyNumberFormat="1" applyFill="1" applyBorder="1"/>
    <xf numFmtId="164" fontId="0" fillId="0" borderId="0" xfId="0" applyNumberFormat="1" applyFill="1" applyBorder="1"/>
    <xf numFmtId="164" fontId="0" fillId="0" borderId="7" xfId="0" applyNumberFormat="1" applyBorder="1"/>
    <xf numFmtId="164" fontId="0" fillId="0" borderId="10" xfId="0" applyNumberFormat="1" applyBorder="1"/>
    <xf numFmtId="164" fontId="0" fillId="0" borderId="8" xfId="0" applyNumberFormat="1" applyBorder="1"/>
    <xf numFmtId="164" fontId="0" fillId="0" borderId="6" xfId="0" applyNumberFormat="1" applyBorder="1"/>
    <xf numFmtId="164" fontId="0" fillId="0" borderId="0" xfId="0" applyNumberFormat="1"/>
    <xf numFmtId="164" fontId="0" fillId="0" borderId="12" xfId="0" applyNumberFormat="1" applyBorder="1"/>
    <xf numFmtId="164" fontId="0" fillId="0" borderId="7" xfId="0" applyNumberFormat="1" applyFill="1" applyBorder="1"/>
    <xf numFmtId="1" fontId="15" fillId="5" borderId="0" xfId="0" applyFont="1" applyFill="1" applyAlignment="1">
      <alignment wrapText="1"/>
    </xf>
    <xf numFmtId="3" fontId="16" fillId="5" borderId="0" xfId="0" applyNumberFormat="1" applyFont="1" applyFill="1"/>
    <xf numFmtId="1" fontId="16" fillId="5" borderId="0" xfId="0" applyFont="1" applyFill="1"/>
    <xf numFmtId="165" fontId="16" fillId="5" borderId="0" xfId="0" applyNumberFormat="1" applyFont="1" applyFill="1"/>
    <xf numFmtId="3" fontId="0" fillId="0" borderId="7" xfId="0" applyNumberFormat="1" applyBorder="1"/>
    <xf numFmtId="3" fontId="0" fillId="0" borderId="12" xfId="0" applyNumberFormat="1" applyBorder="1"/>
    <xf numFmtId="3" fontId="11" fillId="0" borderId="10" xfId="0" applyNumberFormat="1" applyFont="1" applyBorder="1"/>
    <xf numFmtId="1" fontId="5" fillId="0" borderId="0" xfId="0" applyFont="1" applyBorder="1" applyAlignment="1">
      <alignment wrapText="1"/>
    </xf>
    <xf numFmtId="3" fontId="0" fillId="0" borderId="0" xfId="0" applyNumberFormat="1" applyBorder="1"/>
    <xf numFmtId="3" fontId="0" fillId="0" borderId="3" xfId="0" applyNumberFormat="1" applyBorder="1"/>
    <xf numFmtId="1" fontId="0" fillId="0" borderId="7" xfId="0" applyBorder="1"/>
    <xf numFmtId="165" fontId="0" fillId="0" borderId="10" xfId="0" applyNumberFormat="1" applyBorder="1"/>
    <xf numFmtId="1" fontId="13" fillId="0" borderId="0" xfId="0" applyFont="1" applyFill="1"/>
    <xf numFmtId="1" fontId="14" fillId="6" borderId="13" xfId="0" applyFont="1" applyFill="1" applyBorder="1" applyAlignment="1">
      <alignment wrapText="1"/>
    </xf>
    <xf numFmtId="1" fontId="14" fillId="6" borderId="14" xfId="0" applyFont="1" applyFill="1" applyBorder="1" applyAlignment="1">
      <alignment wrapText="1"/>
    </xf>
    <xf numFmtId="1" fontId="14" fillId="6" borderId="15" xfId="0" applyFont="1" applyFill="1" applyBorder="1"/>
    <xf numFmtId="1" fontId="14" fillId="6" borderId="16" xfId="0" applyFont="1" applyFill="1" applyBorder="1" applyAlignment="1">
      <alignment wrapText="1"/>
    </xf>
    <xf numFmtId="1" fontId="14" fillId="6" borderId="17" xfId="0" applyFont="1" applyFill="1" applyBorder="1" applyAlignment="1">
      <alignment wrapText="1"/>
    </xf>
    <xf numFmtId="1" fontId="14" fillId="6" borderId="18" xfId="0" applyFont="1" applyFill="1" applyBorder="1" applyAlignment="1">
      <alignment wrapText="1"/>
    </xf>
    <xf numFmtId="1" fontId="14" fillId="6" borderId="9" xfId="0" applyFont="1" applyFill="1" applyBorder="1" applyAlignment="1">
      <alignment wrapText="1"/>
    </xf>
    <xf numFmtId="1" fontId="13" fillId="6" borderId="18" xfId="0" applyFont="1" applyFill="1" applyBorder="1"/>
    <xf numFmtId="1" fontId="5" fillId="5" borderId="6" xfId="0" applyFont="1" applyFill="1" applyBorder="1" applyAlignment="1">
      <alignment wrapText="1"/>
    </xf>
    <xf numFmtId="1" fontId="5" fillId="5" borderId="7" xfId="0" applyFont="1" applyFill="1" applyBorder="1" applyAlignment="1">
      <alignment wrapText="1"/>
    </xf>
    <xf numFmtId="1" fontId="5" fillId="5" borderId="0" xfId="0" applyFont="1" applyFill="1" applyBorder="1" applyAlignment="1">
      <alignment wrapText="1"/>
    </xf>
    <xf numFmtId="1" fontId="13" fillId="6" borderId="13" xfId="0" applyFont="1" applyFill="1" applyBorder="1" applyAlignment="1">
      <alignment wrapText="1"/>
    </xf>
    <xf numFmtId="1" fontId="13" fillId="6" borderId="14" xfId="0" applyFont="1" applyFill="1" applyBorder="1" applyAlignment="1">
      <alignment wrapText="1"/>
    </xf>
    <xf numFmtId="1" fontId="13" fillId="6" borderId="14" xfId="0" applyFont="1" applyFill="1" applyBorder="1"/>
    <xf numFmtId="1" fontId="13" fillId="6" borderId="15" xfId="0" applyFont="1" applyFill="1" applyBorder="1"/>
    <xf numFmtId="1" fontId="13" fillId="6" borderId="13" xfId="0" applyFont="1" applyFill="1" applyBorder="1"/>
    <xf numFmtId="1" fontId="14" fillId="6" borderId="0" xfId="0" applyFont="1" applyFill="1"/>
    <xf numFmtId="1" fontId="13" fillId="6" borderId="0" xfId="0" applyFont="1" applyFill="1"/>
    <xf numFmtId="1" fontId="5" fillId="5" borderId="13" xfId="0" applyFont="1" applyFill="1" applyBorder="1" applyAlignment="1">
      <alignment wrapText="1"/>
    </xf>
    <xf numFmtId="1" fontId="5" fillId="5" borderId="17" xfId="0" applyFont="1" applyFill="1" applyBorder="1" applyAlignment="1">
      <alignment wrapText="1"/>
    </xf>
    <xf numFmtId="1" fontId="5" fillId="5" borderId="16" xfId="0" applyFont="1" applyFill="1" applyBorder="1" applyAlignment="1">
      <alignment wrapText="1"/>
    </xf>
    <xf numFmtId="1" fontId="13" fillId="7" borderId="13" xfId="0" applyFont="1" applyFill="1" applyBorder="1"/>
    <xf numFmtId="1" fontId="14" fillId="7" borderId="14" xfId="0" applyFont="1" applyFill="1" applyBorder="1"/>
    <xf numFmtId="1" fontId="13" fillId="7" borderId="15" xfId="0" applyFont="1" applyFill="1" applyBorder="1"/>
    <xf numFmtId="1" fontId="14" fillId="7" borderId="15" xfId="0" applyFont="1" applyFill="1" applyBorder="1"/>
    <xf numFmtId="1" fontId="5" fillId="5" borderId="19" xfId="0" applyFont="1" applyFill="1" applyBorder="1" applyAlignment="1">
      <alignment wrapText="1"/>
    </xf>
    <xf numFmtId="1" fontId="14" fillId="6" borderId="0" xfId="0" applyFont="1" applyFill="1" applyBorder="1"/>
    <xf numFmtId="1" fontId="5" fillId="5" borderId="14" xfId="0" applyFont="1" applyFill="1" applyBorder="1" applyAlignment="1">
      <alignment wrapText="1"/>
    </xf>
    <xf numFmtId="1" fontId="5" fillId="5" borderId="15" xfId="0" applyFont="1" applyFill="1" applyBorder="1" applyAlignment="1">
      <alignment wrapText="1"/>
    </xf>
    <xf numFmtId="1" fontId="5" fillId="4" borderId="19" xfId="0" applyFont="1" applyFill="1" applyBorder="1" applyAlignment="1">
      <alignment wrapText="1"/>
    </xf>
    <xf numFmtId="1" fontId="0" fillId="6" borderId="16" xfId="0" applyFill="1" applyBorder="1" applyAlignment="1">
      <alignment wrapText="1"/>
    </xf>
    <xf numFmtId="165" fontId="0" fillId="0" borderId="0" xfId="0" applyNumberFormat="1" applyBorder="1"/>
    <xf numFmtId="3" fontId="11" fillId="0" borderId="0" xfId="0" applyNumberFormat="1" applyFont="1" applyBorder="1"/>
    <xf numFmtId="3" fontId="9" fillId="0" borderId="0" xfId="0" applyNumberFormat="1" applyFont="1" applyBorder="1"/>
    <xf numFmtId="1" fontId="0" fillId="0" borderId="7" xfId="0" applyBorder="1" applyAlignment="1">
      <alignment horizontal="center"/>
    </xf>
    <xf numFmtId="1" fontId="0" fillId="6" borderId="9" xfId="0" applyFill="1" applyBorder="1" applyAlignment="1">
      <alignment wrapText="1"/>
    </xf>
    <xf numFmtId="4" fontId="11" fillId="0" borderId="6" xfId="0" applyNumberFormat="1" applyFont="1" applyFill="1" applyBorder="1"/>
    <xf numFmtId="4" fontId="0" fillId="0" borderId="6" xfId="0" applyNumberFormat="1" applyFill="1" applyBorder="1"/>
    <xf numFmtId="164" fontId="11" fillId="0" borderId="10" xfId="0" applyNumberFormat="1" applyFont="1" applyBorder="1"/>
    <xf numFmtId="0" fontId="0" fillId="0" borderId="0" xfId="0" applyNumberFormat="1"/>
    <xf numFmtId="164" fontId="11" fillId="0" borderId="6" xfId="0" applyNumberFormat="1" applyFont="1" applyFill="1" applyBorder="1"/>
    <xf numFmtId="164" fontId="11" fillId="0" borderId="0" xfId="0" applyNumberFormat="1" applyFont="1" applyFill="1" applyBorder="1"/>
    <xf numFmtId="164" fontId="11" fillId="0" borderId="7" xfId="0" applyNumberFormat="1" applyFont="1" applyFill="1" applyBorder="1"/>
    <xf numFmtId="165" fontId="0" fillId="0" borderId="7" xfId="0" applyNumberFormat="1" applyFill="1" applyBorder="1"/>
    <xf numFmtId="0" fontId="14" fillId="6" borderId="0" xfId="0" applyNumberFormat="1" applyFont="1" applyFill="1" applyBorder="1" applyAlignment="1">
      <alignment wrapText="1"/>
    </xf>
    <xf numFmtId="165" fontId="0" fillId="8" borderId="6" xfId="0" applyNumberFormat="1" applyFill="1" applyBorder="1"/>
    <xf numFmtId="1" fontId="0" fillId="8" borderId="7" xfId="0" applyFill="1" applyBorder="1"/>
    <xf numFmtId="1" fontId="0" fillId="8" borderId="8" xfId="0" applyFill="1" applyBorder="1"/>
    <xf numFmtId="1" fontId="0" fillId="0" borderId="12" xfId="0" applyFill="1" applyBorder="1"/>
    <xf numFmtId="1" fontId="0" fillId="0" borderId="3" xfId="0" applyFill="1" applyBorder="1"/>
    <xf numFmtId="1" fontId="0" fillId="0" borderId="8" xfId="0" applyFill="1" applyBorder="1"/>
    <xf numFmtId="1" fontId="5" fillId="0" borderId="0" xfId="0" applyFont="1" applyFill="1" applyBorder="1"/>
    <xf numFmtId="0" fontId="0" fillId="6" borderId="6" xfId="0" applyNumberFormat="1" applyFill="1" applyBorder="1" applyAlignment="1">
      <alignment wrapText="1"/>
    </xf>
    <xf numFmtId="0" fontId="0" fillId="6" borderId="0" xfId="0" applyNumberFormat="1" applyFill="1" applyBorder="1" applyAlignment="1">
      <alignment wrapText="1"/>
    </xf>
    <xf numFmtId="0" fontId="0" fillId="6" borderId="7" xfId="0" applyNumberFormat="1" applyFill="1" applyBorder="1" applyAlignment="1">
      <alignment wrapText="1"/>
    </xf>
    <xf numFmtId="1" fontId="13" fillId="6" borderId="0" xfId="0" applyFont="1" applyFill="1" applyAlignment="1">
      <alignment wrapText="1"/>
    </xf>
    <xf numFmtId="1" fontId="14" fillId="6" borderId="0" xfId="0" applyFont="1" applyFill="1" applyAlignment="1">
      <alignment wrapText="1"/>
    </xf>
    <xf numFmtId="3" fontId="11" fillId="0" borderId="7" xfId="0" applyNumberFormat="1" applyFont="1" applyBorder="1"/>
    <xf numFmtId="3" fontId="11" fillId="0" borderId="8" xfId="0" applyNumberFormat="1" applyFont="1" applyBorder="1"/>
    <xf numFmtId="167" fontId="0" fillId="0" borderId="0" xfId="0" applyNumberFormat="1"/>
    <xf numFmtId="1" fontId="0" fillId="5" borderId="0" xfId="0" applyFill="1" applyAlignment="1">
      <alignment wrapText="1"/>
    </xf>
    <xf numFmtId="1" fontId="17" fillId="0" borderId="0" xfId="0" applyFont="1"/>
    <xf numFmtId="1" fontId="0" fillId="9" borderId="0" xfId="0" applyFill="1"/>
    <xf numFmtId="168" fontId="0" fillId="0" borderId="0" xfId="0" applyNumberFormat="1"/>
    <xf numFmtId="1" fontId="0" fillId="0" borderId="20" xfId="0" applyBorder="1"/>
    <xf numFmtId="168" fontId="0" fillId="4" borderId="0" xfId="0" applyNumberFormat="1" applyFill="1"/>
    <xf numFmtId="1" fontId="0" fillId="4" borderId="0" xfId="0" applyFill="1"/>
    <xf numFmtId="1" fontId="0" fillId="10" borderId="0" xfId="0" applyFill="1"/>
    <xf numFmtId="1" fontId="0" fillId="11" borderId="0" xfId="0" applyFill="1"/>
    <xf numFmtId="1" fontId="0" fillId="12" borderId="0" xfId="0" applyFill="1" applyAlignment="1">
      <alignment wrapText="1"/>
    </xf>
    <xf numFmtId="170" fontId="0" fillId="0" borderId="0" xfId="0" applyNumberFormat="1"/>
    <xf numFmtId="1" fontId="18" fillId="0" borderId="0" xfId="0" applyFont="1"/>
    <xf numFmtId="1" fontId="0" fillId="0" borderId="0" xfId="0" applyNumberFormat="1"/>
    <xf numFmtId="1" fontId="0" fillId="0" borderId="0" xfId="0" applyFill="1" applyAlignment="1">
      <alignment wrapText="1"/>
    </xf>
    <xf numFmtId="1" fontId="0" fillId="11" borderId="0" xfId="0" applyFill="1" applyAlignment="1">
      <alignment horizontal="center"/>
    </xf>
    <xf numFmtId="168" fontId="0" fillId="0" borderId="0" xfId="0" applyNumberFormat="1" applyFill="1"/>
    <xf numFmtId="168" fontId="0" fillId="0" borderId="0" xfId="0" applyNumberFormat="1" applyFill="1" applyAlignment="1">
      <alignment wrapText="1"/>
    </xf>
    <xf numFmtId="1" fontId="0" fillId="0" borderId="0" xfId="0" applyFill="1" applyBorder="1"/>
    <xf numFmtId="1" fontId="0" fillId="10" borderId="0" xfId="0" applyNumberFormat="1" applyFill="1"/>
    <xf numFmtId="1" fontId="0" fillId="12" borderId="0" xfId="0" applyFill="1"/>
    <xf numFmtId="1" fontId="0" fillId="13" borderId="0" xfId="0" applyFill="1"/>
    <xf numFmtId="168" fontId="0" fillId="4" borderId="0" xfId="0" applyNumberFormat="1" applyFill="1" applyAlignment="1">
      <alignment horizontal="center"/>
    </xf>
    <xf numFmtId="1" fontId="0" fillId="14" borderId="0" xfId="0" applyFill="1"/>
    <xf numFmtId="49" fontId="0" fillId="15" borderId="0" xfId="0" applyNumberFormat="1" applyFill="1" applyAlignment="1">
      <alignment horizontal="center"/>
    </xf>
    <xf numFmtId="1" fontId="0" fillId="15" borderId="0" xfId="0" applyFill="1" applyAlignment="1">
      <alignment wrapText="1"/>
    </xf>
    <xf numFmtId="1" fontId="0" fillId="15" borderId="0" xfId="0" applyFill="1"/>
    <xf numFmtId="49" fontId="0" fillId="15" borderId="0" xfId="0" applyNumberFormat="1" applyFill="1"/>
    <xf numFmtId="1" fontId="0" fillId="15" borderId="20" xfId="0" applyFill="1" applyBorder="1"/>
    <xf numFmtId="49" fontId="0" fillId="15" borderId="0" xfId="0" applyNumberFormat="1" applyFill="1" applyAlignment="1">
      <alignment wrapText="1"/>
    </xf>
    <xf numFmtId="1" fontId="0" fillId="16" borderId="0" xfId="0" applyFill="1"/>
    <xf numFmtId="168" fontId="0" fillId="0" borderId="0" xfId="0" applyNumberFormat="1" applyAlignment="1">
      <alignment wrapText="1"/>
    </xf>
    <xf numFmtId="1" fontId="0" fillId="0" borderId="20" xfId="0" applyBorder="1" applyAlignment="1">
      <alignment wrapText="1"/>
    </xf>
    <xf numFmtId="3" fontId="11" fillId="0" borderId="16" xfId="0" applyNumberFormat="1" applyFont="1" applyBorder="1"/>
    <xf numFmtId="3" fontId="11" fillId="0" borderId="6" xfId="0" applyNumberFormat="1" applyFont="1" applyBorder="1"/>
    <xf numFmtId="3" fontId="0" fillId="0" borderId="7" xfId="0" applyNumberFormat="1" applyBorder="1" applyAlignment="1">
      <alignment horizontal="right"/>
    </xf>
    <xf numFmtId="3" fontId="0" fillId="17" borderId="6" xfId="0" applyNumberFormat="1" applyFill="1" applyBorder="1"/>
    <xf numFmtId="3" fontId="0" fillId="17" borderId="12" xfId="0" applyNumberFormat="1" applyFill="1" applyBorder="1"/>
    <xf numFmtId="4" fontId="0" fillId="0" borderId="0" xfId="0" applyNumberFormat="1"/>
    <xf numFmtId="3" fontId="0" fillId="18" borderId="0" xfId="0" applyNumberFormat="1" applyFill="1"/>
    <xf numFmtId="1" fontId="0" fillId="18" borderId="0" xfId="0" applyFill="1"/>
    <xf numFmtId="165" fontId="11" fillId="0" borderId="6" xfId="0" applyNumberFormat="1" applyFont="1" applyBorder="1"/>
    <xf numFmtId="165" fontId="11" fillId="17" borderId="6" xfId="0" applyNumberFormat="1" applyFont="1" applyFill="1" applyBorder="1"/>
    <xf numFmtId="165" fontId="0" fillId="0" borderId="0" xfId="0" applyNumberFormat="1" applyFill="1" applyBorder="1"/>
    <xf numFmtId="165" fontId="11" fillId="17" borderId="7" xfId="0" applyNumberFormat="1" applyFont="1" applyFill="1" applyBorder="1"/>
    <xf numFmtId="165" fontId="0" fillId="0" borderId="11" xfId="0" applyNumberFormat="1" applyFill="1" applyBorder="1"/>
    <xf numFmtId="165" fontId="0" fillId="19" borderId="6" xfId="0" applyNumberFormat="1" applyFill="1" applyBorder="1"/>
    <xf numFmtId="3" fontId="0" fillId="0" borderId="0" xfId="0" applyNumberFormat="1" applyFill="1"/>
    <xf numFmtId="1" fontId="0" fillId="0" borderId="0" xfId="0" applyFill="1"/>
    <xf numFmtId="167" fontId="0" fillId="0" borderId="0" xfId="0" applyNumberFormat="1" applyFill="1"/>
    <xf numFmtId="169" fontId="0" fillId="0" borderId="0" xfId="0" applyNumberFormat="1"/>
    <xf numFmtId="164" fontId="0" fillId="0" borderId="8" xfId="0" applyNumberFormat="1" applyFill="1" applyBorder="1"/>
    <xf numFmtId="1" fontId="0" fillId="9" borderId="0" xfId="0" quotePrefix="1" applyFill="1"/>
    <xf numFmtId="1" fontId="0" fillId="0" borderId="10" xfId="0" applyNumberFormat="1" applyBorder="1"/>
    <xf numFmtId="164" fontId="11" fillId="17" borderId="6" xfId="0" applyNumberFormat="1" applyFont="1" applyFill="1" applyBorder="1"/>
    <xf numFmtId="164" fontId="11" fillId="17" borderId="7" xfId="0" applyNumberFormat="1" applyFont="1" applyFill="1" applyBorder="1"/>
    <xf numFmtId="1" fontId="11" fillId="17" borderId="6" xfId="0" applyNumberFormat="1" applyFont="1" applyFill="1" applyBorder="1"/>
    <xf numFmtId="4" fontId="0" fillId="0" borderId="8" xfId="0" applyNumberFormat="1" applyFill="1" applyBorder="1"/>
    <xf numFmtId="164" fontId="9" fillId="0" borderId="0" xfId="0" applyNumberFormat="1" applyFont="1" applyFill="1" applyBorder="1"/>
    <xf numFmtId="3" fontId="11" fillId="17" borderId="6" xfId="0" applyNumberFormat="1" applyFont="1" applyFill="1" applyBorder="1"/>
    <xf numFmtId="3" fontId="0" fillId="19" borderId="7" xfId="0" applyNumberFormat="1" applyFill="1" applyBorder="1"/>
    <xf numFmtId="164" fontId="0" fillId="0" borderId="12" xfId="0" applyNumberFormat="1" applyFill="1" applyBorder="1"/>
    <xf numFmtId="164" fontId="0" fillId="0" borderId="3" xfId="0" applyNumberFormat="1" applyFill="1" applyBorder="1"/>
    <xf numFmtId="164" fontId="0" fillId="0" borderId="11" xfId="0" applyNumberFormat="1" applyBorder="1"/>
    <xf numFmtId="168" fontId="0" fillId="13" borderId="0" xfId="0" applyNumberFormat="1" applyFill="1"/>
    <xf numFmtId="173" fontId="0" fillId="13" borderId="0" xfId="0" applyNumberFormat="1" applyFill="1"/>
    <xf numFmtId="49" fontId="0" fillId="15" borderId="7" xfId="0" applyNumberFormat="1" applyFill="1" applyBorder="1" applyAlignment="1">
      <alignment horizontal="center"/>
    </xf>
    <xf numFmtId="1" fontId="0" fillId="15" borderId="7" xfId="0" applyFill="1" applyBorder="1" applyAlignment="1">
      <alignment wrapText="1"/>
    </xf>
    <xf numFmtId="1" fontId="0" fillId="15" borderId="7" xfId="0" applyFill="1" applyBorder="1"/>
    <xf numFmtId="1" fontId="0" fillId="15" borderId="21" xfId="0" applyFill="1" applyBorder="1"/>
    <xf numFmtId="1" fontId="0" fillId="15" borderId="10" xfId="0" applyFill="1" applyBorder="1" applyAlignment="1">
      <alignment wrapText="1"/>
    </xf>
    <xf numFmtId="49" fontId="0" fillId="15" borderId="10" xfId="0" applyNumberFormat="1" applyFill="1" applyBorder="1" applyAlignment="1">
      <alignment horizontal="center"/>
    </xf>
    <xf numFmtId="1" fontId="0" fillId="15" borderId="10" xfId="0" applyFill="1" applyBorder="1"/>
    <xf numFmtId="1" fontId="0" fillId="15" borderId="22" xfId="0" applyFill="1" applyBorder="1"/>
    <xf numFmtId="49" fontId="0" fillId="15" borderId="10" xfId="0" applyNumberFormat="1" applyFill="1" applyBorder="1" applyAlignment="1">
      <alignment wrapText="1"/>
    </xf>
    <xf numFmtId="49" fontId="0" fillId="15" borderId="10" xfId="0" applyNumberFormat="1" applyFill="1" applyBorder="1"/>
    <xf numFmtId="1" fontId="5" fillId="0" borderId="3" xfId="0" applyFont="1" applyBorder="1"/>
    <xf numFmtId="1" fontId="5" fillId="0" borderId="8" xfId="0" applyFont="1" applyBorder="1"/>
    <xf numFmtId="49" fontId="0" fillId="15" borderId="9" xfId="0" applyNumberFormat="1" applyFill="1" applyBorder="1" applyAlignment="1">
      <alignment horizontal="center"/>
    </xf>
    <xf numFmtId="49" fontId="0" fillId="15" borderId="7" xfId="0" applyNumberFormat="1" applyFill="1" applyBorder="1" applyAlignment="1">
      <alignment wrapText="1"/>
    </xf>
    <xf numFmtId="49" fontId="0" fillId="15" borderId="7" xfId="0" applyNumberFormat="1" applyFill="1" applyBorder="1"/>
    <xf numFmtId="49" fontId="0" fillId="0" borderId="3" xfId="0" applyNumberFormat="1" applyBorder="1" applyAlignment="1">
      <alignment horizontal="center"/>
    </xf>
    <xf numFmtId="1" fontId="5" fillId="0" borderId="0" xfId="0" applyFont="1" applyBorder="1"/>
    <xf numFmtId="1" fontId="11" fillId="0" borderId="0" xfId="0" applyFont="1" applyBorder="1"/>
    <xf numFmtId="1" fontId="8" fillId="0" borderId="0" xfId="0" applyFont="1" applyBorder="1"/>
    <xf numFmtId="1" fontId="20" fillId="0" borderId="0" xfId="0" applyFont="1"/>
    <xf numFmtId="1" fontId="19" fillId="0" borderId="0" xfId="0" applyFont="1"/>
    <xf numFmtId="49" fontId="0" fillId="0" borderId="0" xfId="0" applyNumberFormat="1"/>
    <xf numFmtId="1" fontId="0" fillId="4" borderId="20" xfId="0" applyFill="1" applyBorder="1" applyAlignment="1">
      <alignment wrapText="1"/>
    </xf>
    <xf numFmtId="1" fontId="0" fillId="11" borderId="20" xfId="0" applyFill="1" applyBorder="1"/>
    <xf numFmtId="1" fontId="0" fillId="4" borderId="0" xfId="0" applyFill="1" applyBorder="1"/>
    <xf numFmtId="1" fontId="0" fillId="11" borderId="0" xfId="0" applyFill="1" applyBorder="1"/>
    <xf numFmtId="1" fontId="0" fillId="0" borderId="0" xfId="0" applyBorder="1" applyAlignment="1">
      <alignment horizontal="center"/>
    </xf>
    <xf numFmtId="1" fontId="0" fillId="4" borderId="0" xfId="0" applyFill="1" applyBorder="1" applyAlignment="1">
      <alignment horizontal="center"/>
    </xf>
    <xf numFmtId="1" fontId="0" fillId="11" borderId="0" xfId="0" applyFill="1" applyBorder="1" applyAlignment="1">
      <alignment horizontal="center"/>
    </xf>
    <xf numFmtId="1" fontId="0" fillId="0" borderId="3" xfId="0" applyBorder="1" applyAlignment="1">
      <alignment horizontal="center"/>
    </xf>
    <xf numFmtId="1" fontId="0" fillId="4" borderId="3" xfId="0" applyFill="1" applyBorder="1" applyAlignment="1">
      <alignment horizontal="center"/>
    </xf>
    <xf numFmtId="1" fontId="0" fillId="11" borderId="3" xfId="0" applyFill="1" applyBorder="1" applyAlignment="1">
      <alignment horizontal="center"/>
    </xf>
    <xf numFmtId="1" fontId="0" fillId="0" borderId="8" xfId="0" applyBorder="1" applyAlignment="1">
      <alignment horizontal="center"/>
    </xf>
    <xf numFmtId="1" fontId="0" fillId="10" borderId="6" xfId="0" applyFill="1" applyBorder="1"/>
    <xf numFmtId="1" fontId="0" fillId="10" borderId="23" xfId="0" applyFill="1" applyBorder="1"/>
    <xf numFmtId="1" fontId="0" fillId="10" borderId="12" xfId="0" applyFill="1" applyBorder="1"/>
    <xf numFmtId="1" fontId="0" fillId="10" borderId="0" xfId="0" applyFill="1" applyBorder="1"/>
    <xf numFmtId="1" fontId="0" fillId="10" borderId="20" xfId="0" applyFill="1" applyBorder="1" applyAlignment="1">
      <alignment wrapText="1"/>
    </xf>
    <xf numFmtId="1" fontId="0" fillId="10" borderId="0" xfId="0" applyFill="1" applyBorder="1" applyAlignment="1">
      <alignment horizontal="center"/>
    </xf>
    <xf numFmtId="1" fontId="0" fillId="10" borderId="3" xfId="0" applyFill="1" applyBorder="1" applyAlignment="1">
      <alignment horizontal="center"/>
    </xf>
    <xf numFmtId="1" fontId="0" fillId="10" borderId="13" xfId="0" applyFill="1" applyBorder="1"/>
    <xf numFmtId="1" fontId="0" fillId="10" borderId="14" xfId="0" applyFill="1" applyBorder="1"/>
    <xf numFmtId="1" fontId="0" fillId="11" borderId="14" xfId="0" applyFill="1" applyBorder="1"/>
    <xf numFmtId="1" fontId="0" fillId="0" borderId="15" xfId="0" applyBorder="1"/>
    <xf numFmtId="1" fontId="0" fillId="0" borderId="6" xfId="0" applyBorder="1" applyAlignment="1">
      <alignment horizontal="center"/>
    </xf>
    <xf numFmtId="1" fontId="0" fillId="0" borderId="12" xfId="0" applyBorder="1" applyAlignment="1">
      <alignment horizontal="center"/>
    </xf>
    <xf numFmtId="1" fontId="0" fillId="4" borderId="20" xfId="0" applyFill="1" applyBorder="1" applyAlignment="1">
      <alignment horizontal="center" wrapText="1"/>
    </xf>
    <xf numFmtId="1" fontId="21" fillId="5" borderId="20" xfId="0" applyFont="1" applyFill="1" applyBorder="1" applyAlignment="1">
      <alignment wrapText="1"/>
    </xf>
    <xf numFmtId="1" fontId="0" fillId="5" borderId="20" xfId="0" applyFill="1" applyBorder="1" applyAlignment="1">
      <alignment wrapText="1"/>
    </xf>
    <xf numFmtId="1" fontId="0" fillId="5" borderId="21" xfId="0" applyFill="1" applyBorder="1" applyAlignment="1">
      <alignment wrapText="1"/>
    </xf>
    <xf numFmtId="1" fontId="0" fillId="5" borderId="23" xfId="0" applyFill="1" applyBorder="1" applyAlignment="1">
      <alignment wrapText="1"/>
    </xf>
    <xf numFmtId="1" fontId="0" fillId="10" borderId="6" xfId="0" applyFill="1" applyBorder="1" applyAlignment="1">
      <alignment horizontal="center"/>
    </xf>
    <xf numFmtId="1" fontId="0" fillId="0" borderId="0" xfId="0" applyFill="1" applyBorder="1" applyAlignment="1">
      <alignment horizontal="center"/>
    </xf>
    <xf numFmtId="1" fontId="0" fillId="0" borderId="7" xfId="0" applyFill="1" applyBorder="1" applyAlignment="1">
      <alignment horizontal="center"/>
    </xf>
    <xf numFmtId="1" fontId="11" fillId="9" borderId="3" xfId="0" applyFont="1" applyFill="1" applyBorder="1"/>
    <xf numFmtId="1" fontId="11" fillId="9" borderId="3" xfId="0" applyFont="1" applyFill="1" applyBorder="1" applyAlignment="1">
      <alignment horizontal="left"/>
    </xf>
    <xf numFmtId="1" fontId="11" fillId="9" borderId="0" xfId="0" applyFont="1" applyFill="1"/>
    <xf numFmtId="1" fontId="22" fillId="0" borderId="0" xfId="0" applyFont="1"/>
    <xf numFmtId="1" fontId="23" fillId="0" borderId="0" xfId="0" applyFont="1"/>
    <xf numFmtId="1" fontId="24" fillId="0" borderId="0" xfId="0" applyFont="1"/>
    <xf numFmtId="3" fontId="9" fillId="0" borderId="0" xfId="0" applyNumberFormat="1" applyFont="1" applyFill="1" applyBorder="1"/>
    <xf numFmtId="1" fontId="0" fillId="4" borderId="6" xfId="0" applyFill="1" applyBorder="1"/>
    <xf numFmtId="3" fontId="27" fillId="0" borderId="7" xfId="0" applyNumberFormat="1" applyFont="1" applyBorder="1"/>
    <xf numFmtId="3" fontId="27" fillId="0" borderId="0" xfId="0" applyNumberFormat="1" applyFont="1" applyFill="1" applyBorder="1"/>
    <xf numFmtId="165" fontId="9" fillId="0" borderId="0" xfId="0" applyNumberFormat="1" applyFont="1" applyFill="1" applyBorder="1"/>
    <xf numFmtId="4" fontId="9" fillId="0" borderId="0" xfId="0" applyNumberFormat="1" applyFont="1" applyFill="1" applyBorder="1"/>
    <xf numFmtId="1" fontId="0" fillId="8" borderId="0" xfId="0" applyFill="1" applyBorder="1"/>
    <xf numFmtId="165" fontId="0" fillId="8" borderId="0" xfId="0" applyNumberFormat="1" applyFill="1" applyBorder="1"/>
    <xf numFmtId="170" fontId="0" fillId="0" borderId="0" xfId="0" applyNumberFormat="1" applyBorder="1"/>
    <xf numFmtId="164" fontId="9" fillId="0" borderId="0" xfId="0" applyNumberFormat="1" applyFont="1" applyBorder="1"/>
    <xf numFmtId="1" fontId="0" fillId="0" borderId="0" xfId="0" applyAlignment="1">
      <alignment horizontal="center" wrapText="1"/>
    </xf>
    <xf numFmtId="1" fontId="29" fillId="0" borderId="0" xfId="0" applyFont="1" applyBorder="1"/>
    <xf numFmtId="166" fontId="0" fillId="0" borderId="0" xfId="0" applyNumberFormat="1"/>
    <xf numFmtId="1" fontId="6" fillId="0" borderId="0" xfId="58" applyNumberFormat="1" applyAlignment="1" applyProtection="1"/>
    <xf numFmtId="3" fontId="23" fillId="0" borderId="0" xfId="76" applyNumberFormat="1" applyFont="1" applyFill="1" applyBorder="1" applyAlignment="1">
      <alignment horizontal="right"/>
    </xf>
    <xf numFmtId="164" fontId="42" fillId="0" borderId="7" xfId="0" applyNumberFormat="1" applyFont="1" applyFill="1" applyBorder="1"/>
    <xf numFmtId="164" fontId="11" fillId="0" borderId="0" xfId="0" applyNumberFormat="1" applyFont="1" applyBorder="1"/>
    <xf numFmtId="3" fontId="23" fillId="0" borderId="0" xfId="0" applyNumberFormat="1" applyFont="1" applyFill="1" applyBorder="1" applyAlignment="1"/>
    <xf numFmtId="3" fontId="23" fillId="0" borderId="0" xfId="76" applyNumberFormat="1" applyFont="1" applyFill="1" applyBorder="1" applyAlignment="1">
      <alignment horizontal="right" vertical="top"/>
    </xf>
    <xf numFmtId="172" fontId="16" fillId="5" borderId="0" xfId="0" applyNumberFormat="1" applyFont="1" applyFill="1"/>
    <xf numFmtId="3" fontId="11" fillId="0" borderId="0" xfId="0" applyNumberFormat="1" applyFont="1" applyFill="1"/>
    <xf numFmtId="1" fontId="0" fillId="15" borderId="10" xfId="0" applyFill="1" applyBorder="1" applyAlignment="1">
      <alignment horizontal="center" wrapText="1"/>
    </xf>
    <xf numFmtId="1" fontId="0" fillId="5" borderId="0" xfId="0" applyFill="1" applyAlignment="1">
      <alignment horizontal="center" wrapText="1"/>
    </xf>
    <xf numFmtId="1" fontId="0" fillId="12" borderId="0" xfId="0" applyFill="1" applyAlignment="1">
      <alignment horizontal="center" wrapText="1"/>
    </xf>
    <xf numFmtId="1" fontId="0" fillId="0" borderId="0" xfId="0" quotePrefix="1"/>
    <xf numFmtId="3" fontId="0" fillId="0" borderId="0" xfId="0" quotePrefix="1" applyNumberFormat="1"/>
    <xf numFmtId="3" fontId="4" fillId="0" borderId="0" xfId="0" applyNumberFormat="1" applyFont="1"/>
    <xf numFmtId="3" fontId="4" fillId="0" borderId="0" xfId="0" applyNumberFormat="1" applyFont="1" applyBorder="1"/>
    <xf numFmtId="2" fontId="0" fillId="0" borderId="0" xfId="0" applyNumberFormat="1"/>
    <xf numFmtId="4" fontId="9" fillId="20" borderId="0" xfId="0" applyNumberFormat="1" applyFont="1" applyFill="1" applyBorder="1"/>
    <xf numFmtId="3" fontId="43" fillId="0" borderId="0" xfId="0" applyNumberFormat="1" applyFont="1" applyFill="1" applyAlignment="1">
      <alignment horizontal="right"/>
    </xf>
    <xf numFmtId="3" fontId="43" fillId="0" borderId="0" xfId="0" applyNumberFormat="1" applyFont="1" applyFill="1" applyBorder="1" applyAlignment="1">
      <alignment horizontal="right"/>
    </xf>
    <xf numFmtId="170" fontId="11" fillId="0" borderId="0" xfId="0" applyNumberFormat="1" applyFont="1"/>
    <xf numFmtId="3" fontId="11" fillId="0" borderId="0" xfId="76" applyNumberFormat="1" applyFont="1" applyFill="1" applyBorder="1" applyAlignment="1">
      <alignment horizontal="right"/>
    </xf>
    <xf numFmtId="1" fontId="5" fillId="5" borderId="0" xfId="0" applyFont="1" applyFill="1" applyAlignment="1">
      <alignment wrapText="1"/>
    </xf>
    <xf numFmtId="1" fontId="0" fillId="5" borderId="0" xfId="0" applyFill="1"/>
    <xf numFmtId="165" fontId="11" fillId="0" borderId="0" xfId="0" applyNumberFormat="1" applyFont="1" applyFill="1" applyBorder="1"/>
    <xf numFmtId="167" fontId="0" fillId="22" borderId="0" xfId="0" applyNumberFormat="1" applyFill="1"/>
    <xf numFmtId="1" fontId="0" fillId="23" borderId="0" xfId="0" applyFill="1"/>
    <xf numFmtId="170" fontId="11" fillId="23" borderId="0" xfId="0" applyNumberFormat="1" applyFont="1" applyFill="1"/>
    <xf numFmtId="1" fontId="44" fillId="0" borderId="0" xfId="0" applyFont="1"/>
    <xf numFmtId="1" fontId="21" fillId="0" borderId="0" xfId="0" applyFont="1"/>
    <xf numFmtId="3" fontId="0" fillId="9" borderId="0" xfId="0" applyNumberFormat="1" applyFill="1"/>
    <xf numFmtId="3" fontId="30" fillId="9" borderId="0" xfId="0" applyNumberFormat="1" applyFont="1" applyFill="1"/>
    <xf numFmtId="1" fontId="45" fillId="0" borderId="0" xfId="58" applyNumberFormat="1" applyFont="1" applyAlignment="1" applyProtection="1"/>
    <xf numFmtId="3" fontId="0" fillId="0" borderId="20" xfId="0" applyNumberFormat="1" applyBorder="1"/>
    <xf numFmtId="1" fontId="42" fillId="16" borderId="0" xfId="0" applyFont="1" applyFill="1"/>
    <xf numFmtId="170" fontId="42" fillId="16" borderId="0" xfId="0" applyNumberFormat="1" applyFont="1" applyFill="1"/>
    <xf numFmtId="1" fontId="17" fillId="0" borderId="0" xfId="0" applyFont="1" applyFill="1" applyBorder="1"/>
    <xf numFmtId="3" fontId="46" fillId="0" borderId="0" xfId="0" applyNumberFormat="1" applyFont="1" applyFill="1" applyBorder="1"/>
    <xf numFmtId="3" fontId="46" fillId="0" borderId="0" xfId="0" applyNumberFormat="1" applyFont="1" applyFill="1" applyBorder="1" applyAlignment="1"/>
    <xf numFmtId="1" fontId="0" fillId="0" borderId="0" xfId="0" quotePrefix="1" applyFill="1" applyBorder="1"/>
    <xf numFmtId="3" fontId="30" fillId="0" borderId="0" xfId="0" applyNumberFormat="1" applyFont="1"/>
    <xf numFmtId="1" fontId="6" fillId="0" borderId="0" xfId="58" applyNumberFormat="1" applyBorder="1" applyAlignment="1" applyProtection="1"/>
    <xf numFmtId="1" fontId="46" fillId="0" borderId="0" xfId="0" applyFont="1"/>
    <xf numFmtId="1" fontId="0" fillId="15" borderId="0" xfId="0" applyFill="1" applyAlignment="1">
      <alignment horizontal="center" wrapText="1"/>
    </xf>
    <xf numFmtId="1" fontId="0" fillId="15" borderId="10" xfId="0" applyFill="1" applyBorder="1" applyAlignment="1">
      <alignment horizontal="center"/>
    </xf>
    <xf numFmtId="1" fontId="0" fillId="0" borderId="0" xfId="0" applyAlignment="1">
      <alignment horizontal="center"/>
    </xf>
    <xf numFmtId="167"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68" fontId="0" fillId="0" borderId="0" xfId="0" applyNumberFormat="1" applyAlignment="1">
      <alignment horizontal="center"/>
    </xf>
    <xf numFmtId="1" fontId="0" fillId="15" borderId="7" xfId="0" applyFill="1" applyBorder="1" applyAlignment="1">
      <alignment horizontal="center" wrapText="1"/>
    </xf>
    <xf numFmtId="3" fontId="6" fillId="0" borderId="0" xfId="58" applyNumberFormat="1" applyAlignment="1" applyProtection="1"/>
    <xf numFmtId="1" fontId="0" fillId="10" borderId="0" xfId="0" applyFill="1" applyAlignment="1">
      <alignment horizontal="center"/>
    </xf>
    <xf numFmtId="1" fontId="0" fillId="14" borderId="0" xfId="0" applyFill="1" applyAlignment="1">
      <alignment horizontal="center"/>
    </xf>
    <xf numFmtId="1" fontId="0" fillId="0" borderId="0" xfId="0" applyAlignment="1"/>
    <xf numFmtId="3" fontId="11" fillId="10" borderId="6" xfId="0" applyNumberFormat="1" applyFont="1" applyFill="1" applyBorder="1" applyAlignment="1"/>
    <xf numFmtId="1" fontId="0" fillId="15" borderId="7" xfId="0" applyFill="1" applyBorder="1" applyAlignment="1">
      <alignment horizontal="left" wrapText="1"/>
    </xf>
    <xf numFmtId="2" fontId="30" fillId="0" borderId="0" xfId="0" applyNumberFormat="1" applyFont="1"/>
    <xf numFmtId="1" fontId="6" fillId="0" borderId="0" xfId="58" applyNumberFormat="1" applyFill="1" applyBorder="1" applyAlignment="1" applyProtection="1"/>
    <xf numFmtId="1" fontId="9" fillId="0" borderId="0" xfId="0" applyFont="1"/>
    <xf numFmtId="3" fontId="9" fillId="0" borderId="0" xfId="0" applyNumberFormat="1" applyFont="1"/>
    <xf numFmtId="3" fontId="9" fillId="0" borderId="0" xfId="0" applyNumberFormat="1" applyFont="1" applyFill="1"/>
    <xf numFmtId="0" fontId="48" fillId="0" borderId="0" xfId="67" applyFont="1"/>
    <xf numFmtId="0" fontId="4" fillId="0" borderId="0" xfId="67"/>
    <xf numFmtId="0" fontId="49" fillId="0" borderId="0" xfId="67" applyFont="1"/>
    <xf numFmtId="0" fontId="50" fillId="0" borderId="0" xfId="67" applyFont="1" applyAlignment="1">
      <alignment horizontal="center" vertical="center"/>
    </xf>
    <xf numFmtId="0" fontId="50" fillId="0" borderId="0" xfId="67" applyFont="1" applyAlignment="1">
      <alignment horizontal="center" vertical="center" wrapText="1"/>
    </xf>
    <xf numFmtId="17" fontId="49" fillId="0" borderId="0" xfId="67" applyNumberFormat="1" applyFont="1" applyAlignment="1">
      <alignment wrapText="1"/>
    </xf>
    <xf numFmtId="172" fontId="49" fillId="0" borderId="0" xfId="67" applyNumberFormat="1" applyFont="1" applyAlignment="1">
      <alignment wrapText="1"/>
    </xf>
    <xf numFmtId="0" fontId="49" fillId="0" borderId="0" xfId="67" applyFont="1" applyAlignment="1">
      <alignment wrapText="1"/>
    </xf>
    <xf numFmtId="10" fontId="49" fillId="0" borderId="0" xfId="67" applyNumberFormat="1" applyFont="1" applyAlignment="1">
      <alignment wrapText="1"/>
    </xf>
    <xf numFmtId="0" fontId="4" fillId="0" borderId="0" xfId="67" applyFont="1"/>
    <xf numFmtId="0" fontId="5" fillId="0" borderId="0" xfId="67" applyFont="1"/>
    <xf numFmtId="10" fontId="4" fillId="0" borderId="0" xfId="67" applyNumberFormat="1"/>
    <xf numFmtId="2" fontId="4" fillId="0" borderId="0" xfId="67" applyNumberFormat="1"/>
    <xf numFmtId="170" fontId="4" fillId="0" borderId="0" xfId="67" applyNumberFormat="1"/>
    <xf numFmtId="10" fontId="4" fillId="0" borderId="0" xfId="70" applyNumberFormat="1"/>
    <xf numFmtId="1" fontId="4" fillId="0" borderId="0" xfId="67" applyNumberFormat="1"/>
    <xf numFmtId="10" fontId="4" fillId="15" borderId="0" xfId="70" applyNumberFormat="1" applyFill="1"/>
    <xf numFmtId="3" fontId="57" fillId="0" borderId="0" xfId="76" applyNumberFormat="1" applyFont="1" applyFill="1" applyBorder="1" applyAlignment="1">
      <alignment horizontal="right"/>
    </xf>
    <xf numFmtId="172" fontId="58" fillId="0" borderId="0" xfId="0" applyNumberFormat="1" applyFont="1" applyAlignment="1">
      <alignment wrapText="1"/>
    </xf>
    <xf numFmtId="17" fontId="58" fillId="0" borderId="0" xfId="0" applyNumberFormat="1" applyFont="1" applyAlignment="1">
      <alignment wrapText="1"/>
    </xf>
    <xf numFmtId="10" fontId="58" fillId="0" borderId="0" xfId="0" applyNumberFormat="1" applyFont="1" applyAlignment="1">
      <alignment wrapText="1"/>
    </xf>
    <xf numFmtId="0" fontId="58" fillId="0" borderId="0" xfId="0" applyNumberFormat="1" applyFont="1" applyAlignment="1">
      <alignment wrapText="1"/>
    </xf>
    <xf numFmtId="165" fontId="59" fillId="0" borderId="0" xfId="0" applyNumberFormat="1" applyFont="1" applyFill="1" applyBorder="1"/>
    <xf numFmtId="3" fontId="11" fillId="0" borderId="0" xfId="0" applyNumberFormat="1" applyFont="1"/>
    <xf numFmtId="0" fontId="63" fillId="0" borderId="24" xfId="0" applyNumberFormat="1" applyFont="1" applyBorder="1" applyAlignment="1">
      <alignment horizontal="left" wrapText="1"/>
    </xf>
    <xf numFmtId="3" fontId="63" fillId="0" borderId="24" xfId="0" applyNumberFormat="1" applyFont="1" applyBorder="1" applyAlignment="1">
      <alignment horizontal="right" wrapText="1"/>
    </xf>
    <xf numFmtId="0" fontId="0" fillId="0" borderId="24" xfId="0" applyNumberFormat="1" applyBorder="1" applyAlignment="1">
      <alignment horizontal="right" wrapText="1"/>
    </xf>
    <xf numFmtId="0" fontId="0" fillId="0" borderId="24" xfId="0" applyNumberFormat="1" applyBorder="1" applyAlignment="1">
      <alignment wrapText="1"/>
    </xf>
    <xf numFmtId="0" fontId="64" fillId="0" borderId="24" xfId="0" applyNumberFormat="1" applyFont="1" applyBorder="1" applyAlignment="1">
      <alignment horizontal="center" wrapText="1"/>
    </xf>
    <xf numFmtId="0" fontId="63" fillId="0" borderId="24" xfId="0" applyNumberFormat="1" applyFont="1" applyBorder="1" applyAlignment="1">
      <alignment horizontal="right" wrapText="1"/>
    </xf>
    <xf numFmtId="0" fontId="63" fillId="24" borderId="24" xfId="0" applyNumberFormat="1" applyFont="1" applyFill="1" applyBorder="1" applyAlignment="1">
      <alignment horizontal="left" wrapText="1"/>
    </xf>
    <xf numFmtId="3" fontId="63" fillId="24" borderId="24" xfId="0" applyNumberFormat="1" applyFont="1" applyFill="1" applyBorder="1" applyAlignment="1">
      <alignment horizontal="right" wrapText="1"/>
    </xf>
    <xf numFmtId="0" fontId="0" fillId="24" borderId="24" xfId="0" applyNumberFormat="1" applyFill="1" applyBorder="1" applyAlignment="1">
      <alignment horizontal="right" wrapText="1"/>
    </xf>
    <xf numFmtId="0" fontId="0" fillId="24" borderId="24" xfId="0" applyNumberFormat="1" applyFill="1" applyBorder="1" applyAlignment="1">
      <alignment wrapText="1"/>
    </xf>
    <xf numFmtId="0" fontId="64" fillId="24" borderId="24" xfId="0" applyNumberFormat="1" applyFont="1" applyFill="1" applyBorder="1" applyAlignment="1">
      <alignment horizontal="center" wrapText="1"/>
    </xf>
    <xf numFmtId="0" fontId="63" fillId="24" borderId="24" xfId="0" applyNumberFormat="1" applyFont="1" applyFill="1" applyBorder="1" applyAlignment="1">
      <alignment horizontal="right" wrapText="1"/>
    </xf>
    <xf numFmtId="3" fontId="11" fillId="0" borderId="0" xfId="0" quotePrefix="1" applyNumberFormat="1" applyFont="1"/>
    <xf numFmtId="1" fontId="11" fillId="0" borderId="0" xfId="0" applyFont="1" applyFill="1" applyBorder="1" applyAlignment="1">
      <alignment horizontal="left"/>
    </xf>
    <xf numFmtId="1" fontId="14" fillId="10" borderId="17" xfId="0" applyFont="1" applyFill="1" applyBorder="1" applyAlignment="1">
      <alignment wrapText="1"/>
    </xf>
    <xf numFmtId="1" fontId="14" fillId="10" borderId="16" xfId="0" applyFont="1" applyFill="1" applyBorder="1" applyAlignment="1">
      <alignment wrapText="1"/>
    </xf>
    <xf numFmtId="1" fontId="14" fillId="10" borderId="18" xfId="0" applyFont="1" applyFill="1" applyBorder="1" applyAlignment="1">
      <alignment wrapText="1"/>
    </xf>
    <xf numFmtId="168" fontId="11" fillId="0" borderId="0" xfId="0" applyNumberFormat="1" applyFont="1"/>
    <xf numFmtId="168" fontId="0" fillId="25" borderId="0" xfId="0" applyNumberFormat="1" applyFill="1"/>
    <xf numFmtId="2" fontId="0" fillId="0" borderId="0" xfId="0" applyNumberFormat="1" applyFill="1" applyBorder="1"/>
    <xf numFmtId="1" fontId="42" fillId="23" borderId="0" xfId="0" applyFont="1" applyFill="1"/>
    <xf numFmtId="170" fontId="42" fillId="23" borderId="0" xfId="0" applyNumberFormat="1" applyFont="1" applyFill="1"/>
    <xf numFmtId="1" fontId="18" fillId="0" borderId="0" xfId="0" applyFont="1" applyAlignment="1">
      <alignment wrapText="1"/>
    </xf>
    <xf numFmtId="1" fontId="14" fillId="0" borderId="0" xfId="0" applyFont="1" applyFill="1"/>
    <xf numFmtId="1" fontId="4" fillId="25" borderId="0" xfId="0" applyFont="1" applyFill="1"/>
    <xf numFmtId="3" fontId="0" fillId="25" borderId="0" xfId="0" applyNumberFormat="1" applyFill="1" applyBorder="1" applyAlignment="1">
      <alignment wrapText="1"/>
    </xf>
    <xf numFmtId="164" fontId="0" fillId="0" borderId="0" xfId="0" applyNumberFormat="1" applyBorder="1"/>
    <xf numFmtId="0" fontId="4" fillId="0" borderId="0" xfId="65"/>
    <xf numFmtId="0" fontId="8" fillId="0" borderId="0" xfId="65" applyFont="1" applyBorder="1"/>
    <xf numFmtId="0" fontId="4" fillId="0" borderId="0" xfId="65" applyBorder="1"/>
    <xf numFmtId="164" fontId="4" fillId="0" borderId="0" xfId="0" applyNumberFormat="1" applyFont="1" applyFill="1" applyBorder="1"/>
    <xf numFmtId="164" fontId="0" fillId="18" borderId="0" xfId="0" applyNumberFormat="1" applyFill="1" applyBorder="1"/>
    <xf numFmtId="164" fontId="0" fillId="18" borderId="7" xfId="0" applyNumberFormat="1" applyFill="1" applyBorder="1"/>
    <xf numFmtId="164" fontId="0" fillId="17" borderId="7" xfId="0" applyNumberFormat="1" applyFill="1" applyBorder="1"/>
    <xf numFmtId="1" fontId="66" fillId="0" borderId="0" xfId="0" applyFont="1"/>
    <xf numFmtId="1" fontId="68" fillId="0" borderId="0" xfId="0" applyFont="1"/>
    <xf numFmtId="1" fontId="69" fillId="0" borderId="0" xfId="58" applyNumberFormat="1" applyFont="1" applyAlignment="1" applyProtection="1"/>
    <xf numFmtId="0" fontId="5" fillId="0" borderId="0" xfId="0" applyNumberFormat="1" applyFont="1"/>
    <xf numFmtId="4" fontId="0" fillId="0" borderId="3" xfId="0" applyNumberFormat="1" applyFill="1" applyBorder="1"/>
    <xf numFmtId="164" fontId="70" fillId="0" borderId="0" xfId="0" applyNumberFormat="1" applyFont="1" applyFill="1" applyBorder="1"/>
    <xf numFmtId="167" fontId="66" fillId="0" borderId="0" xfId="0" applyNumberFormat="1" applyFont="1"/>
    <xf numFmtId="167" fontId="0" fillId="0" borderId="0" xfId="0" applyNumberFormat="1" applyFill="1" applyBorder="1"/>
    <xf numFmtId="167" fontId="0" fillId="0" borderId="7" xfId="0" applyNumberFormat="1" applyBorder="1"/>
    <xf numFmtId="164" fontId="71" fillId="0" borderId="0" xfId="0" applyNumberFormat="1" applyFont="1" applyFill="1" applyBorder="1"/>
    <xf numFmtId="167" fontId="4" fillId="0" borderId="0" xfId="0" applyNumberFormat="1" applyFont="1"/>
    <xf numFmtId="1" fontId="0" fillId="21" borderId="0" xfId="0" applyFill="1"/>
    <xf numFmtId="169" fontId="0" fillId="4" borderId="0" xfId="0" applyNumberFormat="1" applyFill="1"/>
    <xf numFmtId="1" fontId="4" fillId="0" borderId="0" xfId="66" applyFont="1"/>
    <xf numFmtId="1" fontId="4" fillId="0" borderId="0" xfId="66"/>
    <xf numFmtId="171" fontId="4" fillId="26" borderId="0" xfId="66" applyNumberFormat="1" applyFill="1"/>
    <xf numFmtId="180" fontId="0" fillId="26" borderId="0" xfId="0" applyNumberFormat="1" applyFill="1"/>
    <xf numFmtId="3" fontId="0" fillId="26" borderId="0" xfId="0" applyNumberFormat="1" applyFill="1"/>
    <xf numFmtId="168" fontId="0" fillId="26" borderId="0" xfId="0" applyNumberFormat="1" applyFill="1"/>
    <xf numFmtId="1" fontId="5" fillId="5" borderId="0" xfId="0" applyFont="1" applyFill="1" applyBorder="1" applyAlignment="1">
      <alignment horizontal="center" wrapText="1"/>
    </xf>
    <xf numFmtId="167" fontId="71" fillId="0" borderId="0" xfId="0" applyNumberFormat="1" applyFont="1" applyBorder="1"/>
    <xf numFmtId="167" fontId="0" fillId="0" borderId="0" xfId="0" applyNumberFormat="1" applyBorder="1"/>
    <xf numFmtId="3" fontId="4" fillId="0" borderId="7" xfId="0" applyNumberFormat="1" applyFont="1" applyBorder="1"/>
    <xf numFmtId="3" fontId="66" fillId="0" borderId="0" xfId="0" applyNumberFormat="1" applyFont="1" applyFill="1" applyBorder="1"/>
    <xf numFmtId="3" fontId="66" fillId="0" borderId="7" xfId="0" applyNumberFormat="1" applyFont="1" applyBorder="1"/>
    <xf numFmtId="3" fontId="66" fillId="0" borderId="10" xfId="0" applyNumberFormat="1" applyFont="1" applyBorder="1"/>
    <xf numFmtId="3" fontId="66" fillId="0" borderId="8" xfId="0" applyNumberFormat="1" applyFont="1" applyBorder="1"/>
    <xf numFmtId="3" fontId="70" fillId="0" borderId="7" xfId="0" applyNumberFormat="1" applyFont="1" applyBorder="1"/>
    <xf numFmtId="3" fontId="0" fillId="13" borderId="0" xfId="0" applyNumberFormat="1" applyFill="1"/>
    <xf numFmtId="1" fontId="0" fillId="25" borderId="0" xfId="0" applyFill="1"/>
    <xf numFmtId="1" fontId="0" fillId="5" borderId="0" xfId="0" applyFill="1" applyBorder="1" applyAlignment="1">
      <alignment wrapText="1"/>
    </xf>
    <xf numFmtId="2" fontId="0" fillId="15" borderId="0" xfId="0" applyNumberFormat="1" applyFill="1"/>
    <xf numFmtId="1" fontId="0" fillId="0" borderId="20" xfId="0" applyBorder="1" applyAlignment="1">
      <alignment vertical="justify" wrapText="1"/>
    </xf>
    <xf numFmtId="1" fontId="5" fillId="4" borderId="10" xfId="0" applyFont="1" applyFill="1" applyBorder="1" applyAlignment="1">
      <alignment wrapText="1"/>
    </xf>
    <xf numFmtId="1" fontId="5" fillId="5" borderId="6" xfId="0" applyFont="1" applyFill="1" applyBorder="1"/>
    <xf numFmtId="1" fontId="5" fillId="5" borderId="18" xfId="0" applyFont="1" applyFill="1" applyBorder="1" applyAlignment="1">
      <alignment wrapText="1"/>
    </xf>
    <xf numFmtId="1" fontId="5" fillId="4" borderId="7" xfId="0" applyFont="1" applyFill="1" applyBorder="1" applyAlignment="1">
      <alignment wrapText="1"/>
    </xf>
    <xf numFmtId="0" fontId="5" fillId="0" borderId="0" xfId="0" applyNumberFormat="1" applyFont="1" applyFill="1"/>
    <xf numFmtId="1" fontId="0" fillId="0" borderId="0" xfId="0" applyFill="1" applyAlignment="1">
      <alignment horizontal="center"/>
    </xf>
    <xf numFmtId="49" fontId="0" fillId="0" borderId="0" xfId="0" applyNumberFormat="1" applyFill="1" applyBorder="1" applyAlignment="1">
      <alignment horizontal="center"/>
    </xf>
    <xf numFmtId="1" fontId="0" fillId="0" borderId="0" xfId="0" applyFill="1" applyBorder="1" applyAlignment="1">
      <alignment horizontal="center" wrapText="1"/>
    </xf>
    <xf numFmtId="1" fontId="0" fillId="0" borderId="0" xfId="0" applyFill="1" applyBorder="1" applyAlignment="1">
      <alignment wrapText="1"/>
    </xf>
    <xf numFmtId="1" fontId="17" fillId="58" borderId="0" xfId="0" applyFont="1" applyFill="1"/>
    <xf numFmtId="0" fontId="79" fillId="0" borderId="0" xfId="63"/>
    <xf numFmtId="0" fontId="100" fillId="0" borderId="0" xfId="63" applyFont="1" applyAlignment="1">
      <alignment vertical="center"/>
    </xf>
    <xf numFmtId="0" fontId="100" fillId="0" borderId="0" xfId="63" applyFont="1"/>
    <xf numFmtId="0" fontId="101" fillId="0" borderId="0" xfId="63" applyFont="1" applyAlignment="1">
      <alignment vertical="center"/>
    </xf>
    <xf numFmtId="0" fontId="102" fillId="0" borderId="0" xfId="63" applyFont="1" applyAlignment="1">
      <alignment horizontal="center" vertical="center"/>
    </xf>
    <xf numFmtId="0" fontId="102" fillId="0" borderId="0" xfId="63" applyFont="1" applyAlignment="1">
      <alignment horizontal="justify" vertical="center"/>
    </xf>
    <xf numFmtId="3" fontId="102" fillId="0" borderId="0" xfId="63" applyNumberFormat="1" applyFont="1" applyAlignment="1">
      <alignment horizontal="center" vertical="center"/>
    </xf>
    <xf numFmtId="0" fontId="103" fillId="0" borderId="0" xfId="63" applyFont="1" applyAlignment="1">
      <alignment horizontal="center" vertical="center"/>
    </xf>
    <xf numFmtId="0" fontId="102" fillId="0" borderId="25" xfId="63" applyFont="1" applyBorder="1" applyAlignment="1">
      <alignment horizontal="center" vertical="center"/>
    </xf>
    <xf numFmtId="0" fontId="102" fillId="0" borderId="0" xfId="63" applyFont="1" applyBorder="1" applyAlignment="1">
      <alignment horizontal="justify" vertical="center"/>
    </xf>
    <xf numFmtId="0" fontId="102" fillId="0" borderId="0" xfId="63" applyFont="1" applyBorder="1"/>
    <xf numFmtId="0" fontId="102" fillId="0" borderId="0" xfId="63" applyFont="1" applyAlignment="1">
      <alignment horizontal="center"/>
    </xf>
    <xf numFmtId="0" fontId="102" fillId="0" borderId="0" xfId="63" applyFont="1" applyBorder="1" applyAlignment="1">
      <alignment horizontal="center"/>
    </xf>
    <xf numFmtId="167" fontId="102" fillId="0" borderId="0" xfId="63" applyNumberFormat="1" applyFont="1" applyAlignment="1">
      <alignment horizontal="center"/>
    </xf>
    <xf numFmtId="167" fontId="102" fillId="0" borderId="0" xfId="63" applyNumberFormat="1" applyFont="1" applyBorder="1" applyAlignment="1">
      <alignment horizontal="center"/>
    </xf>
    <xf numFmtId="167" fontId="102" fillId="0" borderId="0" xfId="63" applyNumberFormat="1" applyFont="1" applyAlignment="1">
      <alignment horizontal="center" vertical="center"/>
    </xf>
    <xf numFmtId="167" fontId="103" fillId="0" borderId="0" xfId="63" applyNumberFormat="1" applyFont="1" applyAlignment="1">
      <alignment horizontal="center" vertical="center"/>
    </xf>
    <xf numFmtId="174" fontId="102" fillId="0" borderId="25" xfId="63" applyNumberFormat="1" applyFont="1" applyBorder="1" applyAlignment="1">
      <alignment horizontal="center" vertical="center"/>
    </xf>
    <xf numFmtId="174" fontId="102" fillId="0" borderId="0" xfId="63" applyNumberFormat="1" applyFont="1" applyAlignment="1">
      <alignment horizontal="center" vertical="center"/>
    </xf>
    <xf numFmtId="0" fontId="102" fillId="0" borderId="20" xfId="63" applyFont="1" applyBorder="1" applyAlignment="1">
      <alignment horizontal="justify" vertical="center"/>
    </xf>
    <xf numFmtId="0" fontId="102" fillId="0" borderId="20" xfId="63" applyFont="1" applyBorder="1" applyAlignment="1">
      <alignment horizontal="center"/>
    </xf>
    <xf numFmtId="167" fontId="102" fillId="0" borderId="20" xfId="63" applyNumberFormat="1" applyFont="1" applyBorder="1" applyAlignment="1">
      <alignment horizontal="center"/>
    </xf>
    <xf numFmtId="0" fontId="102" fillId="0" borderId="3" xfId="63" applyFont="1" applyBorder="1" applyAlignment="1">
      <alignment horizontal="center" vertical="center"/>
    </xf>
    <xf numFmtId="167" fontId="102" fillId="0" borderId="3" xfId="63" applyNumberFormat="1" applyFont="1" applyBorder="1" applyAlignment="1">
      <alignment horizontal="center" vertical="center"/>
    </xf>
    <xf numFmtId="0" fontId="74" fillId="0" borderId="0" xfId="63" applyFont="1" applyFill="1" applyBorder="1" applyAlignment="1">
      <alignment horizontal="center"/>
    </xf>
    <xf numFmtId="3" fontId="74" fillId="0" borderId="0" xfId="63" applyNumberFormat="1" applyFont="1" applyFill="1" applyBorder="1" applyAlignment="1">
      <alignment horizontal="center"/>
    </xf>
    <xf numFmtId="0" fontId="75" fillId="0" borderId="0" xfId="63" applyFont="1" applyFill="1" applyBorder="1" applyAlignment="1">
      <alignment horizontal="center"/>
    </xf>
    <xf numFmtId="0" fontId="74" fillId="0" borderId="0" xfId="63" applyFont="1" applyBorder="1" applyAlignment="1">
      <alignment horizontal="center" vertical="center"/>
    </xf>
    <xf numFmtId="0" fontId="75" fillId="0" borderId="0" xfId="63" applyFont="1" applyBorder="1" applyAlignment="1">
      <alignment horizontal="center" vertical="center"/>
    </xf>
    <xf numFmtId="3" fontId="74" fillId="0" borderId="0" xfId="63" applyNumberFormat="1" applyFont="1" applyBorder="1" applyAlignment="1">
      <alignment horizontal="center" vertical="center"/>
    </xf>
    <xf numFmtId="167" fontId="75" fillId="0" borderId="0" xfId="63" applyNumberFormat="1" applyFont="1" applyBorder="1" applyAlignment="1">
      <alignment horizontal="center" vertical="center"/>
    </xf>
    <xf numFmtId="3" fontId="74" fillId="0" borderId="0" xfId="30" applyNumberFormat="1" applyFont="1" applyFill="1" applyBorder="1" applyAlignment="1">
      <alignment horizontal="center"/>
    </xf>
    <xf numFmtId="167" fontId="74" fillId="0" borderId="0" xfId="63" applyNumberFormat="1" applyFont="1" applyFill="1" applyBorder="1" applyAlignment="1">
      <alignment horizontal="center"/>
    </xf>
    <xf numFmtId="167" fontId="74" fillId="0" borderId="0" xfId="63" applyNumberFormat="1" applyFont="1" applyBorder="1" applyAlignment="1">
      <alignment horizontal="center" vertical="center"/>
    </xf>
    <xf numFmtId="0" fontId="74" fillId="0" borderId="0" xfId="63" applyFont="1" applyAlignment="1">
      <alignment horizontal="center" vertical="center"/>
    </xf>
    <xf numFmtId="3" fontId="74" fillId="0" borderId="0" xfId="63" applyNumberFormat="1" applyFont="1" applyAlignment="1">
      <alignment horizontal="center" vertical="center"/>
    </xf>
    <xf numFmtId="167" fontId="74" fillId="0" borderId="0" xfId="63" applyNumberFormat="1" applyFont="1" applyAlignment="1">
      <alignment horizontal="center" vertical="center"/>
    </xf>
    <xf numFmtId="0" fontId="100" fillId="0" borderId="0" xfId="63" applyFont="1" applyAlignment="1">
      <alignment horizontal="center"/>
    </xf>
    <xf numFmtId="167" fontId="100" fillId="0" borderId="0" xfId="63" applyNumberFormat="1" applyFont="1" applyAlignment="1">
      <alignment horizontal="center"/>
    </xf>
    <xf numFmtId="0" fontId="100" fillId="0" borderId="20" xfId="63" applyFont="1" applyBorder="1" applyAlignment="1">
      <alignment vertical="center"/>
    </xf>
    <xf numFmtId="0" fontId="100" fillId="0" borderId="0" xfId="63" applyFont="1" applyAlignment="1">
      <alignment horizontal="left"/>
    </xf>
    <xf numFmtId="0" fontId="104" fillId="0" borderId="26" xfId="63" applyFont="1" applyBorder="1"/>
    <xf numFmtId="0" fontId="102" fillId="0" borderId="27" xfId="63" applyFont="1" applyBorder="1" applyAlignment="1">
      <alignment horizontal="center"/>
    </xf>
    <xf numFmtId="167" fontId="102" fillId="0" borderId="28" xfId="63" applyNumberFormat="1" applyFont="1" applyBorder="1" applyAlignment="1">
      <alignment horizontal="center"/>
    </xf>
    <xf numFmtId="0" fontId="104" fillId="0" borderId="29" xfId="63" applyFont="1" applyBorder="1"/>
    <xf numFmtId="167" fontId="102" fillId="0" borderId="30" xfId="63" applyNumberFormat="1" applyFont="1" applyBorder="1" applyAlignment="1">
      <alignment horizontal="center"/>
    </xf>
    <xf numFmtId="167" fontId="102" fillId="58" borderId="0" xfId="63" applyNumberFormat="1" applyFont="1" applyFill="1" applyAlignment="1">
      <alignment horizontal="center" vertical="center"/>
    </xf>
    <xf numFmtId="0" fontId="11" fillId="58" borderId="0" xfId="65" applyFont="1" applyFill="1"/>
    <xf numFmtId="2" fontId="11" fillId="0" borderId="0" xfId="0" applyNumberFormat="1" applyFont="1"/>
    <xf numFmtId="0" fontId="105" fillId="0" borderId="53" xfId="64" applyFont="1" applyBorder="1" applyAlignment="1">
      <alignment horizontal="left"/>
    </xf>
    <xf numFmtId="3" fontId="105" fillId="0" borderId="54" xfId="64" applyNumberFormat="1" applyFont="1" applyBorder="1" applyAlignment="1">
      <alignment horizontal="right" wrapText="1"/>
    </xf>
    <xf numFmtId="0" fontId="94" fillId="0" borderId="54" xfId="64" applyFont="1" applyBorder="1" applyAlignment="1">
      <alignment horizontal="right" wrapText="1"/>
    </xf>
    <xf numFmtId="0" fontId="94" fillId="0" borderId="54" xfId="64" applyFont="1" applyBorder="1" applyAlignment="1">
      <alignment wrapText="1"/>
    </xf>
    <xf numFmtId="0" fontId="106" fillId="0" borderId="54" xfId="64" applyFont="1" applyBorder="1" applyAlignment="1">
      <alignment horizontal="center" wrapText="1"/>
    </xf>
    <xf numFmtId="0" fontId="105" fillId="0" borderId="54" xfId="64" applyFont="1" applyBorder="1" applyAlignment="1">
      <alignment horizontal="right" wrapText="1"/>
    </xf>
    <xf numFmtId="0" fontId="105" fillId="59" borderId="53" xfId="64" applyFont="1" applyFill="1" applyBorder="1" applyAlignment="1">
      <alignment horizontal="left"/>
    </xf>
    <xf numFmtId="3" fontId="105" fillId="59" borderId="54" xfId="64" applyNumberFormat="1" applyFont="1" applyFill="1" applyBorder="1" applyAlignment="1">
      <alignment horizontal="right" wrapText="1"/>
    </xf>
    <xf numFmtId="0" fontId="94" fillId="59" borderId="54" xfId="64" applyFont="1" applyFill="1" applyBorder="1" applyAlignment="1">
      <alignment horizontal="right" wrapText="1"/>
    </xf>
    <xf numFmtId="0" fontId="94" fillId="59" borderId="54" xfId="64" applyFont="1" applyFill="1" applyBorder="1" applyAlignment="1">
      <alignment wrapText="1"/>
    </xf>
    <xf numFmtId="0" fontId="106" fillId="59" borderId="54" xfId="64" applyFont="1" applyFill="1" applyBorder="1" applyAlignment="1">
      <alignment horizontal="center" wrapText="1"/>
    </xf>
    <xf numFmtId="0" fontId="105" fillId="59" borderId="54" xfId="64" applyFont="1" applyFill="1" applyBorder="1" applyAlignment="1">
      <alignment horizontal="right" wrapText="1"/>
    </xf>
    <xf numFmtId="0" fontId="94" fillId="0" borderId="54" xfId="64" applyFont="1" applyBorder="1" applyAlignment="1">
      <alignment wrapText="1"/>
    </xf>
    <xf numFmtId="3" fontId="0" fillId="0" borderId="0" xfId="0" applyNumberFormat="1" applyFont="1" applyFill="1" applyBorder="1" applyAlignment="1"/>
    <xf numFmtId="168" fontId="0" fillId="0" borderId="0" xfId="0" quotePrefix="1" applyNumberFormat="1"/>
    <xf numFmtId="0" fontId="94" fillId="0" borderId="0" xfId="64" applyFont="1"/>
    <xf numFmtId="165" fontId="99" fillId="0" borderId="0" xfId="0" applyNumberFormat="1" applyFont="1" applyFill="1" applyBorder="1"/>
    <xf numFmtId="1" fontId="0" fillId="0" borderId="0" xfId="0" applyAlignment="1">
      <alignment horizontal="left"/>
    </xf>
    <xf numFmtId="1" fontId="5" fillId="5" borderId="13" xfId="0" applyFont="1" applyFill="1" applyBorder="1" applyAlignment="1">
      <alignment wrapText="1"/>
    </xf>
    <xf numFmtId="1" fontId="5" fillId="5" borderId="15" xfId="0" applyFont="1" applyFill="1" applyBorder="1" applyAlignment="1">
      <alignment wrapText="1"/>
    </xf>
    <xf numFmtId="1" fontId="0" fillId="0" borderId="0" xfId="0" applyAlignment="1">
      <alignment wrapText="1"/>
    </xf>
    <xf numFmtId="1" fontId="0" fillId="0" borderId="0" xfId="0" applyFont="1" applyFill="1" applyBorder="1"/>
    <xf numFmtId="3" fontId="16" fillId="0" borderId="0" xfId="0" applyNumberFormat="1" applyFont="1" applyFill="1"/>
    <xf numFmtId="1" fontId="16" fillId="0" borderId="0" xfId="0" applyFont="1" applyFill="1"/>
    <xf numFmtId="165" fontId="16" fillId="0" borderId="0" xfId="0" applyNumberFormat="1" applyFont="1" applyFill="1"/>
    <xf numFmtId="164" fontId="0" fillId="0" borderId="0" xfId="0" applyNumberFormat="1" applyFill="1"/>
    <xf numFmtId="167" fontId="0" fillId="0" borderId="6" xfId="0" applyNumberFormat="1" applyBorder="1"/>
    <xf numFmtId="0" fontId="102" fillId="0" borderId="0" xfId="63" applyFont="1"/>
    <xf numFmtId="0" fontId="113" fillId="0" borderId="26" xfId="63" applyFont="1" applyBorder="1"/>
    <xf numFmtId="0" fontId="113" fillId="0" borderId="29" xfId="63" applyFont="1" applyBorder="1"/>
    <xf numFmtId="0" fontId="112" fillId="0" borderId="0" xfId="63" applyFont="1" applyAlignment="1">
      <alignment vertical="center"/>
    </xf>
    <xf numFmtId="0" fontId="102" fillId="0" borderId="20" xfId="63" applyFont="1" applyBorder="1" applyAlignment="1">
      <alignment vertical="center"/>
    </xf>
    <xf numFmtId="0" fontId="102" fillId="0" borderId="0" xfId="63" applyFont="1" applyAlignment="1">
      <alignment horizontal="left"/>
    </xf>
    <xf numFmtId="168" fontId="0" fillId="0" borderId="0" xfId="0" quotePrefix="1" applyNumberFormat="1" applyFill="1"/>
    <xf numFmtId="168" fontId="0" fillId="60" borderId="0" xfId="0" applyNumberFormat="1" applyFill="1"/>
    <xf numFmtId="165" fontId="0" fillId="0" borderId="0" xfId="0" applyNumberFormat="1" applyFill="1"/>
    <xf numFmtId="1" fontId="11" fillId="0" borderId="0" xfId="0" applyFont="1" applyAlignment="1">
      <alignment wrapText="1"/>
    </xf>
    <xf numFmtId="1" fontId="0" fillId="0" borderId="3" xfId="0" applyBorder="1" applyAlignment="1">
      <alignment wrapText="1"/>
    </xf>
    <xf numFmtId="1" fontId="11" fillId="0" borderId="3" xfId="0" applyFont="1" applyBorder="1" applyAlignment="1">
      <alignment wrapText="1"/>
    </xf>
    <xf numFmtId="179" fontId="0" fillId="0" borderId="0" xfId="99" applyNumberFormat="1" applyFont="1" applyFill="1"/>
    <xf numFmtId="179" fontId="11" fillId="0" borderId="0" xfId="99" applyNumberFormat="1" applyFont="1" applyFill="1"/>
    <xf numFmtId="3" fontId="0" fillId="61" borderId="0" xfId="0" applyNumberFormat="1" applyFill="1"/>
    <xf numFmtId="1" fontId="11" fillId="61" borderId="0" xfId="0" applyFont="1" applyFill="1"/>
    <xf numFmtId="1" fontId="0" fillId="61" borderId="0" xfId="0" applyFill="1"/>
    <xf numFmtId="1" fontId="0" fillId="62" borderId="0" xfId="0" applyFill="1"/>
    <xf numFmtId="1" fontId="11" fillId="0" borderId="3" xfId="0" applyFont="1" applyBorder="1"/>
    <xf numFmtId="1" fontId="11" fillId="0" borderId="3" xfId="0" applyFont="1" applyFill="1" applyBorder="1" applyAlignment="1">
      <alignment horizontal="center" wrapText="1"/>
    </xf>
    <xf numFmtId="3" fontId="10" fillId="63" borderId="6" xfId="0" applyNumberFormat="1" applyFont="1" applyFill="1" applyBorder="1" applyAlignment="1">
      <alignment vertical="center"/>
    </xf>
    <xf numFmtId="3" fontId="11" fillId="63" borderId="6" xfId="0" applyNumberFormat="1" applyFont="1" applyFill="1" applyBorder="1" applyAlignment="1"/>
    <xf numFmtId="3" fontId="0" fillId="63" borderId="0" xfId="0" applyNumberFormat="1" applyFill="1" applyBorder="1"/>
    <xf numFmtId="3" fontId="11" fillId="63" borderId="7" xfId="0" applyNumberFormat="1" applyFont="1" applyFill="1" applyBorder="1"/>
    <xf numFmtId="3" fontId="0" fillId="63" borderId="6" xfId="0" applyNumberFormat="1" applyFill="1" applyBorder="1"/>
    <xf numFmtId="3" fontId="11" fillId="63" borderId="0" xfId="0" applyNumberFormat="1" applyFont="1" applyFill="1" applyBorder="1"/>
    <xf numFmtId="179" fontId="0" fillId="63" borderId="0" xfId="29" applyNumberFormat="1" applyFont="1" applyFill="1"/>
    <xf numFmtId="179" fontId="11" fillId="63" borderId="0" xfId="29" applyNumberFormat="1" applyFont="1" applyFill="1"/>
    <xf numFmtId="179" fontId="4" fillId="0" borderId="0" xfId="29" applyNumberFormat="1" applyFont="1" applyFill="1"/>
    <xf numFmtId="165" fontId="0" fillId="0" borderId="3" xfId="0" applyNumberFormat="1" applyBorder="1"/>
    <xf numFmtId="2" fontId="0" fillId="63" borderId="0" xfId="0" applyNumberFormat="1" applyFill="1"/>
    <xf numFmtId="174" fontId="0" fillId="0" borderId="0" xfId="70" applyNumberFormat="1" applyFont="1"/>
    <xf numFmtId="1" fontId="11" fillId="0" borderId="0" xfId="0" applyFont="1" applyAlignment="1">
      <alignment horizontal="center"/>
    </xf>
    <xf numFmtId="1" fontId="11" fillId="0" borderId="20" xfId="0" applyFont="1" applyBorder="1" applyAlignment="1">
      <alignment horizontal="center"/>
    </xf>
    <xf numFmtId="2" fontId="0" fillId="0" borderId="0" xfId="0" applyNumberFormat="1" applyAlignment="1">
      <alignment horizontal="right" indent="1"/>
    </xf>
    <xf numFmtId="2" fontId="0" fillId="63" borderId="0" xfId="0" applyNumberFormat="1" applyFill="1" applyAlignment="1">
      <alignment horizontal="right" indent="1"/>
    </xf>
    <xf numFmtId="3" fontId="0" fillId="0" borderId="0" xfId="0" applyNumberFormat="1" applyAlignment="1">
      <alignment horizontal="right" indent="1"/>
    </xf>
    <xf numFmtId="1" fontId="0" fillId="0" borderId="20" xfId="0" applyBorder="1" applyAlignment="1">
      <alignment horizontal="center"/>
    </xf>
    <xf numFmtId="3" fontId="0" fillId="0" borderId="0" xfId="0" quotePrefix="1" applyNumberFormat="1" applyAlignment="1">
      <alignment horizontal="right" indent="1"/>
    </xf>
    <xf numFmtId="3" fontId="0" fillId="0" borderId="3" xfId="0" quotePrefix="1" applyNumberFormat="1" applyBorder="1" applyAlignment="1">
      <alignment horizontal="right" indent="1"/>
    </xf>
    <xf numFmtId="174" fontId="0" fillId="0" borderId="0" xfId="0" applyNumberFormat="1" applyAlignment="1">
      <alignment horizontal="right" indent="1"/>
    </xf>
    <xf numFmtId="174" fontId="0" fillId="0" borderId="3" xfId="0" applyNumberFormat="1" applyBorder="1" applyAlignment="1">
      <alignment horizontal="right" indent="1"/>
    </xf>
    <xf numFmtId="3" fontId="0" fillId="0" borderId="0" xfId="0" quotePrefix="1" applyNumberFormat="1" applyBorder="1" applyAlignment="1">
      <alignment horizontal="right" indent="1"/>
    </xf>
    <xf numFmtId="174" fontId="0" fillId="0" borderId="7" xfId="0" applyNumberFormat="1" applyBorder="1" applyAlignment="1">
      <alignment horizontal="right" indent="1"/>
    </xf>
    <xf numFmtId="174" fontId="0" fillId="0" borderId="8" xfId="0" applyNumberFormat="1" applyBorder="1" applyAlignment="1">
      <alignment horizontal="right" indent="1"/>
    </xf>
    <xf numFmtId="3" fontId="0" fillId="0" borderId="6" xfId="0" quotePrefix="1" applyNumberFormat="1" applyBorder="1" applyAlignment="1">
      <alignment horizontal="right" indent="1"/>
    </xf>
    <xf numFmtId="3" fontId="0" fillId="0" borderId="12" xfId="0" quotePrefix="1" applyNumberFormat="1" applyBorder="1" applyAlignment="1">
      <alignment horizontal="right" indent="1"/>
    </xf>
    <xf numFmtId="1" fontId="11" fillId="0" borderId="20" xfId="0" applyFont="1" applyBorder="1"/>
    <xf numFmtId="1" fontId="0" fillId="0" borderId="21" xfId="0" applyBorder="1"/>
    <xf numFmtId="3" fontId="0" fillId="0" borderId="0" xfId="0" applyNumberFormat="1" applyBorder="1" applyAlignment="1">
      <alignment horizontal="right" indent="1"/>
    </xf>
    <xf numFmtId="3" fontId="0" fillId="0" borderId="7" xfId="0" applyNumberFormat="1" applyBorder="1" applyAlignment="1">
      <alignment horizontal="right" indent="1"/>
    </xf>
    <xf numFmtId="1" fontId="0" fillId="0" borderId="23" xfId="0" applyBorder="1"/>
    <xf numFmtId="3" fontId="0" fillId="0" borderId="6" xfId="0" applyNumberFormat="1" applyBorder="1" applyAlignment="1">
      <alignment horizontal="right" indent="1"/>
    </xf>
    <xf numFmtId="3" fontId="4" fillId="0" borderId="0" xfId="0" applyNumberFormat="1" applyFont="1" applyFill="1" applyBorder="1"/>
    <xf numFmtId="1" fontId="4" fillId="0" borderId="0" xfId="0" applyFont="1"/>
    <xf numFmtId="174" fontId="0" fillId="0" borderId="0" xfId="0" applyNumberFormat="1" applyBorder="1" applyAlignment="1">
      <alignment horizontal="right" indent="1"/>
    </xf>
    <xf numFmtId="1" fontId="0" fillId="0" borderId="21" xfId="0" applyBorder="1" applyAlignment="1">
      <alignment horizontal="center"/>
    </xf>
    <xf numFmtId="1" fontId="0" fillId="0" borderId="23" xfId="0" applyBorder="1" applyAlignment="1">
      <alignment horizontal="center"/>
    </xf>
    <xf numFmtId="1" fontId="4" fillId="0" borderId="20" xfId="0" applyFont="1" applyBorder="1"/>
    <xf numFmtId="3" fontId="0" fillId="0" borderId="0" xfId="0" quotePrefix="1" applyNumberFormat="1" applyBorder="1" applyAlignment="1">
      <alignment horizontal="right" indent="2"/>
    </xf>
    <xf numFmtId="3" fontId="0" fillId="0" borderId="3" xfId="0" quotePrefix="1" applyNumberFormat="1" applyBorder="1" applyAlignment="1">
      <alignment horizontal="right" indent="2"/>
    </xf>
    <xf numFmtId="3" fontId="0" fillId="0" borderId="0" xfId="0" applyNumberFormat="1" applyBorder="1" applyAlignment="1">
      <alignment horizontal="right" indent="2"/>
    </xf>
    <xf numFmtId="1" fontId="0" fillId="0" borderId="21" xfId="0" applyBorder="1" applyAlignment="1"/>
    <xf numFmtId="1" fontId="0" fillId="0" borderId="20" xfId="0" applyBorder="1" applyAlignment="1"/>
    <xf numFmtId="1" fontId="11" fillId="0" borderId="20" xfId="0" applyFont="1" applyBorder="1" applyAlignment="1"/>
    <xf numFmtId="1" fontId="0" fillId="0" borderId="0" xfId="0" applyAlignment="1">
      <alignment wrapText="1"/>
    </xf>
    <xf numFmtId="1" fontId="5" fillId="5" borderId="14" xfId="0" applyFont="1" applyFill="1" applyBorder="1" applyAlignment="1">
      <alignment wrapText="1"/>
    </xf>
    <xf numFmtId="1" fontId="4" fillId="0" borderId="0" xfId="0" applyFont="1" applyBorder="1"/>
    <xf numFmtId="1" fontId="5" fillId="0" borderId="0" xfId="0" applyFont="1" applyFill="1" applyBorder="1" applyAlignment="1">
      <alignment horizontal="center" wrapText="1"/>
    </xf>
    <xf numFmtId="1" fontId="4" fillId="0" borderId="0" xfId="0" applyFont="1" applyFill="1" applyBorder="1"/>
    <xf numFmtId="164" fontId="99" fillId="0" borderId="0" xfId="0" applyNumberFormat="1" applyFont="1" applyBorder="1"/>
    <xf numFmtId="164" fontId="4" fillId="0" borderId="0" xfId="0" applyNumberFormat="1" applyFont="1" applyBorder="1"/>
    <xf numFmtId="0" fontId="4" fillId="0" borderId="0" xfId="0" applyNumberFormat="1" applyFont="1"/>
    <xf numFmtId="170" fontId="0" fillId="64" borderId="0" xfId="0" applyNumberFormat="1" applyFill="1"/>
    <xf numFmtId="170" fontId="0" fillId="62" borderId="0" xfId="0" applyNumberFormat="1" applyFill="1"/>
    <xf numFmtId="1" fontId="0" fillId="0" borderId="0" xfId="0" applyNumberFormat="1" applyFill="1"/>
    <xf numFmtId="170" fontId="0" fillId="0" borderId="0" xfId="0" applyNumberFormat="1" applyFill="1"/>
    <xf numFmtId="1" fontId="0" fillId="64" borderId="0" xfId="0" applyFill="1"/>
    <xf numFmtId="171" fontId="0" fillId="0" borderId="0" xfId="0" applyNumberFormat="1"/>
    <xf numFmtId="1" fontId="11" fillId="0" borderId="0" xfId="0" applyFont="1" applyAlignment="1">
      <alignment wrapText="1"/>
    </xf>
    <xf numFmtId="0" fontId="3" fillId="0" borderId="0" xfId="100"/>
    <xf numFmtId="0" fontId="118" fillId="0" borderId="66" xfId="100" applyFont="1" applyBorder="1" applyAlignment="1">
      <alignment horizontal="left"/>
    </xf>
    <xf numFmtId="3" fontId="118" fillId="0" borderId="66" xfId="100" applyNumberFormat="1" applyFont="1" applyBorder="1" applyAlignment="1">
      <alignment horizontal="right" wrapText="1"/>
    </xf>
    <xf numFmtId="0" fontId="3" fillId="0" borderId="66" xfId="100" applyBorder="1" applyAlignment="1">
      <alignment horizontal="right" wrapText="1"/>
    </xf>
    <xf numFmtId="0" fontId="118" fillId="0" borderId="66" xfId="100" applyFont="1" applyBorder="1" applyAlignment="1">
      <alignment horizontal="right" wrapText="1"/>
    </xf>
    <xf numFmtId="0" fontId="118" fillId="65" borderId="66" xfId="100" applyFont="1" applyFill="1" applyBorder="1" applyAlignment="1">
      <alignment horizontal="left"/>
    </xf>
    <xf numFmtId="3" fontId="118" fillId="65" borderId="66" xfId="100" applyNumberFormat="1" applyFont="1" applyFill="1" applyBorder="1" applyAlignment="1">
      <alignment horizontal="right" wrapText="1"/>
    </xf>
    <xf numFmtId="0" fontId="3" fillId="65" borderId="66" xfId="100" applyFill="1" applyBorder="1" applyAlignment="1">
      <alignment horizontal="right" wrapText="1"/>
    </xf>
    <xf numFmtId="0" fontId="118" fillId="65" borderId="66" xfId="100" applyFont="1" applyFill="1" applyBorder="1" applyAlignment="1">
      <alignment horizontal="right" wrapText="1"/>
    </xf>
    <xf numFmtId="0" fontId="3" fillId="65" borderId="66" xfId="100" applyFill="1" applyBorder="1" applyAlignment="1">
      <alignment wrapText="1"/>
    </xf>
    <xf numFmtId="0" fontId="119" fillId="65" borderId="66" xfId="100" applyFont="1" applyFill="1" applyBorder="1" applyAlignment="1">
      <alignment horizontal="center" wrapText="1"/>
    </xf>
    <xf numFmtId="0" fontId="3" fillId="0" borderId="66" xfId="100" applyBorder="1" applyAlignment="1">
      <alignment wrapText="1"/>
    </xf>
    <xf numFmtId="0" fontId="119" fillId="0" borderId="66" xfId="100" applyFont="1" applyBorder="1" applyAlignment="1">
      <alignment horizontal="center" wrapText="1"/>
    </xf>
    <xf numFmtId="3" fontId="121" fillId="0" borderId="0" xfId="0" applyNumberFormat="1" applyFont="1" applyBorder="1"/>
    <xf numFmtId="170" fontId="4" fillId="0" borderId="0" xfId="0" applyNumberFormat="1" applyFont="1"/>
    <xf numFmtId="1" fontId="0" fillId="0" borderId="0" xfId="0" applyAlignment="1">
      <alignment horizontal="center"/>
    </xf>
    <xf numFmtId="3" fontId="10" fillId="63" borderId="0" xfId="0" applyNumberFormat="1" applyFont="1" applyFill="1" applyBorder="1" applyAlignment="1">
      <alignment vertical="center"/>
    </xf>
    <xf numFmtId="49" fontId="4" fillId="0" borderId="0" xfId="0" applyNumberFormat="1" applyFont="1" applyAlignment="1">
      <alignment horizontal="left"/>
    </xf>
    <xf numFmtId="1" fontId="0" fillId="66" borderId="0" xfId="0" applyFill="1"/>
    <xf numFmtId="1" fontId="4" fillId="0" borderId="0" xfId="0" quotePrefix="1" applyFont="1" applyBorder="1"/>
    <xf numFmtId="4" fontId="0" fillId="0" borderId="7" xfId="0" applyNumberFormat="1" applyBorder="1"/>
    <xf numFmtId="1" fontId="0" fillId="0" borderId="0" xfId="0" applyAlignment="1">
      <alignment wrapText="1"/>
    </xf>
    <xf numFmtId="167" fontId="0" fillId="0" borderId="0" xfId="0" applyNumberFormat="1" applyAlignment="1">
      <alignment wrapText="1"/>
    </xf>
    <xf numFmtId="167" fontId="0" fillId="0" borderId="3" xfId="0" applyNumberFormat="1" applyBorder="1" applyAlignment="1">
      <alignment wrapText="1"/>
    </xf>
    <xf numFmtId="167" fontId="4" fillId="0" borderId="3" xfId="0" applyNumberFormat="1" applyFont="1" applyBorder="1" applyAlignment="1">
      <alignment wrapText="1"/>
    </xf>
    <xf numFmtId="169" fontId="0" fillId="4" borderId="0" xfId="0" applyNumberFormat="1" applyFill="1" applyAlignment="1">
      <alignment horizontal="center"/>
    </xf>
    <xf numFmtId="1" fontId="18" fillId="0" borderId="0" xfId="0" applyFont="1" applyFill="1" applyAlignment="1">
      <alignment horizontal="center"/>
    </xf>
    <xf numFmtId="168" fontId="4" fillId="0" borderId="0" xfId="0" applyNumberFormat="1" applyFont="1"/>
    <xf numFmtId="1" fontId="20" fillId="0" borderId="0" xfId="0" applyFont="1" applyFill="1" applyAlignment="1">
      <alignment horizontal="center"/>
    </xf>
    <xf numFmtId="1" fontId="20" fillId="0" borderId="0" xfId="0" applyFont="1" applyFill="1"/>
    <xf numFmtId="1" fontId="20" fillId="0" borderId="0" xfId="0" applyFont="1" applyBorder="1" applyAlignment="1">
      <alignment horizontal="center"/>
    </xf>
    <xf numFmtId="1" fontId="20" fillId="0" borderId="0" xfId="0" applyFont="1" applyBorder="1"/>
    <xf numFmtId="1" fontId="20" fillId="0" borderId="0" xfId="0" applyFont="1" applyFill="1" applyBorder="1" applyAlignment="1">
      <alignment horizontal="center"/>
    </xf>
    <xf numFmtId="1" fontId="20" fillId="0" borderId="0" xfId="0" applyFont="1" applyFill="1" applyBorder="1"/>
    <xf numFmtId="1" fontId="20" fillId="0" borderId="0" xfId="0" applyFont="1" applyFill="1" applyAlignment="1">
      <alignment horizontal="left"/>
    </xf>
    <xf numFmtId="1" fontId="20" fillId="0" borderId="0" xfId="0" applyFont="1" applyAlignment="1">
      <alignment horizontal="left"/>
    </xf>
    <xf numFmtId="168" fontId="4" fillId="0" borderId="0" xfId="0" applyNumberFormat="1" applyFont="1" applyFill="1"/>
    <xf numFmtId="168" fontId="4" fillId="62" borderId="0" xfId="0" applyNumberFormat="1" applyFont="1" applyFill="1"/>
    <xf numFmtId="1" fontId="4" fillId="0" borderId="0" xfId="0" applyFont="1" applyFill="1"/>
    <xf numFmtId="1" fontId="4" fillId="0" borderId="0" xfId="0" applyFont="1" applyFill="1" applyAlignment="1">
      <alignment horizontal="left"/>
    </xf>
    <xf numFmtId="168" fontId="4" fillId="66" borderId="0" xfId="0" applyNumberFormat="1" applyFont="1" applyFill="1"/>
    <xf numFmtId="1" fontId="4" fillId="66" borderId="0" xfId="0" applyFont="1" applyFill="1"/>
    <xf numFmtId="168" fontId="0" fillId="0" borderId="0" xfId="0" applyNumberFormat="1" applyFill="1" applyBorder="1"/>
    <xf numFmtId="168" fontId="4" fillId="69" borderId="0" xfId="0" applyNumberFormat="1" applyFont="1" applyFill="1"/>
    <xf numFmtId="1" fontId="4" fillId="69" borderId="0" xfId="0" applyFont="1" applyFill="1"/>
    <xf numFmtId="168" fontId="4" fillId="70" borderId="0" xfId="0" applyNumberFormat="1" applyFont="1" applyFill="1"/>
    <xf numFmtId="168" fontId="4" fillId="71" borderId="0" xfId="0" applyNumberFormat="1" applyFont="1" applyFill="1"/>
    <xf numFmtId="1" fontId="0" fillId="71" borderId="0" xfId="0" applyFill="1"/>
    <xf numFmtId="1" fontId="18" fillId="71" borderId="0" xfId="0" applyFont="1" applyFill="1" applyAlignment="1">
      <alignment horizontal="center"/>
    </xf>
    <xf numFmtId="1" fontId="122" fillId="0" borderId="0" xfId="0" applyFont="1"/>
    <xf numFmtId="168" fontId="0" fillId="69" borderId="0" xfId="0" applyNumberFormat="1" applyFill="1"/>
    <xf numFmtId="2" fontId="0" fillId="60" borderId="0" xfId="0" applyNumberFormat="1" applyFill="1"/>
    <xf numFmtId="2" fontId="0" fillId="69" borderId="0" xfId="0" applyNumberFormat="1" applyFill="1"/>
    <xf numFmtId="1" fontId="0" fillId="69" borderId="0" xfId="0" applyFill="1"/>
    <xf numFmtId="3" fontId="0" fillId="61" borderId="0" xfId="0" applyNumberFormat="1" applyFill="1" applyBorder="1"/>
    <xf numFmtId="3" fontId="11" fillId="61" borderId="0" xfId="0" applyNumberFormat="1" applyFont="1" applyFill="1" applyBorder="1"/>
    <xf numFmtId="49" fontId="0" fillId="0" borderId="0" xfId="0" applyNumberFormat="1" applyAlignment="1">
      <alignment horizontal="left"/>
    </xf>
    <xf numFmtId="1" fontId="0" fillId="0" borderId="0" xfId="0" applyAlignment="1">
      <alignment horizontal="left"/>
    </xf>
    <xf numFmtId="2" fontId="0" fillId="60" borderId="0" xfId="0" applyNumberFormat="1" applyFill="1" applyBorder="1"/>
    <xf numFmtId="1" fontId="0" fillId="0" borderId="3" xfId="0" applyFill="1" applyBorder="1" applyAlignment="1">
      <alignment horizontal="center" wrapText="1"/>
    </xf>
    <xf numFmtId="1" fontId="0" fillId="0" borderId="3" xfId="0" applyBorder="1" applyAlignment="1">
      <alignment horizontal="center" wrapText="1"/>
    </xf>
    <xf numFmtId="1" fontId="123" fillId="0" borderId="0" xfId="0" applyFont="1"/>
    <xf numFmtId="1" fontId="4" fillId="0" borderId="7" xfId="0" applyFont="1" applyBorder="1"/>
    <xf numFmtId="1" fontId="4" fillId="0" borderId="0" xfId="0" applyFont="1" applyAlignment="1"/>
    <xf numFmtId="0" fontId="4" fillId="0" borderId="0" xfId="0" quotePrefix="1" applyNumberFormat="1" applyFont="1" applyFill="1" applyBorder="1"/>
    <xf numFmtId="0" fontId="124" fillId="0" borderId="0" xfId="0" applyNumberFormat="1" applyFont="1"/>
    <xf numFmtId="1" fontId="124" fillId="0" borderId="0" xfId="0" applyFont="1"/>
    <xf numFmtId="1" fontId="126" fillId="0" borderId="0" xfId="0" applyFont="1"/>
    <xf numFmtId="1" fontId="127" fillId="0" borderId="0" xfId="58" applyNumberFormat="1" applyFont="1" applyAlignment="1" applyProtection="1"/>
    <xf numFmtId="1" fontId="128" fillId="0" borderId="0" xfId="0" applyFont="1"/>
    <xf numFmtId="1" fontId="5" fillId="0" borderId="0" xfId="0" applyFont="1" applyAlignment="1">
      <alignment horizontal="center" wrapText="1"/>
    </xf>
    <xf numFmtId="1" fontId="5" fillId="5" borderId="17" xfId="0" applyFont="1" applyFill="1" applyBorder="1" applyAlignment="1">
      <alignment horizontal="center" wrapText="1"/>
    </xf>
    <xf numFmtId="1" fontId="5" fillId="5" borderId="18" xfId="0" applyFont="1" applyFill="1" applyBorder="1" applyAlignment="1">
      <alignment horizontal="center" wrapText="1"/>
    </xf>
    <xf numFmtId="1" fontId="5" fillId="5" borderId="16" xfId="0" applyFont="1" applyFill="1" applyBorder="1" applyAlignment="1">
      <alignment horizontal="center" wrapText="1"/>
    </xf>
    <xf numFmtId="1" fontId="0" fillId="0" borderId="0" xfId="0" applyAlignment="1">
      <alignment horizontal="center"/>
    </xf>
    <xf numFmtId="1" fontId="4" fillId="0" borderId="0" xfId="0" applyFont="1" applyAlignment="1">
      <alignment horizontal="center"/>
    </xf>
    <xf numFmtId="1" fontId="4" fillId="0" borderId="0" xfId="0" quotePrefix="1" applyFont="1"/>
    <xf numFmtId="170" fontId="0" fillId="69" borderId="0" xfId="0" applyNumberFormat="1" applyFill="1"/>
    <xf numFmtId="1" fontId="0" fillId="0" borderId="3" xfId="0" applyFont="1" applyFill="1" applyBorder="1"/>
    <xf numFmtId="1" fontId="4" fillId="0" borderId="3" xfId="0" applyFont="1" applyBorder="1"/>
    <xf numFmtId="1" fontId="4" fillId="0" borderId="3" xfId="0" applyFont="1" applyBorder="1" applyAlignment="1">
      <alignment horizontal="center"/>
    </xf>
    <xf numFmtId="1" fontId="4" fillId="0" borderId="0" xfId="0" applyFont="1" applyBorder="1" applyAlignment="1">
      <alignment horizontal="center"/>
    </xf>
    <xf numFmtId="1" fontId="8" fillId="62" borderId="0" xfId="0" applyFont="1" applyFill="1"/>
    <xf numFmtId="1" fontId="0" fillId="62" borderId="20" xfId="0" applyFill="1" applyBorder="1" applyAlignment="1">
      <alignment horizontal="center"/>
    </xf>
    <xf numFmtId="1" fontId="0" fillId="62" borderId="21" xfId="0" applyFill="1" applyBorder="1" applyAlignment="1">
      <alignment horizontal="center"/>
    </xf>
    <xf numFmtId="1" fontId="0" fillId="62" borderId="23" xfId="0" applyFill="1" applyBorder="1" applyAlignment="1">
      <alignment horizontal="center"/>
    </xf>
    <xf numFmtId="1" fontId="4" fillId="62" borderId="0" xfId="0" applyFont="1" applyFill="1"/>
    <xf numFmtId="3" fontId="0" fillId="62" borderId="0" xfId="0" quotePrefix="1" applyNumberFormat="1" applyFill="1" applyBorder="1" applyAlignment="1">
      <alignment horizontal="right" indent="1"/>
    </xf>
    <xf numFmtId="174" fontId="0" fillId="62" borderId="7" xfId="0" applyNumberFormat="1" applyFill="1" applyBorder="1" applyAlignment="1">
      <alignment horizontal="right" indent="1"/>
    </xf>
    <xf numFmtId="174" fontId="0" fillId="62" borderId="0" xfId="0" applyNumberFormat="1" applyFill="1" applyAlignment="1">
      <alignment horizontal="right" indent="1"/>
    </xf>
    <xf numFmtId="174" fontId="0" fillId="62" borderId="0" xfId="0" applyNumberFormat="1" applyFill="1" applyBorder="1" applyAlignment="1">
      <alignment horizontal="right" indent="1"/>
    </xf>
    <xf numFmtId="3" fontId="0" fillId="62" borderId="3" xfId="0" quotePrefix="1" applyNumberFormat="1" applyFill="1" applyBorder="1" applyAlignment="1">
      <alignment horizontal="right" indent="1"/>
    </xf>
    <xf numFmtId="174" fontId="0" fillId="62" borderId="8" xfId="0" applyNumberFormat="1" applyFill="1" applyBorder="1" applyAlignment="1">
      <alignment horizontal="right" indent="1"/>
    </xf>
    <xf numFmtId="174" fontId="0" fillId="62" borderId="3" xfId="0" applyNumberFormat="1" applyFill="1" applyBorder="1" applyAlignment="1">
      <alignment horizontal="right" indent="1"/>
    </xf>
    <xf numFmtId="1" fontId="11" fillId="62" borderId="0" xfId="0" applyFont="1" applyFill="1"/>
    <xf numFmtId="3" fontId="0" fillId="62" borderId="0" xfId="0" applyNumberFormat="1" applyFill="1" applyBorder="1" applyAlignment="1">
      <alignment horizontal="right" indent="1"/>
    </xf>
    <xf numFmtId="3" fontId="0" fillId="62" borderId="7" xfId="0" applyNumberFormat="1" applyFill="1" applyBorder="1" applyAlignment="1">
      <alignment horizontal="right" indent="1"/>
    </xf>
    <xf numFmtId="3" fontId="0" fillId="62" borderId="6" xfId="0" applyNumberFormat="1" applyFill="1" applyBorder="1" applyAlignment="1">
      <alignment horizontal="right" indent="1"/>
    </xf>
    <xf numFmtId="3" fontId="0" fillId="62" borderId="0" xfId="0" applyNumberFormat="1" applyFill="1" applyAlignment="1">
      <alignment horizontal="right" indent="1"/>
    </xf>
    <xf numFmtId="1" fontId="4" fillId="62" borderId="20" xfId="0" applyFont="1" applyFill="1" applyBorder="1"/>
    <xf numFmtId="1" fontId="0" fillId="62" borderId="21" xfId="0" applyFill="1" applyBorder="1"/>
    <xf numFmtId="1" fontId="0" fillId="62" borderId="20" xfId="0" applyFill="1" applyBorder="1"/>
    <xf numFmtId="3" fontId="0" fillId="62" borderId="6" xfId="0" quotePrefix="1" applyNumberFormat="1" applyFill="1" applyBorder="1" applyAlignment="1">
      <alignment horizontal="right" indent="1"/>
    </xf>
    <xf numFmtId="3" fontId="0" fillId="62" borderId="12" xfId="0" quotePrefix="1" applyNumberFormat="1" applyFill="1" applyBorder="1" applyAlignment="1">
      <alignment horizontal="right" indent="1"/>
    </xf>
    <xf numFmtId="1" fontId="4" fillId="62" borderId="23" xfId="0" applyFont="1" applyFill="1" applyBorder="1"/>
    <xf numFmtId="3" fontId="0" fillId="62" borderId="0" xfId="0" quotePrefix="1" applyNumberFormat="1" applyFill="1" applyBorder="1" applyAlignment="1">
      <alignment horizontal="right" indent="2"/>
    </xf>
    <xf numFmtId="3" fontId="0" fillId="62" borderId="6" xfId="0" quotePrefix="1" applyNumberFormat="1" applyFill="1" applyBorder="1" applyAlignment="1">
      <alignment horizontal="right" indent="2"/>
    </xf>
    <xf numFmtId="3" fontId="0" fillId="62" borderId="3" xfId="0" quotePrefix="1" applyNumberFormat="1" applyFill="1" applyBorder="1" applyAlignment="1">
      <alignment horizontal="right" indent="2"/>
    </xf>
    <xf numFmtId="3" fontId="0" fillId="62" borderId="12" xfId="0" quotePrefix="1" applyNumberFormat="1" applyFill="1" applyBorder="1" applyAlignment="1">
      <alignment horizontal="right" indent="2"/>
    </xf>
    <xf numFmtId="3" fontId="0" fillId="62" borderId="0" xfId="0" applyNumberFormat="1" applyFill="1" applyBorder="1" applyAlignment="1">
      <alignment horizontal="right" indent="2"/>
    </xf>
    <xf numFmtId="3" fontId="0" fillId="62" borderId="6" xfId="0" applyNumberFormat="1" applyFill="1" applyBorder="1" applyAlignment="1">
      <alignment horizontal="right" indent="2"/>
    </xf>
    <xf numFmtId="1" fontId="11" fillId="62" borderId="20" xfId="0" applyFont="1" applyFill="1" applyBorder="1" applyAlignment="1">
      <alignment horizontal="center"/>
    </xf>
    <xf numFmtId="1" fontId="0" fillId="62" borderId="21" xfId="0" applyFill="1" applyBorder="1" applyAlignment="1"/>
    <xf numFmtId="1" fontId="11" fillId="62" borderId="20" xfId="0" applyFont="1" applyFill="1" applyBorder="1" applyAlignment="1"/>
    <xf numFmtId="1" fontId="0" fillId="62" borderId="20" xfId="0" applyFill="1" applyBorder="1" applyAlignment="1"/>
    <xf numFmtId="9" fontId="0" fillId="0" borderId="0" xfId="70" applyFont="1"/>
    <xf numFmtId="1" fontId="0" fillId="0" borderId="0" xfId="0" applyAlignment="1">
      <alignment wrapText="1"/>
    </xf>
    <xf numFmtId="165" fontId="0" fillId="26" borderId="0" xfId="0" applyNumberFormat="1" applyFill="1"/>
    <xf numFmtId="181" fontId="0" fillId="0" borderId="0" xfId="0" applyNumberFormat="1"/>
    <xf numFmtId="1" fontId="0" fillId="0" borderId="0" xfId="0" applyAlignment="1">
      <alignment wrapText="1"/>
    </xf>
    <xf numFmtId="1" fontId="4" fillId="73" borderId="0" xfId="0" applyFont="1" applyFill="1" applyAlignment="1">
      <alignment wrapText="1"/>
    </xf>
    <xf numFmtId="1" fontId="0" fillId="73" borderId="0" xfId="0" applyFill="1" applyAlignment="1">
      <alignment wrapText="1"/>
    </xf>
    <xf numFmtId="1" fontId="4" fillId="74" borderId="0" xfId="0" applyFont="1" applyFill="1" applyAlignment="1">
      <alignment wrapText="1"/>
    </xf>
    <xf numFmtId="1" fontId="0" fillId="74" borderId="0" xfId="0" applyFill="1" applyAlignment="1">
      <alignment wrapText="1"/>
    </xf>
    <xf numFmtId="0" fontId="115" fillId="0" borderId="0" xfId="102" applyFont="1"/>
    <xf numFmtId="0" fontId="2" fillId="0" borderId="0" xfId="102"/>
    <xf numFmtId="0" fontId="2" fillId="0" borderId="0" xfId="102" applyBorder="1"/>
    <xf numFmtId="0" fontId="2" fillId="0" borderId="0" xfId="102" quotePrefix="1" applyAlignment="1">
      <alignment horizontal="center"/>
    </xf>
    <xf numFmtId="0" fontId="2" fillId="0" borderId="0" xfId="102" applyAlignment="1">
      <alignment wrapText="1"/>
    </xf>
    <xf numFmtId="0" fontId="2" fillId="69" borderId="0" xfId="102" applyFill="1" applyAlignment="1">
      <alignment wrapText="1"/>
    </xf>
    <xf numFmtId="0" fontId="2" fillId="0" borderId="0" xfId="102" applyAlignment="1">
      <alignment horizontal="center" wrapText="1"/>
    </xf>
    <xf numFmtId="0" fontId="2" fillId="69" borderId="0" xfId="102" applyFill="1" applyAlignment="1">
      <alignment horizontal="center" wrapText="1"/>
    </xf>
    <xf numFmtId="0" fontId="2" fillId="0" borderId="0" xfId="102" applyBorder="1" applyAlignment="1">
      <alignment horizontal="center" wrapText="1"/>
    </xf>
    <xf numFmtId="0" fontId="2" fillId="0" borderId="3" xfId="102" applyBorder="1"/>
    <xf numFmtId="0" fontId="2" fillId="0" borderId="3" xfId="102" applyBorder="1" applyAlignment="1">
      <alignment horizontal="center"/>
    </xf>
    <xf numFmtId="0" fontId="2" fillId="69" borderId="3" xfId="102" applyFill="1" applyBorder="1" applyAlignment="1">
      <alignment horizontal="center"/>
    </xf>
    <xf numFmtId="0" fontId="2" fillId="0" borderId="3" xfId="102" applyBorder="1" applyAlignment="1">
      <alignment wrapText="1"/>
    </xf>
    <xf numFmtId="0" fontId="2" fillId="0" borderId="3" xfId="102" applyBorder="1" applyAlignment="1">
      <alignment horizontal="center" wrapText="1"/>
    </xf>
    <xf numFmtId="0" fontId="2" fillId="0" borderId="0" xfId="102" applyBorder="1" applyAlignment="1">
      <alignment horizontal="center"/>
    </xf>
    <xf numFmtId="0" fontId="2" fillId="0" borderId="0" xfId="102" quotePrefix="1" applyFill="1" applyBorder="1" applyAlignment="1">
      <alignment horizontal="center"/>
    </xf>
    <xf numFmtId="3" fontId="2" fillId="0" borderId="0" xfId="102" applyNumberFormat="1"/>
    <xf numFmtId="165" fontId="2" fillId="0" borderId="0" xfId="102" applyNumberFormat="1" applyFill="1"/>
    <xf numFmtId="165" fontId="2" fillId="0" borderId="0" xfId="102" applyNumberFormat="1"/>
    <xf numFmtId="4" fontId="2" fillId="0" borderId="0" xfId="102" applyNumberFormat="1"/>
    <xf numFmtId="165" fontId="2" fillId="69" borderId="0" xfId="102" applyNumberFormat="1" applyFill="1"/>
    <xf numFmtId="167" fontId="2" fillId="69" borderId="0" xfId="102" applyNumberFormat="1" applyFill="1"/>
    <xf numFmtId="167" fontId="2" fillId="0" borderId="0" xfId="102" applyNumberFormat="1" applyFill="1" applyBorder="1"/>
    <xf numFmtId="3" fontId="2" fillId="0" borderId="0" xfId="102" applyNumberFormat="1" applyFill="1"/>
    <xf numFmtId="165" fontId="2" fillId="61" borderId="0" xfId="102" applyNumberFormat="1" applyFill="1"/>
    <xf numFmtId="4" fontId="2" fillId="61" borderId="0" xfId="102" applyNumberFormat="1" applyFill="1"/>
    <xf numFmtId="4" fontId="2" fillId="66" borderId="0" xfId="102" applyNumberFormat="1" applyFill="1"/>
    <xf numFmtId="167" fontId="2" fillId="0" borderId="0" xfId="102" applyNumberFormat="1" applyFill="1"/>
    <xf numFmtId="4" fontId="2" fillId="0" borderId="0" xfId="102" applyNumberFormat="1" applyFill="1"/>
    <xf numFmtId="4" fontId="2" fillId="75" borderId="0" xfId="102" applyNumberFormat="1" applyFill="1"/>
    <xf numFmtId="3" fontId="2" fillId="0" borderId="20" xfId="102" applyNumberFormat="1" applyFill="1" applyBorder="1"/>
    <xf numFmtId="4" fontId="2" fillId="0" borderId="20" xfId="102" applyNumberFormat="1" applyFill="1" applyBorder="1"/>
    <xf numFmtId="3" fontId="2" fillId="61" borderId="0" xfId="102" applyNumberFormat="1" applyFill="1"/>
    <xf numFmtId="167" fontId="2" fillId="69" borderId="0" xfId="102" applyNumberFormat="1" applyFill="1" applyBorder="1"/>
    <xf numFmtId="3" fontId="2" fillId="66" borderId="0" xfId="102" applyNumberFormat="1" applyFill="1"/>
    <xf numFmtId="0" fontId="2" fillId="0" borderId="20" xfId="102" applyBorder="1"/>
    <xf numFmtId="3" fontId="2" fillId="0" borderId="20" xfId="102" applyNumberFormat="1" applyBorder="1"/>
    <xf numFmtId="3" fontId="2" fillId="66" borderId="20" xfId="102" applyNumberFormat="1" applyFill="1" applyBorder="1"/>
    <xf numFmtId="0" fontId="2" fillId="0" borderId="20" xfId="102" applyFill="1" applyBorder="1"/>
    <xf numFmtId="2" fontId="2" fillId="61" borderId="0" xfId="102" applyNumberFormat="1" applyFill="1"/>
    <xf numFmtId="170" fontId="2" fillId="0" borderId="0" xfId="102" applyNumberFormat="1"/>
    <xf numFmtId="3" fontId="2" fillId="76" borderId="0" xfId="102" applyNumberFormat="1" applyFill="1"/>
    <xf numFmtId="165" fontId="2" fillId="76" borderId="0" xfId="102" applyNumberFormat="1" applyFill="1"/>
    <xf numFmtId="4" fontId="2" fillId="76" borderId="0" xfId="102" applyNumberFormat="1" applyFill="1"/>
    <xf numFmtId="0" fontId="129" fillId="0" borderId="0" xfId="102" applyFont="1"/>
    <xf numFmtId="3" fontId="2" fillId="77" borderId="0" xfId="102" applyNumberFormat="1" applyFill="1"/>
    <xf numFmtId="0" fontId="2" fillId="77" borderId="0" xfId="102" applyFill="1"/>
    <xf numFmtId="0" fontId="2" fillId="62" borderId="0" xfId="102" applyFill="1"/>
    <xf numFmtId="0" fontId="2" fillId="61" borderId="0" xfId="102" applyFill="1"/>
    <xf numFmtId="0" fontId="130" fillId="61" borderId="0" xfId="102" applyFont="1" applyFill="1"/>
    <xf numFmtId="0" fontId="130" fillId="0" borderId="0" xfId="102" applyFont="1"/>
    <xf numFmtId="1" fontId="5" fillId="78" borderId="16" xfId="0" applyFont="1" applyFill="1" applyBorder="1" applyAlignment="1">
      <alignment wrapText="1"/>
    </xf>
    <xf numFmtId="1" fontId="5" fillId="78" borderId="18" xfId="0" applyFont="1" applyFill="1" applyBorder="1" applyAlignment="1">
      <alignment wrapText="1"/>
    </xf>
    <xf numFmtId="4" fontId="0" fillId="78" borderId="6" xfId="0" applyNumberFormat="1" applyFill="1" applyBorder="1"/>
    <xf numFmtId="4" fontId="0" fillId="78" borderId="7" xfId="0" applyNumberFormat="1" applyFill="1" applyBorder="1"/>
    <xf numFmtId="4" fontId="0" fillId="78" borderId="12" xfId="0" applyNumberFormat="1" applyFill="1" applyBorder="1"/>
    <xf numFmtId="4" fontId="0" fillId="78" borderId="8" xfId="0" applyNumberFormat="1" applyFill="1" applyBorder="1"/>
    <xf numFmtId="4" fontId="0" fillId="78" borderId="0" xfId="0" applyNumberFormat="1" applyFill="1" applyBorder="1"/>
    <xf numFmtId="4" fontId="99" fillId="78" borderId="0" xfId="0" applyNumberFormat="1" applyFont="1" applyFill="1" applyBorder="1"/>
    <xf numFmtId="165" fontId="99" fillId="78" borderId="0" xfId="0" applyNumberFormat="1" applyFont="1" applyFill="1" applyBorder="1"/>
    <xf numFmtId="166" fontId="0" fillId="0" borderId="0" xfId="0" applyNumberFormat="1" applyBorder="1"/>
    <xf numFmtId="0" fontId="2" fillId="60" borderId="0" xfId="102" applyFill="1"/>
    <xf numFmtId="4" fontId="2" fillId="69" borderId="0" xfId="102" applyNumberFormat="1" applyFill="1"/>
    <xf numFmtId="3" fontId="2" fillId="69" borderId="0" xfId="102" applyNumberFormat="1" applyFill="1"/>
    <xf numFmtId="3" fontId="2" fillId="69" borderId="20" xfId="102" applyNumberFormat="1" applyFill="1" applyBorder="1"/>
    <xf numFmtId="165" fontId="2" fillId="69" borderId="20" xfId="102" applyNumberFormat="1" applyFill="1" applyBorder="1"/>
    <xf numFmtId="167" fontId="2" fillId="69" borderId="20" xfId="102" applyNumberFormat="1" applyFill="1" applyBorder="1"/>
    <xf numFmtId="4" fontId="2" fillId="77" borderId="0" xfId="102" applyNumberFormat="1" applyFill="1"/>
    <xf numFmtId="0" fontId="2" fillId="63" borderId="0" xfId="102" applyFill="1"/>
    <xf numFmtId="0" fontId="2" fillId="0" borderId="0" xfId="102" applyFill="1"/>
    <xf numFmtId="3" fontId="2" fillId="74" borderId="0" xfId="102" applyNumberFormat="1" applyFill="1"/>
    <xf numFmtId="0" fontId="2" fillId="74" borderId="0" xfId="102" applyFill="1"/>
    <xf numFmtId="165" fontId="11" fillId="75" borderId="7" xfId="0" applyNumberFormat="1" applyFont="1" applyFill="1" applyBorder="1"/>
    <xf numFmtId="3" fontId="0" fillId="75" borderId="0" xfId="0" applyNumberFormat="1" applyFill="1" applyBorder="1"/>
    <xf numFmtId="3" fontId="11" fillId="75" borderId="0" xfId="0" applyNumberFormat="1" applyFont="1" applyFill="1" applyBorder="1"/>
    <xf numFmtId="1" fontId="8" fillId="75" borderId="0" xfId="0" applyFont="1" applyFill="1"/>
    <xf numFmtId="1" fontId="8" fillId="75" borderId="0" xfId="0" applyFont="1" applyFill="1" applyBorder="1"/>
    <xf numFmtId="0" fontId="1" fillId="0" borderId="0" xfId="102" applyFont="1"/>
    <xf numFmtId="167" fontId="2" fillId="0" borderId="0" xfId="102" applyNumberFormat="1"/>
    <xf numFmtId="1" fontId="0" fillId="0" borderId="0" xfId="0" quotePrefix="1" applyFont="1" applyFill="1" applyBorder="1"/>
    <xf numFmtId="1" fontId="0" fillId="0" borderId="13" xfId="0" applyBorder="1" applyAlignment="1">
      <alignment horizontal="center" wrapText="1"/>
    </xf>
    <xf numFmtId="1" fontId="0" fillId="0" borderId="15" xfId="0" applyBorder="1" applyAlignment="1">
      <alignment horizontal="center" wrapText="1"/>
    </xf>
    <xf numFmtId="1" fontId="0" fillId="4" borderId="14" xfId="0" applyFill="1" applyBorder="1" applyAlignment="1">
      <alignment horizontal="center" wrapText="1"/>
    </xf>
    <xf numFmtId="1" fontId="0" fillId="0" borderId="14" xfId="0" applyBorder="1" applyAlignment="1">
      <alignment horizontal="center" wrapText="1"/>
    </xf>
    <xf numFmtId="1" fontId="22" fillId="0" borderId="0" xfId="0" applyFont="1" applyAlignment="1">
      <alignment horizontal="center"/>
    </xf>
    <xf numFmtId="1" fontId="18" fillId="68" borderId="0" xfId="0" applyFont="1" applyFill="1" applyAlignment="1">
      <alignment horizontal="center"/>
    </xf>
    <xf numFmtId="1" fontId="5" fillId="67" borderId="0" xfId="0" applyFont="1" applyFill="1" applyAlignment="1">
      <alignment horizontal="center" wrapText="1"/>
    </xf>
    <xf numFmtId="1" fontId="0" fillId="62" borderId="0" xfId="0" applyFill="1" applyBorder="1" applyAlignment="1">
      <alignment horizontal="center"/>
    </xf>
    <xf numFmtId="1" fontId="0" fillId="62" borderId="7" xfId="0" applyFill="1" applyBorder="1" applyAlignment="1">
      <alignment horizontal="center"/>
    </xf>
    <xf numFmtId="1" fontId="0" fillId="62" borderId="6" xfId="0" applyFill="1" applyBorder="1" applyAlignment="1">
      <alignment horizontal="center"/>
    </xf>
    <xf numFmtId="1" fontId="0" fillId="62" borderId="0" xfId="0" applyFill="1" applyAlignment="1">
      <alignment horizontal="center"/>
    </xf>
    <xf numFmtId="1" fontId="0" fillId="0" borderId="0" xfId="0" applyBorder="1" applyAlignment="1">
      <alignment horizontal="center"/>
    </xf>
    <xf numFmtId="1" fontId="0" fillId="0" borderId="7" xfId="0" applyBorder="1" applyAlignment="1">
      <alignment horizontal="center"/>
    </xf>
    <xf numFmtId="1" fontId="0" fillId="0" borderId="6" xfId="0" applyBorder="1" applyAlignment="1">
      <alignment horizontal="center"/>
    </xf>
    <xf numFmtId="1" fontId="0" fillId="0" borderId="0" xfId="0" applyAlignment="1">
      <alignment horizontal="center"/>
    </xf>
    <xf numFmtId="1" fontId="5" fillId="11" borderId="0" xfId="0" applyFont="1" applyFill="1" applyAlignment="1">
      <alignment horizontal="center"/>
    </xf>
    <xf numFmtId="1" fontId="0" fillId="11" borderId="0" xfId="0" applyFill="1" applyAlignment="1">
      <alignment horizontal="center"/>
    </xf>
    <xf numFmtId="0" fontId="60" fillId="0" borderId="33" xfId="0" applyNumberFormat="1" applyFont="1" applyBorder="1" applyAlignment="1">
      <alignment horizontal="left" wrapText="1"/>
    </xf>
    <xf numFmtId="0" fontId="60" fillId="0" borderId="40" xfId="0" applyNumberFormat="1" applyFont="1" applyBorder="1" applyAlignment="1">
      <alignment horizontal="left" wrapText="1"/>
    </xf>
    <xf numFmtId="0" fontId="60" fillId="0" borderId="34" xfId="0" applyNumberFormat="1" applyFont="1" applyBorder="1" applyAlignment="1">
      <alignment horizontal="left" wrapText="1"/>
    </xf>
    <xf numFmtId="0" fontId="61" fillId="0" borderId="37" xfId="0" applyNumberFormat="1" applyFont="1" applyBorder="1" applyAlignment="1">
      <alignment horizontal="left" wrapText="1"/>
    </xf>
    <xf numFmtId="0" fontId="61" fillId="0" borderId="41" xfId="0" applyNumberFormat="1" applyFont="1" applyBorder="1" applyAlignment="1">
      <alignment horizontal="left" wrapText="1"/>
    </xf>
    <xf numFmtId="0" fontId="61" fillId="0" borderId="32" xfId="0" applyNumberFormat="1" applyFont="1" applyBorder="1" applyAlignment="1">
      <alignment horizontal="left" wrapText="1"/>
    </xf>
    <xf numFmtId="0" fontId="62" fillId="0" borderId="42" xfId="0" applyNumberFormat="1" applyFont="1" applyBorder="1" applyAlignment="1">
      <alignment horizontal="center" wrapText="1"/>
    </xf>
    <xf numFmtId="0" fontId="62" fillId="0" borderId="43" xfId="0" applyNumberFormat="1" applyFont="1" applyBorder="1" applyAlignment="1">
      <alignment horizontal="center" wrapText="1"/>
    </xf>
    <xf numFmtId="0" fontId="62" fillId="0" borderId="31" xfId="0" applyNumberFormat="1" applyFont="1" applyBorder="1" applyAlignment="1">
      <alignment horizontal="center" wrapText="1"/>
    </xf>
    <xf numFmtId="0" fontId="0" fillId="0" borderId="33" xfId="0" applyNumberFormat="1" applyBorder="1" applyAlignment="1">
      <alignment horizontal="center" wrapText="1"/>
    </xf>
    <xf numFmtId="0" fontId="0" fillId="0" borderId="34" xfId="0" applyNumberFormat="1" applyBorder="1" applyAlignment="1">
      <alignment horizontal="center" wrapText="1"/>
    </xf>
    <xf numFmtId="0" fontId="62" fillId="0" borderId="33" xfId="0" applyNumberFormat="1" applyFont="1" applyBorder="1" applyAlignment="1">
      <alignment horizontal="center" wrapText="1"/>
    </xf>
    <xf numFmtId="0" fontId="62" fillId="0" borderId="40" xfId="0" applyNumberFormat="1" applyFont="1" applyBorder="1" applyAlignment="1">
      <alignment horizontal="center" wrapText="1"/>
    </xf>
    <xf numFmtId="0" fontId="62" fillId="0" borderId="34" xfId="0" applyNumberFormat="1" applyFont="1" applyBorder="1" applyAlignment="1">
      <alignment horizontal="center" wrapText="1"/>
    </xf>
    <xf numFmtId="0" fontId="62" fillId="0" borderId="35" xfId="0" applyNumberFormat="1" applyFont="1" applyBorder="1" applyAlignment="1">
      <alignment horizontal="center" wrapText="1"/>
    </xf>
    <xf numFmtId="0" fontId="62" fillId="0" borderId="0" xfId="0" applyNumberFormat="1" applyFont="1" applyBorder="1" applyAlignment="1">
      <alignment horizontal="center" wrapText="1"/>
    </xf>
    <xf numFmtId="0" fontId="62" fillId="0" borderId="36" xfId="0" applyNumberFormat="1" applyFont="1" applyBorder="1" applyAlignment="1">
      <alignment horizontal="center" wrapText="1"/>
    </xf>
    <xf numFmtId="0" fontId="62" fillId="0" borderId="37" xfId="0" applyNumberFormat="1" applyFont="1" applyBorder="1" applyAlignment="1">
      <alignment horizontal="center" wrapText="1"/>
    </xf>
    <xf numFmtId="0" fontId="62" fillId="0" borderId="41" xfId="0" applyNumberFormat="1" applyFont="1" applyBorder="1" applyAlignment="1">
      <alignment horizontal="center" wrapText="1"/>
    </xf>
    <xf numFmtId="0" fontId="62" fillId="0" borderId="32" xfId="0" applyNumberFormat="1" applyFont="1" applyBorder="1" applyAlignment="1">
      <alignment horizontal="center" wrapText="1"/>
    </xf>
    <xf numFmtId="0" fontId="0" fillId="0" borderId="35" xfId="0" applyNumberFormat="1" applyBorder="1" applyAlignment="1">
      <alignment horizontal="center" wrapText="1"/>
    </xf>
    <xf numFmtId="0" fontId="0" fillId="0" borderId="36" xfId="0" applyNumberFormat="1" applyBorder="1" applyAlignment="1">
      <alignment horizontal="center" wrapText="1"/>
    </xf>
    <xf numFmtId="0" fontId="63" fillId="0" borderId="35" xfId="0" applyNumberFormat="1" applyFont="1" applyBorder="1" applyAlignment="1">
      <alignment vertical="top" wrapText="1"/>
    </xf>
    <xf numFmtId="0" fontId="63" fillId="0" borderId="0" xfId="0" applyNumberFormat="1" applyFont="1" applyAlignment="1">
      <alignment vertical="top" wrapText="1"/>
    </xf>
    <xf numFmtId="0" fontId="62" fillId="0" borderId="38" xfId="0" applyNumberFormat="1" applyFont="1" applyBorder="1" applyAlignment="1">
      <alignment horizontal="center" wrapText="1"/>
    </xf>
    <xf numFmtId="0" fontId="62" fillId="0" borderId="39" xfId="0" applyNumberFormat="1" applyFont="1" applyBorder="1" applyAlignment="1">
      <alignment horizontal="center" wrapText="1"/>
    </xf>
    <xf numFmtId="0" fontId="65" fillId="0" borderId="33" xfId="0" applyNumberFormat="1" applyFont="1" applyBorder="1" applyAlignment="1">
      <alignment vertical="top" wrapText="1"/>
    </xf>
    <xf numFmtId="0" fontId="65" fillId="0" borderId="40" xfId="0" applyNumberFormat="1" applyFont="1" applyBorder="1" applyAlignment="1">
      <alignment vertical="top" wrapText="1"/>
    </xf>
    <xf numFmtId="0" fontId="65" fillId="0" borderId="34" xfId="0" applyNumberFormat="1" applyFont="1" applyBorder="1" applyAlignment="1">
      <alignment vertical="top" wrapText="1"/>
    </xf>
    <xf numFmtId="0" fontId="65" fillId="0" borderId="0" xfId="0" applyNumberFormat="1" applyFont="1" applyAlignment="1">
      <alignment vertical="top" wrapText="1"/>
    </xf>
    <xf numFmtId="0" fontId="65" fillId="0" borderId="36" xfId="0" applyNumberFormat="1" applyFont="1" applyBorder="1" applyAlignment="1">
      <alignment vertical="top" wrapText="1"/>
    </xf>
    <xf numFmtId="0" fontId="65" fillId="0" borderId="35" xfId="0" applyNumberFormat="1" applyFont="1" applyBorder="1" applyAlignment="1">
      <alignment vertical="top" wrapText="1"/>
    </xf>
    <xf numFmtId="0" fontId="63" fillId="0" borderId="36" xfId="0" applyNumberFormat="1" applyFont="1" applyBorder="1" applyAlignment="1">
      <alignment vertical="top" wrapText="1"/>
    </xf>
    <xf numFmtId="0" fontId="62" fillId="0" borderId="0" xfId="0" applyNumberFormat="1" applyFont="1" applyAlignment="1">
      <alignment vertical="top" wrapText="1"/>
    </xf>
    <xf numFmtId="0" fontId="62" fillId="0" borderId="36" xfId="0" applyNumberFormat="1" applyFont="1" applyBorder="1" applyAlignment="1">
      <alignment vertical="top" wrapText="1"/>
    </xf>
    <xf numFmtId="0" fontId="0" fillId="0" borderId="0" xfId="0" applyNumberFormat="1" applyAlignment="1">
      <alignment wrapText="1"/>
    </xf>
    <xf numFmtId="0" fontId="0" fillId="0" borderId="36" xfId="0" applyNumberFormat="1" applyBorder="1" applyAlignment="1">
      <alignment wrapText="1"/>
    </xf>
    <xf numFmtId="0" fontId="0" fillId="0" borderId="41" xfId="0" applyNumberFormat="1" applyBorder="1" applyAlignment="1">
      <alignment wrapText="1"/>
    </xf>
    <xf numFmtId="0" fontId="0" fillId="0" borderId="32" xfId="0" applyNumberFormat="1" applyBorder="1" applyAlignment="1">
      <alignment wrapText="1"/>
    </xf>
    <xf numFmtId="0" fontId="63" fillId="0" borderId="37" xfId="0" applyNumberFormat="1" applyFont="1" applyBorder="1" applyAlignment="1">
      <alignment vertical="top" wrapText="1"/>
    </xf>
    <xf numFmtId="0" fontId="63" fillId="0" borderId="41" xfId="0" applyNumberFormat="1" applyFont="1" applyBorder="1" applyAlignment="1">
      <alignment vertical="top" wrapText="1"/>
    </xf>
    <xf numFmtId="0" fontId="105" fillId="0" borderId="0" xfId="64" applyFont="1" applyAlignment="1">
      <alignment vertical="top" wrapText="1"/>
    </xf>
    <xf numFmtId="0" fontId="105" fillId="0" borderId="56" xfId="64" applyFont="1" applyBorder="1" applyAlignment="1">
      <alignment vertical="top" wrapText="1"/>
    </xf>
    <xf numFmtId="0" fontId="109" fillId="0" borderId="0" xfId="64" applyFont="1" applyAlignment="1">
      <alignment vertical="top" wrapText="1"/>
    </xf>
    <xf numFmtId="0" fontId="109" fillId="0" borderId="56" xfId="64" applyFont="1" applyBorder="1" applyAlignment="1">
      <alignment vertical="top" wrapText="1"/>
    </xf>
    <xf numFmtId="0" fontId="108" fillId="0" borderId="0" xfId="64" applyFont="1" applyAlignment="1">
      <alignment vertical="top" wrapText="1"/>
    </xf>
    <xf numFmtId="0" fontId="108" fillId="0" borderId="56" xfId="64" applyFont="1" applyBorder="1" applyAlignment="1">
      <alignment vertical="top" wrapText="1"/>
    </xf>
    <xf numFmtId="0" fontId="107" fillId="0" borderId="55" xfId="64" applyFont="1" applyBorder="1" applyAlignment="1">
      <alignment vertical="top" wrapText="1"/>
    </xf>
    <xf numFmtId="0" fontId="107" fillId="0" borderId="0" xfId="64" applyFont="1" applyBorder="1" applyAlignment="1">
      <alignment vertical="top" wrapText="1"/>
    </xf>
    <xf numFmtId="0" fontId="94" fillId="0" borderId="0" xfId="64" applyFont="1" applyAlignment="1">
      <alignment wrapText="1"/>
    </xf>
    <xf numFmtId="0" fontId="94" fillId="0" borderId="56" xfId="64" applyFont="1" applyBorder="1" applyAlignment="1">
      <alignment wrapText="1"/>
    </xf>
    <xf numFmtId="0" fontId="94" fillId="0" borderId="57" xfId="64" applyFont="1" applyBorder="1" applyAlignment="1">
      <alignment wrapText="1"/>
    </xf>
    <xf numFmtId="0" fontId="94" fillId="0" borderId="54" xfId="64" applyFont="1" applyBorder="1" applyAlignment="1">
      <alignment wrapText="1"/>
    </xf>
    <xf numFmtId="0" fontId="105" fillId="0" borderId="58" xfId="64" applyFont="1" applyBorder="1" applyAlignment="1">
      <alignment vertical="top" wrapText="1"/>
    </xf>
    <xf numFmtId="0" fontId="105" fillId="0" borderId="57" xfId="64" applyFont="1" applyBorder="1" applyAlignment="1">
      <alignment vertical="top" wrapText="1"/>
    </xf>
    <xf numFmtId="0" fontId="90" fillId="0" borderId="0" xfId="59" applyBorder="1" applyAlignment="1">
      <alignment vertical="top" wrapText="1"/>
    </xf>
    <xf numFmtId="0" fontId="90" fillId="0" borderId="56" xfId="59" applyBorder="1" applyAlignment="1">
      <alignment vertical="top" wrapText="1"/>
    </xf>
    <xf numFmtId="0" fontId="107" fillId="0" borderId="0" xfId="64" applyFont="1" applyAlignment="1">
      <alignment vertical="top" wrapText="1"/>
    </xf>
    <xf numFmtId="0" fontId="107" fillId="0" borderId="56" xfId="64" applyFont="1" applyBorder="1" applyAlignment="1">
      <alignment vertical="top" wrapText="1"/>
    </xf>
    <xf numFmtId="0" fontId="107" fillId="0" borderId="59" xfId="64" applyFont="1" applyBorder="1" applyAlignment="1">
      <alignment vertical="top" wrapText="1"/>
    </xf>
    <xf numFmtId="0" fontId="107" fillId="0" borderId="60" xfId="64" applyFont="1" applyBorder="1" applyAlignment="1">
      <alignment vertical="top" wrapText="1"/>
    </xf>
    <xf numFmtId="0" fontId="107" fillId="0" borderId="61" xfId="64" applyFont="1" applyBorder="1" applyAlignment="1">
      <alignment vertical="top" wrapText="1"/>
    </xf>
    <xf numFmtId="0" fontId="105" fillId="0" borderId="55" xfId="64" applyFont="1" applyBorder="1" applyAlignment="1">
      <alignment vertical="top" wrapText="1"/>
    </xf>
    <xf numFmtId="0" fontId="105" fillId="0" borderId="0" xfId="64" applyFont="1" applyBorder="1" applyAlignment="1">
      <alignment vertical="top" wrapText="1"/>
    </xf>
    <xf numFmtId="0" fontId="108" fillId="0" borderId="62" xfId="64" applyFont="1" applyBorder="1" applyAlignment="1">
      <alignment horizontal="center" wrapText="1"/>
    </xf>
    <xf numFmtId="0" fontId="108" fillId="0" borderId="63" xfId="64" applyFont="1" applyBorder="1" applyAlignment="1">
      <alignment horizontal="center" wrapText="1"/>
    </xf>
    <xf numFmtId="0" fontId="108" fillId="0" borderId="55" xfId="64" applyFont="1" applyBorder="1" applyAlignment="1">
      <alignment horizontal="center" wrapText="1"/>
    </xf>
    <xf numFmtId="0" fontId="108" fillId="0" borderId="56" xfId="64" applyFont="1" applyBorder="1" applyAlignment="1">
      <alignment horizontal="center" wrapText="1"/>
    </xf>
    <xf numFmtId="0" fontId="108" fillId="0" borderId="59" xfId="64" applyFont="1" applyBorder="1" applyAlignment="1">
      <alignment horizontal="center" wrapText="1"/>
    </xf>
    <xf numFmtId="0" fontId="108" fillId="0" borderId="61" xfId="64" applyFont="1" applyBorder="1" applyAlignment="1">
      <alignment horizontal="center" wrapText="1"/>
    </xf>
    <xf numFmtId="0" fontId="108" fillId="0" borderId="58" xfId="64" applyFont="1" applyBorder="1" applyAlignment="1">
      <alignment horizontal="center" wrapText="1"/>
    </xf>
    <xf numFmtId="0" fontId="108" fillId="0" borderId="54" xfId="64" applyFont="1" applyBorder="1" applyAlignment="1">
      <alignment horizontal="center" wrapText="1"/>
    </xf>
    <xf numFmtId="0" fontId="108" fillId="0" borderId="60" xfId="64" applyFont="1" applyBorder="1" applyAlignment="1">
      <alignment horizontal="center" wrapText="1"/>
    </xf>
    <xf numFmtId="0" fontId="108" fillId="0" borderId="57" xfId="64" applyFont="1" applyBorder="1" applyAlignment="1">
      <alignment horizontal="center" wrapText="1"/>
    </xf>
    <xf numFmtId="0" fontId="94" fillId="0" borderId="59" xfId="64" applyFont="1" applyBorder="1" applyAlignment="1">
      <alignment horizontal="center" wrapText="1"/>
    </xf>
    <xf numFmtId="0" fontId="94" fillId="0" borderId="61" xfId="64" applyFont="1" applyBorder="1" applyAlignment="1">
      <alignment horizontal="center" wrapText="1"/>
    </xf>
    <xf numFmtId="0" fontId="110" fillId="0" borderId="59" xfId="64" applyFont="1" applyBorder="1" applyAlignment="1">
      <alignment horizontal="left" wrapText="1"/>
    </xf>
    <xf numFmtId="0" fontId="110" fillId="0" borderId="60" xfId="64" applyFont="1" applyBorder="1" applyAlignment="1">
      <alignment horizontal="left" wrapText="1"/>
    </xf>
    <xf numFmtId="0" fontId="110" fillId="0" borderId="61" xfId="64" applyFont="1" applyBorder="1" applyAlignment="1">
      <alignment horizontal="left" wrapText="1"/>
    </xf>
    <xf numFmtId="0" fontId="111" fillId="0" borderId="58" xfId="64" applyFont="1" applyBorder="1" applyAlignment="1">
      <alignment horizontal="left" wrapText="1"/>
    </xf>
    <xf numFmtId="0" fontId="111" fillId="0" borderId="57" xfId="64" applyFont="1" applyBorder="1" applyAlignment="1">
      <alignment horizontal="left" wrapText="1"/>
    </xf>
    <xf numFmtId="0" fontId="111" fillId="0" borderId="54" xfId="64" applyFont="1" applyBorder="1" applyAlignment="1">
      <alignment horizontal="left" wrapText="1"/>
    </xf>
    <xf numFmtId="0" fontId="108" fillId="0" borderId="64" xfId="64" applyFont="1" applyBorder="1" applyAlignment="1">
      <alignment horizontal="center" wrapText="1"/>
    </xf>
    <xf numFmtId="0" fontId="108" fillId="0" borderId="65" xfId="64" applyFont="1" applyBorder="1" applyAlignment="1">
      <alignment horizontal="center" wrapText="1"/>
    </xf>
    <xf numFmtId="0" fontId="108" fillId="0" borderId="53" xfId="64" applyFont="1" applyBorder="1" applyAlignment="1">
      <alignment horizontal="center" wrapText="1"/>
    </xf>
    <xf numFmtId="0" fontId="108" fillId="0" borderId="0" xfId="64" applyFont="1" applyBorder="1" applyAlignment="1">
      <alignment horizontal="center" wrapText="1"/>
    </xf>
    <xf numFmtId="0" fontId="94" fillId="0" borderId="55" xfId="64" applyFont="1" applyBorder="1" applyAlignment="1">
      <alignment horizontal="center" wrapText="1"/>
    </xf>
    <xf numFmtId="0" fontId="94" fillId="0" borderId="56" xfId="64" applyFont="1" applyBorder="1" applyAlignment="1">
      <alignment horizontal="center" wrapText="1"/>
    </xf>
    <xf numFmtId="0" fontId="107" fillId="0" borderId="58" xfId="64" applyFont="1" applyBorder="1" applyAlignment="1">
      <alignment vertical="top" wrapText="1"/>
    </xf>
    <xf numFmtId="0" fontId="107" fillId="0" borderId="57" xfId="64" applyFont="1" applyBorder="1" applyAlignment="1">
      <alignment vertical="top" wrapText="1"/>
    </xf>
    <xf numFmtId="0" fontId="105" fillId="0" borderId="54" xfId="64" applyFont="1" applyBorder="1" applyAlignment="1">
      <alignment vertical="top" wrapText="1"/>
    </xf>
    <xf numFmtId="0" fontId="115" fillId="0" borderId="59" xfId="100" applyFont="1" applyBorder="1" applyAlignment="1">
      <alignment horizontal="left" wrapText="1"/>
    </xf>
    <xf numFmtId="0" fontId="115" fillId="0" borderId="60" xfId="100" applyFont="1" applyBorder="1" applyAlignment="1">
      <alignment horizontal="left" wrapText="1"/>
    </xf>
    <xf numFmtId="0" fontId="115" fillId="0" borderId="61" xfId="100" applyFont="1" applyBorder="1" applyAlignment="1">
      <alignment horizontal="left" wrapText="1"/>
    </xf>
    <xf numFmtId="0" fontId="3" fillId="0" borderId="58" xfId="100" applyBorder="1" applyAlignment="1">
      <alignment horizontal="left" wrapText="1"/>
    </xf>
    <xf numFmtId="0" fontId="3" fillId="0" borderId="57" xfId="100" applyBorder="1" applyAlignment="1">
      <alignment horizontal="left" wrapText="1"/>
    </xf>
    <xf numFmtId="0" fontId="3" fillId="0" borderId="54" xfId="100" applyBorder="1" applyAlignment="1">
      <alignment horizontal="left" wrapText="1"/>
    </xf>
    <xf numFmtId="0" fontId="116" fillId="0" borderId="64" xfId="100" applyFont="1" applyBorder="1" applyAlignment="1">
      <alignment horizontal="center" wrapText="1"/>
    </xf>
    <xf numFmtId="0" fontId="116" fillId="0" borderId="65" xfId="100" applyFont="1" applyBorder="1" applyAlignment="1">
      <alignment horizontal="center" wrapText="1"/>
    </xf>
    <xf numFmtId="0" fontId="116" fillId="0" borderId="53" xfId="100" applyFont="1" applyBorder="1" applyAlignment="1">
      <alignment horizontal="center" wrapText="1"/>
    </xf>
    <xf numFmtId="0" fontId="116" fillId="0" borderId="59" xfId="100" applyFont="1" applyBorder="1" applyAlignment="1">
      <alignment horizontal="center" wrapText="1"/>
    </xf>
    <xf numFmtId="0" fontId="116" fillId="0" borderId="60" xfId="100" applyFont="1" applyBorder="1" applyAlignment="1">
      <alignment horizontal="center" wrapText="1"/>
    </xf>
    <xf numFmtId="0" fontId="116" fillId="0" borderId="61" xfId="100" applyFont="1" applyBorder="1" applyAlignment="1">
      <alignment horizontal="center" wrapText="1"/>
    </xf>
    <xf numFmtId="0" fontId="116" fillId="0" borderId="55" xfId="100" applyFont="1" applyBorder="1" applyAlignment="1">
      <alignment horizontal="center" wrapText="1"/>
    </xf>
    <xf numFmtId="0" fontId="116" fillId="0" borderId="0" xfId="100" applyFont="1" applyBorder="1" applyAlignment="1">
      <alignment horizontal="center" wrapText="1"/>
    </xf>
    <xf numFmtId="0" fontId="116" fillId="0" borderId="56" xfId="100" applyFont="1" applyBorder="1" applyAlignment="1">
      <alignment horizontal="center" wrapText="1"/>
    </xf>
    <xf numFmtId="0" fontId="116" fillId="0" borderId="58" xfId="100" applyFont="1" applyBorder="1" applyAlignment="1">
      <alignment horizontal="center" wrapText="1"/>
    </xf>
    <xf numFmtId="0" fontId="116" fillId="0" borderId="57" xfId="100" applyFont="1" applyBorder="1" applyAlignment="1">
      <alignment horizontal="center" wrapText="1"/>
    </xf>
    <xf numFmtId="0" fontId="116" fillId="0" borderId="54" xfId="100" applyFont="1" applyBorder="1" applyAlignment="1">
      <alignment horizontal="center" wrapText="1"/>
    </xf>
    <xf numFmtId="0" fontId="3" fillId="0" borderId="59" xfId="100" applyBorder="1" applyAlignment="1">
      <alignment horizontal="center" wrapText="1"/>
    </xf>
    <xf numFmtId="0" fontId="3" fillId="0" borderId="61" xfId="100" applyBorder="1" applyAlignment="1">
      <alignment horizontal="center" wrapText="1"/>
    </xf>
    <xf numFmtId="0" fontId="3" fillId="0" borderId="55" xfId="100" applyBorder="1" applyAlignment="1">
      <alignment horizontal="center" wrapText="1"/>
    </xf>
    <xf numFmtId="0" fontId="3" fillId="0" borderId="56" xfId="100" applyBorder="1" applyAlignment="1">
      <alignment horizontal="center" wrapText="1"/>
    </xf>
    <xf numFmtId="0" fontId="117" fillId="0" borderId="59" xfId="100" applyFont="1" applyBorder="1" applyAlignment="1">
      <alignment vertical="top" wrapText="1"/>
    </xf>
    <xf numFmtId="0" fontId="117" fillId="0" borderId="60" xfId="100" applyFont="1" applyBorder="1" applyAlignment="1">
      <alignment vertical="top" wrapText="1"/>
    </xf>
    <xf numFmtId="0" fontId="117" fillId="0" borderId="55" xfId="100" applyFont="1" applyBorder="1" applyAlignment="1">
      <alignment vertical="top" wrapText="1"/>
    </xf>
    <xf numFmtId="0" fontId="117" fillId="0" borderId="0" xfId="100" applyFont="1" applyAlignment="1">
      <alignment vertical="top" wrapText="1"/>
    </xf>
    <xf numFmtId="0" fontId="117" fillId="0" borderId="61" xfId="100" applyFont="1" applyBorder="1" applyAlignment="1">
      <alignment vertical="top" wrapText="1"/>
    </xf>
    <xf numFmtId="0" fontId="118" fillId="0" borderId="0" xfId="100" applyFont="1" applyAlignment="1">
      <alignment vertical="top" wrapText="1"/>
    </xf>
    <xf numFmtId="0" fontId="118" fillId="0" borderId="56" xfId="100" applyFont="1" applyBorder="1" applyAlignment="1">
      <alignment vertical="top" wrapText="1"/>
    </xf>
    <xf numFmtId="0" fontId="116" fillId="0" borderId="62" xfId="100" applyFont="1" applyBorder="1" applyAlignment="1">
      <alignment horizontal="center" wrapText="1"/>
    </xf>
    <xf numFmtId="0" fontId="116" fillId="0" borderId="63" xfId="100" applyFont="1" applyBorder="1" applyAlignment="1">
      <alignment horizontal="center" wrapText="1"/>
    </xf>
    <xf numFmtId="0" fontId="117" fillId="0" borderId="56" xfId="100" applyFont="1" applyBorder="1" applyAlignment="1">
      <alignment vertical="top" wrapText="1"/>
    </xf>
    <xf numFmtId="0" fontId="118" fillId="0" borderId="55" xfId="100" applyFont="1" applyBorder="1" applyAlignment="1">
      <alignment vertical="top" wrapText="1"/>
    </xf>
    <xf numFmtId="0" fontId="120" fillId="0" borderId="0" xfId="101" applyAlignment="1">
      <alignment vertical="top" wrapText="1"/>
    </xf>
    <xf numFmtId="0" fontId="120" fillId="0" borderId="56" xfId="101" applyBorder="1" applyAlignment="1">
      <alignment vertical="top" wrapText="1"/>
    </xf>
    <xf numFmtId="0" fontId="3" fillId="0" borderId="0" xfId="100" applyAlignment="1">
      <alignment wrapText="1"/>
    </xf>
    <xf numFmtId="0" fontId="3" fillId="0" borderId="56" xfId="100" applyBorder="1" applyAlignment="1">
      <alignment wrapText="1"/>
    </xf>
    <xf numFmtId="0" fontId="3" fillId="0" borderId="57" xfId="100" applyBorder="1" applyAlignment="1">
      <alignment wrapText="1"/>
    </xf>
    <xf numFmtId="0" fontId="3" fillId="0" borderId="54" xfId="100" applyBorder="1" applyAlignment="1">
      <alignment wrapText="1"/>
    </xf>
    <xf numFmtId="0" fontId="118" fillId="0" borderId="58" xfId="100" applyFont="1" applyBorder="1" applyAlignment="1">
      <alignment vertical="top" wrapText="1"/>
    </xf>
    <xf numFmtId="0" fontId="118" fillId="0" borderId="57" xfId="100" applyFont="1" applyBorder="1" applyAlignment="1">
      <alignment vertical="top" wrapText="1"/>
    </xf>
    <xf numFmtId="1" fontId="4" fillId="0" borderId="0" xfId="0" applyFont="1" applyAlignment="1">
      <alignment horizontal="center"/>
    </xf>
    <xf numFmtId="1" fontId="4" fillId="60" borderId="0" xfId="0" applyFont="1" applyFill="1" applyAlignment="1">
      <alignment horizontal="center"/>
    </xf>
    <xf numFmtId="1" fontId="0" fillId="60" borderId="0" xfId="0" applyFill="1" applyAlignment="1">
      <alignment horizontal="center"/>
    </xf>
    <xf numFmtId="1" fontId="4" fillId="72" borderId="0" xfId="0" applyFont="1" applyFill="1" applyAlignment="1">
      <alignment horizontal="center"/>
    </xf>
    <xf numFmtId="1" fontId="0" fillId="72" borderId="0" xfId="0" applyFill="1" applyAlignment="1">
      <alignment horizontal="center"/>
    </xf>
    <xf numFmtId="1" fontId="5" fillId="10" borderId="14" xfId="0" applyFont="1" applyFill="1" applyBorder="1" applyAlignment="1"/>
    <xf numFmtId="1" fontId="0" fillId="0" borderId="14" xfId="0" applyBorder="1" applyAlignment="1"/>
    <xf numFmtId="1" fontId="0" fillId="0" borderId="15" xfId="0" applyBorder="1" applyAlignment="1"/>
    <xf numFmtId="1" fontId="0" fillId="0" borderId="0" xfId="0" applyAlignment="1"/>
    <xf numFmtId="1" fontId="14" fillId="6" borderId="16" xfId="0" applyFont="1" applyFill="1" applyBorder="1" applyAlignment="1">
      <alignment wrapText="1"/>
    </xf>
    <xf numFmtId="1" fontId="13" fillId="6" borderId="17" xfId="0" applyFont="1" applyFill="1" applyBorder="1" applyAlignment="1">
      <alignment wrapText="1"/>
    </xf>
    <xf numFmtId="1" fontId="13" fillId="6" borderId="18" xfId="0" applyFont="1" applyFill="1" applyBorder="1" applyAlignment="1">
      <alignment wrapText="1"/>
    </xf>
    <xf numFmtId="1" fontId="4" fillId="0" borderId="0" xfId="0" applyFont="1" applyAlignment="1">
      <alignment horizontal="left" wrapText="1"/>
    </xf>
    <xf numFmtId="1" fontId="4" fillId="0" borderId="0" xfId="0" applyFont="1" applyAlignment="1">
      <alignment wrapText="1"/>
    </xf>
    <xf numFmtId="1" fontId="0" fillId="0" borderId="0" xfId="0" applyAlignment="1">
      <alignment wrapText="1"/>
    </xf>
    <xf numFmtId="1" fontId="11" fillId="0" borderId="0" xfId="0" applyFont="1" applyAlignment="1">
      <alignment wrapText="1"/>
    </xf>
    <xf numFmtId="1" fontId="11" fillId="0" borderId="0" xfId="0" applyFont="1" applyAlignment="1">
      <alignment horizontal="center" wrapText="1"/>
    </xf>
    <xf numFmtId="1" fontId="4" fillId="0" borderId="0" xfId="0" applyFont="1" applyAlignment="1">
      <alignment horizontal="center" wrapText="1"/>
    </xf>
    <xf numFmtId="1" fontId="5" fillId="5" borderId="13" xfId="0" applyFont="1" applyFill="1" applyBorder="1" applyAlignment="1">
      <alignment wrapText="1"/>
    </xf>
    <xf numFmtId="1" fontId="5" fillId="5" borderId="14" xfId="0" applyFont="1" applyFill="1" applyBorder="1" applyAlignment="1">
      <alignment wrapText="1"/>
    </xf>
    <xf numFmtId="1" fontId="5" fillId="5" borderId="15" xfId="0" applyFont="1" applyFill="1" applyBorder="1" applyAlignment="1">
      <alignment wrapText="1"/>
    </xf>
    <xf numFmtId="1" fontId="8" fillId="0" borderId="0" xfId="0" applyFont="1" applyAlignment="1"/>
    <xf numFmtId="1" fontId="7" fillId="0" borderId="0" xfId="0" applyFont="1" applyAlignment="1">
      <alignment wrapText="1"/>
    </xf>
    <xf numFmtId="1" fontId="5" fillId="5" borderId="13" xfId="0" applyFont="1" applyFill="1" applyBorder="1" applyAlignment="1"/>
    <xf numFmtId="1" fontId="5" fillId="5" borderId="15" xfId="0" applyFont="1" applyFill="1" applyBorder="1" applyAlignment="1"/>
    <xf numFmtId="49" fontId="0" fillId="0" borderId="0" xfId="0" applyNumberFormat="1" applyAlignment="1">
      <alignment horizontal="left"/>
    </xf>
    <xf numFmtId="1" fontId="0" fillId="0" borderId="0" xfId="0" applyAlignment="1">
      <alignment horizontal="left"/>
    </xf>
    <xf numFmtId="1" fontId="18" fillId="0" borderId="0" xfId="0" applyFont="1" applyAlignment="1">
      <alignment wrapText="1"/>
    </xf>
    <xf numFmtId="1" fontId="5" fillId="5" borderId="13" xfId="0" applyFont="1" applyFill="1" applyBorder="1" applyAlignment="1">
      <alignment horizontal="center" wrapText="1"/>
    </xf>
    <xf numFmtId="1" fontId="5" fillId="5" borderId="15" xfId="0" applyFont="1" applyFill="1" applyBorder="1" applyAlignment="1">
      <alignment horizontal="center" wrapText="1"/>
    </xf>
    <xf numFmtId="1" fontId="5" fillId="5" borderId="14" xfId="0" applyFont="1" applyFill="1" applyBorder="1" applyAlignment="1">
      <alignment horizontal="center" wrapText="1"/>
    </xf>
    <xf numFmtId="0" fontId="2" fillId="0" borderId="0" xfId="102" applyAlignment="1">
      <alignment horizontal="center" wrapText="1"/>
    </xf>
    <xf numFmtId="0" fontId="112" fillId="0" borderId="0" xfId="63" applyFont="1" applyAlignment="1">
      <alignment horizontal="center" vertical="center"/>
    </xf>
    <xf numFmtId="0" fontId="113" fillId="0" borderId="0" xfId="63" applyFont="1" applyAlignment="1">
      <alignment horizontal="center" vertical="center"/>
    </xf>
    <xf numFmtId="0" fontId="100" fillId="0" borderId="0" xfId="63" applyFont="1" applyAlignment="1">
      <alignment horizontal="justify" vertical="center"/>
    </xf>
    <xf numFmtId="0" fontId="114" fillId="0" borderId="0" xfId="63" applyFont="1" applyAlignment="1">
      <alignment horizontal="left"/>
    </xf>
    <xf numFmtId="0" fontId="114" fillId="0" borderId="0" xfId="63" applyFont="1" applyAlignment="1">
      <alignment horizontal="left" vertical="center"/>
    </xf>
    <xf numFmtId="0" fontId="102" fillId="0" borderId="0" xfId="63" applyFont="1" applyAlignment="1">
      <alignment horizontal="justify" vertical="center"/>
    </xf>
    <xf numFmtId="0" fontId="102" fillId="0" borderId="0" xfId="63" applyFont="1" applyAlignment="1">
      <alignment horizontal="left" vertical="center"/>
    </xf>
    <xf numFmtId="0" fontId="103" fillId="0" borderId="0" xfId="63" applyFont="1" applyAlignment="1">
      <alignment horizontal="left" vertical="center"/>
    </xf>
    <xf numFmtId="0" fontId="103" fillId="0" borderId="0" xfId="63" applyFont="1" applyAlignment="1">
      <alignment horizontal="left"/>
    </xf>
    <xf numFmtId="0" fontId="49" fillId="0" borderId="0" xfId="67" applyFont="1" applyAlignment="1">
      <alignment wrapText="1"/>
    </xf>
    <xf numFmtId="0" fontId="4" fillId="0" borderId="0" xfId="67"/>
    <xf numFmtId="1" fontId="8" fillId="0" borderId="0" xfId="0" applyFont="1" applyAlignment="1">
      <alignment horizontal="center"/>
    </xf>
  </cellXfs>
  <cellStyles count="10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lumn heading" xfId="28"/>
    <cellStyle name="Comma" xfId="29" builtinId="3"/>
    <cellStyle name="Comma 2" xfId="30"/>
    <cellStyle name="Comma 3" xfId="99"/>
    <cellStyle name="Comma0" xfId="31"/>
    <cellStyle name="Corner heading" xfId="32"/>
    <cellStyle name="Currency0" xfId="33"/>
    <cellStyle name="Data" xfId="34"/>
    <cellStyle name="Data no deci" xfId="35"/>
    <cellStyle name="Data Superscript" xfId="36"/>
    <cellStyle name="Data_1-1A-Regular" xfId="37"/>
    <cellStyle name="Data-one deci" xfId="38"/>
    <cellStyle name="Date" xfId="39"/>
    <cellStyle name="Explanatory Text" xfId="40" builtinId="53" customBuiltin="1"/>
    <cellStyle name="Fixed" xfId="41"/>
    <cellStyle name="Followed Hyperlink 2" xfId="42"/>
    <cellStyle name="Good" xfId="43" builtinId="26" customBuiltin="1"/>
    <cellStyle name="Heading 1" xfId="44" builtinId="16" customBuiltin="1"/>
    <cellStyle name="Heading 1 2" xfId="45"/>
    <cellStyle name="Heading 2" xfId="46" builtinId="17" customBuiltin="1"/>
    <cellStyle name="Heading 2 2" xfId="47"/>
    <cellStyle name="Heading 3" xfId="48" builtinId="18" customBuiltin="1"/>
    <cellStyle name="Heading 4" xfId="49" builtinId="19" customBuiltin="1"/>
    <cellStyle name="Hed Side" xfId="50"/>
    <cellStyle name="Hed Side bold" xfId="51"/>
    <cellStyle name="Hed Side Indent" xfId="52"/>
    <cellStyle name="Hed Side Regular" xfId="53"/>
    <cellStyle name="Hed Side_1-1A-Regular" xfId="54"/>
    <cellStyle name="Hed Top" xfId="55"/>
    <cellStyle name="Hed Top - SECTION" xfId="56"/>
    <cellStyle name="Hed Top_3-new4" xfId="57"/>
    <cellStyle name="Hyperlink" xfId="58" builtinId="8"/>
    <cellStyle name="Hyperlink 2" xfId="59"/>
    <cellStyle name="Hyperlink 3" xfId="101"/>
    <cellStyle name="Input" xfId="60" builtinId="20" customBuiltin="1"/>
    <cellStyle name="Linked Cell" xfId="61" builtinId="24" customBuiltin="1"/>
    <cellStyle name="Neutral" xfId="62" builtinId="28" customBuiltin="1"/>
    <cellStyle name="Normal" xfId="0" builtinId="0"/>
    <cellStyle name="Normal 2" xfId="63"/>
    <cellStyle name="Normal 3" xfId="64"/>
    <cellStyle name="Normal 4" xfId="100"/>
    <cellStyle name="Normal 5" xfId="102"/>
    <cellStyle name="Normal_Copy of Table9_10" xfId="65"/>
    <cellStyle name="Normal_TransportationIndicators_092002" xfId="66"/>
    <cellStyle name="Normal_TSI_TO 1 " xfId="67"/>
    <cellStyle name="Note 2" xfId="68"/>
    <cellStyle name="Output" xfId="69" builtinId="21" customBuiltin="1"/>
    <cellStyle name="Percent" xfId="70" builtinId="5"/>
    <cellStyle name="Reference" xfId="71"/>
    <cellStyle name="Row heading" xfId="72"/>
    <cellStyle name="Source Hed" xfId="73"/>
    <cellStyle name="Source Letter" xfId="74"/>
    <cellStyle name="Source Superscript" xfId="75"/>
    <cellStyle name="Source Text" xfId="76"/>
    <cellStyle name="State" xfId="77"/>
    <cellStyle name="Superscript" xfId="78"/>
    <cellStyle name="Superscript- regular" xfId="79"/>
    <cellStyle name="Superscript_1-1A-Regular" xfId="80"/>
    <cellStyle name="Table Data" xfId="81"/>
    <cellStyle name="Table Head Top" xfId="82"/>
    <cellStyle name="Table Hed Side" xfId="83"/>
    <cellStyle name="Table Title" xfId="84"/>
    <cellStyle name="Title" xfId="85" builtinId="15" customBuiltin="1"/>
    <cellStyle name="Title Text" xfId="86"/>
    <cellStyle name="Title Text 1" xfId="87"/>
    <cellStyle name="Title Text 2" xfId="88"/>
    <cellStyle name="Title-1" xfId="89"/>
    <cellStyle name="Title-2" xfId="90"/>
    <cellStyle name="Title-3" xfId="91"/>
    <cellStyle name="Total" xfId="92" builtinId="25" customBuiltin="1"/>
    <cellStyle name="Total 2" xfId="93"/>
    <cellStyle name="Warning Text" xfId="94" builtinId="11" customBuiltin="1"/>
    <cellStyle name="Wrap" xfId="95"/>
    <cellStyle name="Wrap Bold" xfId="96"/>
    <cellStyle name="Wrap Title" xfId="97"/>
    <cellStyle name="Wrap_NTS99-~11" xfId="9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72462817147857"/>
          <c:y val="5.1400554097404488E-2"/>
          <c:w val="0.81744203849518815"/>
          <c:h val="0.79523549139690874"/>
        </c:manualLayout>
      </c:layout>
      <c:lineChart>
        <c:grouping val="standard"/>
        <c:varyColors val="0"/>
        <c:ser>
          <c:idx val="0"/>
          <c:order val="0"/>
          <c:tx>
            <c:strRef>
              <c:f>'Total_Transportation '!$P$80</c:f>
              <c:strCache>
                <c:ptCount val="1"/>
                <c:pt idx="0">
                  <c:v>All Passenger</c:v>
                </c:pt>
              </c:strCache>
            </c:strRef>
          </c:tx>
          <c:marker>
            <c:symbol val="diamond"/>
            <c:size val="6"/>
          </c:marker>
          <c:cat>
            <c:numRef>
              <c:f>'Total_Transportation '!$O$81:$O$122</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'Total_Transportation '!$P$81:$P$122</c:f>
              <c:numCache>
                <c:formatCode>0.000</c:formatCode>
                <c:ptCount val="42"/>
                <c:pt idx="0">
                  <c:v>1.2759163330998435</c:v>
                </c:pt>
                <c:pt idx="1">
                  <c:v>1.2650123231521695</c:v>
                </c:pt>
                <c:pt idx="2">
                  <c:v>1.2579240626678765</c:v>
                </c:pt>
                <c:pt idx="3">
                  <c:v>1.2634151079599454</c:v>
                </c:pt>
                <c:pt idx="4">
                  <c:v>1.2396436941349878</c:v>
                </c:pt>
                <c:pt idx="5">
                  <c:v>1.2275752702939975</c:v>
                </c:pt>
                <c:pt idx="6">
                  <c:v>1.2189768579541542</c:v>
                </c:pt>
                <c:pt idx="7">
                  <c:v>1.1838941838936499</c:v>
                </c:pt>
                <c:pt idx="8">
                  <c:v>1.163624049082058</c:v>
                </c:pt>
                <c:pt idx="9">
                  <c:v>1.1352974857388176</c:v>
                </c:pt>
                <c:pt idx="10">
                  <c:v>1.0660392799120582</c:v>
                </c:pt>
                <c:pt idx="11">
                  <c:v>1.0482237123309395</c:v>
                </c:pt>
                <c:pt idx="12">
                  <c:v>1.0164366247954264</c:v>
                </c:pt>
                <c:pt idx="13">
                  <c:v>0.9991527466048743</c:v>
                </c:pt>
                <c:pt idx="14">
                  <c:v>0.99759649851624588</c:v>
                </c:pt>
                <c:pt idx="15">
                  <c:v>1</c:v>
                </c:pt>
                <c:pt idx="16">
                  <c:v>1.0114284553295805</c:v>
                </c:pt>
                <c:pt idx="17">
                  <c:v>0.9934296637720017</c:v>
                </c:pt>
                <c:pt idx="18">
                  <c:v>0.97562398390608562</c:v>
                </c:pt>
                <c:pt idx="19">
                  <c:v>0.96640614607228315</c:v>
                </c:pt>
                <c:pt idx="20">
                  <c:v>0.94568804030853193</c:v>
                </c:pt>
                <c:pt idx="21">
                  <c:v>0.90399721943488731</c:v>
                </c:pt>
                <c:pt idx="22">
                  <c:v>0.90696264337629329</c:v>
                </c:pt>
                <c:pt idx="23">
                  <c:v>0.91612629206741147</c:v>
                </c:pt>
                <c:pt idx="24">
                  <c:v>0.913318574182166</c:v>
                </c:pt>
                <c:pt idx="25">
                  <c:v>0.90659156808585362</c:v>
                </c:pt>
                <c:pt idx="26">
                  <c:v>0.8994038467482065</c:v>
                </c:pt>
                <c:pt idx="27">
                  <c:v>0.89053869068887681</c:v>
                </c:pt>
                <c:pt idx="28">
                  <c:v>0.88697174962960545</c:v>
                </c:pt>
                <c:pt idx="29">
                  <c:v>0.89276271881835545</c:v>
                </c:pt>
                <c:pt idx="30">
                  <c:v>0.86757402620813218</c:v>
                </c:pt>
                <c:pt idx="31">
                  <c:v>0.85739132371352822</c:v>
                </c:pt>
                <c:pt idx="32">
                  <c:v>0.85178116634457823</c:v>
                </c:pt>
                <c:pt idx="33">
                  <c:v>0.8650363298961703</c:v>
                </c:pt>
                <c:pt idx="34">
                  <c:v>0.84645621310091668</c:v>
                </c:pt>
                <c:pt idx="35">
                  <c:v>0.82277940105024827</c:v>
                </c:pt>
                <c:pt idx="36">
                  <c:v>0.81202732503651909</c:v>
                </c:pt>
                <c:pt idx="37">
                  <c:v>0.80480197919421437</c:v>
                </c:pt>
                <c:pt idx="38">
                  <c:v>0.79928663653977283</c:v>
                </c:pt>
                <c:pt idx="39">
                  <c:v>0.79590585718743001</c:v>
                </c:pt>
                <c:pt idx="40">
                  <c:v>0.79627439075489825</c:v>
                </c:pt>
                <c:pt idx="41">
                  <c:v>0.80246055044982545</c:v>
                </c:pt>
              </c:numCache>
            </c:numRef>
          </c:val>
          <c:smooth val="0"/>
        </c:ser>
        <c:ser>
          <c:idx val="1"/>
          <c:order val="1"/>
          <c:tx>
            <c:strRef>
              <c:f>'Total_Transportation '!$Q$80</c:f>
              <c:strCache>
                <c:ptCount val="1"/>
                <c:pt idx="0">
                  <c:v>All Freight</c:v>
                </c:pt>
              </c:strCache>
            </c:strRef>
          </c:tx>
          <c:marker>
            <c:symbol val="square"/>
            <c:size val="4"/>
          </c:marker>
          <c:cat>
            <c:numRef>
              <c:f>'Total_Transportation '!$O$81:$O$122</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'Total_Transportation '!$Q$81:$Q$122</c:f>
              <c:numCache>
                <c:formatCode>0.000</c:formatCode>
                <c:ptCount val="42"/>
                <c:pt idx="0">
                  <c:v>0.98694527092068007</c:v>
                </c:pt>
                <c:pt idx="1">
                  <c:v>0.97428160987882351</c:v>
                </c:pt>
                <c:pt idx="2">
                  <c:v>0.99095338643512765</c:v>
                </c:pt>
                <c:pt idx="3">
                  <c:v>0.99146496979463183</c:v>
                </c:pt>
                <c:pt idx="4">
                  <c:v>0.99061757870186251</c:v>
                </c:pt>
                <c:pt idx="5">
                  <c:v>1.0134910514757969</c:v>
                </c:pt>
                <c:pt idx="6">
                  <c:v>0.97557971532643428</c:v>
                </c:pt>
                <c:pt idx="7">
                  <c:v>0.98013652057804246</c:v>
                </c:pt>
                <c:pt idx="8">
                  <c:v>0.98650712386202355</c:v>
                </c:pt>
                <c:pt idx="9">
                  <c:v>1.0118903227897342</c:v>
                </c:pt>
                <c:pt idx="10">
                  <c:v>1.0642401165256488</c:v>
                </c:pt>
                <c:pt idx="11">
                  <c:v>1.1013753069747634</c:v>
                </c:pt>
                <c:pt idx="12">
                  <c:v>1.0928981040766685</c:v>
                </c:pt>
                <c:pt idx="13">
                  <c:v>1.025458348496173</c:v>
                </c:pt>
                <c:pt idx="14">
                  <c:v>1.0134658118772026</c:v>
                </c:pt>
                <c:pt idx="15">
                  <c:v>1</c:v>
                </c:pt>
                <c:pt idx="16">
                  <c:v>0.99707933305078211</c:v>
                </c:pt>
                <c:pt idx="17">
                  <c:v>0.97622588106667141</c:v>
                </c:pt>
                <c:pt idx="18">
                  <c:v>0.96946066196849845</c:v>
                </c:pt>
                <c:pt idx="19">
                  <c:v>0.96138228603499831</c:v>
                </c:pt>
                <c:pt idx="20">
                  <c:v>0.9804355191978964</c:v>
                </c:pt>
                <c:pt idx="21">
                  <c:v>0.95220974347568466</c:v>
                </c:pt>
                <c:pt idx="22">
                  <c:v>0.94327015685300253</c:v>
                </c:pt>
                <c:pt idx="23">
                  <c:v>0.93262847092491707</c:v>
                </c:pt>
                <c:pt idx="24">
                  <c:v>0.92935321842630925</c:v>
                </c:pt>
                <c:pt idx="25">
                  <c:v>0.92842025236398729</c:v>
                </c:pt>
                <c:pt idx="26">
                  <c:v>0.92302670620667715</c:v>
                </c:pt>
                <c:pt idx="27">
                  <c:v>0.90612033080496157</c:v>
                </c:pt>
                <c:pt idx="28">
                  <c:v>0.91665501968409024</c:v>
                </c:pt>
                <c:pt idx="29">
                  <c:v>0.92747390352672687</c:v>
                </c:pt>
                <c:pt idx="30">
                  <c:v>0.93825285980950979</c:v>
                </c:pt>
                <c:pt idx="31">
                  <c:v>0.92378946671681728</c:v>
                </c:pt>
                <c:pt idx="32">
                  <c:v>0.93263899682568752</c:v>
                </c:pt>
                <c:pt idx="33">
                  <c:v>0.8847358087418512</c:v>
                </c:pt>
                <c:pt idx="34">
                  <c:v>0.87642993164642391</c:v>
                </c:pt>
                <c:pt idx="35">
                  <c:v>0.89139258422749901</c:v>
                </c:pt>
                <c:pt idx="36">
                  <c:v>0.90699703960999467</c:v>
                </c:pt>
                <c:pt idx="37">
                  <c:v>0.90297902181467271</c:v>
                </c:pt>
                <c:pt idx="38">
                  <c:v>0.89784752734590734</c:v>
                </c:pt>
                <c:pt idx="39">
                  <c:v>0.89861332960903328</c:v>
                </c:pt>
                <c:pt idx="40">
                  <c:v>0.90289090714267362</c:v>
                </c:pt>
                <c:pt idx="41">
                  <c:v>0.91143678448002097</c:v>
                </c:pt>
              </c:numCache>
            </c:numRef>
          </c:val>
          <c:smooth val="0"/>
        </c:ser>
        <c:dLbls>
          <c:showLegendKey val="0"/>
          <c:showVal val="0"/>
          <c:showCatName val="0"/>
          <c:showSerName val="0"/>
          <c:showPercent val="0"/>
          <c:showBubbleSize val="0"/>
        </c:dLbls>
        <c:marker val="1"/>
        <c:smooth val="0"/>
        <c:axId val="96711424"/>
        <c:axId val="96712960"/>
      </c:lineChart>
      <c:catAx>
        <c:axId val="96711424"/>
        <c:scaling>
          <c:orientation val="minMax"/>
        </c:scaling>
        <c:delete val="0"/>
        <c:axPos val="b"/>
        <c:numFmt formatCode="0" sourceLinked="1"/>
        <c:majorTickMark val="out"/>
        <c:minorTickMark val="none"/>
        <c:tickLblPos val="nextTo"/>
        <c:crossAx val="96712960"/>
        <c:crosses val="autoZero"/>
        <c:auto val="1"/>
        <c:lblAlgn val="ctr"/>
        <c:lblOffset val="100"/>
        <c:tickLblSkip val="5"/>
        <c:noMultiLvlLbl val="0"/>
      </c:catAx>
      <c:valAx>
        <c:axId val="96712960"/>
        <c:scaling>
          <c:orientation val="minMax"/>
        </c:scaling>
        <c:delete val="0"/>
        <c:axPos val="l"/>
        <c:majorGridlines/>
        <c:title>
          <c:tx>
            <c:rich>
              <a:bodyPr rot="-5400000" vert="horz"/>
              <a:lstStyle/>
              <a:p>
                <a:pPr>
                  <a:defRPr sz="1100" baseline="0"/>
                </a:pPr>
                <a:r>
                  <a:rPr lang="en-US" sz="1100" baseline="0"/>
                  <a:t>Index, 1985 = 1.0</a:t>
                </a:r>
              </a:p>
            </c:rich>
          </c:tx>
          <c:layout>
            <c:manualLayout>
              <c:xMode val="edge"/>
              <c:yMode val="edge"/>
              <c:x val="2.1416666666666671E-2"/>
              <c:y val="0.2511016331291922"/>
            </c:manualLayout>
          </c:layout>
          <c:overlay val="0"/>
        </c:title>
        <c:numFmt formatCode="0.0" sourceLinked="0"/>
        <c:majorTickMark val="out"/>
        <c:minorTickMark val="none"/>
        <c:tickLblPos val="nextTo"/>
        <c:crossAx val="96711424"/>
        <c:crosses val="autoZero"/>
        <c:crossBetween val="midCat"/>
      </c:valAx>
      <c:spPr>
        <a:ln>
          <a:solidFill>
            <a:schemeClr val="accent1"/>
          </a:solidFill>
        </a:ln>
      </c:spPr>
    </c:plotArea>
    <c:legend>
      <c:legendPos val="r"/>
      <c:layout>
        <c:manualLayout>
          <c:xMode val="edge"/>
          <c:yMode val="edge"/>
          <c:x val="0.26998512685914261"/>
          <c:y val="0.58294947506561678"/>
          <c:w val="0.23279265091863516"/>
          <c:h val="0.16743438320209975"/>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16907261592301"/>
          <c:y val="5.1400554097404488E-2"/>
          <c:w val="0.82514960629921275"/>
          <c:h val="0.79523549139690874"/>
        </c:manualLayout>
      </c:layout>
      <c:lineChart>
        <c:grouping val="standard"/>
        <c:varyColors val="0"/>
        <c:ser>
          <c:idx val="0"/>
          <c:order val="0"/>
          <c:tx>
            <c:strRef>
              <c:f>Adjust_Truck_Freight!$AS$5</c:f>
              <c:strCache>
                <c:ptCount val="1"/>
                <c:pt idx="0">
                  <c:v>Single-Unit</c:v>
                </c:pt>
              </c:strCache>
            </c:strRef>
          </c:tx>
          <c:cat>
            <c:numRef>
              <c:f>Adjust_Truck_Freight!$AR$6:$AR$46</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Adjust_Truck_Freight!$AS$6:$AS$46</c:f>
              <c:numCache>
                <c:formatCode>0.00</c:formatCode>
                <c:ptCount val="41"/>
                <c:pt idx="0">
                  <c:v>6.8242038617822161</c:v>
                </c:pt>
                <c:pt idx="1">
                  <c:v>6.873087790381466</c:v>
                </c:pt>
                <c:pt idx="2">
                  <c:v>6.484878393012254</c:v>
                </c:pt>
                <c:pt idx="3">
                  <c:v>6.3583678364066962</c:v>
                </c:pt>
                <c:pt idx="4">
                  <c:v>6.3567494693621187</c:v>
                </c:pt>
                <c:pt idx="5">
                  <c:v>6.3842987224125096</c:v>
                </c:pt>
                <c:pt idx="6">
                  <c:v>6.3777535779055823</c:v>
                </c:pt>
                <c:pt idx="7">
                  <c:v>6.2764410989007233</c:v>
                </c:pt>
                <c:pt idx="8">
                  <c:v>6.1458141311350589</c:v>
                </c:pt>
                <c:pt idx="9">
                  <c:v>5.9595669584446203</c:v>
                </c:pt>
                <c:pt idx="10">
                  <c:v>5.7510238889596357</c:v>
                </c:pt>
                <c:pt idx="11">
                  <c:v>5.7619006117286746</c:v>
                </c:pt>
                <c:pt idx="12">
                  <c:v>5.9764650633518084</c:v>
                </c:pt>
                <c:pt idx="13">
                  <c:v>6.108662606486476</c:v>
                </c:pt>
                <c:pt idx="14">
                  <c:v>6.1352861135133017</c:v>
                </c:pt>
                <c:pt idx="15">
                  <c:v>6.1411912857775555</c:v>
                </c:pt>
                <c:pt idx="16">
                  <c:v>6.1789020627215452</c:v>
                </c:pt>
                <c:pt idx="17">
                  <c:v>6.3836437995256077</c:v>
                </c:pt>
                <c:pt idx="18">
                  <c:v>6.4189289480299605</c:v>
                </c:pt>
                <c:pt idx="19">
                  <c:v>6.5391756653710864</c:v>
                </c:pt>
                <c:pt idx="20">
                  <c:v>6.2107233290154875</c:v>
                </c:pt>
                <c:pt idx="21">
                  <c:v>6.4727762781303166</c:v>
                </c:pt>
                <c:pt idx="22">
                  <c:v>6.5405461242073617</c:v>
                </c:pt>
                <c:pt idx="23">
                  <c:v>6.6883404338857337</c:v>
                </c:pt>
                <c:pt idx="24">
                  <c:v>6.7853797840187262</c:v>
                </c:pt>
                <c:pt idx="25">
                  <c:v>6.8041449652777777</c:v>
                </c:pt>
                <c:pt idx="26">
                  <c:v>6.8097321181559511</c:v>
                </c:pt>
                <c:pt idx="27">
                  <c:v>6.985441505738426</c:v>
                </c:pt>
                <c:pt idx="28">
                  <c:v>6.9829794175549855</c:v>
                </c:pt>
                <c:pt idx="29">
                  <c:v>7.5014369822849192</c:v>
                </c:pt>
                <c:pt idx="30">
                  <c:v>7.3721635470040781</c:v>
                </c:pt>
                <c:pt idx="31">
                  <c:v>7.4943622633702285</c:v>
                </c:pt>
                <c:pt idx="32">
                  <c:v>7.3506443174111036</c:v>
                </c:pt>
                <c:pt idx="33">
                  <c:v>8.7554329467402319</c:v>
                </c:pt>
                <c:pt idx="34">
                  <c:v>8.755553075119991</c:v>
                </c:pt>
                <c:pt idx="35">
                  <c:v>8.261867171876645</c:v>
                </c:pt>
                <c:pt idx="36">
                  <c:v>8.1550954120990653</c:v>
                </c:pt>
                <c:pt idx="37">
                  <c:v>7.3543582199337996</c:v>
                </c:pt>
                <c:pt idx="38">
                  <c:v>7.3993817078861408</c:v>
                </c:pt>
                <c:pt idx="39">
                  <c:v>7.3959884329046943</c:v>
                </c:pt>
                <c:pt idx="40">
                  <c:v>7.3350996886798701</c:v>
                </c:pt>
              </c:numCache>
            </c:numRef>
          </c:val>
          <c:smooth val="0"/>
        </c:ser>
        <c:ser>
          <c:idx val="1"/>
          <c:order val="1"/>
          <c:tx>
            <c:strRef>
              <c:f>Adjust_Truck_Freight!$AT$5</c:f>
              <c:strCache>
                <c:ptCount val="1"/>
                <c:pt idx="0">
                  <c:v>Combination</c:v>
                </c:pt>
              </c:strCache>
            </c:strRef>
          </c:tx>
          <c:marker>
            <c:symbol val="square"/>
            <c:size val="5"/>
          </c:marker>
          <c:cat>
            <c:numRef>
              <c:f>Adjust_Truck_Freight!$AR$6:$AR$46</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Adjust_Truck_Freight!$AT$6:$AT$46</c:f>
              <c:numCache>
                <c:formatCode>0.00</c:formatCode>
                <c:ptCount val="41"/>
                <c:pt idx="0">
                  <c:v>4.7814781210018538</c:v>
                </c:pt>
                <c:pt idx="1">
                  <c:v>4.90012523844283</c:v>
                </c:pt>
                <c:pt idx="2">
                  <c:v>5.0130029459058489</c:v>
                </c:pt>
                <c:pt idx="3">
                  <c:v>5.0576008542602384</c:v>
                </c:pt>
                <c:pt idx="4">
                  <c:v>5.0621367476183154</c:v>
                </c:pt>
                <c:pt idx="5">
                  <c:v>5.0911603740348701</c:v>
                </c:pt>
                <c:pt idx="6">
                  <c:v>5.1203210551446494</c:v>
                </c:pt>
                <c:pt idx="7">
                  <c:v>5.1489535965758755</c:v>
                </c:pt>
                <c:pt idx="8">
                  <c:v>5.1779970439779186</c:v>
                </c:pt>
                <c:pt idx="9">
                  <c:v>5.2078018420675338</c:v>
                </c:pt>
                <c:pt idx="10">
                  <c:v>5.2679285966814318</c:v>
                </c:pt>
                <c:pt idx="11">
                  <c:v>5.1178034969458235</c:v>
                </c:pt>
                <c:pt idx="12">
                  <c:v>5.2099939207948323</c:v>
                </c:pt>
                <c:pt idx="13">
                  <c:v>5.3339557115014724</c:v>
                </c:pt>
                <c:pt idx="14">
                  <c:v>5.4536987989007386</c:v>
                </c:pt>
                <c:pt idx="15">
                  <c:v>5.5738299782621192</c:v>
                </c:pt>
                <c:pt idx="16">
                  <c:v>5.5986411185190299</c:v>
                </c:pt>
                <c:pt idx="17">
                  <c:v>5.7034216983016792</c:v>
                </c:pt>
                <c:pt idx="18">
                  <c:v>5.8167100355551362</c:v>
                </c:pt>
                <c:pt idx="19">
                  <c:v>5.8399913668723116</c:v>
                </c:pt>
                <c:pt idx="20">
                  <c:v>5.847732397547639</c:v>
                </c:pt>
                <c:pt idx="21">
                  <c:v>5.7497270895552299</c:v>
                </c:pt>
                <c:pt idx="22">
                  <c:v>5.7800100651128457</c:v>
                </c:pt>
                <c:pt idx="23">
                  <c:v>5.8100174847155435</c:v>
                </c:pt>
                <c:pt idx="24">
                  <c:v>5.84</c:v>
                </c:pt>
                <c:pt idx="25">
                  <c:v>5.8376396824594226</c:v>
                </c:pt>
                <c:pt idx="26">
                  <c:v>5.888271558869369</c:v>
                </c:pt>
                <c:pt idx="27">
                  <c:v>6.1366310681577145</c:v>
                </c:pt>
                <c:pt idx="28">
                  <c:v>5.7593236219768107</c:v>
                </c:pt>
                <c:pt idx="29">
                  <c:v>5.3951287263645744</c:v>
                </c:pt>
                <c:pt idx="30">
                  <c:v>5.2606561209382061</c:v>
                </c:pt>
                <c:pt idx="31">
                  <c:v>5.3537158984007522</c:v>
                </c:pt>
                <c:pt idx="32">
                  <c:v>5.2393126888217525</c:v>
                </c:pt>
                <c:pt idx="33">
                  <c:v>5.2070529540917443</c:v>
                </c:pt>
                <c:pt idx="34">
                  <c:v>5.1969719793535756</c:v>
                </c:pt>
                <c:pt idx="35">
                  <c:v>5.2016955386507631</c:v>
                </c:pt>
                <c:pt idx="36">
                  <c:v>5.0582170472470747</c:v>
                </c:pt>
                <c:pt idx="37">
                  <c:v>5.9603611183018383</c:v>
                </c:pt>
                <c:pt idx="38">
                  <c:v>6.0150518634861427</c:v>
                </c:pt>
                <c:pt idx="39">
                  <c:v>5.9928698752228167</c:v>
                </c:pt>
                <c:pt idx="40">
                  <c:v>5.8739265546162329</c:v>
                </c:pt>
              </c:numCache>
            </c:numRef>
          </c:val>
          <c:smooth val="0"/>
        </c:ser>
        <c:dLbls>
          <c:showLegendKey val="0"/>
          <c:showVal val="0"/>
          <c:showCatName val="0"/>
          <c:showSerName val="0"/>
          <c:showPercent val="0"/>
          <c:showBubbleSize val="0"/>
        </c:dLbls>
        <c:marker val="1"/>
        <c:smooth val="0"/>
        <c:axId val="110283392"/>
        <c:axId val="110289280"/>
      </c:lineChart>
      <c:catAx>
        <c:axId val="110283392"/>
        <c:scaling>
          <c:orientation val="minMax"/>
        </c:scaling>
        <c:delete val="0"/>
        <c:axPos val="b"/>
        <c:numFmt formatCode="0" sourceLinked="1"/>
        <c:majorTickMark val="out"/>
        <c:minorTickMark val="none"/>
        <c:tickLblPos val="nextTo"/>
        <c:crossAx val="110289280"/>
        <c:crosses val="autoZero"/>
        <c:auto val="1"/>
        <c:lblAlgn val="ctr"/>
        <c:lblOffset val="100"/>
        <c:tickLblSkip val="5"/>
        <c:noMultiLvlLbl val="0"/>
      </c:catAx>
      <c:valAx>
        <c:axId val="110289280"/>
        <c:scaling>
          <c:orientation val="minMax"/>
        </c:scaling>
        <c:delete val="0"/>
        <c:axPos val="l"/>
        <c:majorGridlines/>
        <c:numFmt formatCode="0.00" sourceLinked="1"/>
        <c:majorTickMark val="out"/>
        <c:minorTickMark val="none"/>
        <c:tickLblPos val="nextTo"/>
        <c:crossAx val="110283392"/>
        <c:crosses val="autoZero"/>
        <c:crossBetween val="between"/>
      </c:valAx>
    </c:plotArea>
    <c:legend>
      <c:legendPos val="r"/>
      <c:layout>
        <c:manualLayout>
          <c:xMode val="edge"/>
          <c:yMode val="edge"/>
          <c:x val="0.24342979002624676"/>
          <c:y val="0.56906058617672794"/>
          <c:w val="0.2287924321959755"/>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29067245119306"/>
          <c:y val="4.8543842738176128E-2"/>
          <c:w val="0.85466377440347074"/>
          <c:h val="0.79288276472354347"/>
        </c:manualLayout>
      </c:layout>
      <c:lineChart>
        <c:grouping val="standard"/>
        <c:varyColors val="0"/>
        <c:ser>
          <c:idx val="0"/>
          <c:order val="0"/>
          <c:tx>
            <c:strRef>
              <c:f>'Charts (web)'!$P$4</c:f>
              <c:strCache>
                <c:ptCount val="1"/>
                <c:pt idx="0">
                  <c:v>Activity Index</c:v>
                </c:pt>
              </c:strCache>
            </c:strRef>
          </c:tx>
          <c:spPr>
            <a:ln w="12700">
              <a:solidFill>
                <a:srgbClr val="FF00FF"/>
              </a:solidFill>
              <a:prstDash val="solid"/>
            </a:ln>
          </c:spPr>
          <c:marker>
            <c:symbol val="square"/>
            <c:size val="4"/>
            <c:spPr>
              <a:solidFill>
                <a:srgbClr val="FF00FF"/>
              </a:solidFill>
              <a:ln>
                <a:solidFill>
                  <a:srgbClr val="FF00FF"/>
                </a:solidFill>
                <a:prstDash val="solid"/>
              </a:ln>
            </c:spPr>
          </c:marker>
          <c:cat>
            <c:numRef>
              <c:f>'Charts (web)'!$O$5:$O$28</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(web)'!$P$5:$P$28</c:f>
              <c:numCache>
                <c:formatCode>0.0000</c:formatCode>
                <c:ptCount val="24"/>
                <c:pt idx="0">
                  <c:v>1</c:v>
                </c:pt>
                <c:pt idx="1">
                  <c:v>1.0164849796307009</c:v>
                </c:pt>
                <c:pt idx="2">
                  <c:v>1.0584149691674531</c:v>
                </c:pt>
                <c:pt idx="3">
                  <c:v>1.0991398319654007</c:v>
                </c:pt>
                <c:pt idx="4">
                  <c:v>1.1129082704181696</c:v>
                </c:pt>
                <c:pt idx="5">
                  <c:v>1.1281809015259485</c:v>
                </c:pt>
                <c:pt idx="6">
                  <c:v>1.1387410050538485</c:v>
                </c:pt>
                <c:pt idx="7">
                  <c:v>1.1743557038530226</c:v>
                </c:pt>
                <c:pt idx="8">
                  <c:v>1.1928861897329768</c:v>
                </c:pt>
                <c:pt idx="9">
                  <c:v>1.2351947387818187</c:v>
                </c:pt>
                <c:pt idx="10">
                  <c:v>1.2729453420385728</c:v>
                </c:pt>
                <c:pt idx="11">
                  <c:v>1.3079839647165596</c:v>
                </c:pt>
                <c:pt idx="12">
                  <c:v>1.3374430898950085</c:v>
                </c:pt>
                <c:pt idx="13">
                  <c:v>1.3675717880848217</c:v>
                </c:pt>
                <c:pt idx="14">
                  <c:v>1.4042865844576962</c:v>
                </c:pt>
                <c:pt idx="15">
                  <c:v>1.4401122757567597</c:v>
                </c:pt>
                <c:pt idx="16">
                  <c:v>1.4527798151403946</c:v>
                </c:pt>
                <c:pt idx="17">
                  <c:v>1.4780235734489733</c:v>
                </c:pt>
                <c:pt idx="18">
                  <c:v>1.5019127170393012</c:v>
                </c:pt>
                <c:pt idx="19">
                  <c:v>1.5633131281393231</c:v>
                </c:pt>
                <c:pt idx="20">
                  <c:v>1.5860478109791885</c:v>
                </c:pt>
                <c:pt idx="21">
                  <c:v>1.6072009796026876</c:v>
                </c:pt>
                <c:pt idx="22">
                  <c:v>1.6278385950555496</c:v>
                </c:pt>
                <c:pt idx="23">
                  <c:v>1.6004580311312939</c:v>
                </c:pt>
              </c:numCache>
            </c:numRef>
          </c:val>
          <c:smooth val="0"/>
        </c:ser>
        <c:ser>
          <c:idx val="1"/>
          <c:order val="1"/>
          <c:tx>
            <c:strRef>
              <c:f>'Charts (web)'!$Q$4</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(web)'!$O$5:$O$28</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(web)'!$Q$5:$Q$28</c:f>
              <c:numCache>
                <c:formatCode>0.0000</c:formatCode>
                <c:ptCount val="24"/>
                <c:pt idx="0">
                  <c:v>1</c:v>
                </c:pt>
                <c:pt idx="1">
                  <c:v>1.0066120725388663</c:v>
                </c:pt>
                <c:pt idx="2">
                  <c:v>1.008249059701241</c:v>
                </c:pt>
                <c:pt idx="3">
                  <c:v>1.012366337615753</c:v>
                </c:pt>
                <c:pt idx="4">
                  <c:v>1.0221551717222097</c:v>
                </c:pt>
                <c:pt idx="5">
                  <c:v>1.0229895758226804</c:v>
                </c:pt>
                <c:pt idx="6">
                  <c:v>1.0269882151215839</c:v>
                </c:pt>
                <c:pt idx="7">
                  <c:v>1.0290448673490344</c:v>
                </c:pt>
                <c:pt idx="8">
                  <c:v>1.0382272741535608</c:v>
                </c:pt>
                <c:pt idx="9">
                  <c:v>1.0389767434336543</c:v>
                </c:pt>
                <c:pt idx="10">
                  <c:v>1.0376006639713391</c:v>
                </c:pt>
                <c:pt idx="11">
                  <c:v>1.0419402995770661</c:v>
                </c:pt>
                <c:pt idx="12">
                  <c:v>1.0545660502797622</c:v>
                </c:pt>
                <c:pt idx="13">
                  <c:v>1.0578740715371109</c:v>
                </c:pt>
                <c:pt idx="14">
                  <c:v>1.0584350998453786</c:v>
                </c:pt>
                <c:pt idx="15">
                  <c:v>1.0610286564513156</c:v>
                </c:pt>
                <c:pt idx="16">
                  <c:v>1.0631480317122799</c:v>
                </c:pt>
                <c:pt idx="17">
                  <c:v>1.0690952605453683</c:v>
                </c:pt>
                <c:pt idx="18">
                  <c:v>1.0691500122453954</c:v>
                </c:pt>
                <c:pt idx="19">
                  <c:v>1.0658397859426922</c:v>
                </c:pt>
                <c:pt idx="20">
                  <c:v>1.0680372541707976</c:v>
                </c:pt>
                <c:pt idx="21">
                  <c:v>1.0666336253272477</c:v>
                </c:pt>
                <c:pt idx="22">
                  <c:v>1.068631992193769</c:v>
                </c:pt>
                <c:pt idx="23">
                  <c:v>1.0732919109268</c:v>
                </c:pt>
              </c:numCache>
            </c:numRef>
          </c:val>
          <c:smooth val="0"/>
        </c:ser>
        <c:ser>
          <c:idx val="2"/>
          <c:order val="2"/>
          <c:tx>
            <c:strRef>
              <c:f>'Charts (web)'!$R$4</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(web)'!$O$5:$O$28</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(web)'!$R$5:$R$28</c:f>
              <c:numCache>
                <c:formatCode>0.0000</c:formatCode>
                <c:ptCount val="24"/>
                <c:pt idx="0">
                  <c:v>1</c:v>
                </c:pt>
                <c:pt idx="1">
                  <c:v>1.0076372215364484</c:v>
                </c:pt>
                <c:pt idx="2">
                  <c:v>0.98888140040758443</c:v>
                </c:pt>
                <c:pt idx="3">
                  <c:v>0.97402907385998705</c:v>
                </c:pt>
                <c:pt idx="4">
                  <c:v>0.96511721846800635</c:v>
                </c:pt>
                <c:pt idx="5">
                  <c:v>0.95515668919483165</c:v>
                </c:pt>
                <c:pt idx="6">
                  <c:v>0.91712551484643423</c:v>
                </c:pt>
                <c:pt idx="7">
                  <c:v>0.9168561266835954</c:v>
                </c:pt>
                <c:pt idx="8">
                  <c:v>0.92060839512767934</c:v>
                </c:pt>
                <c:pt idx="9">
                  <c:v>0.91767019977188213</c:v>
                </c:pt>
                <c:pt idx="10">
                  <c:v>0.91260196733691934</c:v>
                </c:pt>
                <c:pt idx="11">
                  <c:v>0.90593073042817418</c:v>
                </c:pt>
                <c:pt idx="12">
                  <c:v>0.89476708570107855</c:v>
                </c:pt>
                <c:pt idx="13">
                  <c:v>0.89522062609407849</c:v>
                </c:pt>
                <c:pt idx="14">
                  <c:v>0.90243289468672849</c:v>
                </c:pt>
                <c:pt idx="15">
                  <c:v>0.88736930071001807</c:v>
                </c:pt>
                <c:pt idx="16">
                  <c:v>0.87598677623355403</c:v>
                </c:pt>
                <c:pt idx="17">
                  <c:v>0.87444584604045528</c:v>
                </c:pt>
                <c:pt idx="18">
                  <c:v>0.87042436321684946</c:v>
                </c:pt>
                <c:pt idx="19">
                  <c:v>0.85472839370446074</c:v>
                </c:pt>
                <c:pt idx="20">
                  <c:v>0.84177929810714847</c:v>
                </c:pt>
                <c:pt idx="21">
                  <c:v>0.838269370520482</c:v>
                </c:pt>
                <c:pt idx="22">
                  <c:v>0.83191953983036648</c:v>
                </c:pt>
                <c:pt idx="23">
                  <c:v>0.82651078855921678</c:v>
                </c:pt>
              </c:numCache>
            </c:numRef>
          </c:val>
          <c:smooth val="0"/>
        </c:ser>
        <c:ser>
          <c:idx val="3"/>
          <c:order val="3"/>
          <c:tx>
            <c:strRef>
              <c:f>'Charts (web)'!$S$4</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(web)'!$O$5:$O$28</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(web)'!$S$5:$S$28</c:f>
              <c:numCache>
                <c:formatCode>0.0000</c:formatCode>
                <c:ptCount val="24"/>
                <c:pt idx="0">
                  <c:v>1</c:v>
                </c:pt>
                <c:pt idx="1">
                  <c:v>1.0310205033476332</c:v>
                </c:pt>
                <c:pt idx="2">
                  <c:v>1.0552807294965139</c:v>
                </c:pt>
                <c:pt idx="3">
                  <c:v>1.0838334813120365</c:v>
                </c:pt>
                <c:pt idx="4">
                  <c:v>1.0978835148312631</c:v>
                </c:pt>
                <c:pt idx="5">
                  <c:v>1.102362861028408</c:v>
                </c:pt>
                <c:pt idx="6">
                  <c:v>1.0725540704062735</c:v>
                </c:pt>
                <c:pt idx="7">
                  <c:v>1.1079882727786654</c:v>
                </c:pt>
                <c:pt idx="8">
                  <c:v>1.1401615084131307</c:v>
                </c:pt>
                <c:pt idx="9">
                  <c:v>1.1776815960496221</c:v>
                </c:pt>
                <c:pt idx="10">
                  <c:v>1.2053728299092168</c:v>
                </c:pt>
                <c:pt idx="11">
                  <c:v>1.2346397274324545</c:v>
                </c:pt>
                <c:pt idx="12">
                  <c:v>1.2619992512529643</c:v>
                </c:pt>
                <c:pt idx="13">
                  <c:v>1.2951324522484764</c:v>
                </c:pt>
                <c:pt idx="14">
                  <c:v>1.3413277139087507</c:v>
                </c:pt>
                <c:pt idx="15">
                  <c:v>1.3559006402966816</c:v>
                </c:pt>
                <c:pt idx="16">
                  <c:v>1.3529790964848225</c:v>
                </c:pt>
                <c:pt idx="17">
                  <c:v>1.3817538524106496</c:v>
                </c:pt>
                <c:pt idx="18">
                  <c:v>1.3977013295608933</c:v>
                </c:pt>
                <c:pt idx="19">
                  <c:v>1.4241837753930131</c:v>
                </c:pt>
                <c:pt idx="20">
                  <c:v>1.4259389017064681</c:v>
                </c:pt>
                <c:pt idx="21">
                  <c:v>1.4370406615182947</c:v>
                </c:pt>
                <c:pt idx="22">
                  <c:v>1.4471742881440883</c:v>
                </c:pt>
                <c:pt idx="23">
                  <c:v>1.4197460634665096</c:v>
                </c:pt>
              </c:numCache>
            </c:numRef>
          </c:val>
          <c:smooth val="0"/>
        </c:ser>
        <c:dLbls>
          <c:showLegendKey val="0"/>
          <c:showVal val="0"/>
          <c:showCatName val="0"/>
          <c:showSerName val="0"/>
          <c:showPercent val="0"/>
          <c:showBubbleSize val="0"/>
        </c:dLbls>
        <c:marker val="1"/>
        <c:smooth val="0"/>
        <c:axId val="116155520"/>
        <c:axId val="116157824"/>
      </c:lineChart>
      <c:catAx>
        <c:axId val="116155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47629790310918296"/>
              <c:y val="0.918568237222774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157824"/>
        <c:crosses val="autoZero"/>
        <c:auto val="1"/>
        <c:lblAlgn val="ctr"/>
        <c:lblOffset val="100"/>
        <c:tickLblSkip val="2"/>
        <c:tickMarkSkip val="1"/>
        <c:noMultiLvlLbl val="0"/>
      </c:catAx>
      <c:valAx>
        <c:axId val="116157824"/>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1286658581993955E-2"/>
              <c:y val="0.29316005402237344"/>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155520"/>
        <c:crosses val="autoZero"/>
        <c:crossBetween val="midCat"/>
      </c:valAx>
      <c:spPr>
        <a:noFill/>
        <a:ln w="3175">
          <a:solidFill>
            <a:srgbClr val="000000"/>
          </a:solidFill>
          <a:prstDash val="solid"/>
        </a:ln>
      </c:spPr>
    </c:plotArea>
    <c:legend>
      <c:legendPos val="r"/>
      <c:layout>
        <c:manualLayout>
          <c:xMode val="edge"/>
          <c:yMode val="edge"/>
          <c:x val="0.1749819233550253"/>
          <c:y val="0.51887980021914737"/>
          <c:w val="0.24945770065075923"/>
          <c:h val="0.24919161803803647"/>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12415349887133"/>
          <c:y val="6.7307902981967968E-2"/>
          <c:w val="0.84424379232505642"/>
          <c:h val="0.78525886812295964"/>
        </c:manualLayout>
      </c:layout>
      <c:lineChart>
        <c:grouping val="standard"/>
        <c:varyColors val="0"/>
        <c:ser>
          <c:idx val="0"/>
          <c:order val="0"/>
          <c:tx>
            <c:strRef>
              <c:f>'Charts (web)'!$P$53</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(web)'!$O$54:$O$77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(web)'!$P$54:$P$77</c:f>
              <c:numCache>
                <c:formatCode>0.0000</c:formatCode>
                <c:ptCount val="24"/>
                <c:pt idx="0">
                  <c:v>1</c:v>
                </c:pt>
                <c:pt idx="1">
                  <c:v>1.0242283939336427</c:v>
                </c:pt>
                <c:pt idx="2">
                  <c:v>1.0618051946882867</c:v>
                </c:pt>
                <c:pt idx="3">
                  <c:v>1.1037694773536708</c:v>
                </c:pt>
                <c:pt idx="4">
                  <c:v>1.1246438529981866</c:v>
                </c:pt>
                <c:pt idx="5">
                  <c:v>1.1374376197170626</c:v>
                </c:pt>
                <c:pt idx="6">
                  <c:v>1.1451112391787956</c:v>
                </c:pt>
                <c:pt idx="7">
                  <c:v>1.1849835037689405</c:v>
                </c:pt>
                <c:pt idx="8">
                  <c:v>1.2057832848913204</c:v>
                </c:pt>
                <c:pt idx="9">
                  <c:v>1.2365738833740516</c:v>
                </c:pt>
                <c:pt idx="10">
                  <c:v>1.2667691488992032</c:v>
                </c:pt>
                <c:pt idx="11">
                  <c:v>1.3092698934928872</c:v>
                </c:pt>
                <c:pt idx="12">
                  <c:v>1.3509274539681764</c:v>
                </c:pt>
                <c:pt idx="13">
                  <c:v>1.3904272615544104</c:v>
                </c:pt>
                <c:pt idx="14">
                  <c:v>1.4299985585735773</c:v>
                </c:pt>
                <c:pt idx="15">
                  <c:v>1.4729468449386236</c:v>
                </c:pt>
                <c:pt idx="16">
                  <c:v>1.4885176503107744</c:v>
                </c:pt>
                <c:pt idx="17">
                  <c:v>1.5156974363683235</c:v>
                </c:pt>
                <c:pt idx="18">
                  <c:v>1.5428102044506418</c:v>
                </c:pt>
                <c:pt idx="19">
                  <c:v>1.6074017342628364</c:v>
                </c:pt>
                <c:pt idx="20">
                  <c:v>1.6380687050865446</c:v>
                </c:pt>
                <c:pt idx="21">
                  <c:v>1.6637858392841314</c:v>
                </c:pt>
                <c:pt idx="22">
                  <c:v>1.6886467692226337</c:v>
                </c:pt>
                <c:pt idx="23">
                  <c:v>1.6498567486833895</c:v>
                </c:pt>
              </c:numCache>
            </c:numRef>
          </c:val>
          <c:smooth val="0"/>
        </c:ser>
        <c:ser>
          <c:idx val="1"/>
          <c:order val="1"/>
          <c:tx>
            <c:strRef>
              <c:f>'Charts (web)'!$Q$53</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(web)'!$O$54:$O$77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(web)'!$Q$54:$Q$77</c:f>
              <c:numCache>
                <c:formatCode>0.0000</c:formatCode>
                <c:ptCount val="24"/>
                <c:pt idx="0">
                  <c:v>1</c:v>
                </c:pt>
                <c:pt idx="1">
                  <c:v>1.0018332041289146</c:v>
                </c:pt>
                <c:pt idx="2">
                  <c:v>1.0026216954565474</c:v>
                </c:pt>
                <c:pt idx="3">
                  <c:v>1.0042824701172397</c:v>
                </c:pt>
                <c:pt idx="4">
                  <c:v>1.0050587123220136</c:v>
                </c:pt>
                <c:pt idx="5">
                  <c:v>1.0067599691182305</c:v>
                </c:pt>
                <c:pt idx="6">
                  <c:v>1.0109326814721447</c:v>
                </c:pt>
                <c:pt idx="7">
                  <c:v>1.0122662532470388</c:v>
                </c:pt>
                <c:pt idx="8">
                  <c:v>1.0124340920085939</c:v>
                </c:pt>
                <c:pt idx="9">
                  <c:v>1.0106083908996841</c:v>
                </c:pt>
                <c:pt idx="10">
                  <c:v>1.0104128676637203</c:v>
                </c:pt>
                <c:pt idx="11">
                  <c:v>1.0113958481440359</c:v>
                </c:pt>
                <c:pt idx="12">
                  <c:v>1.0136269153004613</c:v>
                </c:pt>
                <c:pt idx="13">
                  <c:v>1.0140885091537211</c:v>
                </c:pt>
                <c:pt idx="14">
                  <c:v>1.0154699724158402</c:v>
                </c:pt>
                <c:pt idx="15">
                  <c:v>1.0153160631567082</c:v>
                </c:pt>
                <c:pt idx="16">
                  <c:v>1.0170375057950132</c:v>
                </c:pt>
                <c:pt idx="17">
                  <c:v>1.0171457005030939</c:v>
                </c:pt>
                <c:pt idx="18">
                  <c:v>1.016848635045386</c:v>
                </c:pt>
                <c:pt idx="19">
                  <c:v>1.0172257451874909</c:v>
                </c:pt>
                <c:pt idx="20">
                  <c:v>1.0185973432595219</c:v>
                </c:pt>
                <c:pt idx="21">
                  <c:v>1.0194540425689942</c:v>
                </c:pt>
                <c:pt idx="22">
                  <c:v>1.0183332464127912</c:v>
                </c:pt>
                <c:pt idx="23">
                  <c:v>1.0203340328993</c:v>
                </c:pt>
              </c:numCache>
            </c:numRef>
          </c:val>
          <c:smooth val="0"/>
        </c:ser>
        <c:ser>
          <c:idx val="2"/>
          <c:order val="2"/>
          <c:tx>
            <c:strRef>
              <c:f>'Charts (web)'!$R$53</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(web)'!$O$54:$O$77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(web)'!$R$54:$R$77</c:f>
              <c:numCache>
                <c:formatCode>0.0000</c:formatCode>
                <c:ptCount val="24"/>
                <c:pt idx="0">
                  <c:v>1</c:v>
                </c:pt>
                <c:pt idx="1">
                  <c:v>1.0114284553295805</c:v>
                </c:pt>
                <c:pt idx="2">
                  <c:v>0.9934296637720017</c:v>
                </c:pt>
                <c:pt idx="3">
                  <c:v>0.97562398390608562</c:v>
                </c:pt>
                <c:pt idx="4">
                  <c:v>0.96640614607228315</c:v>
                </c:pt>
                <c:pt idx="5">
                  <c:v>0.94568804030853193</c:v>
                </c:pt>
                <c:pt idx="6">
                  <c:v>0.90399721943488731</c:v>
                </c:pt>
                <c:pt idx="7">
                  <c:v>0.90696264337629329</c:v>
                </c:pt>
                <c:pt idx="8">
                  <c:v>0.91612629206741147</c:v>
                </c:pt>
                <c:pt idx="9">
                  <c:v>0.913318574182166</c:v>
                </c:pt>
                <c:pt idx="10">
                  <c:v>0.90659156808585362</c:v>
                </c:pt>
                <c:pt idx="11">
                  <c:v>0.8994038467482065</c:v>
                </c:pt>
                <c:pt idx="12">
                  <c:v>0.89053869068887681</c:v>
                </c:pt>
                <c:pt idx="13">
                  <c:v>0.88697174962960545</c:v>
                </c:pt>
                <c:pt idx="14">
                  <c:v>0.89276271881835545</c:v>
                </c:pt>
                <c:pt idx="15">
                  <c:v>0.86757402620813218</c:v>
                </c:pt>
                <c:pt idx="16">
                  <c:v>0.85739132371352822</c:v>
                </c:pt>
                <c:pt idx="17">
                  <c:v>0.85178116634457823</c:v>
                </c:pt>
                <c:pt idx="18">
                  <c:v>0.8650363298961703</c:v>
                </c:pt>
                <c:pt idx="19">
                  <c:v>0.84645621310091668</c:v>
                </c:pt>
                <c:pt idx="20">
                  <c:v>0.82277940105024827</c:v>
                </c:pt>
                <c:pt idx="21">
                  <c:v>0.81202732503651909</c:v>
                </c:pt>
                <c:pt idx="22">
                  <c:v>0.80480197919421437</c:v>
                </c:pt>
                <c:pt idx="23">
                  <c:v>0.79928663653977283</c:v>
                </c:pt>
              </c:numCache>
            </c:numRef>
          </c:val>
          <c:smooth val="0"/>
        </c:ser>
        <c:ser>
          <c:idx val="3"/>
          <c:order val="3"/>
          <c:tx>
            <c:strRef>
              <c:f>'Charts (web)'!$S$53</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(web)'!$O$54:$O$77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(web)'!$S$54:$S$77</c:f>
              <c:numCache>
                <c:formatCode>0.0000</c:formatCode>
                <c:ptCount val="24"/>
                <c:pt idx="0">
                  <c:v>1</c:v>
                </c:pt>
                <c:pt idx="1">
                  <c:v>1.0378328203948164</c:v>
                </c:pt>
                <c:pt idx="2">
                  <c:v>1.0575942173640895</c:v>
                </c:pt>
                <c:pt idx="3">
                  <c:v>1.0814756126021814</c:v>
                </c:pt>
                <c:pt idx="4">
                  <c:v>1.0923608575729473</c:v>
                </c:pt>
                <c:pt idx="5">
                  <c:v>1.0829325897431992</c:v>
                </c:pt>
                <c:pt idx="6">
                  <c:v>1.0464946406820113</c:v>
                </c:pt>
                <c:pt idx="7">
                  <c:v>1.0879187520755276</c:v>
                </c:pt>
                <c:pt idx="8">
                  <c:v>1.1183850866996163</c:v>
                </c:pt>
                <c:pt idx="9">
                  <c:v>1.1413668630958125</c:v>
                </c:pt>
                <c:pt idx="10">
                  <c:v>1.1604008060543913</c:v>
                </c:pt>
                <c:pt idx="11">
                  <c:v>1.190981700686218</c:v>
                </c:pt>
                <c:pt idx="12">
                  <c:v>1.2194470696684994</c:v>
                </c:pt>
                <c:pt idx="13">
                  <c:v>1.2506446323839444</c:v>
                </c:pt>
                <c:pt idx="14">
                  <c:v>1.2963991320775501</c:v>
                </c:pt>
                <c:pt idx="15">
                  <c:v>1.29746267510532</c:v>
                </c:pt>
                <c:pt idx="16">
                  <c:v>1.297986101061898</c:v>
                </c:pt>
                <c:pt idx="17">
                  <c:v>1.3131783587344412</c:v>
                </c:pt>
                <c:pt idx="18">
                  <c:v>1.3570728442110149</c:v>
                </c:pt>
                <c:pt idx="19">
                  <c:v>1.3840324508746567</c:v>
                </c:pt>
                <c:pt idx="20">
                  <c:v>1.3728341142750418</c:v>
                </c:pt>
                <c:pt idx="21">
                  <c:v>1.377322745707859</c:v>
                </c:pt>
                <c:pt idx="22">
                  <c:v>1.3839416253735484</c:v>
                </c:pt>
                <c:pt idx="23">
                  <c:v>1.3455231124635059</c:v>
                </c:pt>
              </c:numCache>
            </c:numRef>
          </c:val>
          <c:smooth val="0"/>
        </c:ser>
        <c:dLbls>
          <c:showLegendKey val="0"/>
          <c:showVal val="0"/>
          <c:showCatName val="0"/>
          <c:showSerName val="0"/>
          <c:showPercent val="0"/>
          <c:showBubbleSize val="0"/>
        </c:dLbls>
        <c:marker val="1"/>
        <c:smooth val="0"/>
        <c:axId val="116209152"/>
        <c:axId val="116215808"/>
      </c:lineChart>
      <c:catAx>
        <c:axId val="116209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50338599683678853"/>
              <c:y val="0.919874638311720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215808"/>
        <c:crosses val="autoZero"/>
        <c:auto val="1"/>
        <c:lblAlgn val="ctr"/>
        <c:lblOffset val="100"/>
        <c:tickLblSkip val="2"/>
        <c:tickMarkSkip val="1"/>
        <c:noMultiLvlLbl val="0"/>
      </c:catAx>
      <c:valAx>
        <c:axId val="116215808"/>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1286656122628301E-2"/>
              <c:y val="0.30448825972225169"/>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209152"/>
        <c:crosses val="autoZero"/>
        <c:crossBetween val="midCat"/>
      </c:valAx>
      <c:spPr>
        <a:noFill/>
        <a:ln w="12700">
          <a:solidFill>
            <a:schemeClr val="tx1"/>
          </a:solidFill>
        </a:ln>
      </c:spPr>
    </c:plotArea>
    <c:legend>
      <c:legendPos val="r"/>
      <c:layout>
        <c:manualLayout>
          <c:xMode val="edge"/>
          <c:yMode val="edge"/>
          <c:x val="0.17278640385934479"/>
          <c:y val="0.61994609164420489"/>
          <c:w val="0.26565897405372924"/>
          <c:h val="0.19676549865229109"/>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0280458435103E-2"/>
          <c:y val="3.5640673948014567E-2"/>
          <c:w val="0.85393352125781385"/>
          <c:h val="0.79288276472354347"/>
        </c:manualLayout>
      </c:layout>
      <c:lineChart>
        <c:grouping val="standard"/>
        <c:varyColors val="0"/>
        <c:ser>
          <c:idx val="0"/>
          <c:order val="0"/>
          <c:tx>
            <c:strRef>
              <c:f>'Charts (web)'!$P$109</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(web)'!$O$110:$O$135</c:f>
              <c:numCache>
                <c:formatCode>0</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'Charts (web)'!$P$110:$P$135</c:f>
              <c:numCache>
                <c:formatCode>0.0000</c:formatCode>
                <c:ptCount val="26"/>
                <c:pt idx="0">
                  <c:v>1</c:v>
                </c:pt>
                <c:pt idx="1">
                  <c:v>0.9950774200832454</c:v>
                </c:pt>
                <c:pt idx="2">
                  <c:v>1.0490174975236324</c:v>
                </c:pt>
                <c:pt idx="3">
                  <c:v>1.08635165196587</c:v>
                </c:pt>
                <c:pt idx="4">
                  <c:v>1.0812251749249242</c:v>
                </c:pt>
                <c:pt idx="5">
                  <c:v>1.1028310617166657</c:v>
                </c:pt>
                <c:pt idx="6">
                  <c:v>1.1205765976477655</c:v>
                </c:pt>
                <c:pt idx="7">
                  <c:v>1.1455152185441313</c:v>
                </c:pt>
                <c:pt idx="8">
                  <c:v>1.158355094199053</c:v>
                </c:pt>
                <c:pt idx="9">
                  <c:v>1.2289998264242239</c:v>
                </c:pt>
                <c:pt idx="10">
                  <c:v>1.2852130872818535</c:v>
                </c:pt>
                <c:pt idx="11">
                  <c:v>1.3019976792583083</c:v>
                </c:pt>
                <c:pt idx="12">
                  <c:v>1.3022405229269418</c:v>
                </c:pt>
                <c:pt idx="13">
                  <c:v>1.3104438595086971</c:v>
                </c:pt>
                <c:pt idx="14">
                  <c:v>1.3404681818326265</c:v>
                </c:pt>
                <c:pt idx="15">
                  <c:v>1.3601754206796468</c:v>
                </c:pt>
                <c:pt idx="16">
                  <c:v>1.3664154518664244</c:v>
                </c:pt>
                <c:pt idx="17">
                  <c:v>1.3873245849450919</c:v>
                </c:pt>
                <c:pt idx="18">
                  <c:v>1.4040209341191801</c:v>
                </c:pt>
                <c:pt idx="19">
                  <c:v>1.4579786322696089</c:v>
                </c:pt>
                <c:pt idx="20">
                  <c:v>1.4630590225311166</c:v>
                </c:pt>
                <c:pt idx="21">
                  <c:v>1.4743121546766038</c:v>
                </c:pt>
                <c:pt idx="22">
                  <c:v>1.4859199746920548</c:v>
                </c:pt>
                <c:pt idx="23">
                  <c:v>1.4824241111741892</c:v>
                </c:pt>
                <c:pt idx="24">
                  <c:v>1.3342759325930826</c:v>
                </c:pt>
                <c:pt idx="25">
                  <c:v>1.4136635770715085</c:v>
                </c:pt>
              </c:numCache>
            </c:numRef>
          </c:val>
          <c:smooth val="0"/>
        </c:ser>
        <c:ser>
          <c:idx val="1"/>
          <c:order val="1"/>
          <c:tx>
            <c:strRef>
              <c:f>'Charts (web)'!$Q$109</c:f>
              <c:strCache>
                <c:ptCount val="1"/>
                <c:pt idx="0">
                  <c:v>Modal Shifts</c:v>
                </c:pt>
              </c:strCache>
            </c:strRef>
          </c:tx>
          <c:spPr>
            <a:ln w="12700">
              <a:solidFill>
                <a:srgbClr val="3366FF"/>
              </a:solidFill>
              <a:prstDash val="solid"/>
            </a:ln>
          </c:spPr>
          <c:marker>
            <c:symbol val="circle"/>
            <c:size val="5"/>
            <c:spPr>
              <a:solidFill>
                <a:srgbClr val="0070C0"/>
              </a:solidFill>
              <a:ln>
                <a:solidFill>
                  <a:srgbClr val="3366FF"/>
                </a:solidFill>
                <a:prstDash val="solid"/>
              </a:ln>
            </c:spPr>
          </c:marker>
          <c:cat>
            <c:numRef>
              <c:f>'Charts (web)'!$O$110:$O$135</c:f>
              <c:numCache>
                <c:formatCode>0</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'Charts (web)'!$Q$110:$Q$135</c:f>
              <c:numCache>
                <c:formatCode>0.0000</c:formatCode>
                <c:ptCount val="26"/>
                <c:pt idx="0">
                  <c:v>1</c:v>
                </c:pt>
                <c:pt idx="1">
                  <c:v>1.0201376884178959</c:v>
                </c:pt>
                <c:pt idx="2">
                  <c:v>1.0242116331946314</c:v>
                </c:pt>
                <c:pt idx="3">
                  <c:v>1.035311614727191</c:v>
                </c:pt>
                <c:pt idx="4">
                  <c:v>1.070911004930911</c:v>
                </c:pt>
                <c:pt idx="5">
                  <c:v>1.0692970351191116</c:v>
                </c:pt>
                <c:pt idx="6">
                  <c:v>1.072830378868596</c:v>
                </c:pt>
                <c:pt idx="7">
                  <c:v>1.0768587709133601</c:v>
                </c:pt>
                <c:pt idx="8">
                  <c:v>1.1112312380786342</c:v>
                </c:pt>
                <c:pt idx="9">
                  <c:v>1.1191536497610237</c:v>
                </c:pt>
                <c:pt idx="10">
                  <c:v>1.1145828803247302</c:v>
                </c:pt>
                <c:pt idx="11">
                  <c:v>1.1279676976095676</c:v>
                </c:pt>
                <c:pt idx="12">
                  <c:v>1.1693894803389011</c:v>
                </c:pt>
                <c:pt idx="13">
                  <c:v>1.1807602233084546</c:v>
                </c:pt>
                <c:pt idx="14">
                  <c:v>1.1789870326280358</c:v>
                </c:pt>
                <c:pt idx="15">
                  <c:v>1.1892969989794111</c:v>
                </c:pt>
                <c:pt idx="16">
                  <c:v>1.1925271496647518</c:v>
                </c:pt>
                <c:pt idx="17">
                  <c:v>1.2147251886647978</c:v>
                </c:pt>
                <c:pt idx="18">
                  <c:v>1.215788658881354</c:v>
                </c:pt>
                <c:pt idx="19">
                  <c:v>1.2015800563111487</c:v>
                </c:pt>
                <c:pt idx="20">
                  <c:v>1.2061657621449682</c:v>
                </c:pt>
                <c:pt idx="21">
                  <c:v>1.1983669971409114</c:v>
                </c:pt>
                <c:pt idx="22">
                  <c:v>1.2091045424731937</c:v>
                </c:pt>
                <c:pt idx="23">
                  <c:v>1.2211467803498721</c:v>
                </c:pt>
                <c:pt idx="24">
                  <c:v>1.2520234630503084</c:v>
                </c:pt>
                <c:pt idx="25">
                  <c:v>1.2048095504021683</c:v>
                </c:pt>
              </c:numCache>
            </c:numRef>
          </c:val>
          <c:smooth val="0"/>
        </c:ser>
        <c:ser>
          <c:idx val="2"/>
          <c:order val="2"/>
          <c:tx>
            <c:strRef>
              <c:f>'Charts (web)'!$R$109</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(web)'!$O$110:$O$135</c:f>
              <c:numCache>
                <c:formatCode>0</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'Charts (web)'!$R$110:$R$135</c:f>
              <c:numCache>
                <c:formatCode>0.0000</c:formatCode>
                <c:ptCount val="26"/>
                <c:pt idx="0">
                  <c:v>1</c:v>
                </c:pt>
                <c:pt idx="1">
                  <c:v>0.99707933305078211</c:v>
                </c:pt>
                <c:pt idx="2">
                  <c:v>0.97622588106667141</c:v>
                </c:pt>
                <c:pt idx="3">
                  <c:v>0.96946066196849845</c:v>
                </c:pt>
                <c:pt idx="4">
                  <c:v>0.96138228603499831</c:v>
                </c:pt>
                <c:pt idx="5">
                  <c:v>0.9804355191978964</c:v>
                </c:pt>
                <c:pt idx="6">
                  <c:v>0.95220974347568466</c:v>
                </c:pt>
                <c:pt idx="7">
                  <c:v>0.94327015685300253</c:v>
                </c:pt>
                <c:pt idx="8">
                  <c:v>0.93262847092491707</c:v>
                </c:pt>
                <c:pt idx="9">
                  <c:v>0.92935321842630925</c:v>
                </c:pt>
                <c:pt idx="10">
                  <c:v>0.92842025236398729</c:v>
                </c:pt>
                <c:pt idx="11">
                  <c:v>0.92302670620667715</c:v>
                </c:pt>
                <c:pt idx="12">
                  <c:v>0.90612033080496157</c:v>
                </c:pt>
                <c:pt idx="13">
                  <c:v>0.91665501968409024</c:v>
                </c:pt>
                <c:pt idx="14">
                  <c:v>0.92747390352672687</c:v>
                </c:pt>
                <c:pt idx="15">
                  <c:v>0.93825285980950979</c:v>
                </c:pt>
                <c:pt idx="16">
                  <c:v>0.92378946671681728</c:v>
                </c:pt>
                <c:pt idx="17">
                  <c:v>0.93263899682568752</c:v>
                </c:pt>
                <c:pt idx="18">
                  <c:v>0.8847358087418512</c:v>
                </c:pt>
                <c:pt idx="19">
                  <c:v>0.87642993164642391</c:v>
                </c:pt>
                <c:pt idx="20">
                  <c:v>0.89139258422749901</c:v>
                </c:pt>
                <c:pt idx="21">
                  <c:v>0.90699703960999467</c:v>
                </c:pt>
                <c:pt idx="22">
                  <c:v>0.90297902181467271</c:v>
                </c:pt>
                <c:pt idx="23">
                  <c:v>0.89784752734590734</c:v>
                </c:pt>
                <c:pt idx="24">
                  <c:v>0.89861332960903328</c:v>
                </c:pt>
                <c:pt idx="25">
                  <c:v>0.90289090714267362</c:v>
                </c:pt>
              </c:numCache>
            </c:numRef>
          </c:val>
          <c:smooth val="0"/>
        </c:ser>
        <c:ser>
          <c:idx val="3"/>
          <c:order val="3"/>
          <c:tx>
            <c:strRef>
              <c:f>'Charts (web)'!$S$109</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(web)'!$O$110:$O$135</c:f>
              <c:numCache>
                <c:formatCode>0</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'Charts (web)'!$S$110:$S$135</c:f>
              <c:numCache>
                <c:formatCode>0.0000</c:formatCode>
                <c:ptCount val="26"/>
                <c:pt idx="0">
                  <c:v>1</c:v>
                </c:pt>
                <c:pt idx="1">
                  <c:v>1.0121511634307252</c:v>
                </c:pt>
                <c:pt idx="2">
                  <c:v>1.0488726324181519</c:v>
                </c:pt>
                <c:pt idx="3">
                  <c:v>1.0903645082530222</c:v>
                </c:pt>
                <c:pt idx="4">
                  <c:v>1.1131806444759895</c:v>
                </c:pt>
                <c:pt idx="5">
                  <c:v>1.1561824925897339</c:v>
                </c:pt>
                <c:pt idx="6">
                  <c:v>1.1447357134657672</c:v>
                </c:pt>
                <c:pt idx="7">
                  <c:v>1.163578552193731</c:v>
                </c:pt>
                <c:pt idx="8">
                  <c:v>1.2004797086143597</c:v>
                </c:pt>
                <c:pt idx="9">
                  <c:v>1.278269257391736</c:v>
                </c:pt>
                <c:pt idx="10">
                  <c:v>1.3299401979560217</c:v>
                </c:pt>
                <c:pt idx="11">
                  <c:v>1.3555674736119754</c:v>
                </c:pt>
                <c:pt idx="12">
                  <c:v>1.3798639326766313</c:v>
                </c:pt>
                <c:pt idx="13">
                  <c:v>1.4183586305622304</c:v>
                </c:pt>
                <c:pt idx="14">
                  <c:v>1.4657747525133444</c:v>
                </c:pt>
                <c:pt idx="15">
                  <c:v>1.517767127368681</c:v>
                </c:pt>
                <c:pt idx="16">
                  <c:v>1.5053034108843111</c:v>
                </c:pt>
                <c:pt idx="17">
                  <c:v>1.5717001351781548</c:v>
                </c:pt>
                <c:pt idx="18">
                  <c:v>1.5102375921960804</c:v>
                </c:pt>
                <c:pt idx="19">
                  <c:v>1.5353983570402694</c:v>
                </c:pt>
                <c:pt idx="20">
                  <c:v>1.5730330956963177</c:v>
                </c:pt>
                <c:pt idx="21">
                  <c:v>1.6024524655714165</c:v>
                </c:pt>
                <c:pt idx="22">
                  <c:v>1.6223215397186292</c:v>
                </c:pt>
                <c:pt idx="23">
                  <c:v>1.6253351578100841</c:v>
                </c:pt>
                <c:pt idx="24">
                  <c:v>1.5011738014362876</c:v>
                </c:pt>
                <c:pt idx="25">
                  <c:v>1.5377996205259881</c:v>
                </c:pt>
              </c:numCache>
            </c:numRef>
          </c:val>
          <c:smooth val="0"/>
        </c:ser>
        <c:dLbls>
          <c:showLegendKey val="0"/>
          <c:showVal val="0"/>
          <c:showCatName val="0"/>
          <c:showSerName val="0"/>
          <c:showPercent val="0"/>
          <c:showBubbleSize val="0"/>
        </c:dLbls>
        <c:marker val="1"/>
        <c:smooth val="0"/>
        <c:axId val="115935872"/>
        <c:axId val="115958912"/>
      </c:lineChart>
      <c:catAx>
        <c:axId val="1159358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49887691370465898"/>
              <c:y val="0.919096774193548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5958912"/>
        <c:crosses val="autoZero"/>
        <c:auto val="1"/>
        <c:lblAlgn val="ctr"/>
        <c:lblOffset val="100"/>
        <c:tickLblSkip val="2"/>
        <c:tickMarkSkip val="1"/>
        <c:noMultiLvlLbl val="0"/>
      </c:catAx>
      <c:valAx>
        <c:axId val="115958912"/>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1235873173120171E-2"/>
              <c:y val="0.28802675472017608"/>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15935872"/>
        <c:crosses val="autoZero"/>
        <c:crossBetween val="midCat"/>
      </c:valAx>
      <c:spPr>
        <a:noFill/>
        <a:ln w="3175">
          <a:solidFill>
            <a:srgbClr val="000000"/>
          </a:solidFill>
          <a:prstDash val="solid"/>
        </a:ln>
      </c:spPr>
    </c:plotArea>
    <c:legend>
      <c:legendPos val="r"/>
      <c:layout>
        <c:manualLayout>
          <c:xMode val="edge"/>
          <c:yMode val="edge"/>
          <c:x val="0.15401301518438179"/>
          <c:y val="0.50645229023791383"/>
          <c:w val="0.28416485900216915"/>
          <c:h val="0.23225840318347302"/>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84482758620689"/>
          <c:y val="0.17105263157894737"/>
          <c:w val="0.80387931034482762"/>
          <c:h val="0.66842105263157892"/>
        </c:manualLayout>
      </c:layout>
      <c:lineChart>
        <c:grouping val="standard"/>
        <c:varyColors val="0"/>
        <c:ser>
          <c:idx val="0"/>
          <c:order val="0"/>
          <c:tx>
            <c:strRef>
              <c:f>'Charts (web)'!$P$158</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(web)'!$O$159:$O$182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(web)'!$P$159:$P$182</c:f>
              <c:numCache>
                <c:formatCode>0.0000</c:formatCode>
                <c:ptCount val="24"/>
                <c:pt idx="0">
                  <c:v>1</c:v>
                </c:pt>
                <c:pt idx="1">
                  <c:v>1.0178684766153172</c:v>
                </c:pt>
                <c:pt idx="2">
                  <c:v>1.0471364384333093</c:v>
                </c:pt>
                <c:pt idx="3">
                  <c:v>1.0875196800613489</c:v>
                </c:pt>
                <c:pt idx="4">
                  <c:v>1.10724897689145</c:v>
                </c:pt>
                <c:pt idx="5">
                  <c:v>1.113669312930889</c:v>
                </c:pt>
                <c:pt idx="6">
                  <c:v>1.1256938602069706</c:v>
                </c:pt>
                <c:pt idx="7">
                  <c:v>1.1610118084029748</c:v>
                </c:pt>
                <c:pt idx="8">
                  <c:v>1.1809564998790125</c:v>
                </c:pt>
                <c:pt idx="9">
                  <c:v>1.2048502663614975</c:v>
                </c:pt>
                <c:pt idx="10">
                  <c:v>1.2316106371355204</c:v>
                </c:pt>
                <c:pt idx="11">
                  <c:v>1.2665476812084775</c:v>
                </c:pt>
                <c:pt idx="12">
                  <c:v>1.3053473178506443</c:v>
                </c:pt>
                <c:pt idx="13">
                  <c:v>1.3441708478393095</c:v>
                </c:pt>
                <c:pt idx="14">
                  <c:v>1.3772566085849376</c:v>
                </c:pt>
                <c:pt idx="15">
                  <c:v>1.4113740398486911</c:v>
                </c:pt>
                <c:pt idx="16">
                  <c:v>1.4430462346114359</c:v>
                </c:pt>
                <c:pt idx="17">
                  <c:v>1.4778343515721879</c:v>
                </c:pt>
                <c:pt idx="18">
                  <c:v>1.502136830208568</c:v>
                </c:pt>
                <c:pt idx="19">
                  <c:v>1.5476952774038784</c:v>
                </c:pt>
                <c:pt idx="20">
                  <c:v>1.5660746266576999</c:v>
                </c:pt>
                <c:pt idx="21">
                  <c:v>1.5892214670805871</c:v>
                </c:pt>
                <c:pt idx="22">
                  <c:v>1.6062694086708935</c:v>
                </c:pt>
                <c:pt idx="23">
                  <c:v>1.567468770550335</c:v>
                </c:pt>
              </c:numCache>
            </c:numRef>
          </c:val>
          <c:smooth val="0"/>
        </c:ser>
        <c:ser>
          <c:idx val="1"/>
          <c:order val="1"/>
          <c:tx>
            <c:strRef>
              <c:f>'Charts (web)'!$Q$158</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(web)'!$O$159:$O$182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(web)'!$Q$159:$Q$182</c:f>
              <c:numCache>
                <c:formatCode>0.0000</c:formatCode>
                <c:ptCount val="24"/>
                <c:pt idx="0">
                  <c:v>1</c:v>
                </c:pt>
                <c:pt idx="1">
                  <c:v>1.0020650646997462</c:v>
                </c:pt>
                <c:pt idx="2">
                  <c:v>1.0034745023052087</c:v>
                </c:pt>
                <c:pt idx="3">
                  <c:v>1.0053606084168203</c:v>
                </c:pt>
                <c:pt idx="4">
                  <c:v>1.006189772443858</c:v>
                </c:pt>
                <c:pt idx="5">
                  <c:v>1.0082542331830604</c:v>
                </c:pt>
                <c:pt idx="6">
                  <c:v>1.0134633539708449</c:v>
                </c:pt>
                <c:pt idx="7">
                  <c:v>1.0158360901378598</c:v>
                </c:pt>
                <c:pt idx="8">
                  <c:v>1.0164681404014484</c:v>
                </c:pt>
                <c:pt idx="9">
                  <c:v>1.0149851653435029</c:v>
                </c:pt>
                <c:pt idx="10">
                  <c:v>1.0145967689648157</c:v>
                </c:pt>
                <c:pt idx="11">
                  <c:v>1.015919304876495</c:v>
                </c:pt>
                <c:pt idx="12">
                  <c:v>1.0185733184027257</c:v>
                </c:pt>
                <c:pt idx="13">
                  <c:v>1.0189440348684509</c:v>
                </c:pt>
                <c:pt idx="14">
                  <c:v>1.0206945043160307</c:v>
                </c:pt>
                <c:pt idx="15">
                  <c:v>1.020898940784966</c:v>
                </c:pt>
                <c:pt idx="16">
                  <c:v>1.0210388581860754</c:v>
                </c:pt>
                <c:pt idx="17">
                  <c:v>1.0213736795122594</c:v>
                </c:pt>
                <c:pt idx="18">
                  <c:v>1.0214568950292873</c:v>
                </c:pt>
                <c:pt idx="19">
                  <c:v>1.0236556800260559</c:v>
                </c:pt>
                <c:pt idx="20">
                  <c:v>1.0244864014382749</c:v>
                </c:pt>
                <c:pt idx="21">
                  <c:v>1.0252625089620229</c:v>
                </c:pt>
                <c:pt idx="22">
                  <c:v>1.0258895166592841</c:v>
                </c:pt>
                <c:pt idx="23">
                  <c:v>1.0272558183362079</c:v>
                </c:pt>
              </c:numCache>
            </c:numRef>
          </c:val>
          <c:smooth val="0"/>
        </c:ser>
        <c:ser>
          <c:idx val="2"/>
          <c:order val="2"/>
          <c:tx>
            <c:strRef>
              <c:f>'Charts (web)'!$R$158</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(web)'!$O$159:$O$182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(web)'!$R$159:$R$182</c:f>
              <c:numCache>
                <c:formatCode>0.0000</c:formatCode>
                <c:ptCount val="24"/>
                <c:pt idx="0">
                  <c:v>1</c:v>
                </c:pt>
                <c:pt idx="1">
                  <c:v>1.0136487805021515</c:v>
                </c:pt>
                <c:pt idx="2">
                  <c:v>1.0000649759569296</c:v>
                </c:pt>
                <c:pt idx="3">
                  <c:v>0.98026176120370467</c:v>
                </c:pt>
                <c:pt idx="4">
                  <c:v>0.97328879434947768</c:v>
                </c:pt>
                <c:pt idx="5">
                  <c:v>0.94780065117677559</c:v>
                </c:pt>
                <c:pt idx="6">
                  <c:v>0.9098396405678334</c:v>
                </c:pt>
                <c:pt idx="7">
                  <c:v>0.91322639016668716</c:v>
                </c:pt>
                <c:pt idx="8">
                  <c:v>0.92656700407725912</c:v>
                </c:pt>
                <c:pt idx="9">
                  <c:v>0.92681008197110604</c:v>
                </c:pt>
                <c:pt idx="10">
                  <c:v>0.92016710888169639</c:v>
                </c:pt>
                <c:pt idx="11">
                  <c:v>0.91658183557458872</c:v>
                </c:pt>
                <c:pt idx="12">
                  <c:v>0.9072286122586829</c:v>
                </c:pt>
                <c:pt idx="13">
                  <c:v>0.90191458427803439</c:v>
                </c:pt>
                <c:pt idx="14">
                  <c:v>0.90709451159588406</c:v>
                </c:pt>
                <c:pt idx="15">
                  <c:v>0.88383983449271231</c:v>
                </c:pt>
                <c:pt idx="16">
                  <c:v>0.87127926691732516</c:v>
                </c:pt>
                <c:pt idx="17">
                  <c:v>0.8735353614820307</c:v>
                </c:pt>
                <c:pt idx="18">
                  <c:v>0.89281711204838587</c:v>
                </c:pt>
                <c:pt idx="19">
                  <c:v>0.87900003690101625</c:v>
                </c:pt>
                <c:pt idx="20">
                  <c:v>0.85224378610814078</c:v>
                </c:pt>
                <c:pt idx="21">
                  <c:v>0.83931483826979836</c:v>
                </c:pt>
                <c:pt idx="22">
                  <c:v>0.83322831910544881</c:v>
                </c:pt>
                <c:pt idx="23">
                  <c:v>0.82826089830422345</c:v>
                </c:pt>
              </c:numCache>
            </c:numRef>
          </c:val>
          <c:smooth val="0"/>
        </c:ser>
        <c:ser>
          <c:idx val="3"/>
          <c:order val="3"/>
          <c:tx>
            <c:strRef>
              <c:f>'Charts (web)'!$S$158</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(web)'!$O$159:$O$182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(web)'!$S$159:$S$182</c:f>
              <c:numCache>
                <c:formatCode>0.0000</c:formatCode>
                <c:ptCount val="24"/>
                <c:pt idx="0">
                  <c:v>1</c:v>
                </c:pt>
                <c:pt idx="1">
                  <c:v>1.0338917935415504</c:v>
                </c:pt>
                <c:pt idx="2">
                  <c:v>1.0508429914952291</c:v>
                </c:pt>
                <c:pt idx="3">
                  <c:v>1.0717686547348806</c:v>
                </c:pt>
                <c:pt idx="4">
                  <c:v>1.0843435725369714</c:v>
                </c:pt>
                <c:pt idx="5">
                  <c:v>1.0642491443956497</c:v>
                </c:pt>
                <c:pt idx="6">
                  <c:v>1.0379900763758503</c:v>
                </c:pt>
                <c:pt idx="7">
                  <c:v>1.0770571005364427</c:v>
                </c:pt>
                <c:pt idx="8">
                  <c:v>1.1122553470198882</c:v>
                </c:pt>
                <c:pt idx="9">
                  <c:v>1.133400819364432</c:v>
                </c:pt>
                <c:pt idx="10">
                  <c:v>1.1498299364977458</c:v>
                </c:pt>
                <c:pt idx="11">
                  <c:v>1.1793752335275602</c:v>
                </c:pt>
                <c:pt idx="12">
                  <c:v>1.2062438589532196</c:v>
                </c:pt>
                <c:pt idx="13">
                  <c:v>1.2352936619084227</c:v>
                </c:pt>
                <c:pt idx="14">
                  <c:v>1.2751555944896993</c:v>
                </c:pt>
                <c:pt idx="15">
                  <c:v>1.2734985341858045</c:v>
                </c:pt>
                <c:pt idx="16">
                  <c:v>1.2837483432461125</c:v>
                </c:pt>
                <c:pt idx="17">
                  <c:v>1.3185327144064101</c:v>
                </c:pt>
                <c:pt idx="18">
                  <c:v>1.3699100266624673</c:v>
                </c:pt>
                <c:pt idx="19">
                  <c:v>1.3926059656651806</c:v>
                </c:pt>
                <c:pt idx="20">
                  <c:v>1.367358815002254</c:v>
                </c:pt>
                <c:pt idx="21">
                  <c:v>1.3675537370412705</c:v>
                </c:pt>
                <c:pt idx="22">
                  <c:v>1.3730394078566925</c:v>
                </c:pt>
                <c:pt idx="23">
                  <c:v>1.3336585875050808</c:v>
                </c:pt>
              </c:numCache>
            </c:numRef>
          </c:val>
          <c:smooth val="0"/>
        </c:ser>
        <c:dLbls>
          <c:showLegendKey val="0"/>
          <c:showVal val="0"/>
          <c:showCatName val="0"/>
          <c:showSerName val="0"/>
          <c:showPercent val="0"/>
          <c:showBubbleSize val="0"/>
        </c:dLbls>
        <c:marker val="1"/>
        <c:smooth val="0"/>
        <c:axId val="116005120"/>
        <c:axId val="116011776"/>
      </c:lineChart>
      <c:catAx>
        <c:axId val="11600512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US"/>
                  <a:t>Year</a:t>
                </a:r>
              </a:p>
            </c:rich>
          </c:tx>
          <c:layout>
            <c:manualLayout>
              <c:xMode val="edge"/>
              <c:yMode val="edge"/>
              <c:x val="0.520912978550095"/>
              <c:y val="0.933015347145007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011776"/>
        <c:crosses val="autoZero"/>
        <c:auto val="1"/>
        <c:lblAlgn val="ctr"/>
        <c:lblOffset val="100"/>
        <c:tickLblSkip val="2"/>
        <c:tickMarkSkip val="1"/>
        <c:noMultiLvlLbl val="0"/>
      </c:catAx>
      <c:valAx>
        <c:axId val="116011776"/>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9.5056113675445735E-3"/>
              <c:y val="0.34449824895807335"/>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005120"/>
        <c:crosses val="autoZero"/>
        <c:crossBetween val="midCat"/>
      </c:valAx>
      <c:spPr>
        <a:solidFill>
          <a:srgbClr val="FFFFFF"/>
        </a:solidFill>
        <a:ln w="12700">
          <a:solidFill>
            <a:srgbClr val="808080"/>
          </a:solidFill>
          <a:prstDash val="solid"/>
        </a:ln>
      </c:spPr>
    </c:plotArea>
    <c:legend>
      <c:legendPos val="r"/>
      <c:layout>
        <c:manualLayout>
          <c:xMode val="edge"/>
          <c:yMode val="edge"/>
          <c:x val="0.20258620689655171"/>
          <c:y val="0.53421044271483353"/>
          <c:w val="0.33405172413793105"/>
          <c:h val="0.25263170633930121"/>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7906813457118"/>
          <c:y val="6.9518716577540107E-2"/>
          <c:w val="0.81391052146099019"/>
          <c:h val="0.78877005347593587"/>
        </c:manualLayout>
      </c:layout>
      <c:lineChart>
        <c:grouping val="standard"/>
        <c:varyColors val="0"/>
        <c:ser>
          <c:idx val="0"/>
          <c:order val="0"/>
          <c:tx>
            <c:strRef>
              <c:f>'Charts (web)'!$P$193</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(web)'!$O$194:$O$217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(web)'!$P$194:$P$217</c:f>
              <c:numCache>
                <c:formatCode>0.0000</c:formatCode>
                <c:ptCount val="24"/>
                <c:pt idx="0">
                  <c:v>1</c:v>
                </c:pt>
                <c:pt idx="1">
                  <c:v>1.0184474338078791</c:v>
                </c:pt>
                <c:pt idx="2">
                  <c:v>1.0486656795116653</c:v>
                </c:pt>
                <c:pt idx="3">
                  <c:v>1.0898886623134927</c:v>
                </c:pt>
                <c:pt idx="4">
                  <c:v>1.1094001036436649</c:v>
                </c:pt>
                <c:pt idx="5">
                  <c:v>1.1160811892773823</c:v>
                </c:pt>
                <c:pt idx="6">
                  <c:v>1.1276758371349533</c:v>
                </c:pt>
                <c:pt idx="7">
                  <c:v>1.1635783730295937</c:v>
                </c:pt>
                <c:pt idx="8">
                  <c:v>1.1825368286949705</c:v>
                </c:pt>
                <c:pt idx="9">
                  <c:v>1.2053552028056349</c:v>
                </c:pt>
                <c:pt idx="10">
                  <c:v>1.2317255811095871</c:v>
                </c:pt>
                <c:pt idx="11">
                  <c:v>1.266802508526901</c:v>
                </c:pt>
                <c:pt idx="12">
                  <c:v>1.3071821724765682</c:v>
                </c:pt>
                <c:pt idx="13">
                  <c:v>1.3462258749377414</c:v>
                </c:pt>
                <c:pt idx="14">
                  <c:v>1.379224319159277</c:v>
                </c:pt>
                <c:pt idx="15">
                  <c:v>1.4125054767583154</c:v>
                </c:pt>
                <c:pt idx="16">
                  <c:v>1.4428948916982587</c:v>
                </c:pt>
                <c:pt idx="17">
                  <c:v>1.4776730525364796</c:v>
                </c:pt>
                <c:pt idx="18">
                  <c:v>1.5009153503368553</c:v>
                </c:pt>
                <c:pt idx="19">
                  <c:v>1.547425983741517</c:v>
                </c:pt>
                <c:pt idx="20">
                  <c:v>1.5659848727739614</c:v>
                </c:pt>
                <c:pt idx="21">
                  <c:v>1.5879140352161889</c:v>
                </c:pt>
                <c:pt idx="22">
                  <c:v>1.6058434293417323</c:v>
                </c:pt>
                <c:pt idx="23">
                  <c:v>1.5673421966273693</c:v>
                </c:pt>
              </c:numCache>
            </c:numRef>
          </c:val>
          <c:smooth val="0"/>
        </c:ser>
        <c:ser>
          <c:idx val="1"/>
          <c:order val="1"/>
          <c:tx>
            <c:strRef>
              <c:f>'Charts (web)'!$Q$193</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(web)'!$O$194:$O$217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(web)'!$Q$194:$Q$217</c:f>
              <c:numCache>
                <c:formatCode>0.0000</c:formatCode>
                <c:ptCount val="24"/>
                <c:pt idx="0">
                  <c:v>1</c:v>
                </c:pt>
                <c:pt idx="1">
                  <c:v>1.0016178481177984</c:v>
                </c:pt>
                <c:pt idx="2">
                  <c:v>1.0026126668938242</c:v>
                </c:pt>
                <c:pt idx="3">
                  <c:v>1.0041072125763968</c:v>
                </c:pt>
                <c:pt idx="4">
                  <c:v>1.0052331328955293</c:v>
                </c:pt>
                <c:pt idx="5">
                  <c:v>1.0071447797228947</c:v>
                </c:pt>
                <c:pt idx="6">
                  <c:v>1.0127663777289808</c:v>
                </c:pt>
                <c:pt idx="7">
                  <c:v>1.0151612070298264</c:v>
                </c:pt>
                <c:pt idx="8">
                  <c:v>1.0165168666657518</c:v>
                </c:pt>
                <c:pt idx="9">
                  <c:v>1.0161376882443776</c:v>
                </c:pt>
                <c:pt idx="10">
                  <c:v>1.0161186913056044</c:v>
                </c:pt>
                <c:pt idx="11">
                  <c:v>1.0174101549007095</c:v>
                </c:pt>
                <c:pt idx="12">
                  <c:v>1.01903538049654</c:v>
                </c:pt>
                <c:pt idx="13">
                  <c:v>1.0192687660636162</c:v>
                </c:pt>
                <c:pt idx="14">
                  <c:v>1.0209636344803736</c:v>
                </c:pt>
                <c:pt idx="15">
                  <c:v>1.0217749395133924</c:v>
                </c:pt>
                <c:pt idx="16">
                  <c:v>1.0225752236438588</c:v>
                </c:pt>
                <c:pt idx="17">
                  <c:v>1.0230793504930513</c:v>
                </c:pt>
                <c:pt idx="18">
                  <c:v>1.0238833308331519</c:v>
                </c:pt>
                <c:pt idx="19">
                  <c:v>1.025696614618715</c:v>
                </c:pt>
                <c:pt idx="20">
                  <c:v>1.02633573038978</c:v>
                </c:pt>
                <c:pt idx="21">
                  <c:v>1.0276282848313549</c:v>
                </c:pt>
                <c:pt idx="22">
                  <c:v>1.0278848886052099</c:v>
                </c:pt>
                <c:pt idx="23">
                  <c:v>1.0288310023347531</c:v>
                </c:pt>
              </c:numCache>
            </c:numRef>
          </c:val>
          <c:smooth val="0"/>
        </c:ser>
        <c:ser>
          <c:idx val="2"/>
          <c:order val="2"/>
          <c:tx>
            <c:strRef>
              <c:f>'Charts (web)'!$R$193</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(web)'!$O$194:$O$217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(web)'!$R$194:$R$217</c:f>
              <c:numCache>
                <c:formatCode>0.0000</c:formatCode>
                <c:ptCount val="24"/>
                <c:pt idx="0">
                  <c:v>1</c:v>
                </c:pt>
                <c:pt idx="1">
                  <c:v>1.0136428144485539</c:v>
                </c:pt>
                <c:pt idx="2">
                  <c:v>0.99973156541894637</c:v>
                </c:pt>
                <c:pt idx="3">
                  <c:v>0.97953745326370334</c:v>
                </c:pt>
                <c:pt idx="4">
                  <c:v>0.97253620386162964</c:v>
                </c:pt>
                <c:pt idx="5">
                  <c:v>0.94662810889138227</c:v>
                </c:pt>
                <c:pt idx="6">
                  <c:v>0.90805214166123016</c:v>
                </c:pt>
                <c:pt idx="7">
                  <c:v>0.91099210802094999</c:v>
                </c:pt>
                <c:pt idx="8">
                  <c:v>0.92463469558891609</c:v>
                </c:pt>
                <c:pt idx="9">
                  <c:v>0.92458965727099196</c:v>
                </c:pt>
                <c:pt idx="10">
                  <c:v>0.91790113113892202</c:v>
                </c:pt>
                <c:pt idx="11">
                  <c:v>0.91423624988444629</c:v>
                </c:pt>
                <c:pt idx="12">
                  <c:v>0.90478101869325278</c:v>
                </c:pt>
                <c:pt idx="13">
                  <c:v>0.89952277931114255</c:v>
                </c:pt>
                <c:pt idx="14">
                  <c:v>0.90496885243242275</c:v>
                </c:pt>
                <c:pt idx="15">
                  <c:v>0.88132805377972812</c:v>
                </c:pt>
                <c:pt idx="16">
                  <c:v>0.8691623917805853</c:v>
                </c:pt>
                <c:pt idx="17">
                  <c:v>0.87153502008864736</c:v>
                </c:pt>
                <c:pt idx="18">
                  <c:v>0.8910447643428423</c:v>
                </c:pt>
                <c:pt idx="19">
                  <c:v>0.87695940786282367</c:v>
                </c:pt>
                <c:pt idx="20">
                  <c:v>0.85005241351599603</c:v>
                </c:pt>
                <c:pt idx="21">
                  <c:v>0.83695235733867546</c:v>
                </c:pt>
                <c:pt idx="22">
                  <c:v>0.83067467556291907</c:v>
                </c:pt>
                <c:pt idx="23">
                  <c:v>0.82549280865774022</c:v>
                </c:pt>
              </c:numCache>
            </c:numRef>
          </c:val>
          <c:smooth val="0"/>
        </c:ser>
        <c:ser>
          <c:idx val="3"/>
          <c:order val="3"/>
          <c:tx>
            <c:strRef>
              <c:f>'Charts (web)'!$S$193</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(web)'!$O$194:$O$217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(web)'!$S$194:$S$217</c:f>
              <c:numCache>
                <c:formatCode>0.0000</c:formatCode>
                <c:ptCount val="24"/>
                <c:pt idx="0">
                  <c:v>1</c:v>
                </c:pt>
                <c:pt idx="1">
                  <c:v>1.0340120956102554</c:v>
                </c:pt>
                <c:pt idx="2">
                  <c:v>1.0511232600220186</c:v>
                </c:pt>
                <c:pt idx="3">
                  <c:v>1.0719715704095991</c:v>
                </c:pt>
                <c:pt idx="4">
                  <c:v>1.0845779586746516</c:v>
                </c:pt>
                <c:pt idx="5">
                  <c:v>1.0640623841328183</c:v>
                </c:pt>
                <c:pt idx="6">
                  <c:v>1.0370610824678532</c:v>
                </c:pt>
                <c:pt idx="7">
                  <c:v>1.0760817567961558</c:v>
                </c:pt>
                <c:pt idx="8">
                  <c:v>1.1114743634615956</c:v>
                </c:pt>
                <c:pt idx="9">
                  <c:v>1.1324437450102849</c:v>
                </c:pt>
                <c:pt idx="10">
                  <c:v>1.1488261336832863</c:v>
                </c:pt>
                <c:pt idx="11">
                  <c:v>1.1783204635873694</c:v>
                </c:pt>
                <c:pt idx="12">
                  <c:v>1.2052270213610532</c:v>
                </c:pt>
                <c:pt idx="13">
                  <c:v>1.2342945617543799</c:v>
                </c:pt>
                <c:pt idx="14">
                  <c:v>1.2743209155860009</c:v>
                </c:pt>
                <c:pt idx="15">
                  <c:v>1.2719879047891358</c:v>
                </c:pt>
                <c:pt idx="16">
                  <c:v>1.2824217883195967</c:v>
                </c:pt>
                <c:pt idx="17">
                  <c:v>1.3175664122795261</c:v>
                </c:pt>
                <c:pt idx="18">
                  <c:v>1.3693239196578957</c:v>
                </c:pt>
                <c:pt idx="19">
                  <c:v>1.3919008455527326</c:v>
                </c:pt>
                <c:pt idx="20">
                  <c:v>1.366226534328757</c:v>
                </c:pt>
                <c:pt idx="21">
                  <c:v>1.3657266175063787</c:v>
                </c:pt>
                <c:pt idx="22">
                  <c:v>1.3711300558818884</c:v>
                </c:pt>
                <c:pt idx="23">
                  <c:v>1.3311321194697892</c:v>
                </c:pt>
              </c:numCache>
            </c:numRef>
          </c:val>
          <c:smooth val="0"/>
        </c:ser>
        <c:dLbls>
          <c:showLegendKey val="0"/>
          <c:showVal val="0"/>
          <c:showCatName val="0"/>
          <c:showSerName val="0"/>
          <c:showPercent val="0"/>
          <c:showBubbleSize val="0"/>
        </c:dLbls>
        <c:marker val="1"/>
        <c:smooth val="0"/>
        <c:axId val="116062848"/>
        <c:axId val="116532352"/>
      </c:lineChart>
      <c:catAx>
        <c:axId val="116062848"/>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Year</a:t>
                </a:r>
              </a:p>
            </c:rich>
          </c:tx>
          <c:layout>
            <c:manualLayout>
              <c:xMode val="edge"/>
              <c:yMode val="edge"/>
              <c:x val="0.5075191968618803"/>
              <c:y val="0.9164086345162533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532352"/>
        <c:crosses val="autoZero"/>
        <c:auto val="1"/>
        <c:lblAlgn val="ctr"/>
        <c:lblOffset val="100"/>
        <c:tickLblSkip val="2"/>
        <c:tickMarkSkip val="1"/>
        <c:noMultiLvlLbl val="0"/>
      </c:catAx>
      <c:valAx>
        <c:axId val="116532352"/>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9.3985078998604383E-3"/>
              <c:y val="0.26934979387964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062848"/>
        <c:crosses val="autoZero"/>
        <c:crossBetween val="midCat"/>
      </c:valAx>
      <c:spPr>
        <a:solidFill>
          <a:srgbClr val="FFFFFF"/>
        </a:solidFill>
        <a:ln w="12700">
          <a:solidFill>
            <a:srgbClr val="808080"/>
          </a:solidFill>
          <a:prstDash val="solid"/>
        </a:ln>
      </c:spPr>
    </c:plotArea>
    <c:legend>
      <c:legendPos val="r"/>
      <c:layout>
        <c:manualLayout>
          <c:xMode val="edge"/>
          <c:yMode val="edge"/>
          <c:x val="0.17286675051832961"/>
          <c:y val="0.55124740986324072"/>
          <c:w val="0.25164136758616329"/>
          <c:h val="0.21329668971433968"/>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 (web)'!$O$220</c:f>
          <c:strCache>
            <c:ptCount val="1"/>
            <c:pt idx="0">
              <c:v>Buses:  Activity, Intensity, and Structural Change</c:v>
            </c:pt>
          </c:strCache>
        </c:strRef>
      </c:tx>
      <c:layout>
        <c:manualLayout>
          <c:xMode val="edge"/>
          <c:yMode val="edge"/>
          <c:x val="0.24283010380773951"/>
          <c:y val="3.3434750127266835E-2"/>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9.816979689595863E-2"/>
          <c:y val="0.1536525819286518"/>
          <c:w val="0.8435945340443094"/>
          <c:h val="0.71368677152131799"/>
        </c:manualLayout>
      </c:layout>
      <c:lineChart>
        <c:grouping val="standard"/>
        <c:varyColors val="0"/>
        <c:ser>
          <c:idx val="0"/>
          <c:order val="0"/>
          <c:tx>
            <c:strRef>
              <c:f>'Charts (web)'!$P$222</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(web)'!$O$223:$O$246</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(web)'!$P$223:$P$246</c:f>
              <c:numCache>
                <c:formatCode>0.0000</c:formatCode>
                <c:ptCount val="24"/>
                <c:pt idx="0">
                  <c:v>1</c:v>
                </c:pt>
                <c:pt idx="1">
                  <c:v>1.0046241833628591</c:v>
                </c:pt>
                <c:pt idx="2">
                  <c:v>1.0112441294782488</c:v>
                </c:pt>
                <c:pt idx="3">
                  <c:v>1.0322419463563686</c:v>
                </c:pt>
                <c:pt idx="4">
                  <c:v>1.0571011529114769</c:v>
                </c:pt>
                <c:pt idx="5">
                  <c:v>1.0572647165332154</c:v>
                </c:pt>
                <c:pt idx="6">
                  <c:v>1.0790428888953143</c:v>
                </c:pt>
                <c:pt idx="7">
                  <c:v>1.1002769403972146</c:v>
                </c:pt>
                <c:pt idx="8">
                  <c:v>1.1432089936995087</c:v>
                </c:pt>
                <c:pt idx="9">
                  <c:v>1.1920653442240374</c:v>
                </c:pt>
                <c:pt idx="10">
                  <c:v>1.2276302003155672</c:v>
                </c:pt>
                <c:pt idx="11">
                  <c:v>1.2586232336369494</c:v>
                </c:pt>
                <c:pt idx="12">
                  <c:v>1.2607837080576232</c:v>
                </c:pt>
                <c:pt idx="13">
                  <c:v>1.2939607788057388</c:v>
                </c:pt>
                <c:pt idx="14">
                  <c:v>1.3289845063373</c:v>
                </c:pt>
                <c:pt idx="15">
                  <c:v>1.3826232128286393</c:v>
                </c:pt>
                <c:pt idx="16">
                  <c:v>1.444386308614992</c:v>
                </c:pt>
                <c:pt idx="17">
                  <c:v>1.4788999487141044</c:v>
                </c:pt>
                <c:pt idx="18">
                  <c:v>1.5277948190952397</c:v>
                </c:pt>
                <c:pt idx="19">
                  <c:v>1.5504801303567153</c:v>
                </c:pt>
                <c:pt idx="20">
                  <c:v>1.5645630165422066</c:v>
                </c:pt>
                <c:pt idx="21">
                  <c:v>1.6128239062463854</c:v>
                </c:pt>
                <c:pt idx="22">
                  <c:v>1.6100559840633244</c:v>
                </c:pt>
                <c:pt idx="23">
                  <c:v>1.5754969854045564</c:v>
                </c:pt>
              </c:numCache>
            </c:numRef>
          </c:val>
          <c:smooth val="0"/>
        </c:ser>
        <c:ser>
          <c:idx val="1"/>
          <c:order val="1"/>
          <c:tx>
            <c:strRef>
              <c:f>'Charts (web)'!$Q$222</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(web)'!$O$223:$O$246</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(web)'!$Q$223:$Q$246</c:f>
              <c:numCache>
                <c:formatCode>0.0000</c:formatCode>
                <c:ptCount val="24"/>
                <c:pt idx="0">
                  <c:v>1</c:v>
                </c:pt>
                <c:pt idx="1">
                  <c:v>1.0238784139208785</c:v>
                </c:pt>
                <c:pt idx="2">
                  <c:v>1.0238756848628034</c:v>
                </c:pt>
                <c:pt idx="3">
                  <c:v>1.0260669817387136</c:v>
                </c:pt>
                <c:pt idx="4">
                  <c:v>1.0127276375742591</c:v>
                </c:pt>
                <c:pt idx="5">
                  <c:v>1.0286461579525521</c:v>
                </c:pt>
                <c:pt idx="6">
                  <c:v>1.035028994513711</c:v>
                </c:pt>
                <c:pt idx="7">
                  <c:v>1.0570010237181464</c:v>
                </c:pt>
                <c:pt idx="8">
                  <c:v>1.0277276186229651</c:v>
                </c:pt>
                <c:pt idx="9">
                  <c:v>1.0053251016851685</c:v>
                </c:pt>
                <c:pt idx="10">
                  <c:v>0.99557923616155519</c:v>
                </c:pt>
                <c:pt idx="11">
                  <c:v>0.99610807634736809</c:v>
                </c:pt>
                <c:pt idx="12">
                  <c:v>1.0141110399927098</c:v>
                </c:pt>
                <c:pt idx="13">
                  <c:v>1.0088002082218883</c:v>
                </c:pt>
                <c:pt idx="14">
                  <c:v>1.0019464519729253</c:v>
                </c:pt>
                <c:pt idx="15">
                  <c:v>0.9997608012171828</c:v>
                </c:pt>
                <c:pt idx="16">
                  <c:v>0.95141099853401823</c:v>
                </c:pt>
                <c:pt idx="17">
                  <c:v>0.9329381472092203</c:v>
                </c:pt>
                <c:pt idx="18">
                  <c:v>0.91299996268342287</c:v>
                </c:pt>
                <c:pt idx="19">
                  <c:v>0.91898761771046711</c:v>
                </c:pt>
                <c:pt idx="20">
                  <c:v>0.91001594210053427</c:v>
                </c:pt>
                <c:pt idx="21">
                  <c:v>0.91349481794452136</c:v>
                </c:pt>
                <c:pt idx="22">
                  <c:v>0.88437603086510286</c:v>
                </c:pt>
                <c:pt idx="23">
                  <c:v>0.90368407908064907</c:v>
                </c:pt>
              </c:numCache>
            </c:numRef>
          </c:val>
          <c:smooth val="0"/>
        </c:ser>
        <c:ser>
          <c:idx val="2"/>
          <c:order val="2"/>
          <c:tx>
            <c:strRef>
              <c:f>'Charts (web)'!$R$222</c:f>
              <c:strCache>
                <c:ptCount val="1"/>
                <c:pt idx="0">
                  <c:v>Energy Intensity</c:v>
                </c:pt>
              </c:strCache>
            </c:strRef>
          </c:tx>
          <c:spPr>
            <a:ln w="12700">
              <a:solidFill>
                <a:srgbClr val="008000"/>
              </a:solidFill>
              <a:prstDash val="solid"/>
            </a:ln>
          </c:spPr>
          <c:marker>
            <c:symbol val="triangle"/>
            <c:size val="5"/>
            <c:spPr>
              <a:solidFill>
                <a:srgbClr val="00FF00"/>
              </a:solidFill>
              <a:ln>
                <a:solidFill>
                  <a:srgbClr val="008000"/>
                </a:solidFill>
                <a:prstDash val="solid"/>
              </a:ln>
            </c:spPr>
          </c:marker>
          <c:cat>
            <c:numRef>
              <c:f>'Charts (web)'!$O$223:$O$246</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(web)'!$R$223:$R$246</c:f>
              <c:numCache>
                <c:formatCode>0.0000</c:formatCode>
                <c:ptCount val="24"/>
                <c:pt idx="0">
                  <c:v>1</c:v>
                </c:pt>
                <c:pt idx="1">
                  <c:v>1.0217740779807187</c:v>
                </c:pt>
                <c:pt idx="2">
                  <c:v>1.0336870311477075</c:v>
                </c:pt>
                <c:pt idx="3">
                  <c:v>1.0487746177515938</c:v>
                </c:pt>
                <c:pt idx="4">
                  <c:v>1.0434749008300312</c:v>
                </c:pt>
                <c:pt idx="5">
                  <c:v>1.057856209773719</c:v>
                </c:pt>
                <c:pt idx="6">
                  <c:v>1.0713077397989028</c:v>
                </c:pt>
                <c:pt idx="7">
                  <c:v>1.1197264338773147</c:v>
                </c:pt>
                <c:pt idx="8">
                  <c:v>1.1027391525660994</c:v>
                </c:pt>
                <c:pt idx="9">
                  <c:v>1.1186984572275311</c:v>
                </c:pt>
                <c:pt idx="10">
                  <c:v>1.1213812385295843</c:v>
                </c:pt>
                <c:pt idx="11">
                  <c:v>1.1260904098347251</c:v>
                </c:pt>
                <c:pt idx="12">
                  <c:v>1.1332911474608496</c:v>
                </c:pt>
                <c:pt idx="13">
                  <c:v>1.1191970201656576</c:v>
                </c:pt>
                <c:pt idx="14">
                  <c:v>1.1033189441849904</c:v>
                </c:pt>
                <c:pt idx="15">
                  <c:v>1.1150969843033565</c:v>
                </c:pt>
                <c:pt idx="16">
                  <c:v>1.0631550471306854</c:v>
                </c:pt>
                <c:pt idx="17">
                  <c:v>1.0532317375009919</c:v>
                </c:pt>
                <c:pt idx="18">
                  <c:v>1.051558495630553</c:v>
                </c:pt>
                <c:pt idx="19">
                  <c:v>1.061749943043121</c:v>
                </c:pt>
                <c:pt idx="20">
                  <c:v>1.0472156689279046</c:v>
                </c:pt>
                <c:pt idx="21">
                  <c:v>1.0461777553740641</c:v>
                </c:pt>
                <c:pt idx="22">
                  <c:v>1.043900956439672</c:v>
                </c:pt>
                <c:pt idx="23">
                  <c:v>1.045261817570277</c:v>
                </c:pt>
              </c:numCache>
            </c:numRef>
          </c:val>
          <c:smooth val="0"/>
        </c:ser>
        <c:ser>
          <c:idx val="3"/>
          <c:order val="3"/>
          <c:tx>
            <c:strRef>
              <c:f>'Charts (web)'!$S$222</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(web)'!$O$223:$O$246</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(web)'!$S$223:$S$246</c:f>
              <c:numCache>
                <c:formatCode>0.0000</c:formatCode>
                <c:ptCount val="24"/>
                <c:pt idx="0">
                  <c:v>1</c:v>
                </c:pt>
                <c:pt idx="1">
                  <c:v>1.0286130154481217</c:v>
                </c:pt>
                <c:pt idx="2">
                  <c:v>1.0353882756330315</c:v>
                </c:pt>
                <c:pt idx="3">
                  <c:v>1.0591493783219743</c:v>
                </c:pt>
                <c:pt idx="4">
                  <c:v>1.0705555532650659</c:v>
                </c:pt>
                <c:pt idx="5">
                  <c:v>1.0875512886006864</c:v>
                </c:pt>
                <c:pt idx="6">
                  <c:v>1.1168406763304872</c:v>
                </c:pt>
                <c:pt idx="7">
                  <c:v>1.1629938523733259</c:v>
                </c:pt>
                <c:pt idx="8">
                  <c:v>1.1749074566831526</c:v>
                </c:pt>
                <c:pt idx="9">
                  <c:v>1.1984132133973961</c:v>
                </c:pt>
                <c:pt idx="10">
                  <c:v>1.2222031371190292</c:v>
                </c:pt>
                <c:pt idx="11">
                  <c:v>1.2537247681042054</c:v>
                </c:pt>
                <c:pt idx="12">
                  <c:v>1.2785746773841808</c:v>
                </c:pt>
                <c:pt idx="13">
                  <c:v>1.3053479030901862</c:v>
                </c:pt>
                <c:pt idx="14">
                  <c:v>1.3315713108516474</c:v>
                </c:pt>
                <c:pt idx="15">
                  <c:v>1.3822924910390362</c:v>
                </c:pt>
                <c:pt idx="16">
                  <c:v>1.3742050201482539</c:v>
                </c:pt>
                <c:pt idx="17">
                  <c:v>1.3797221780611477</c:v>
                </c:pt>
                <c:pt idx="18">
                  <c:v>1.3948766128218808</c:v>
                </c:pt>
                <c:pt idx="19">
                  <c:v>1.4248720413039322</c:v>
                </c:pt>
                <c:pt idx="20">
                  <c:v>1.42377728747431</c:v>
                </c:pt>
                <c:pt idx="21">
                  <c:v>1.4733062806131139</c:v>
                </c:pt>
                <c:pt idx="22">
                  <c:v>1.4238949206565299</c:v>
                </c:pt>
                <c:pt idx="23">
                  <c:v>1.423751542349655</c:v>
                </c:pt>
              </c:numCache>
            </c:numRef>
          </c:val>
          <c:smooth val="0"/>
        </c:ser>
        <c:dLbls>
          <c:showLegendKey val="0"/>
          <c:showVal val="0"/>
          <c:showCatName val="0"/>
          <c:showSerName val="0"/>
          <c:showPercent val="0"/>
          <c:showBubbleSize val="0"/>
        </c:dLbls>
        <c:marker val="1"/>
        <c:smooth val="0"/>
        <c:axId val="116562944"/>
        <c:axId val="116569600"/>
      </c:lineChart>
      <c:catAx>
        <c:axId val="11656294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Year</a:t>
                </a:r>
              </a:p>
            </c:rich>
          </c:tx>
          <c:layout>
            <c:manualLayout>
              <c:xMode val="edge"/>
              <c:yMode val="edge"/>
              <c:x val="0.44933125455823841"/>
              <c:y val="0.939041234455264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569600"/>
        <c:crosses val="autoZero"/>
        <c:auto val="1"/>
        <c:lblAlgn val="ctr"/>
        <c:lblOffset val="100"/>
        <c:tickLblSkip val="2"/>
        <c:tickMarkSkip val="1"/>
        <c:noMultiLvlLbl val="0"/>
      </c:catAx>
      <c:valAx>
        <c:axId val="116569600"/>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9500133198824359E-2"/>
              <c:y val="0.39481782661298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562944"/>
        <c:crosses val="autoZero"/>
        <c:crossBetween val="midCat"/>
      </c:valAx>
      <c:spPr>
        <a:solidFill>
          <a:srgbClr val="FFFFFF"/>
        </a:solidFill>
        <a:ln w="12700">
          <a:solidFill>
            <a:srgbClr val="808080"/>
          </a:solidFill>
          <a:prstDash val="solid"/>
        </a:ln>
      </c:spPr>
    </c:plotArea>
    <c:legend>
      <c:legendPos val="r"/>
      <c:layout>
        <c:manualLayout>
          <c:xMode val="edge"/>
          <c:yMode val="edge"/>
          <c:x val="0.30449268716618411"/>
          <c:y val="0.54660028957337503"/>
          <c:w val="0.19134792843074316"/>
          <c:h val="0.19143603271253562"/>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 (web)'!$O$248</c:f>
          <c:strCache>
            <c:ptCount val="1"/>
            <c:pt idx="0">
              <c:v>Passenger Air:  Activity, Intensity, and Structural Change</c:v>
            </c:pt>
          </c:strCache>
        </c:strRef>
      </c:tx>
      <c:layout>
        <c:manualLayout>
          <c:xMode val="edge"/>
          <c:yMode val="edge"/>
          <c:x val="0.19611654782612545"/>
          <c:y val="3.3333333333333333E-2"/>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2478920741989882"/>
          <c:y val="0.1848490318685839"/>
          <c:w val="0.71163575042158511"/>
          <c:h val="0.64242614354327521"/>
        </c:manualLayout>
      </c:layout>
      <c:lineChart>
        <c:grouping val="standard"/>
        <c:varyColors val="0"/>
        <c:ser>
          <c:idx val="0"/>
          <c:order val="0"/>
          <c:tx>
            <c:strRef>
              <c:f>'Charts (web)'!$P$250</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(web)'!$O$251:$O$274</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(web)'!$P$251:$P$274</c:f>
              <c:numCache>
                <c:formatCode>0.0000</c:formatCode>
                <c:ptCount val="24"/>
                <c:pt idx="0">
                  <c:v>1</c:v>
                </c:pt>
                <c:pt idx="1">
                  <c:v>1.0769182080121529</c:v>
                </c:pt>
                <c:pt idx="2">
                  <c:v>1.1831644068216405</c:v>
                </c:pt>
                <c:pt idx="3">
                  <c:v>1.2390808893341001</c:v>
                </c:pt>
                <c:pt idx="4">
                  <c:v>1.2675141548766693</c:v>
                </c:pt>
                <c:pt idx="5">
                  <c:v>1.335365167472542</c:v>
                </c:pt>
                <c:pt idx="6">
                  <c:v>1.3082875750262126</c:v>
                </c:pt>
                <c:pt idx="7">
                  <c:v>1.3884218144991509</c:v>
                </c:pt>
                <c:pt idx="8">
                  <c:v>1.4197422483233482</c:v>
                </c:pt>
                <c:pt idx="9">
                  <c:v>1.5061833928222517</c:v>
                </c:pt>
                <c:pt idx="10">
                  <c:v>1.5674170920789381</c:v>
                </c:pt>
                <c:pt idx="11">
                  <c:v>1.6736623166828577</c:v>
                </c:pt>
                <c:pt idx="12">
                  <c:v>1.7405491932532138</c:v>
                </c:pt>
                <c:pt idx="13">
                  <c:v>1.7849906157034232</c:v>
                </c:pt>
                <c:pt idx="14">
                  <c:v>1.878857262372273</c:v>
                </c:pt>
                <c:pt idx="15">
                  <c:v>1.9927905430508046</c:v>
                </c:pt>
                <c:pt idx="16">
                  <c:v>1.8734168939354328</c:v>
                </c:pt>
                <c:pt idx="17">
                  <c:v>1.8406486132077364</c:v>
                </c:pt>
                <c:pt idx="18">
                  <c:v>1.8921303549408448</c:v>
                </c:pt>
                <c:pt idx="19">
                  <c:v>2.1169512053639026</c:v>
                </c:pt>
                <c:pt idx="20">
                  <c:v>2.2523981877882289</c:v>
                </c:pt>
                <c:pt idx="21">
                  <c:v>2.2972841903470775</c:v>
                </c:pt>
                <c:pt idx="22">
                  <c:v>2.3814757019510457</c:v>
                </c:pt>
                <c:pt idx="23">
                  <c:v>2.3372176009658756</c:v>
                </c:pt>
              </c:numCache>
            </c:numRef>
          </c:val>
          <c:smooth val="0"/>
        </c:ser>
        <c:ser>
          <c:idx val="1"/>
          <c:order val="1"/>
          <c:tx>
            <c:strRef>
              <c:f>'Charts (web)'!$Q$250</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(web)'!$O$251:$O$274</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(web)'!$Q$251:$Q$274</c:f>
              <c:numCache>
                <c:formatCode>0.0000</c:formatCode>
                <c:ptCount val="24"/>
                <c:pt idx="0">
                  <c:v>1</c:v>
                </c:pt>
                <c:pt idx="1">
                  <c:v>0.99640254185741439</c:v>
                </c:pt>
                <c:pt idx="2">
                  <c:v>0.99031902661153903</c:v>
                </c:pt>
                <c:pt idx="3">
                  <c:v>0.99003532892232859</c:v>
                </c:pt>
                <c:pt idx="4">
                  <c:v>0.99079667277446715</c:v>
                </c:pt>
                <c:pt idx="5">
                  <c:v>0.98834002555159428</c:v>
                </c:pt>
                <c:pt idx="6">
                  <c:v>0.98628526532559757</c:v>
                </c:pt>
                <c:pt idx="7">
                  <c:v>0.97992900479339851</c:v>
                </c:pt>
                <c:pt idx="8">
                  <c:v>0.97653153587021357</c:v>
                </c:pt>
                <c:pt idx="9">
                  <c:v>0.97448442028519833</c:v>
                </c:pt>
                <c:pt idx="10">
                  <c:v>0.97632668912417275</c:v>
                </c:pt>
                <c:pt idx="11">
                  <c:v>0.97772420829675999</c:v>
                </c:pt>
                <c:pt idx="12">
                  <c:v>0.97778262866378018</c:v>
                </c:pt>
                <c:pt idx="13">
                  <c:v>0.97865751822465352</c:v>
                </c:pt>
                <c:pt idx="14">
                  <c:v>0.97972758063345067</c:v>
                </c:pt>
                <c:pt idx="15">
                  <c:v>0.98055550943575021</c:v>
                </c:pt>
                <c:pt idx="16">
                  <c:v>0.98586783577191517</c:v>
                </c:pt>
                <c:pt idx="17">
                  <c:v>0.97933890996104445</c:v>
                </c:pt>
                <c:pt idx="18">
                  <c:v>0.97799009350899124</c:v>
                </c:pt>
                <c:pt idx="19">
                  <c:v>0.98366832263038451</c:v>
                </c:pt>
                <c:pt idx="20">
                  <c:v>1.0012507727805269</c:v>
                </c:pt>
                <c:pt idx="21">
                  <c:v>1.004104905466541</c:v>
                </c:pt>
                <c:pt idx="22">
                  <c:v>0.99700919968536628</c:v>
                </c:pt>
                <c:pt idx="23">
                  <c:v>1.0055477469438912</c:v>
                </c:pt>
              </c:numCache>
            </c:numRef>
          </c:val>
          <c:smooth val="0"/>
        </c:ser>
        <c:ser>
          <c:idx val="2"/>
          <c:order val="2"/>
          <c:tx>
            <c:strRef>
              <c:f>'Charts (web)'!$R$250</c:f>
              <c:strCache>
                <c:ptCount val="1"/>
                <c:pt idx="0">
                  <c:v>Energy Intensity</c:v>
                </c:pt>
              </c:strCache>
            </c:strRef>
          </c:tx>
          <c:spPr>
            <a:ln w="12700">
              <a:solidFill>
                <a:srgbClr val="008000"/>
              </a:solidFill>
              <a:prstDash val="solid"/>
            </a:ln>
          </c:spPr>
          <c:marker>
            <c:symbol val="triangle"/>
            <c:size val="5"/>
            <c:spPr>
              <a:solidFill>
                <a:srgbClr val="00FF00"/>
              </a:solidFill>
              <a:ln>
                <a:solidFill>
                  <a:srgbClr val="008000"/>
                </a:solidFill>
                <a:prstDash val="solid"/>
              </a:ln>
            </c:spPr>
          </c:marker>
          <c:cat>
            <c:numRef>
              <c:f>'Charts (web)'!$O$251:$O$274</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(web)'!$R$251:$R$274</c:f>
              <c:numCache>
                <c:formatCode>0.0000</c:formatCode>
                <c:ptCount val="24"/>
                <c:pt idx="0">
                  <c:v>1</c:v>
                </c:pt>
                <c:pt idx="1">
                  <c:v>0.99407334303161221</c:v>
                </c:pt>
                <c:pt idx="2">
                  <c:v>0.94511885462951994</c:v>
                </c:pt>
                <c:pt idx="3">
                  <c:v>0.94025769827025607</c:v>
                </c:pt>
                <c:pt idx="4">
                  <c:v>0.9159001323223086</c:v>
                </c:pt>
                <c:pt idx="5">
                  <c:v>0.92582484772430462</c:v>
                </c:pt>
                <c:pt idx="6">
                  <c:v>0.857665098278375</c:v>
                </c:pt>
                <c:pt idx="7">
                  <c:v>0.85866195411665303</c:v>
                </c:pt>
                <c:pt idx="8">
                  <c:v>0.83835345182320609</c:v>
                </c:pt>
                <c:pt idx="9">
                  <c:v>0.81667205903795048</c:v>
                </c:pt>
                <c:pt idx="10">
                  <c:v>0.80904557226993279</c:v>
                </c:pt>
                <c:pt idx="11">
                  <c:v>0.78091525091781311</c:v>
                </c:pt>
                <c:pt idx="12">
                  <c:v>0.77501688028434335</c:v>
                </c:pt>
                <c:pt idx="13">
                  <c:v>0.78221028416155247</c:v>
                </c:pt>
                <c:pt idx="14">
                  <c:v>0.79139971403495779</c:v>
                </c:pt>
                <c:pt idx="15">
                  <c:v>0.75515237010901137</c:v>
                </c:pt>
                <c:pt idx="16">
                  <c:v>0.75881410051645315</c:v>
                </c:pt>
                <c:pt idx="17">
                  <c:v>0.70391159674592485</c:v>
                </c:pt>
                <c:pt idx="18">
                  <c:v>0.68001835287390866</c:v>
                </c:pt>
                <c:pt idx="19">
                  <c:v>0.63296858618712526</c:v>
                </c:pt>
                <c:pt idx="20">
                  <c:v>0.62619638945518163</c:v>
                </c:pt>
                <c:pt idx="21">
                  <c:v>0.62836053707916373</c:v>
                </c:pt>
                <c:pt idx="22">
                  <c:v>0.61566513358278774</c:v>
                </c:pt>
                <c:pt idx="23">
                  <c:v>0.60781482563949729</c:v>
                </c:pt>
              </c:numCache>
            </c:numRef>
          </c:val>
          <c:smooth val="0"/>
        </c:ser>
        <c:ser>
          <c:idx val="3"/>
          <c:order val="3"/>
          <c:tx>
            <c:strRef>
              <c:f>'Charts (web)'!$S$250</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(web)'!$O$251:$O$274</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(web)'!$S$251:$S$274</c:f>
              <c:numCache>
                <c:formatCode>0.0000</c:formatCode>
                <c:ptCount val="24"/>
                <c:pt idx="0">
                  <c:v>1</c:v>
                </c:pt>
                <c:pt idx="1">
                  <c:v>1.0666844758997602</c:v>
                </c:pt>
                <c:pt idx="2">
                  <c:v>1.1074054245668901</c:v>
                </c:pt>
                <c:pt idx="3">
                  <c:v>1.1534459516759743</c:v>
                </c:pt>
                <c:pt idx="4">
                  <c:v>1.1502320888253303</c:v>
                </c:pt>
                <c:pt idx="5">
                  <c:v>1.2218988602333902</c:v>
                </c:pt>
                <c:pt idx="6">
                  <c:v>1.106683663731866</c:v>
                </c:pt>
                <c:pt idx="7">
                  <c:v>1.1682566491889523</c:v>
                </c:pt>
                <c:pt idx="8">
                  <c:v>1.1623125733759927</c:v>
                </c:pt>
                <c:pt idx="9">
                  <c:v>1.1986722524897808</c:v>
                </c:pt>
                <c:pt idx="10">
                  <c:v>1.2380914520010817</c:v>
                </c:pt>
                <c:pt idx="11">
                  <c:v>1.2778742260037634</c:v>
                </c:pt>
                <c:pt idx="12">
                  <c:v>1.3189847714582352</c:v>
                </c:pt>
                <c:pt idx="13">
                  <c:v>1.3664388323088648</c:v>
                </c:pt>
                <c:pt idx="14">
                  <c:v>1.4567834904121129</c:v>
                </c:pt>
                <c:pt idx="15">
                  <c:v>1.4755992558895168</c:v>
                </c:pt>
                <c:pt idx="16">
                  <c:v>1.4014852217071871</c:v>
                </c:pt>
                <c:pt idx="17">
                  <c:v>1.2688842823936917</c:v>
                </c:pt>
                <c:pt idx="18">
                  <c:v>1.258363586789816</c:v>
                </c:pt>
                <c:pt idx="19">
                  <c:v>1.3180797580965005</c:v>
                </c:pt>
                <c:pt idx="20">
                  <c:v>1.4122077572877516</c:v>
                </c:pt>
                <c:pt idx="21">
                  <c:v>1.4494482520058498</c:v>
                </c:pt>
                <c:pt idx="22">
                  <c:v>1.4618064699983595</c:v>
                </c:pt>
                <c:pt idx="23">
                  <c:v>1.4284766130040492</c:v>
                </c:pt>
              </c:numCache>
            </c:numRef>
          </c:val>
          <c:smooth val="0"/>
        </c:ser>
        <c:dLbls>
          <c:showLegendKey val="0"/>
          <c:showVal val="0"/>
          <c:showCatName val="0"/>
          <c:showSerName val="0"/>
          <c:showPercent val="0"/>
          <c:showBubbleSize val="0"/>
        </c:dLbls>
        <c:marker val="1"/>
        <c:smooth val="0"/>
        <c:axId val="116289536"/>
        <c:axId val="116291840"/>
      </c:lineChart>
      <c:catAx>
        <c:axId val="116289536"/>
        <c:scaling>
          <c:orientation val="minMax"/>
        </c:scaling>
        <c:delete val="0"/>
        <c:axPos val="b"/>
        <c:title>
          <c:tx>
            <c:rich>
              <a:bodyPr/>
              <a:lstStyle/>
              <a:p>
                <a:pPr>
                  <a:defRPr sz="525" b="1" i="0" u="none" strike="noStrike" baseline="0">
                    <a:solidFill>
                      <a:srgbClr val="000000"/>
                    </a:solidFill>
                    <a:latin typeface="Arial"/>
                    <a:ea typeface="Arial"/>
                    <a:cs typeface="Arial"/>
                  </a:defRPr>
                </a:pPr>
                <a:r>
                  <a:rPr lang="en-US"/>
                  <a:t>Year</a:t>
                </a:r>
              </a:p>
            </c:rich>
          </c:tx>
          <c:layout>
            <c:manualLayout>
              <c:xMode val="edge"/>
              <c:yMode val="edge"/>
              <c:x val="0.45048540939127968"/>
              <c:y val="0.9090934542273124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291840"/>
        <c:crosses val="autoZero"/>
        <c:auto val="1"/>
        <c:lblAlgn val="ctr"/>
        <c:lblOffset val="100"/>
        <c:tickLblSkip val="2"/>
        <c:tickMarkSkip val="1"/>
        <c:noMultiLvlLbl val="0"/>
      </c:catAx>
      <c:valAx>
        <c:axId val="116291840"/>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3.1067971478270107E-2"/>
              <c:y val="0.39697096953789868"/>
            </c:manualLayout>
          </c:layout>
          <c:overlay val="0"/>
          <c:spPr>
            <a:noFill/>
            <a:ln w="25400">
              <a:noFill/>
            </a:ln>
          </c:spPr>
          <c:txPr>
            <a:bodyPr/>
            <a:lstStyle/>
            <a:p>
              <a:pPr>
                <a:defRPr sz="525" b="1" i="0" u="none" strike="noStrike" baseline="0">
                  <a:solidFill>
                    <a:srgbClr val="000000"/>
                  </a:solidFill>
                  <a:latin typeface="Arial"/>
                  <a:ea typeface="Arial"/>
                  <a:cs typeface="Arial"/>
                </a:defRPr>
              </a:pPr>
              <a:endParaRPr lang="en-US"/>
            </a:p>
          </c:tx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289536"/>
        <c:crosses val="autoZero"/>
        <c:crossBetween val="midCat"/>
      </c:valAx>
      <c:spPr>
        <a:solidFill>
          <a:srgbClr val="FFFFFF"/>
        </a:solidFill>
        <a:ln w="12700">
          <a:solidFill>
            <a:srgbClr val="808080"/>
          </a:solidFill>
          <a:prstDash val="solid"/>
        </a:ln>
      </c:spPr>
    </c:plotArea>
    <c:legend>
      <c:legendPos val="r"/>
      <c:layout>
        <c:manualLayout>
          <c:xMode val="edge"/>
          <c:yMode val="edge"/>
          <c:x val="0.15345699831365936"/>
          <c:y val="0.20101073729420185"/>
          <c:w val="0.19392917369308602"/>
          <c:h val="0.20909154537500993"/>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47935486972926"/>
          <c:y val="4.5602678393917954E-2"/>
          <c:w val="0.82056980452702377"/>
          <c:h val="0.80781887440654665"/>
        </c:manualLayout>
      </c:layout>
      <c:lineChart>
        <c:grouping val="standard"/>
        <c:varyColors val="0"/>
        <c:ser>
          <c:idx val="0"/>
          <c:order val="0"/>
          <c:tx>
            <c:strRef>
              <c:f>'Charts (web)'!$P$393</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(web)'!$O$399:$O$422</c:f>
              <c:numCache>
                <c:formatCode>General</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(web)'!$P$399:$P$422</c:f>
              <c:numCache>
                <c:formatCode>0.0000</c:formatCode>
                <c:ptCount val="24"/>
                <c:pt idx="0">
                  <c:v>1</c:v>
                </c:pt>
                <c:pt idx="1">
                  <c:v>1.0004473806098828</c:v>
                </c:pt>
                <c:pt idx="2">
                  <c:v>1.0007426070450776</c:v>
                </c:pt>
                <c:pt idx="3">
                  <c:v>1.0007955691342769</c:v>
                </c:pt>
                <c:pt idx="4">
                  <c:v>1.0007475606828271</c:v>
                </c:pt>
                <c:pt idx="5">
                  <c:v>1.0009776493889424</c:v>
                </c:pt>
                <c:pt idx="6">
                  <c:v>1.0009194271917103</c:v>
                </c:pt>
                <c:pt idx="7">
                  <c:v>1.0009803641229056</c:v>
                </c:pt>
                <c:pt idx="8">
                  <c:v>1.0010431034100542</c:v>
                </c:pt>
                <c:pt idx="9">
                  <c:v>1.0007444137324166</c:v>
                </c:pt>
                <c:pt idx="10">
                  <c:v>1.0006460582392023</c:v>
                </c:pt>
                <c:pt idx="11">
                  <c:v>1.0002779136194437</c:v>
                </c:pt>
                <c:pt idx="12">
                  <c:v>1.0001937906583624</c:v>
                </c:pt>
                <c:pt idx="13">
                  <c:v>1.0002195543724861</c:v>
                </c:pt>
                <c:pt idx="14">
                  <c:v>0.99995013200119665</c:v>
                </c:pt>
                <c:pt idx="15">
                  <c:v>0.99951593447932263</c:v>
                </c:pt>
                <c:pt idx="16">
                  <c:v>1.0003958384203344</c:v>
                </c:pt>
                <c:pt idx="17">
                  <c:v>1.0010023764065337</c:v>
                </c:pt>
                <c:pt idx="18">
                  <c:v>1.0007858550760909</c:v>
                </c:pt>
                <c:pt idx="19">
                  <c:v>0.99861750214117573</c:v>
                </c:pt>
                <c:pt idx="20">
                  <c:v>0.99721377213400075</c:v>
                </c:pt>
                <c:pt idx="21">
                  <c:v>0.99704594055080342</c:v>
                </c:pt>
                <c:pt idx="22">
                  <c:v>0.99628632620909019</c:v>
                </c:pt>
                <c:pt idx="23">
                  <c:v>0.99604105359433759</c:v>
                </c:pt>
              </c:numCache>
            </c:numRef>
          </c:val>
          <c:smooth val="0"/>
        </c:ser>
        <c:ser>
          <c:idx val="1"/>
          <c:order val="1"/>
          <c:tx>
            <c:v>Vehicle Choice</c:v>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(web)'!$O$399:$O$422</c:f>
              <c:numCache>
                <c:formatCode>General</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(web)'!$Q$399:$Q$422</c:f>
              <c:numCache>
                <c:formatCode>0.0000</c:formatCode>
                <c:ptCount val="24"/>
                <c:pt idx="0">
                  <c:v>1</c:v>
                </c:pt>
                <c:pt idx="1">
                  <c:v>1.0013852038057085</c:v>
                </c:pt>
                <c:pt idx="2">
                  <c:v>1.0018776940226601</c:v>
                </c:pt>
                <c:pt idx="3">
                  <c:v>1.0034841291173771</c:v>
                </c:pt>
                <c:pt idx="4">
                  <c:v>1.0043079311991976</c:v>
                </c:pt>
                <c:pt idx="5">
                  <c:v>1.0057766721692718</c:v>
                </c:pt>
                <c:pt idx="6">
                  <c:v>1.010004056279064</c:v>
                </c:pt>
                <c:pt idx="7">
                  <c:v>1.0112748356797412</c:v>
                </c:pt>
                <c:pt idx="8">
                  <c:v>1.0113791190007067</c:v>
                </c:pt>
                <c:pt idx="9">
                  <c:v>1.0098566397492827</c:v>
                </c:pt>
                <c:pt idx="10">
                  <c:v>1.0097605035707673</c:v>
                </c:pt>
                <c:pt idx="11">
                  <c:v>1.0111148455576338</c:v>
                </c:pt>
                <c:pt idx="12">
                  <c:v>1.0134305219324116</c:v>
                </c:pt>
                <c:pt idx="13">
                  <c:v>1.013865910459965</c:v>
                </c:pt>
                <c:pt idx="14">
                  <c:v>1.0155206143966238</c:v>
                </c:pt>
                <c:pt idx="15">
                  <c:v>1.0158077806789707</c:v>
                </c:pt>
                <c:pt idx="16">
                  <c:v>1.0166350825698722</c:v>
                </c:pt>
                <c:pt idx="17">
                  <c:v>1.0161271586132619</c:v>
                </c:pt>
                <c:pt idx="18">
                  <c:v>1.0160501668641928</c:v>
                </c:pt>
                <c:pt idx="19">
                  <c:v>1.0186340045176621</c:v>
                </c:pt>
                <c:pt idx="20">
                  <c:v>1.0214433170931456</c:v>
                </c:pt>
                <c:pt idx="21">
                  <c:v>1.022474493006623</c:v>
                </c:pt>
                <c:pt idx="22">
                  <c:v>1.0221291004641111</c:v>
                </c:pt>
                <c:pt idx="23">
                  <c:v>1.0243895361715245</c:v>
                </c:pt>
              </c:numCache>
            </c:numRef>
          </c:val>
          <c:smooth val="0"/>
        </c:ser>
        <c:ser>
          <c:idx val="2"/>
          <c:order val="2"/>
          <c:tx>
            <c:strRef>
              <c:f>'Charts (web)'!$R$393</c:f>
              <c:strCache>
                <c:ptCount val="1"/>
                <c:pt idx="0">
                  <c:v>Total Structure</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(web)'!$O$399:$O$422</c:f>
              <c:numCache>
                <c:formatCode>General</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(web)'!$R$399:$R$422</c:f>
              <c:numCache>
                <c:formatCode>0.0000</c:formatCode>
                <c:ptCount val="24"/>
                <c:pt idx="0">
                  <c:v>1</c:v>
                </c:pt>
                <c:pt idx="1">
                  <c:v>1.0018332041289146</c:v>
                </c:pt>
                <c:pt idx="2">
                  <c:v>1.0026216954565474</c:v>
                </c:pt>
                <c:pt idx="3">
                  <c:v>1.0042824701172397</c:v>
                </c:pt>
                <c:pt idx="4">
                  <c:v>1.0050587123220136</c:v>
                </c:pt>
                <c:pt idx="5">
                  <c:v>1.0067599691182305</c:v>
                </c:pt>
                <c:pt idx="6">
                  <c:v>1.0109326814721447</c:v>
                </c:pt>
                <c:pt idx="7">
                  <c:v>1.0122662532470388</c:v>
                </c:pt>
                <c:pt idx="8">
                  <c:v>1.0124340920085939</c:v>
                </c:pt>
                <c:pt idx="9">
                  <c:v>1.0106083908996841</c:v>
                </c:pt>
                <c:pt idx="10">
                  <c:v>1.0104128676637203</c:v>
                </c:pt>
                <c:pt idx="11">
                  <c:v>1.0113958481440359</c:v>
                </c:pt>
                <c:pt idx="12">
                  <c:v>1.0136269153004613</c:v>
                </c:pt>
                <c:pt idx="13">
                  <c:v>1.0140885091537211</c:v>
                </c:pt>
                <c:pt idx="14">
                  <c:v>1.0154699724158402</c:v>
                </c:pt>
                <c:pt idx="15">
                  <c:v>1.0153160631567082</c:v>
                </c:pt>
                <c:pt idx="16">
                  <c:v>1.0170375057950132</c:v>
                </c:pt>
                <c:pt idx="17">
                  <c:v>1.0171457005030939</c:v>
                </c:pt>
                <c:pt idx="18">
                  <c:v>1.016848635045386</c:v>
                </c:pt>
                <c:pt idx="19">
                  <c:v>1.0172257451874909</c:v>
                </c:pt>
                <c:pt idx="20">
                  <c:v>1.0185973432595219</c:v>
                </c:pt>
                <c:pt idx="21">
                  <c:v>1.0194540425689942</c:v>
                </c:pt>
                <c:pt idx="22">
                  <c:v>1.0183332464127912</c:v>
                </c:pt>
                <c:pt idx="23">
                  <c:v>1.0203340328993</c:v>
                </c:pt>
              </c:numCache>
            </c:numRef>
          </c:val>
          <c:smooth val="0"/>
        </c:ser>
        <c:dLbls>
          <c:showLegendKey val="0"/>
          <c:showVal val="0"/>
          <c:showCatName val="0"/>
          <c:showSerName val="0"/>
          <c:showPercent val="0"/>
          <c:showBubbleSize val="0"/>
        </c:dLbls>
        <c:marker val="1"/>
        <c:smooth val="0"/>
        <c:axId val="116341760"/>
        <c:axId val="116348416"/>
      </c:lineChart>
      <c:catAx>
        <c:axId val="1163417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Year</a:t>
                </a:r>
              </a:p>
            </c:rich>
          </c:tx>
          <c:layout>
            <c:manualLayout>
              <c:xMode val="edge"/>
              <c:yMode val="edge"/>
              <c:x val="0.51236007971651254"/>
              <c:y val="0.9190971128608924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348416"/>
        <c:crosses val="autoZero"/>
        <c:auto val="1"/>
        <c:lblAlgn val="ctr"/>
        <c:lblOffset val="100"/>
        <c:tickLblSkip val="2"/>
        <c:tickMarkSkip val="1"/>
        <c:noMultiLvlLbl val="0"/>
      </c:catAx>
      <c:valAx>
        <c:axId val="116348416"/>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1236122836942976E-2"/>
              <c:y val="0.29126331516252774"/>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US"/>
            </a:p>
          </c:tx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341760"/>
        <c:crosses val="autoZero"/>
        <c:crossBetween val="midCat"/>
      </c:valAx>
      <c:spPr>
        <a:noFill/>
        <a:ln w="3175">
          <a:solidFill>
            <a:srgbClr val="000000"/>
          </a:solidFill>
          <a:prstDash val="solid"/>
        </a:ln>
      </c:spPr>
    </c:plotArea>
    <c:legend>
      <c:legendPos val="r"/>
      <c:layout>
        <c:manualLayout>
          <c:xMode val="edge"/>
          <c:yMode val="edge"/>
          <c:x val="0.20350132382248717"/>
          <c:y val="0.5700335150413891"/>
          <c:w val="0.24288863235640404"/>
          <c:h val="0.18892533817888146"/>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 (web)'!$O$363</c:f>
          <c:strCache>
            <c:ptCount val="1"/>
            <c:pt idx="0">
              <c:v>Pipelines:  Activity, Intensity, and Structural Change</c:v>
            </c:pt>
          </c:strCache>
        </c:strRef>
      </c:tx>
      <c:layout>
        <c:manualLayout>
          <c:xMode val="edge"/>
          <c:yMode val="edge"/>
          <c:x val="0.21850410634154602"/>
          <c:y val="3.1325208552752559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2903252905017018"/>
          <c:y val="0.18471337579617844"/>
          <c:w val="0.83010927022276171"/>
          <c:h val="0.69426751592356661"/>
        </c:manualLayout>
      </c:layout>
      <c:lineChart>
        <c:grouping val="standard"/>
        <c:varyColors val="0"/>
        <c:ser>
          <c:idx val="0"/>
          <c:order val="0"/>
          <c:tx>
            <c:strRef>
              <c:f>'Charts (web)'!$P$365</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(web)'!$O$366:$O$389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(web)'!$P$366:$P$389</c:f>
              <c:numCache>
                <c:formatCode>0.0000</c:formatCode>
                <c:ptCount val="24"/>
                <c:pt idx="0">
                  <c:v>1</c:v>
                </c:pt>
                <c:pt idx="1">
                  <c:v>0.93691814377931948</c:v>
                </c:pt>
                <c:pt idx="2">
                  <c:v>0.98299478577570754</c:v>
                </c:pt>
                <c:pt idx="3">
                  <c:v>1.0321710945382276</c:v>
                </c:pt>
                <c:pt idx="4">
                  <c:v>1.1017418936971584</c:v>
                </c:pt>
                <c:pt idx="5">
                  <c:v>1.0927331363175603</c:v>
                </c:pt>
                <c:pt idx="6">
                  <c:v>1.1277808663829945</c:v>
                </c:pt>
                <c:pt idx="7">
                  <c:v>1.1681449694313195</c:v>
                </c:pt>
                <c:pt idx="8">
                  <c:v>1.2012795994144474</c:v>
                </c:pt>
                <c:pt idx="9">
                  <c:v>1.2293876925246348</c:v>
                </c:pt>
                <c:pt idx="10">
                  <c:v>1.2830441067531702</c:v>
                </c:pt>
                <c:pt idx="11">
                  <c:v>1.3059132111018839</c:v>
                </c:pt>
                <c:pt idx="12">
                  <c:v>1.3144338835292992</c:v>
                </c:pt>
                <c:pt idx="13">
                  <c:v>1.2926205231761601</c:v>
                </c:pt>
                <c:pt idx="14">
                  <c:v>1.3079921142242175</c:v>
                </c:pt>
                <c:pt idx="15">
                  <c:v>1.3623283244283992</c:v>
                </c:pt>
                <c:pt idx="16">
                  <c:v>1.296244913430024</c:v>
                </c:pt>
                <c:pt idx="17">
                  <c:v>1.342535459842733</c:v>
                </c:pt>
                <c:pt idx="18">
                  <c:v>1.3005215743502181</c:v>
                </c:pt>
                <c:pt idx="19">
                  <c:v>1.3107774675345432</c:v>
                </c:pt>
                <c:pt idx="20">
                  <c:v>1.2848572848425135</c:v>
                </c:pt>
                <c:pt idx="21">
                  <c:v>1.2623033009838875</c:v>
                </c:pt>
                <c:pt idx="22">
                  <c:v>1.3439504687594459</c:v>
                </c:pt>
                <c:pt idx="23">
                  <c:v>1.3535013401417979</c:v>
                </c:pt>
              </c:numCache>
            </c:numRef>
          </c:val>
          <c:smooth val="0"/>
        </c:ser>
        <c:ser>
          <c:idx val="1"/>
          <c:order val="1"/>
          <c:tx>
            <c:strRef>
              <c:f>'Charts (web)'!$Q$365</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(web)'!$O$366:$O$389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(web)'!$Q$366:$Q$389</c:f>
              <c:numCache>
                <c:formatCode>0.0000</c:formatCode>
                <c:ptCount val="24"/>
                <c:pt idx="0">
                  <c:v>1</c:v>
                </c:pt>
                <c:pt idx="1">
                  <c:v>0.99999975905942962</c:v>
                </c:pt>
                <c:pt idx="2">
                  <c:v>0.99999984903912131</c:v>
                </c:pt>
                <c:pt idx="3">
                  <c:v>0.99999991682538569</c:v>
                </c:pt>
                <c:pt idx="4">
                  <c:v>1.0000001545079382</c:v>
                </c:pt>
                <c:pt idx="5">
                  <c:v>1.000000134609113</c:v>
                </c:pt>
                <c:pt idx="6">
                  <c:v>1.000000230422865</c:v>
                </c:pt>
                <c:pt idx="7">
                  <c:v>1.0000002722190211</c:v>
                </c:pt>
                <c:pt idx="8">
                  <c:v>1.0000003203830845</c:v>
                </c:pt>
                <c:pt idx="9">
                  <c:v>1.0000003791810947</c:v>
                </c:pt>
                <c:pt idx="10">
                  <c:v>1.0000004352325724</c:v>
                </c:pt>
                <c:pt idx="11">
                  <c:v>1.0000004091249579</c:v>
                </c:pt>
                <c:pt idx="12">
                  <c:v>1.0000004324736422</c:v>
                </c:pt>
                <c:pt idx="13">
                  <c:v>1.0000003848102217</c:v>
                </c:pt>
                <c:pt idx="14">
                  <c:v>1.0000004177775941</c:v>
                </c:pt>
                <c:pt idx="15">
                  <c:v>1.0000006385626756</c:v>
                </c:pt>
                <c:pt idx="16">
                  <c:v>1.0000005444142397</c:v>
                </c:pt>
                <c:pt idx="17">
                  <c:v>1.00000057993397</c:v>
                </c:pt>
                <c:pt idx="18">
                  <c:v>1.0000005017051239</c:v>
                </c:pt>
                <c:pt idx="19">
                  <c:v>1.0000004852210231</c:v>
                </c:pt>
                <c:pt idx="20">
                  <c:v>1.0000004152113084</c:v>
                </c:pt>
                <c:pt idx="21">
                  <c:v>1.0000004712490571</c:v>
                </c:pt>
                <c:pt idx="22">
                  <c:v>1.0000006785804247</c:v>
                </c:pt>
                <c:pt idx="23">
                  <c:v>1.000000530443927</c:v>
                </c:pt>
              </c:numCache>
            </c:numRef>
          </c:val>
          <c:smooth val="0"/>
        </c:ser>
        <c:ser>
          <c:idx val="2"/>
          <c:order val="2"/>
          <c:tx>
            <c:strRef>
              <c:f>'Charts (web)'!$R$365</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(web)'!$O$366:$O$389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(web)'!$R$366:$R$389</c:f>
              <c:numCache>
                <c:formatCode>0.0000</c:formatCode>
                <c:ptCount val="24"/>
                <c:pt idx="0">
                  <c:v>1</c:v>
                </c:pt>
                <c:pt idx="1">
                  <c:v>1.0276566882046292</c:v>
                </c:pt>
                <c:pt idx="2">
                  <c:v>1.0484062167449615</c:v>
                </c:pt>
                <c:pt idx="3">
                  <c:v>1.1806620746017531</c:v>
                </c:pt>
                <c:pt idx="4">
                  <c:v>1.1338470353091292</c:v>
                </c:pt>
                <c:pt idx="5">
                  <c:v>1.1986153032863973</c:v>
                </c:pt>
                <c:pt idx="6">
                  <c:v>1.0583788190722463</c:v>
                </c:pt>
                <c:pt idx="7">
                  <c:v>0.99870532653284494</c:v>
                </c:pt>
                <c:pt idx="8">
                  <c:v>1.0316343783526623</c:v>
                </c:pt>
                <c:pt idx="9">
                  <c:v>1.106629243289017</c:v>
                </c:pt>
                <c:pt idx="10">
                  <c:v>1.0835156860625974</c:v>
                </c:pt>
                <c:pt idx="11">
                  <c:v>1.0814304549501863</c:v>
                </c:pt>
                <c:pt idx="12">
                  <c:v>1.134864107657396</c:v>
                </c:pt>
                <c:pt idx="13">
                  <c:v>0.97588753216562818</c:v>
                </c:pt>
                <c:pt idx="14">
                  <c:v>0.97935533184253831</c:v>
                </c:pt>
                <c:pt idx="15">
                  <c:v>0.93576359907054529</c:v>
                </c:pt>
                <c:pt idx="16">
                  <c:v>0.95705929753561447</c:v>
                </c:pt>
                <c:pt idx="17">
                  <c:v>0.98609526011787019</c:v>
                </c:pt>
                <c:pt idx="18">
                  <c:v>0.90282222813553814</c:v>
                </c:pt>
                <c:pt idx="19">
                  <c:v>0.85743629407324051</c:v>
                </c:pt>
                <c:pt idx="20">
                  <c:v>0.90229439018279256</c:v>
                </c:pt>
                <c:pt idx="21">
                  <c:v>0.91870999489313165</c:v>
                </c:pt>
                <c:pt idx="22">
                  <c:v>0.91776961898658915</c:v>
                </c:pt>
                <c:pt idx="23">
                  <c:v>0.95029346406482584</c:v>
                </c:pt>
              </c:numCache>
            </c:numRef>
          </c:val>
          <c:smooth val="0"/>
        </c:ser>
        <c:ser>
          <c:idx val="3"/>
          <c:order val="3"/>
          <c:tx>
            <c:strRef>
              <c:f>'Charts (web)'!$S$365</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(web)'!$O$366:$O$389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(web)'!$S$366:$S$389</c:f>
              <c:numCache>
                <c:formatCode>0.0000</c:formatCode>
                <c:ptCount val="24"/>
                <c:pt idx="0">
                  <c:v>1</c:v>
                </c:pt>
                <c:pt idx="1">
                  <c:v>0.96282996477022753</c:v>
                </c:pt>
                <c:pt idx="2">
                  <c:v>1.0305776888581972</c:v>
                </c:pt>
                <c:pt idx="3">
                  <c:v>1.2186451644611169</c:v>
                </c:pt>
                <c:pt idx="4">
                  <c:v>1.2492069728567532</c:v>
                </c:pt>
                <c:pt idx="5">
                  <c:v>1.3097668359048975</c:v>
                </c:pt>
                <c:pt idx="6">
                  <c:v>1.1936196565719066</c:v>
                </c:pt>
                <c:pt idx="7">
                  <c:v>1.166632920713192</c:v>
                </c:pt>
                <c:pt idx="8">
                  <c:v>1.239281729814435</c:v>
                </c:pt>
                <c:pt idx="9">
                  <c:v>1.3604768877542879</c:v>
                </c:pt>
                <c:pt idx="10">
                  <c:v>1.3901990206368666</c:v>
                </c:pt>
                <c:pt idx="11">
                  <c:v>1.4122548957958578</c:v>
                </c:pt>
                <c:pt idx="12">
                  <c:v>1.4917044814287155</c:v>
                </c:pt>
                <c:pt idx="13">
                  <c:v>1.2614527378087474</c:v>
                </c:pt>
                <c:pt idx="14">
                  <c:v>1.2809895862420062</c:v>
                </c:pt>
                <c:pt idx="15">
                  <c:v>1.2748180700335829</c:v>
                </c:pt>
                <c:pt idx="16">
                  <c:v>1.2405839216726375</c:v>
                </c:pt>
                <c:pt idx="17">
                  <c:v>1.3238686212470252</c:v>
                </c:pt>
                <c:pt idx="18">
                  <c:v>1.1741403745651489</c:v>
                </c:pt>
                <c:pt idx="19">
                  <c:v>1.1239087194614008</c:v>
                </c:pt>
                <c:pt idx="20">
                  <c:v>1.15932000166147</c:v>
                </c:pt>
                <c:pt idx="21">
                  <c:v>1.1596912057036211</c:v>
                </c:pt>
                <c:pt idx="22">
                  <c:v>1.2334377466363478</c:v>
                </c:pt>
                <c:pt idx="23">
                  <c:v>1.2862241594091666</c:v>
                </c:pt>
              </c:numCache>
            </c:numRef>
          </c:val>
          <c:smooth val="0"/>
        </c:ser>
        <c:dLbls>
          <c:showLegendKey val="0"/>
          <c:showVal val="0"/>
          <c:showCatName val="0"/>
          <c:showSerName val="0"/>
          <c:showPercent val="0"/>
          <c:showBubbleSize val="0"/>
        </c:dLbls>
        <c:marker val="1"/>
        <c:smooth val="0"/>
        <c:axId val="116409088"/>
        <c:axId val="116411392"/>
      </c:lineChart>
      <c:catAx>
        <c:axId val="116409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52148313718849659"/>
              <c:y val="0.9384288747346072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411392"/>
        <c:crosses val="autoZero"/>
        <c:auto val="1"/>
        <c:lblAlgn val="ctr"/>
        <c:lblOffset val="100"/>
        <c:tickLblSkip val="2"/>
        <c:tickMarkSkip val="1"/>
        <c:noMultiLvlLbl val="0"/>
      </c:catAx>
      <c:valAx>
        <c:axId val="116411392"/>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4291761916857167E-2"/>
              <c:y val="0.41686811441563432"/>
            </c:manualLayout>
          </c:layout>
          <c:overlay val="0"/>
          <c:spPr>
            <a:noFill/>
            <a:ln w="25400">
              <a:noFill/>
            </a:ln>
          </c:spPr>
          <c:txPr>
            <a:bodyPr/>
            <a:lstStyle/>
            <a:p>
              <a:pPr algn="ctr" rtl="0">
                <a:defRPr sz="975"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6409088"/>
        <c:crosses val="autoZero"/>
        <c:crossBetween val="midCat"/>
      </c:valAx>
      <c:spPr>
        <a:solidFill>
          <a:srgbClr val="FFFFFF"/>
        </a:solidFill>
        <a:ln w="12700">
          <a:solidFill>
            <a:srgbClr val="808080"/>
          </a:solidFill>
          <a:prstDash val="solid"/>
        </a:ln>
      </c:spPr>
    </c:plotArea>
    <c:legend>
      <c:legendPos val="r"/>
      <c:layout>
        <c:manualLayout>
          <c:xMode val="edge"/>
          <c:yMode val="edge"/>
          <c:x val="0.13763463438037987"/>
          <c:y val="0.61464968152866239"/>
          <c:w val="0.2817211074422149"/>
          <c:h val="0.19745222929936301"/>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48840769903763"/>
          <c:y val="5.1400554097404488E-2"/>
          <c:w val="0.74101881014873128"/>
          <c:h val="0.78278032954214061"/>
        </c:manualLayout>
      </c:layout>
      <c:lineChart>
        <c:grouping val="standard"/>
        <c:varyColors val="0"/>
        <c:ser>
          <c:idx val="0"/>
          <c:order val="0"/>
          <c:tx>
            <c:strRef>
              <c:f>Passenger_Total!$N$92</c:f>
              <c:strCache>
                <c:ptCount val="1"/>
                <c:pt idx="0">
                  <c:v>Highway</c:v>
                </c:pt>
              </c:strCache>
            </c:strRef>
          </c:tx>
          <c:marker>
            <c:symbol val="diamond"/>
            <c:size val="6"/>
          </c:marker>
          <c:cat>
            <c:numRef>
              <c:f>Passenger_Total!$M$93:$M$134</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Passenger_Total!$N$93:$N$134</c:f>
              <c:numCache>
                <c:formatCode>0</c:formatCode>
                <c:ptCount val="42"/>
                <c:pt idx="0">
                  <c:v>4923.1024016152023</c:v>
                </c:pt>
                <c:pt idx="1">
                  <c:v>4918.6092280635503</c:v>
                </c:pt>
                <c:pt idx="2">
                  <c:v>4958.169962251839</c:v>
                </c:pt>
                <c:pt idx="3">
                  <c:v>4991.8668268155261</c:v>
                </c:pt>
                <c:pt idx="4">
                  <c:v>4898.5354302888491</c:v>
                </c:pt>
                <c:pt idx="5">
                  <c:v>4857.5472204676589</c:v>
                </c:pt>
                <c:pt idx="6">
                  <c:v>4900.2518764414035</c:v>
                </c:pt>
                <c:pt idx="7">
                  <c:v>4815.38017179691</c:v>
                </c:pt>
                <c:pt idx="8">
                  <c:v>4779.8379911958182</c:v>
                </c:pt>
                <c:pt idx="9">
                  <c:v>4688.7595916626551</c:v>
                </c:pt>
                <c:pt idx="10">
                  <c:v>4384.1643335285553</c:v>
                </c:pt>
                <c:pt idx="11">
                  <c:v>4281.324678406867</c:v>
                </c:pt>
                <c:pt idx="12">
                  <c:v>4154.5915656065299</c:v>
                </c:pt>
                <c:pt idx="13">
                  <c:v>4115.2914750286991</c:v>
                </c:pt>
                <c:pt idx="14">
                  <c:v>4103.3841392900131</c:v>
                </c:pt>
                <c:pt idx="15">
                  <c:v>4137.9357457329543</c:v>
                </c:pt>
                <c:pt idx="16">
                  <c:v>4203.0752577598378</c:v>
                </c:pt>
                <c:pt idx="17">
                  <c:v>4152.5828135318006</c:v>
                </c:pt>
                <c:pt idx="18">
                  <c:v>4078.0042043316425</c:v>
                </c:pt>
                <c:pt idx="19">
                  <c:v>4052.3352227909895</c:v>
                </c:pt>
                <c:pt idx="20">
                  <c:v>3954.3107867189278</c:v>
                </c:pt>
                <c:pt idx="21">
                  <c:v>3815.5455871119384</c:v>
                </c:pt>
                <c:pt idx="22">
                  <c:v>3838.7146833896222</c:v>
                </c:pt>
                <c:pt idx="23">
                  <c:v>3897.2148079016629</c:v>
                </c:pt>
                <c:pt idx="24">
                  <c:v>3892.5498841064755</c:v>
                </c:pt>
                <c:pt idx="25">
                  <c:v>3863.1709180539792</c:v>
                </c:pt>
                <c:pt idx="26">
                  <c:v>3853.1347922009659</c:v>
                </c:pt>
                <c:pt idx="27">
                  <c:v>3823.778938966258</c:v>
                </c:pt>
                <c:pt idx="28">
                  <c:v>3802.7649597555392</c:v>
                </c:pt>
                <c:pt idx="29">
                  <c:v>3831.1756014963944</c:v>
                </c:pt>
                <c:pt idx="30">
                  <c:v>3733.7055649053204</c:v>
                </c:pt>
                <c:pt idx="31">
                  <c:v>3681.1489685040547</c:v>
                </c:pt>
                <c:pt idx="32">
                  <c:v>3691.8912089546698</c:v>
                </c:pt>
                <c:pt idx="33">
                  <c:v>3773.6906210984362</c:v>
                </c:pt>
                <c:pt idx="34">
                  <c:v>3723.2871930145161</c:v>
                </c:pt>
                <c:pt idx="35">
                  <c:v>3612.882056531505</c:v>
                </c:pt>
                <c:pt idx="36">
                  <c:v>3560.7683447097597</c:v>
                </c:pt>
                <c:pt idx="37">
                  <c:v>3537.108292917942</c:v>
                </c:pt>
                <c:pt idx="38">
                  <c:v>3520.7039818110238</c:v>
                </c:pt>
                <c:pt idx="39">
                  <c:v>3513.9379334552691</c:v>
                </c:pt>
                <c:pt idx="40">
                  <c:v>3537.9513786825569</c:v>
                </c:pt>
                <c:pt idx="41">
                  <c:v>3571.5148122736518</c:v>
                </c:pt>
              </c:numCache>
            </c:numRef>
          </c:val>
          <c:smooth val="0"/>
        </c:ser>
        <c:ser>
          <c:idx val="1"/>
          <c:order val="1"/>
          <c:tx>
            <c:strRef>
              <c:f>Passenger_Total!$O$92</c:f>
              <c:strCache>
                <c:ptCount val="1"/>
                <c:pt idx="0">
                  <c:v>Rail</c:v>
                </c:pt>
              </c:strCache>
            </c:strRef>
          </c:tx>
          <c:marker>
            <c:symbol val="square"/>
            <c:size val="5"/>
          </c:marker>
          <c:cat>
            <c:numRef>
              <c:f>Passenger_Total!$M$93:$M$134</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Passenger_Total!$O$93:$O$134</c:f>
              <c:numCache>
                <c:formatCode>0</c:formatCode>
                <c:ptCount val="42"/>
                <c:pt idx="0">
                  <c:v>3208.5724094478378</c:v>
                </c:pt>
                <c:pt idx="1">
                  <c:v>3264.9578469056869</c:v>
                </c:pt>
                <c:pt idx="2">
                  <c:v>3173.7463007336669</c:v>
                </c:pt>
                <c:pt idx="3">
                  <c:v>3083.6305336429086</c:v>
                </c:pt>
                <c:pt idx="4">
                  <c:v>3193.8108769342862</c:v>
                </c:pt>
                <c:pt idx="5">
                  <c:v>3348.8972282406248</c:v>
                </c:pt>
                <c:pt idx="6">
                  <c:v>3061.798115481819</c:v>
                </c:pt>
                <c:pt idx="7">
                  <c:v>2489.8094855578506</c:v>
                </c:pt>
                <c:pt idx="8">
                  <c:v>2408.8648079970149</c:v>
                </c:pt>
                <c:pt idx="9">
                  <c:v>2446.0434626765318</c:v>
                </c:pt>
                <c:pt idx="10">
                  <c:v>2469.7499850867243</c:v>
                </c:pt>
                <c:pt idx="11">
                  <c:v>2532.7799865282027</c:v>
                </c:pt>
                <c:pt idx="12">
                  <c:v>2627.3727996033508</c:v>
                </c:pt>
                <c:pt idx="13">
                  <c:v>2821.3980776781068</c:v>
                </c:pt>
                <c:pt idx="14">
                  <c:v>2846.9500077126577</c:v>
                </c:pt>
                <c:pt idx="15">
                  <c:v>2697.6811872378507</c:v>
                </c:pt>
                <c:pt idx="16">
                  <c:v>2796.7417809272251</c:v>
                </c:pt>
                <c:pt idx="17">
                  <c:v>2749.72140157796</c:v>
                </c:pt>
                <c:pt idx="18">
                  <c:v>2753.8058005717462</c:v>
                </c:pt>
                <c:pt idx="19">
                  <c:v>2734.2976228139132</c:v>
                </c:pt>
                <c:pt idx="20">
                  <c:v>2748.3354613095794</c:v>
                </c:pt>
                <c:pt idx="21">
                  <c:v>2804.3508845520123</c:v>
                </c:pt>
                <c:pt idx="22">
                  <c:v>2748.7812810254445</c:v>
                </c:pt>
                <c:pt idx="23">
                  <c:v>2946.8137154724818</c:v>
                </c:pt>
                <c:pt idx="24">
                  <c:v>2881.2633960185699</c:v>
                </c:pt>
                <c:pt idx="25">
                  <c:v>2909.8776103617897</c:v>
                </c:pt>
                <c:pt idx="26">
                  <c:v>2818.2334050911613</c:v>
                </c:pt>
                <c:pt idx="27">
                  <c:v>2806.0366904283896</c:v>
                </c:pt>
                <c:pt idx="28">
                  <c:v>2761.3324081740225</c:v>
                </c:pt>
                <c:pt idx="29">
                  <c:v>2788.8599335300951</c:v>
                </c:pt>
                <c:pt idx="30">
                  <c:v>2774.0898282392027</c:v>
                </c:pt>
                <c:pt idx="31">
                  <c:v>2763.1287454267299</c:v>
                </c:pt>
                <c:pt idx="32">
                  <c:v>2804.304254963914</c:v>
                </c:pt>
                <c:pt idx="33">
                  <c:v>2737.8706111276015</c:v>
                </c:pt>
                <c:pt idx="34">
                  <c:v>2694.591665596919</c:v>
                </c:pt>
                <c:pt idx="35">
                  <c:v>2758.3021601123596</c:v>
                </c:pt>
                <c:pt idx="36">
                  <c:v>2639.9462044625748</c:v>
                </c:pt>
                <c:pt idx="37">
                  <c:v>2586.3759618362037</c:v>
                </c:pt>
                <c:pt idx="38">
                  <c:v>2541.0557316486493</c:v>
                </c:pt>
                <c:pt idx="39">
                  <c:v>2594.3846459751035</c:v>
                </c:pt>
                <c:pt idx="40">
                  <c:v>2589.9315442381671</c:v>
                </c:pt>
                <c:pt idx="41">
                  <c:v>2511.3150457240076</c:v>
                </c:pt>
              </c:numCache>
            </c:numRef>
          </c:val>
          <c:smooth val="0"/>
        </c:ser>
        <c:ser>
          <c:idx val="2"/>
          <c:order val="2"/>
          <c:tx>
            <c:strRef>
              <c:f>Passenger_Total!$P$92</c:f>
              <c:strCache>
                <c:ptCount val="1"/>
                <c:pt idx="0">
                  <c:v>Air</c:v>
                </c:pt>
              </c:strCache>
            </c:strRef>
          </c:tx>
          <c:marker>
            <c:symbol val="triangle"/>
            <c:size val="6"/>
          </c:marker>
          <c:cat>
            <c:numRef>
              <c:f>Passenger_Total!$M$93:$M$134</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Passenger_Total!$P$93:$P$134</c:f>
              <c:numCache>
                <c:formatCode>0</c:formatCode>
                <c:ptCount val="42"/>
                <c:pt idx="0">
                  <c:v>8130.8678455428826</c:v>
                </c:pt>
                <c:pt idx="1">
                  <c:v>7784.8668160075295</c:v>
                </c:pt>
                <c:pt idx="2">
                  <c:v>7108.92385636163</c:v>
                </c:pt>
                <c:pt idx="3">
                  <c:v>7266.1695845966487</c:v>
                </c:pt>
                <c:pt idx="4">
                  <c:v>7143.9643129734695</c:v>
                </c:pt>
                <c:pt idx="5">
                  <c:v>7239.1836268967818</c:v>
                </c:pt>
                <c:pt idx="6">
                  <c:v>6466.5416655689151</c:v>
                </c:pt>
                <c:pt idx="7">
                  <c:v>5808.8429880204621</c:v>
                </c:pt>
                <c:pt idx="8">
                  <c:v>5396.3795769062626</c:v>
                </c:pt>
                <c:pt idx="9">
                  <c:v>5026.779508019913</c:v>
                </c:pt>
                <c:pt idx="10">
                  <c:v>4865.1451115521313</c:v>
                </c:pt>
                <c:pt idx="11">
                  <c:v>5103.5466242983339</c:v>
                </c:pt>
                <c:pt idx="12">
                  <c:v>4908.8688644675658</c:v>
                </c:pt>
                <c:pt idx="13">
                  <c:v>4526.6496035441623</c:v>
                </c:pt>
                <c:pt idx="14">
                  <c:v>4687.6518146560475</c:v>
                </c:pt>
                <c:pt idx="15">
                  <c:v>4543.7248855235248</c:v>
                </c:pt>
                <c:pt idx="16">
                  <c:v>4500.5468029867916</c:v>
                </c:pt>
                <c:pt idx="17">
                  <c:v>4252.7864741005915</c:v>
                </c:pt>
                <c:pt idx="18">
                  <c:v>4229.7005141876143</c:v>
                </c:pt>
                <c:pt idx="19">
                  <c:v>4123.2976736515329</c:v>
                </c:pt>
                <c:pt idx="20">
                  <c:v>4157.6434626818645</c:v>
                </c:pt>
                <c:pt idx="21">
                  <c:v>3843.5480083192556</c:v>
                </c:pt>
                <c:pt idx="22">
                  <c:v>3823.2162259082797</c:v>
                </c:pt>
                <c:pt idx="23">
                  <c:v>3719.8502549616173</c:v>
                </c:pt>
                <c:pt idx="24">
                  <c:v>3616.051650270123</c:v>
                </c:pt>
                <c:pt idx="25">
                  <c:v>3589.0555037586364</c:v>
                </c:pt>
                <c:pt idx="26">
                  <c:v>3469.2236679919529</c:v>
                </c:pt>
                <c:pt idx="27">
                  <c:v>3443.2258237411797</c:v>
                </c:pt>
                <c:pt idx="28">
                  <c:v>3478.2939878150469</c:v>
                </c:pt>
                <c:pt idx="29">
                  <c:v>3523.0049300540318</c:v>
                </c:pt>
                <c:pt idx="30">
                  <c:v>3364.4865906382729</c:v>
                </c:pt>
                <c:pt idx="31">
                  <c:v>3399.1170353905618</c:v>
                </c:pt>
                <c:pt idx="32">
                  <c:v>3132.2986089747401</c:v>
                </c:pt>
                <c:pt idx="33">
                  <c:v>3021.8097444519276</c:v>
                </c:pt>
                <c:pt idx="34">
                  <c:v>2829.0646391816067</c:v>
                </c:pt>
                <c:pt idx="35">
                  <c:v>2848.8228969046845</c:v>
                </c:pt>
                <c:pt idx="36">
                  <c:v>2866.8173143709078</c:v>
                </c:pt>
                <c:pt idx="37">
                  <c:v>2789.0464849627847</c:v>
                </c:pt>
                <c:pt idx="38">
                  <c:v>2777.064802272821</c:v>
                </c:pt>
                <c:pt idx="39">
                  <c:v>2671.8644138838704</c:v>
                </c:pt>
                <c:pt idx="40">
                  <c:v>2574.2556574833584</c:v>
                </c:pt>
                <c:pt idx="41">
                  <c:v>2571.615881832307</c:v>
                </c:pt>
              </c:numCache>
            </c:numRef>
          </c:val>
          <c:smooth val="0"/>
        </c:ser>
        <c:dLbls>
          <c:showLegendKey val="0"/>
          <c:showVal val="0"/>
          <c:showCatName val="0"/>
          <c:showSerName val="0"/>
          <c:showPercent val="0"/>
          <c:showBubbleSize val="0"/>
        </c:dLbls>
        <c:marker val="1"/>
        <c:smooth val="0"/>
        <c:axId val="98044544"/>
        <c:axId val="98050432"/>
      </c:lineChart>
      <c:catAx>
        <c:axId val="98044544"/>
        <c:scaling>
          <c:orientation val="minMax"/>
        </c:scaling>
        <c:delete val="0"/>
        <c:axPos val="b"/>
        <c:numFmt formatCode="0" sourceLinked="1"/>
        <c:majorTickMark val="out"/>
        <c:minorTickMark val="none"/>
        <c:tickLblPos val="nextTo"/>
        <c:crossAx val="98050432"/>
        <c:crosses val="autoZero"/>
        <c:auto val="1"/>
        <c:lblAlgn val="ctr"/>
        <c:lblOffset val="100"/>
        <c:tickLblSkip val="5"/>
        <c:noMultiLvlLbl val="0"/>
      </c:catAx>
      <c:valAx>
        <c:axId val="98050432"/>
        <c:scaling>
          <c:orientation val="minMax"/>
        </c:scaling>
        <c:delete val="0"/>
        <c:axPos val="l"/>
        <c:majorGridlines/>
        <c:title>
          <c:tx>
            <c:rich>
              <a:bodyPr rot="-5400000" vert="horz"/>
              <a:lstStyle/>
              <a:p>
                <a:pPr>
                  <a:defRPr sz="1100" baseline="0"/>
                </a:pPr>
                <a:r>
                  <a:rPr lang="en-US" sz="1100" baseline="0"/>
                  <a:t>Btu per Passenger-mile</a:t>
                </a:r>
              </a:p>
            </c:rich>
          </c:tx>
          <c:layout>
            <c:manualLayout>
              <c:xMode val="edge"/>
              <c:yMode val="edge"/>
              <c:x val="2.8610892388451447E-2"/>
              <c:y val="0.20664479440069991"/>
            </c:manualLayout>
          </c:layout>
          <c:overlay val="0"/>
        </c:title>
        <c:numFmt formatCode="#,##0" sourceLinked="0"/>
        <c:majorTickMark val="out"/>
        <c:minorTickMark val="none"/>
        <c:tickLblPos val="nextTo"/>
        <c:crossAx val="98044544"/>
        <c:crosses val="autoZero"/>
        <c:crossBetween val="midCat"/>
      </c:valAx>
      <c:spPr>
        <a:ln>
          <a:solidFill>
            <a:schemeClr val="accent1"/>
          </a:solidFill>
        </a:ln>
      </c:spPr>
    </c:plotArea>
    <c:legend>
      <c:legendPos val="r"/>
      <c:layout>
        <c:manualLayout>
          <c:xMode val="edge"/>
          <c:yMode val="edge"/>
          <c:x val="0.55291622922134731"/>
          <c:y val="7.8127734033245841E-2"/>
          <c:w val="0.26930599300087488"/>
          <c:h val="0.25115157480314959"/>
        </c:manualLayout>
      </c:layout>
      <c:overlay val="0"/>
      <c:spPr>
        <a:solidFill>
          <a:schemeClr val="bg1"/>
        </a:solidFill>
        <a:ln>
          <a:solidFill>
            <a:schemeClr val="accent1"/>
          </a:solidFill>
        </a:ln>
      </c:spPr>
      <c:txPr>
        <a:bodyPr/>
        <a:lstStyle/>
        <a:p>
          <a:pPr>
            <a:defRPr baseline="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 (web)'!$O$333</c:f>
          <c:strCache>
            <c:ptCount val="1"/>
            <c:pt idx="0">
              <c:v>Freight Trucks:  Activity, Intensity, and Structural Change</c:v>
            </c:pt>
          </c:strCache>
        </c:strRef>
      </c:tx>
      <c:layout>
        <c:manualLayout>
          <c:xMode val="edge"/>
          <c:yMode val="edge"/>
          <c:x val="0.13650836978710995"/>
          <c:y val="3.30329911292733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1928429423459247"/>
          <c:y val="0.17417468496235972"/>
          <c:w val="0.83101391650099421"/>
          <c:h val="0.67868066899126367"/>
        </c:manualLayout>
      </c:layout>
      <c:lineChart>
        <c:grouping val="standard"/>
        <c:varyColors val="0"/>
        <c:ser>
          <c:idx val="0"/>
          <c:order val="0"/>
          <c:tx>
            <c:strRef>
              <c:f>'Charts (web)'!$P$335</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(web)'!$O$336:$O$359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(web)'!$P$336:$P$359</c:f>
              <c:numCache>
                <c:formatCode>0.0000</c:formatCode>
                <c:ptCount val="24"/>
                <c:pt idx="0">
                  <c:v>1</c:v>
                </c:pt>
                <c:pt idx="1">
                  <c:v>1.0290655154584982</c:v>
                </c:pt>
                <c:pt idx="2">
                  <c:v>1.0802524643390676</c:v>
                </c:pt>
                <c:pt idx="3">
                  <c:v>1.1343864966650128</c:v>
                </c:pt>
                <c:pt idx="4">
                  <c:v>1.1618002872649023</c:v>
                </c:pt>
                <c:pt idx="5">
                  <c:v>1.1910830193059121</c:v>
                </c:pt>
                <c:pt idx="6">
                  <c:v>1.2179172724230229</c:v>
                </c:pt>
                <c:pt idx="7">
                  <c:v>1.2468493711461419</c:v>
                </c:pt>
                <c:pt idx="8">
                  <c:v>1.3049036607602793</c:v>
                </c:pt>
                <c:pt idx="9">
                  <c:v>1.3927855976789256</c:v>
                </c:pt>
                <c:pt idx="10">
                  <c:v>1.4502830633451118</c:v>
                </c:pt>
                <c:pt idx="11">
                  <c:v>1.4888014544472341</c:v>
                </c:pt>
                <c:pt idx="12">
                  <c:v>1.5552810871974152</c:v>
                </c:pt>
                <c:pt idx="13">
                  <c:v>1.5937495294924189</c:v>
                </c:pt>
                <c:pt idx="14">
                  <c:v>1.6455205363666647</c:v>
                </c:pt>
                <c:pt idx="15">
                  <c:v>1.6651691221104059</c:v>
                </c:pt>
                <c:pt idx="16">
                  <c:v>1.6977170444019685</c:v>
                </c:pt>
                <c:pt idx="17">
                  <c:v>1.7483953549264097</c:v>
                </c:pt>
                <c:pt idx="18">
                  <c:v>1.7674683735393102</c:v>
                </c:pt>
                <c:pt idx="19">
                  <c:v>1.7927075089822131</c:v>
                </c:pt>
                <c:pt idx="20">
                  <c:v>1.8094198191245459</c:v>
                </c:pt>
                <c:pt idx="21">
                  <c:v>1.799946279520275</c:v>
                </c:pt>
                <c:pt idx="22">
                  <c:v>1.8280698069995618</c:v>
                </c:pt>
                <c:pt idx="23">
                  <c:v>1.8478576411499736</c:v>
                </c:pt>
              </c:numCache>
            </c:numRef>
          </c:val>
          <c:smooth val="0"/>
        </c:ser>
        <c:ser>
          <c:idx val="1"/>
          <c:order val="1"/>
          <c:tx>
            <c:strRef>
              <c:f>'Charts (web)'!$Q$335</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(web)'!$O$336:$O$359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(web)'!$Q$336:$Q$359</c:f>
              <c:numCache>
                <c:formatCode>0.0000</c:formatCode>
                <c:ptCount val="24"/>
                <c:pt idx="0">
                  <c:v>1</c:v>
                </c:pt>
                <c:pt idx="1">
                  <c:v>0.99313999119984575</c:v>
                </c:pt>
                <c:pt idx="2">
                  <c:v>0.99379921000321103</c:v>
                </c:pt>
                <c:pt idx="3">
                  <c:v>0.98832682530549842</c:v>
                </c:pt>
                <c:pt idx="4">
                  <c:v>0.9896269464354529</c:v>
                </c:pt>
                <c:pt idx="5">
                  <c:v>0.98828970936446359</c:v>
                </c:pt>
                <c:pt idx="6">
                  <c:v>0.98739587309818033</c:v>
                </c:pt>
                <c:pt idx="7">
                  <c:v>0.98602836072047884</c:v>
                </c:pt>
                <c:pt idx="8">
                  <c:v>0.98782293555431089</c:v>
                </c:pt>
                <c:pt idx="9">
                  <c:v>0.99077533881458202</c:v>
                </c:pt>
                <c:pt idx="10">
                  <c:v>0.98626533841462505</c:v>
                </c:pt>
                <c:pt idx="11">
                  <c:v>0.98508018603419034</c:v>
                </c:pt>
                <c:pt idx="12">
                  <c:v>0.9849273929025506</c:v>
                </c:pt>
                <c:pt idx="13">
                  <c:v>0.98302541032210966</c:v>
                </c:pt>
                <c:pt idx="14">
                  <c:v>0.98325100656885123</c:v>
                </c:pt>
                <c:pt idx="15">
                  <c:v>0.98149564066981343</c:v>
                </c:pt>
                <c:pt idx="16">
                  <c:v>0.9830134006042669</c:v>
                </c:pt>
                <c:pt idx="17">
                  <c:v>0.98629313510440364</c:v>
                </c:pt>
                <c:pt idx="18">
                  <c:v>0.98868999154889092</c:v>
                </c:pt>
                <c:pt idx="19">
                  <c:v>0.98788534933200944</c:v>
                </c:pt>
                <c:pt idx="20">
                  <c:v>0.98655294650068237</c:v>
                </c:pt>
                <c:pt idx="21">
                  <c:v>0.99120435558139275</c:v>
                </c:pt>
                <c:pt idx="22">
                  <c:v>0.99120435558139275</c:v>
                </c:pt>
                <c:pt idx="23">
                  <c:v>0.99872689763087308</c:v>
                </c:pt>
              </c:numCache>
            </c:numRef>
          </c:val>
          <c:smooth val="0"/>
        </c:ser>
        <c:ser>
          <c:idx val="2"/>
          <c:order val="2"/>
          <c:tx>
            <c:strRef>
              <c:f>'Charts (web)'!$R$335</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(web)'!$O$336:$O$359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(web)'!$R$336:$R$359</c:f>
              <c:numCache>
                <c:formatCode>0.0000</c:formatCode>
                <c:ptCount val="24"/>
                <c:pt idx="0">
                  <c:v>1</c:v>
                </c:pt>
                <c:pt idx="1">
                  <c:v>0.99593533776503185</c:v>
                </c:pt>
                <c:pt idx="2">
                  <c:v>0.97522693411106076</c:v>
                </c:pt>
                <c:pt idx="3">
                  <c:v>0.95223370625609904</c:v>
                </c:pt>
                <c:pt idx="4">
                  <c:v>0.95080777849981069</c:v>
                </c:pt>
                <c:pt idx="5">
                  <c:v>0.97190293635708291</c:v>
                </c:pt>
                <c:pt idx="6">
                  <c:v>0.96511375278514988</c:v>
                </c:pt>
                <c:pt idx="7">
                  <c:v>0.96073392506628852</c:v>
                </c:pt>
                <c:pt idx="8">
                  <c:v>0.94447939951928916</c:v>
                </c:pt>
                <c:pt idx="9">
                  <c:v>0.93279905855468037</c:v>
                </c:pt>
                <c:pt idx="10">
                  <c:v>0.93967783758902723</c:v>
                </c:pt>
                <c:pt idx="11">
                  <c:v>0.93644380694642282</c:v>
                </c:pt>
                <c:pt idx="12">
                  <c:v>0.90661017972899871</c:v>
                </c:pt>
                <c:pt idx="13">
                  <c:v>0.94332609671961265</c:v>
                </c:pt>
                <c:pt idx="14">
                  <c:v>0.9564907976601319</c:v>
                </c:pt>
                <c:pt idx="15">
                  <c:v>0.98207812574622932</c:v>
                </c:pt>
                <c:pt idx="16">
                  <c:v>0.96202043786610603</c:v>
                </c:pt>
                <c:pt idx="17">
                  <c:v>0.97670175147992533</c:v>
                </c:pt>
                <c:pt idx="18">
                  <c:v>0.92409286234289068</c:v>
                </c:pt>
                <c:pt idx="19">
                  <c:v>0.92528732605739505</c:v>
                </c:pt>
                <c:pt idx="20">
                  <c:v>0.94290859615042211</c:v>
                </c:pt>
                <c:pt idx="21">
                  <c:v>0.96468762564489896</c:v>
                </c:pt>
                <c:pt idx="22">
                  <c:v>0.96445179365914169</c:v>
                </c:pt>
                <c:pt idx="23">
                  <c:v>0.95670393095399653</c:v>
                </c:pt>
              </c:numCache>
            </c:numRef>
          </c:val>
          <c:smooth val="0"/>
        </c:ser>
        <c:ser>
          <c:idx val="3"/>
          <c:order val="3"/>
          <c:tx>
            <c:strRef>
              <c:f>'Charts (web)'!$S$335</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(web)'!$O$336:$O$359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(web)'!$S$336:$S$359</c:f>
              <c:numCache>
                <c:formatCode>0.0000</c:formatCode>
                <c:ptCount val="24"/>
                <c:pt idx="0">
                  <c:v>1</c:v>
                </c:pt>
                <c:pt idx="1">
                  <c:v>1.0178520072989776</c:v>
                </c:pt>
                <c:pt idx="2">
                  <c:v>1.0469588205556108</c:v>
                </c:pt>
                <c:pt idx="3">
                  <c:v>1.0675916823904386</c:v>
                </c:pt>
                <c:pt idx="4">
                  <c:v>1.0931901695390034</c:v>
                </c:pt>
                <c:pt idx="5">
                  <c:v>1.1440610514112461</c:v>
                </c:pt>
                <c:pt idx="6">
                  <c:v>1.1606134567530959</c:v>
                </c:pt>
                <c:pt idx="7">
                  <c:v>1.1811539964807196</c:v>
                </c:pt>
                <c:pt idx="8">
                  <c:v>1.2174469465388666</c:v>
                </c:pt>
                <c:pt idx="9">
                  <c:v>1.2872045150728653</c:v>
                </c:pt>
                <c:pt idx="10">
                  <c:v>1.3440812718032091</c:v>
                </c:pt>
                <c:pt idx="11">
                  <c:v>1.3733780119401773</c:v>
                </c:pt>
                <c:pt idx="12">
                  <c:v>1.3887807825514709</c:v>
                </c:pt>
                <c:pt idx="13">
                  <c:v>1.4779054914439245</c:v>
                </c:pt>
                <c:pt idx="14">
                  <c:v>1.5475635867154871</c:v>
                </c:pt>
                <c:pt idx="15">
                  <c:v>1.6050655074118283</c:v>
                </c:pt>
                <c:pt idx="16">
                  <c:v>1.6054953264057903</c:v>
                </c:pt>
                <c:pt idx="17">
                  <c:v>1.6842541294883753</c:v>
                </c:pt>
                <c:pt idx="18">
                  <c:v>1.6148322160871831</c:v>
                </c:pt>
                <c:pt idx="19">
                  <c:v>1.6386741239049929</c:v>
                </c:pt>
                <c:pt idx="20">
                  <c:v>1.6831752481787186</c:v>
                </c:pt>
                <c:pt idx="21">
                  <c:v>1.72111326970534</c:v>
                </c:pt>
                <c:pt idx="22">
                  <c:v>1.7475777337581644</c:v>
                </c:pt>
                <c:pt idx="23">
                  <c:v>1.7656020117102216</c:v>
                </c:pt>
              </c:numCache>
            </c:numRef>
          </c:val>
          <c:smooth val="0"/>
        </c:ser>
        <c:dLbls>
          <c:showLegendKey val="0"/>
          <c:showVal val="0"/>
          <c:showCatName val="0"/>
          <c:showSerName val="0"/>
          <c:showPercent val="0"/>
          <c:showBubbleSize val="0"/>
        </c:dLbls>
        <c:marker val="1"/>
        <c:smooth val="0"/>
        <c:axId val="117179904"/>
        <c:axId val="117190656"/>
      </c:lineChart>
      <c:catAx>
        <c:axId val="11717990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Year</a:t>
                </a:r>
              </a:p>
            </c:rich>
          </c:tx>
          <c:layout>
            <c:manualLayout>
              <c:xMode val="edge"/>
              <c:yMode val="edge"/>
              <c:x val="0.51093449985418493"/>
              <c:y val="0.9099126216817834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190656"/>
        <c:crosses val="autoZero"/>
        <c:auto val="1"/>
        <c:lblAlgn val="ctr"/>
        <c:lblOffset val="100"/>
        <c:tickLblSkip val="2"/>
        <c:tickMarkSkip val="1"/>
        <c:noMultiLvlLbl val="0"/>
      </c:catAx>
      <c:valAx>
        <c:axId val="117190656"/>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sz="975" b="1" i="0" u="none" strike="noStrike" baseline="0">
                    <a:solidFill>
                      <a:srgbClr val="000000"/>
                    </a:solidFill>
                    <a:latin typeface="Arial"/>
                    <a:cs typeface="Arial"/>
                  </a:rPr>
                  <a:t>Index (</a:t>
                </a:r>
                <a:r>
                  <a:rPr lang="en-US" sz="900" b="1" i="0" u="none" strike="noStrike" baseline="0">
                    <a:solidFill>
                      <a:srgbClr val="000000"/>
                    </a:solidFill>
                    <a:latin typeface="Arial"/>
                    <a:cs typeface="Arial"/>
                  </a:rPr>
                  <a:t>1985</a:t>
                </a:r>
                <a:r>
                  <a:rPr lang="en-US" sz="975" b="1" i="0" u="none" strike="noStrike" baseline="0">
                    <a:solidFill>
                      <a:srgbClr val="000000"/>
                    </a:solidFill>
                    <a:latin typeface="Arial"/>
                    <a:cs typeface="Arial"/>
                  </a:rPr>
                  <a:t> = 1.0)</a:t>
                </a:r>
                <a:endParaRPr lang="en-US"/>
              </a:p>
            </c:rich>
          </c:tx>
          <c:layout>
            <c:manualLayout>
              <c:xMode val="edge"/>
              <c:yMode val="edge"/>
              <c:x val="3.3797142023913679E-2"/>
              <c:y val="0.3994006445396857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179904"/>
        <c:crosses val="autoZero"/>
        <c:crossBetween val="midCat"/>
      </c:valAx>
      <c:spPr>
        <a:solidFill>
          <a:srgbClr val="FFFFFF"/>
        </a:solidFill>
        <a:ln w="12700">
          <a:solidFill>
            <a:srgbClr val="808080"/>
          </a:solidFill>
          <a:prstDash val="solid"/>
        </a:ln>
      </c:spPr>
    </c:plotArea>
    <c:legend>
      <c:legendPos val="r"/>
      <c:layout>
        <c:manualLayout>
          <c:xMode val="edge"/>
          <c:yMode val="edge"/>
          <c:x val="0.16666713327500729"/>
          <c:y val="0.60279544170902688"/>
          <c:w val="0.30518588509769617"/>
          <c:h val="0.2025951028273365"/>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Urban Rail:  Activity, Intensity, and Structural Change</a:t>
            </a:r>
          </a:p>
        </c:rich>
      </c:tx>
      <c:layout>
        <c:manualLayout>
          <c:xMode val="edge"/>
          <c:yMode val="edge"/>
          <c:x val="0.19006505887318612"/>
          <c:y val="3.3132387114031124E-2"/>
        </c:manualLayout>
      </c:layout>
      <c:overlay val="0"/>
      <c:spPr>
        <a:noFill/>
        <a:ln w="25400">
          <a:noFill/>
        </a:ln>
      </c:spPr>
    </c:title>
    <c:autoTitleDeleted val="0"/>
    <c:plotArea>
      <c:layout>
        <c:manualLayout>
          <c:layoutTarget val="inner"/>
          <c:xMode val="edge"/>
          <c:yMode val="edge"/>
          <c:x val="0.109057399723999"/>
          <c:y val="0.17469879518072295"/>
          <c:w val="0.84103587922744993"/>
          <c:h val="0.67771084337349463"/>
        </c:manualLayout>
      </c:layout>
      <c:lineChart>
        <c:grouping val="standard"/>
        <c:varyColors val="0"/>
        <c:ser>
          <c:idx val="0"/>
          <c:order val="0"/>
          <c:tx>
            <c:strRef>
              <c:f>'Charts (web)'!$P$306</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(web)'!$O$307:$O$330</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(web)'!$P$307:$P$330</c:f>
              <c:numCache>
                <c:formatCode>0.0000</c:formatCode>
                <c:ptCount val="24"/>
                <c:pt idx="0">
                  <c:v>1</c:v>
                </c:pt>
                <c:pt idx="1">
                  <c:v>1.0243775633989949</c:v>
                </c:pt>
                <c:pt idx="2">
                  <c:v>1.0641210790826643</c:v>
                </c:pt>
                <c:pt idx="3">
                  <c:v>1.0826064352146034</c:v>
                </c:pt>
                <c:pt idx="4">
                  <c:v>1.1408930737681242</c:v>
                </c:pt>
                <c:pt idx="5">
                  <c:v>1.1049621627866675</c:v>
                </c:pt>
                <c:pt idx="6">
                  <c:v>1.0706487204667552</c:v>
                </c:pt>
                <c:pt idx="7">
                  <c:v>1.0835884697591127</c:v>
                </c:pt>
                <c:pt idx="8">
                  <c:v>1.0326382069204552</c:v>
                </c:pt>
                <c:pt idx="9">
                  <c:v>1.1262780890763098</c:v>
                </c:pt>
                <c:pt idx="10">
                  <c:v>1.1358673675697533</c:v>
                </c:pt>
                <c:pt idx="11">
                  <c:v>1.2037432846167178</c:v>
                </c:pt>
                <c:pt idx="12">
                  <c:v>1.2205534053492</c:v>
                </c:pt>
                <c:pt idx="13">
                  <c:v>1.27756917566865</c:v>
                </c:pt>
                <c:pt idx="14">
                  <c:v>1.3213563630061811</c:v>
                </c:pt>
                <c:pt idx="15">
                  <c:v>1.4211772861186529</c:v>
                </c:pt>
                <c:pt idx="16">
                  <c:v>1.4535844260874589</c:v>
                </c:pt>
                <c:pt idx="17">
                  <c:v>1.4210039859049159</c:v>
                </c:pt>
                <c:pt idx="18">
                  <c:v>1.4234301888972329</c:v>
                </c:pt>
                <c:pt idx="19">
                  <c:v>1.4816590607128415</c:v>
                </c:pt>
                <c:pt idx="20">
                  <c:v>1.4783085899139277</c:v>
                </c:pt>
                <c:pt idx="21">
                  <c:v>1.5566980532609322</c:v>
                </c:pt>
                <c:pt idx="22">
                  <c:v>1.6881173820114379</c:v>
                </c:pt>
                <c:pt idx="23">
                  <c:v>1.7324244699901796</c:v>
                </c:pt>
              </c:numCache>
            </c:numRef>
          </c:val>
          <c:smooth val="0"/>
        </c:ser>
        <c:ser>
          <c:idx val="1"/>
          <c:order val="1"/>
          <c:tx>
            <c:strRef>
              <c:f>'Charts (web)'!$Q$306</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(web)'!$O$307:$O$330</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(web)'!$Q$307:$Q$330</c:f>
              <c:numCache>
                <c:formatCode>0.0000</c:formatCode>
                <c:ptCount val="24"/>
                <c:pt idx="0">
                  <c:v>1</c:v>
                </c:pt>
                <c:pt idx="1">
                  <c:v>1.0647869157153425</c:v>
                </c:pt>
                <c:pt idx="2">
                  <c:v>1.0480577247597893</c:v>
                </c:pt>
                <c:pt idx="3">
                  <c:v>1.0592784526171957</c:v>
                </c:pt>
                <c:pt idx="4">
                  <c:v>1.0274342066994797</c:v>
                </c:pt>
                <c:pt idx="5">
                  <c:v>1.0474457647759632</c:v>
                </c:pt>
                <c:pt idx="6">
                  <c:v>1.0877366841643374</c:v>
                </c:pt>
                <c:pt idx="7">
                  <c:v>1.0476385499256584</c:v>
                </c:pt>
                <c:pt idx="8">
                  <c:v>1.1434144806024753</c:v>
                </c:pt>
                <c:pt idx="9">
                  <c:v>1.0900949566959748</c:v>
                </c:pt>
                <c:pt idx="10">
                  <c:v>1.0810070216246399</c:v>
                </c:pt>
                <c:pt idx="11">
                  <c:v>1.011279547722673</c:v>
                </c:pt>
                <c:pt idx="12">
                  <c:v>0.99622776518313472</c:v>
                </c:pt>
                <c:pt idx="13">
                  <c:v>0.97759844335266877</c:v>
                </c:pt>
                <c:pt idx="14">
                  <c:v>0.9797278733111785</c:v>
                </c:pt>
                <c:pt idx="15">
                  <c:v>0.9451954761537571</c:v>
                </c:pt>
                <c:pt idx="16">
                  <c:v>0.942160405043444</c:v>
                </c:pt>
                <c:pt idx="17">
                  <c:v>0.97102141239037076</c:v>
                </c:pt>
                <c:pt idx="18">
                  <c:v>0.96745553231831216</c:v>
                </c:pt>
                <c:pt idx="19">
                  <c:v>0.95226384638530714</c:v>
                </c:pt>
                <c:pt idx="20">
                  <c:v>0.98344597260397604</c:v>
                </c:pt>
                <c:pt idx="21">
                  <c:v>0.93696245363194242</c:v>
                </c:pt>
                <c:pt idx="22">
                  <c:v>0.92365863016129923</c:v>
                </c:pt>
                <c:pt idx="23">
                  <c:v>0.91307262819941937</c:v>
                </c:pt>
              </c:numCache>
            </c:numRef>
          </c:val>
          <c:smooth val="0"/>
        </c:ser>
        <c:ser>
          <c:idx val="2"/>
          <c:order val="2"/>
          <c:tx>
            <c:strRef>
              <c:f>'Charts (web)'!$R$306</c:f>
              <c:strCache>
                <c:ptCount val="1"/>
                <c:pt idx="0">
                  <c:v>Energy Intensity</c:v>
                </c:pt>
              </c:strCache>
            </c:strRef>
          </c:tx>
          <c:spPr>
            <a:ln w="12700">
              <a:solidFill>
                <a:srgbClr val="008000"/>
              </a:solidFill>
              <a:prstDash val="solid"/>
            </a:ln>
          </c:spPr>
          <c:marker>
            <c:symbol val="triangle"/>
            <c:size val="5"/>
            <c:spPr>
              <a:solidFill>
                <a:srgbClr val="00FF00"/>
              </a:solidFill>
              <a:ln>
                <a:solidFill>
                  <a:srgbClr val="008000"/>
                </a:solidFill>
                <a:prstDash val="solid"/>
              </a:ln>
            </c:spPr>
          </c:marker>
          <c:cat>
            <c:numRef>
              <c:f>'Charts (web)'!$O$307:$O$330</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(web)'!$R$307:$R$330</c:f>
              <c:numCache>
                <c:formatCode>0.0000</c:formatCode>
                <c:ptCount val="24"/>
                <c:pt idx="0">
                  <c:v>1</c:v>
                </c:pt>
                <c:pt idx="1">
                  <c:v>1.0646637915287738</c:v>
                </c:pt>
                <c:pt idx="2">
                  <c:v>1.0464704899419734</c:v>
                </c:pt>
                <c:pt idx="3">
                  <c:v>1.0551685145443912</c:v>
                </c:pt>
                <c:pt idx="4">
                  <c:v>1.0230839165787895</c:v>
                </c:pt>
                <c:pt idx="5">
                  <c:v>1.0405994378677381</c:v>
                </c:pt>
                <c:pt idx="6">
                  <c:v>1.0806207730142166</c:v>
                </c:pt>
                <c:pt idx="7">
                  <c:v>1.0391980135258452</c:v>
                </c:pt>
                <c:pt idx="8">
                  <c:v>1.1331066714330396</c:v>
                </c:pt>
                <c:pt idx="9">
                  <c:v>1.0834838623881875</c:v>
                </c:pt>
                <c:pt idx="10">
                  <c:v>1.0765552368022189</c:v>
                </c:pt>
                <c:pt idx="11">
                  <c:v>1.0034204997948497</c:v>
                </c:pt>
                <c:pt idx="12">
                  <c:v>0.98611748149600087</c:v>
                </c:pt>
                <c:pt idx="13">
                  <c:v>0.96755052014619491</c:v>
                </c:pt>
                <c:pt idx="14">
                  <c:v>0.96896993984728974</c:v>
                </c:pt>
                <c:pt idx="15">
                  <c:v>0.9340822792952973</c:v>
                </c:pt>
                <c:pt idx="16">
                  <c:v>0.93036594047559285</c:v>
                </c:pt>
                <c:pt idx="17">
                  <c:v>0.95903348028447011</c:v>
                </c:pt>
                <c:pt idx="18">
                  <c:v>0.95514855193507708</c:v>
                </c:pt>
                <c:pt idx="19">
                  <c:v>0.93920771097480371</c:v>
                </c:pt>
                <c:pt idx="20">
                  <c:v>0.96834582376990352</c:v>
                </c:pt>
                <c:pt idx="21">
                  <c:v>0.92186961966948611</c:v>
                </c:pt>
                <c:pt idx="22">
                  <c:v>0.91000101041496229</c:v>
                </c:pt>
                <c:pt idx="23">
                  <c:v>0.89908529929085268</c:v>
                </c:pt>
              </c:numCache>
            </c:numRef>
          </c:val>
          <c:smooth val="0"/>
        </c:ser>
        <c:ser>
          <c:idx val="3"/>
          <c:order val="3"/>
          <c:tx>
            <c:strRef>
              <c:f>'Charts (web)'!$S$306</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(web)'!$O$307:$O$330</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(web)'!$S$307:$S$330</c:f>
              <c:numCache>
                <c:formatCode>0.0000</c:formatCode>
                <c:ptCount val="24"/>
                <c:pt idx="0">
                  <c:v>1</c:v>
                </c:pt>
                <c:pt idx="1">
                  <c:v>1.0907438262596132</c:v>
                </c:pt>
                <c:pt idx="2">
                  <c:v>1.1152603170123085</c:v>
                </c:pt>
                <c:pt idx="3">
                  <c:v>1.1467816694875437</c:v>
                </c:pt>
                <c:pt idx="4">
                  <c:v>1.1721925701758837</c:v>
                </c:pt>
                <c:pt idx="5">
                  <c:v>1.1573879376485832</c:v>
                </c:pt>
                <c:pt idx="6">
                  <c:v>1.1645838891052986</c:v>
                </c:pt>
                <c:pt idx="7">
                  <c:v>1.1352090531745997</c:v>
                </c:pt>
                <c:pt idx="8">
                  <c:v>1.1807334790162236</c:v>
                </c:pt>
                <c:pt idx="9">
                  <c:v>1.227750064739265</c:v>
                </c:pt>
                <c:pt idx="10">
                  <c:v>1.2278805999771989</c:v>
                </c:pt>
                <c:pt idx="11">
                  <c:v>1.2173209644413991</c:v>
                </c:pt>
                <c:pt idx="12">
                  <c:v>1.2159491912976985</c:v>
                </c:pt>
                <c:pt idx="13">
                  <c:v>1.2489496374090248</c:v>
                </c:pt>
                <c:pt idx="14">
                  <c:v>1.2945696594142397</c:v>
                </c:pt>
                <c:pt idx="15">
                  <c:v>1.3432903416518247</c:v>
                </c:pt>
                <c:pt idx="16">
                  <c:v>1.369509691647403</c:v>
                </c:pt>
                <c:pt idx="17">
                  <c:v>1.3798252974057383</c:v>
                </c:pt>
                <c:pt idx="18">
                  <c:v>1.3771054111175289</c:v>
                </c:pt>
                <c:pt idx="19">
                  <c:v>1.4109303561860527</c:v>
                </c:pt>
                <c:pt idx="20">
                  <c:v>1.453836629016716</c:v>
                </c:pt>
                <c:pt idx="21">
                  <c:v>1.458567627547432</c:v>
                </c:pt>
                <c:pt idx="22">
                  <c:v>1.5592441886201645</c:v>
                </c:pt>
                <c:pt idx="23">
                  <c:v>1.5818293639709209</c:v>
                </c:pt>
              </c:numCache>
            </c:numRef>
          </c:val>
          <c:smooth val="0"/>
        </c:ser>
        <c:dLbls>
          <c:showLegendKey val="0"/>
          <c:showVal val="0"/>
          <c:showCatName val="0"/>
          <c:showSerName val="0"/>
          <c:showPercent val="0"/>
          <c:showBubbleSize val="0"/>
        </c:dLbls>
        <c:marker val="1"/>
        <c:smooth val="0"/>
        <c:axId val="117246208"/>
        <c:axId val="117252864"/>
      </c:lineChart>
      <c:catAx>
        <c:axId val="117246208"/>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Year</a:t>
                </a:r>
              </a:p>
            </c:rich>
          </c:tx>
          <c:layout>
            <c:manualLayout>
              <c:xMode val="edge"/>
              <c:yMode val="edge"/>
              <c:x val="0.50971963070235438"/>
              <c:y val="0.9266235351154353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252864"/>
        <c:crosses val="autoZero"/>
        <c:auto val="1"/>
        <c:lblAlgn val="ctr"/>
        <c:lblOffset val="100"/>
        <c:tickLblSkip val="2"/>
        <c:tickMarkSkip val="1"/>
        <c:noMultiLvlLbl val="0"/>
      </c:catAx>
      <c:valAx>
        <c:axId val="117252864"/>
        <c:scaling>
          <c:orientation val="minMax"/>
          <c:max val="1.8"/>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9769746896240559E-2"/>
              <c:y val="0.3975903171339251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246208"/>
        <c:crosses val="autoZero"/>
        <c:crossBetween val="midCat"/>
      </c:valAx>
      <c:spPr>
        <a:solidFill>
          <a:srgbClr val="FFFFFF"/>
        </a:solidFill>
        <a:ln w="12700">
          <a:solidFill>
            <a:srgbClr val="808080"/>
          </a:solidFill>
          <a:prstDash val="solid"/>
        </a:ln>
      </c:spPr>
    </c:plotArea>
    <c:legend>
      <c:legendPos val="r"/>
      <c:layout>
        <c:manualLayout>
          <c:xMode val="edge"/>
          <c:yMode val="edge"/>
          <c:x val="0.14048078555799748"/>
          <c:y val="0.58477857465269067"/>
          <c:w val="0.23166994144216263"/>
          <c:h val="0.2403179698079140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horizontalDpi="1200"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 (web)'!$O$276</c:f>
          <c:strCache>
            <c:ptCount val="1"/>
            <c:pt idx="0">
              <c:v>Passenger Rail:  Activity, Intensity, and Structural Change</c:v>
            </c:pt>
          </c:strCache>
        </c:strRef>
      </c:tx>
      <c:layout>
        <c:manualLayout>
          <c:xMode val="edge"/>
          <c:yMode val="edge"/>
          <c:x val="0.13421713549746803"/>
          <c:y val="3.3232628398791542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0966552704018709"/>
          <c:y val="0.1752268445920929"/>
          <c:w val="0.83085577266040056"/>
          <c:h val="0.67673815842463436"/>
        </c:manualLayout>
      </c:layout>
      <c:lineChart>
        <c:grouping val="standard"/>
        <c:varyColors val="0"/>
        <c:ser>
          <c:idx val="0"/>
          <c:order val="0"/>
          <c:tx>
            <c:strRef>
              <c:f>'Charts (web)'!$P$278</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(web)'!$O$279:$O$302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(web)'!$P$279:$P$302</c:f>
              <c:numCache>
                <c:formatCode>0.0000</c:formatCode>
                <c:ptCount val="24"/>
                <c:pt idx="0">
                  <c:v>1</c:v>
                </c:pt>
                <c:pt idx="1">
                  <c:v>1.0293265749456915</c:v>
                </c:pt>
                <c:pt idx="2">
                  <c:v>1.0763034033309196</c:v>
                </c:pt>
                <c:pt idx="3">
                  <c:v>1.105494207096307</c:v>
                </c:pt>
                <c:pt idx="4">
                  <c:v>1.1589880521361333</c:v>
                </c:pt>
                <c:pt idx="5">
                  <c:v>1.1397990586531499</c:v>
                </c:pt>
                <c:pt idx="6">
                  <c:v>1.1226918899348299</c:v>
                </c:pt>
                <c:pt idx="7">
                  <c:v>1.1245926864590876</c:v>
                </c:pt>
                <c:pt idx="8">
                  <c:v>1.0895637219406227</c:v>
                </c:pt>
                <c:pt idx="9">
                  <c:v>1.1503439536567706</c:v>
                </c:pt>
                <c:pt idx="10">
                  <c:v>1.1408399710354815</c:v>
                </c:pt>
                <c:pt idx="11">
                  <c:v>1.171614771904417</c:v>
                </c:pt>
                <c:pt idx="12">
                  <c:v>1.1900343953656771</c:v>
                </c:pt>
                <c:pt idx="13">
                  <c:v>1.2409485879797248</c:v>
                </c:pt>
                <c:pt idx="14">
                  <c:v>1.2764301230992035</c:v>
                </c:pt>
                <c:pt idx="15">
                  <c:v>1.3622375090514121</c:v>
                </c:pt>
                <c:pt idx="16">
                  <c:v>1.3903874004344678</c:v>
                </c:pt>
                <c:pt idx="17">
                  <c:v>1.3607440260680665</c:v>
                </c:pt>
                <c:pt idx="18">
                  <c:v>1.372239319333816</c:v>
                </c:pt>
                <c:pt idx="19">
                  <c:v>1.4102099927588705</c:v>
                </c:pt>
                <c:pt idx="20">
                  <c:v>1.4017016654598118</c:v>
                </c:pt>
                <c:pt idx="21">
                  <c:v>1.4644279507603186</c:v>
                </c:pt>
                <c:pt idx="22">
                  <c:v>1.5843139029688631</c:v>
                </c:pt>
                <c:pt idx="23">
                  <c:v>1.6369026068066619</c:v>
                </c:pt>
              </c:numCache>
            </c:numRef>
          </c:val>
          <c:smooth val="0"/>
        </c:ser>
        <c:ser>
          <c:idx val="1"/>
          <c:order val="1"/>
          <c:tx>
            <c:strRef>
              <c:f>'Charts (web)'!$Q$278</c:f>
              <c:strCache>
                <c:ptCount val="1"/>
                <c:pt idx="0">
                  <c:v>Modal Shifts</c:v>
                </c:pt>
              </c:strCache>
            </c:strRef>
          </c:tx>
          <c:spPr>
            <a:ln w="12700">
              <a:solidFill>
                <a:srgbClr val="3366FF"/>
              </a:solidFill>
              <a:prstDash val="solid"/>
            </a:ln>
          </c:spPr>
          <c:marker>
            <c:symbol val="x"/>
            <c:size val="5"/>
            <c:spPr>
              <a:noFill/>
              <a:ln>
                <a:solidFill>
                  <a:srgbClr val="3366FF"/>
                </a:solidFill>
                <a:prstDash val="solid"/>
              </a:ln>
            </c:spPr>
          </c:marker>
          <c:cat>
            <c:numRef>
              <c:f>'Charts (web)'!$O$279:$O$302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(web)'!$Q$279:$Q$302</c:f>
              <c:numCache>
                <c:formatCode>0.0000</c:formatCode>
                <c:ptCount val="24"/>
                <c:pt idx="0">
                  <c:v>1</c:v>
                </c:pt>
                <c:pt idx="1">
                  <c:v>0.99909824757275167</c:v>
                </c:pt>
                <c:pt idx="2">
                  <c:v>0.9986070698016043</c:v>
                </c:pt>
                <c:pt idx="3">
                  <c:v>0.99807668283916973</c:v>
                </c:pt>
                <c:pt idx="4">
                  <c:v>0.99958595738647849</c:v>
                </c:pt>
                <c:pt idx="5">
                  <c:v>0.99821283046355214</c:v>
                </c:pt>
                <c:pt idx="6">
                  <c:v>0.99410192731461533</c:v>
                </c:pt>
                <c:pt idx="7">
                  <c:v>0.99789410546181645</c:v>
                </c:pt>
                <c:pt idx="8">
                  <c:v>0.99462556295778382</c:v>
                </c:pt>
                <c:pt idx="9">
                  <c:v>1.0000412975581305</c:v>
                </c:pt>
                <c:pt idx="10">
                  <c:v>1.0016191634287914</c:v>
                </c:pt>
                <c:pt idx="11">
                  <c:v>1.0079517228255215</c:v>
                </c:pt>
                <c:pt idx="12">
                  <c:v>1.0098722322288334</c:v>
                </c:pt>
                <c:pt idx="13">
                  <c:v>1.009948954698543</c:v>
                </c:pt>
                <c:pt idx="14">
                  <c:v>1.0103566456548518</c:v>
                </c:pt>
                <c:pt idx="15">
                  <c:v>1.0100989737015424</c:v>
                </c:pt>
                <c:pt idx="16">
                  <c:v>1.0103255662690263</c:v>
                </c:pt>
                <c:pt idx="17">
                  <c:v>1.0103514963339817</c:v>
                </c:pt>
                <c:pt idx="18">
                  <c:v>1.0111140640230416</c:v>
                </c:pt>
                <c:pt idx="19">
                  <c:v>1.0116417683355348</c:v>
                </c:pt>
                <c:pt idx="20">
                  <c:v>1.0130228295767503</c:v>
                </c:pt>
                <c:pt idx="21">
                  <c:v>1.0137249150869447</c:v>
                </c:pt>
                <c:pt idx="22">
                  <c:v>1.0126162254106019</c:v>
                </c:pt>
                <c:pt idx="23">
                  <c:v>1.0127880151930295</c:v>
                </c:pt>
              </c:numCache>
            </c:numRef>
          </c:val>
          <c:smooth val="0"/>
        </c:ser>
        <c:ser>
          <c:idx val="2"/>
          <c:order val="2"/>
          <c:tx>
            <c:strRef>
              <c:f>'Charts (web)'!$R$278</c:f>
              <c:strCache>
                <c:ptCount val="1"/>
                <c:pt idx="0">
                  <c:v>Energy Intensity</c:v>
                </c:pt>
              </c:strCache>
            </c:strRef>
          </c:tx>
          <c:spPr>
            <a:ln w="12700">
              <a:solidFill>
                <a:srgbClr val="008000"/>
              </a:solidFill>
              <a:prstDash val="solid"/>
            </a:ln>
          </c:spPr>
          <c:marker>
            <c:symbol val="triangle"/>
            <c:size val="5"/>
            <c:spPr>
              <a:solidFill>
                <a:srgbClr val="00FF00"/>
              </a:solidFill>
              <a:ln>
                <a:solidFill>
                  <a:srgbClr val="008000"/>
                </a:solidFill>
                <a:prstDash val="solid"/>
              </a:ln>
            </c:spPr>
          </c:marker>
          <c:cat>
            <c:numRef>
              <c:f>'Charts (web)'!$O$279:$O$302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(web)'!$R$279:$R$302</c:f>
              <c:numCache>
                <c:formatCode>0.0000</c:formatCode>
                <c:ptCount val="24"/>
                <c:pt idx="0">
                  <c:v>1</c:v>
                </c:pt>
                <c:pt idx="1">
                  <c:v>1.0376563543176578</c:v>
                </c:pt>
                <c:pt idx="2">
                  <c:v>1.0207125019750947</c:v>
                </c:pt>
                <c:pt idx="3">
                  <c:v>1.0227718760638318</c:v>
                </c:pt>
                <c:pt idx="4">
                  <c:v>1.0139931361892791</c:v>
                </c:pt>
                <c:pt idx="5">
                  <c:v>1.0206009552120987</c:v>
                </c:pt>
                <c:pt idx="6">
                  <c:v>1.0457089213290149</c:v>
                </c:pt>
                <c:pt idx="7">
                  <c:v>1.0210925418249774</c:v>
                </c:pt>
                <c:pt idx="8">
                  <c:v>1.0982531114741041</c:v>
                </c:pt>
                <c:pt idx="9">
                  <c:v>1.0680077488102793</c:v>
                </c:pt>
                <c:pt idx="10">
                  <c:v>1.0769151199785658</c:v>
                </c:pt>
                <c:pt idx="11">
                  <c:v>1.0364458180739773</c:v>
                </c:pt>
                <c:pt idx="12">
                  <c:v>1.0299977859957918</c:v>
                </c:pt>
                <c:pt idx="13">
                  <c:v>1.0135114108265637</c:v>
                </c:pt>
                <c:pt idx="14">
                  <c:v>1.023201992746283</c:v>
                </c:pt>
                <c:pt idx="15">
                  <c:v>1.018042635911629</c:v>
                </c:pt>
                <c:pt idx="16">
                  <c:v>1.0137926883190804</c:v>
                </c:pt>
                <c:pt idx="17">
                  <c:v>1.028873587867754</c:v>
                </c:pt>
                <c:pt idx="18">
                  <c:v>1.0037421122061623</c:v>
                </c:pt>
                <c:pt idx="19">
                  <c:v>0.98736013125002398</c:v>
                </c:pt>
                <c:pt idx="20">
                  <c:v>1.0093272148425747</c:v>
                </c:pt>
                <c:pt idx="21">
                  <c:v>0.96534896033203632</c:v>
                </c:pt>
                <c:pt idx="22">
                  <c:v>0.9467954234202659</c:v>
                </c:pt>
                <c:pt idx="23">
                  <c:v>0.93004725117256304</c:v>
                </c:pt>
              </c:numCache>
            </c:numRef>
          </c:val>
          <c:smooth val="0"/>
        </c:ser>
        <c:ser>
          <c:idx val="3"/>
          <c:order val="3"/>
          <c:tx>
            <c:strRef>
              <c:f>'Charts (web)'!$S$278</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(web)'!$O$279:$O$302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(web)'!$S$279:$S$302</c:f>
              <c:numCache>
                <c:formatCode>0.0000</c:formatCode>
                <c:ptCount val="24"/>
                <c:pt idx="0">
                  <c:v>1</c:v>
                </c:pt>
                <c:pt idx="1">
                  <c:v>1.067124110880163</c:v>
                </c:pt>
                <c:pt idx="2">
                  <c:v>1.0970660716807996</c:v>
                </c:pt>
                <c:pt idx="3">
                  <c:v>1.1284937502631072</c:v>
                </c:pt>
                <c:pt idx="4">
                  <c:v>1.1747193444568249</c:v>
                </c:pt>
                <c:pt idx="5">
                  <c:v>1.1612010294185799</c:v>
                </c:pt>
                <c:pt idx="6">
                  <c:v>1.1670845352344144</c:v>
                </c:pt>
                <c:pt idx="7">
                  <c:v>1.1458949782283168</c:v>
                </c:pt>
                <c:pt idx="8">
                  <c:v>1.1901856063960408</c:v>
                </c:pt>
                <c:pt idx="9">
                  <c:v>1.2286269935018475</c:v>
                </c:pt>
                <c:pt idx="10">
                  <c:v>1.2305770987419675</c:v>
                </c:pt>
                <c:pt idx="11">
                  <c:v>1.2239711288716368</c:v>
                </c:pt>
                <c:pt idx="12">
                  <c:v>1.2378335112634029</c:v>
                </c:pt>
                <c:pt idx="13">
                  <c:v>1.2702285092386203</c:v>
                </c:pt>
                <c:pt idx="14">
                  <c:v>1.3195720995879097</c:v>
                </c:pt>
                <c:pt idx="15">
                  <c:v>1.400821281396379</c:v>
                </c:pt>
                <c:pt idx="16">
                  <c:v>1.4241191329777754</c:v>
                </c:pt>
                <c:pt idx="17">
                  <c:v>1.4145260308266963</c:v>
                </c:pt>
                <c:pt idx="18">
                  <c:v>1.3926826200261997</c:v>
                </c:pt>
                <c:pt idx="19">
                  <c:v>1.4085949485825984</c:v>
                </c:pt>
                <c:pt idx="20">
                  <c:v>1.4332000200622681</c:v>
                </c:pt>
                <c:pt idx="21">
                  <c:v>1.4330866926039576</c:v>
                </c:pt>
                <c:pt idx="22">
                  <c:v>1.5189457575737917</c:v>
                </c:pt>
                <c:pt idx="23">
                  <c:v>1.5418652029210114</c:v>
                </c:pt>
              </c:numCache>
            </c:numRef>
          </c:val>
          <c:smooth val="0"/>
        </c:ser>
        <c:dLbls>
          <c:showLegendKey val="0"/>
          <c:showVal val="0"/>
          <c:showCatName val="0"/>
          <c:showSerName val="0"/>
          <c:showPercent val="0"/>
          <c:showBubbleSize val="0"/>
        </c:dLbls>
        <c:marker val="1"/>
        <c:smooth val="0"/>
        <c:axId val="117292416"/>
        <c:axId val="117294976"/>
      </c:lineChart>
      <c:catAx>
        <c:axId val="117292416"/>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Year</a:t>
                </a:r>
              </a:p>
            </c:rich>
          </c:tx>
          <c:layout>
            <c:manualLayout>
              <c:xMode val="edge"/>
              <c:yMode val="edge"/>
              <c:x val="0.46686922498999894"/>
              <c:y val="0.9306661591772327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294976"/>
        <c:crosses val="autoZero"/>
        <c:auto val="1"/>
        <c:lblAlgn val="ctr"/>
        <c:lblOffset val="100"/>
        <c:tickLblSkip val="2"/>
        <c:tickMarkSkip val="1"/>
        <c:noMultiLvlLbl val="0"/>
      </c:catAx>
      <c:valAx>
        <c:axId val="117294976"/>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7434456380684756E-2"/>
              <c:y val="0.39027237909460716"/>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292416"/>
        <c:crosses val="autoZero"/>
        <c:crossBetween val="midCat"/>
      </c:valAx>
      <c:spPr>
        <a:solidFill>
          <a:srgbClr val="FFFFFF"/>
        </a:solidFill>
        <a:ln w="12700">
          <a:solidFill>
            <a:srgbClr val="808080"/>
          </a:solidFill>
          <a:prstDash val="solid"/>
        </a:ln>
      </c:spPr>
    </c:plotArea>
    <c:legend>
      <c:legendPos val="r"/>
      <c:layout>
        <c:manualLayout>
          <c:xMode val="edge"/>
          <c:yMode val="edge"/>
          <c:x val="0.15241655202021678"/>
          <c:y val="0.5664964991158582"/>
          <c:w val="0.2255268370264126"/>
          <c:h val="0.25383765095828281"/>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horizontalDpi="1200"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Rail Freight:  Activity and Intensity Change</a:t>
            </a:r>
          </a:p>
        </c:rich>
      </c:tx>
      <c:layout>
        <c:manualLayout>
          <c:xMode val="edge"/>
          <c:yMode val="edge"/>
          <c:x val="0.2185041285897657"/>
          <c:y val="3.1325092743295355E-2"/>
        </c:manualLayout>
      </c:layout>
      <c:overlay val="0"/>
      <c:spPr>
        <a:noFill/>
        <a:ln w="25400">
          <a:noFill/>
        </a:ln>
      </c:spPr>
    </c:title>
    <c:autoTitleDeleted val="0"/>
    <c:plotArea>
      <c:layout>
        <c:manualLayout>
          <c:layoutTarget val="inner"/>
          <c:xMode val="edge"/>
          <c:yMode val="edge"/>
          <c:x val="0.12903252905017018"/>
          <c:y val="0.18471337579617852"/>
          <c:w val="0.83010927022276171"/>
          <c:h val="0.6942675159235665"/>
        </c:manualLayout>
      </c:layout>
      <c:lineChart>
        <c:grouping val="standard"/>
        <c:varyColors val="0"/>
        <c:ser>
          <c:idx val="0"/>
          <c:order val="0"/>
          <c:tx>
            <c:strRef>
              <c:f>'Charts (web)'!$P$428</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(web)'!$O$429:$O$452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(web)'!$P$429:$P$452</c:f>
              <c:numCache>
                <c:formatCode>0.0000</c:formatCode>
                <c:ptCount val="24"/>
                <c:pt idx="0">
                  <c:v>1</c:v>
                </c:pt>
                <c:pt idx="1">
                  <c:v>1.0290655154584982</c:v>
                </c:pt>
                <c:pt idx="2">
                  <c:v>1.0802524643390676</c:v>
                </c:pt>
                <c:pt idx="3">
                  <c:v>1.1343864966650128</c:v>
                </c:pt>
                <c:pt idx="4">
                  <c:v>1.1618002872649023</c:v>
                </c:pt>
                <c:pt idx="5">
                  <c:v>1.1910830193059121</c:v>
                </c:pt>
                <c:pt idx="6">
                  <c:v>1.2179172724230229</c:v>
                </c:pt>
                <c:pt idx="7">
                  <c:v>1.2468493711461419</c:v>
                </c:pt>
                <c:pt idx="8">
                  <c:v>1.3049036607602793</c:v>
                </c:pt>
                <c:pt idx="9">
                  <c:v>1.3927855976789256</c:v>
                </c:pt>
                <c:pt idx="10">
                  <c:v>1.4502830633451118</c:v>
                </c:pt>
                <c:pt idx="11">
                  <c:v>1.4888014544472341</c:v>
                </c:pt>
                <c:pt idx="12">
                  <c:v>1.5552810871974152</c:v>
                </c:pt>
                <c:pt idx="13">
                  <c:v>1.5937495294924189</c:v>
                </c:pt>
                <c:pt idx="14">
                  <c:v>1.6455205363666647</c:v>
                </c:pt>
                <c:pt idx="15">
                  <c:v>1.6651691221104059</c:v>
                </c:pt>
                <c:pt idx="16">
                  <c:v>1.6977170444019685</c:v>
                </c:pt>
                <c:pt idx="17">
                  <c:v>1.7483953549264097</c:v>
                </c:pt>
                <c:pt idx="18">
                  <c:v>1.7674683735393102</c:v>
                </c:pt>
                <c:pt idx="19">
                  <c:v>1.7927075089822131</c:v>
                </c:pt>
                <c:pt idx="20">
                  <c:v>1.8094198191245459</c:v>
                </c:pt>
                <c:pt idx="21">
                  <c:v>1.799946279520275</c:v>
                </c:pt>
                <c:pt idx="22">
                  <c:v>1.8280698069995618</c:v>
                </c:pt>
                <c:pt idx="23">
                  <c:v>1.8478576411499736</c:v>
                </c:pt>
              </c:numCache>
            </c:numRef>
          </c:val>
          <c:smooth val="0"/>
        </c:ser>
        <c:ser>
          <c:idx val="1"/>
          <c:order val="1"/>
          <c:tx>
            <c:strRef>
              <c:f>'Charts (web)'!$Q$428</c:f>
              <c:strCache>
                <c:ptCount val="1"/>
                <c:pt idx="0">
                  <c:v>Energy Intensity</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'Charts (web)'!$O$429:$O$452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(web)'!$Q$429:$Q$452</c:f>
              <c:numCache>
                <c:formatCode>0.0000</c:formatCode>
                <c:ptCount val="24"/>
                <c:pt idx="0">
                  <c:v>1</c:v>
                </c:pt>
                <c:pt idx="1">
                  <c:v>0.97688364766630265</c:v>
                </c:pt>
                <c:pt idx="2">
                  <c:v>0.91685546333217693</c:v>
                </c:pt>
                <c:pt idx="3">
                  <c:v>0.89100637821397577</c:v>
                </c:pt>
                <c:pt idx="4">
                  <c:v>0.87783857800364085</c:v>
                </c:pt>
                <c:pt idx="5">
                  <c:v>0.84542359011971402</c:v>
                </c:pt>
                <c:pt idx="6">
                  <c:v>0.78558632403894257</c:v>
                </c:pt>
                <c:pt idx="7">
                  <c:v>0.7901364118939731</c:v>
                </c:pt>
                <c:pt idx="8">
                  <c:v>0.78247404320658476</c:v>
                </c:pt>
                <c:pt idx="9">
                  <c:v>0.77959665626455121</c:v>
                </c:pt>
                <c:pt idx="10">
                  <c:v>0.74831355564692692</c:v>
                </c:pt>
                <c:pt idx="11">
                  <c:v>0.74072043601605675</c:v>
                </c:pt>
                <c:pt idx="12">
                  <c:v>0.74500472033122067</c:v>
                </c:pt>
                <c:pt idx="13">
                  <c:v>0.73316206003668671</c:v>
                </c:pt>
                <c:pt idx="14">
                  <c:v>0.72947841648584388</c:v>
                </c:pt>
                <c:pt idx="15">
                  <c:v>0.70780786133146179</c:v>
                </c:pt>
                <c:pt idx="16">
                  <c:v>0.69568627225594093</c:v>
                </c:pt>
                <c:pt idx="17">
                  <c:v>0.69432026266230418</c:v>
                </c:pt>
                <c:pt idx="18">
                  <c:v>0.69202046895929181</c:v>
                </c:pt>
                <c:pt idx="19">
                  <c:v>0.68484125198682833</c:v>
                </c:pt>
                <c:pt idx="20">
                  <c:v>0.67738394453651407</c:v>
                </c:pt>
                <c:pt idx="21">
                  <c:v>0.66340718124591003</c:v>
                </c:pt>
                <c:pt idx="22">
                  <c:v>0.64390687085753817</c:v>
                </c:pt>
                <c:pt idx="23">
                  <c:v>0.61382957637089153</c:v>
                </c:pt>
              </c:numCache>
            </c:numRef>
          </c:val>
          <c:smooth val="0"/>
        </c:ser>
        <c:ser>
          <c:idx val="2"/>
          <c:order val="2"/>
          <c:tx>
            <c:strRef>
              <c:f>'Charts (web)'!$R$428</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(web)'!$O$429:$O$452</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(web)'!$R$429:$R$452</c:f>
              <c:numCache>
                <c:formatCode>0.0000</c:formatCode>
                <c:ptCount val="24"/>
                <c:pt idx="0">
                  <c:v>1</c:v>
                </c:pt>
                <c:pt idx="1">
                  <c:v>0.96656658789704186</c:v>
                </c:pt>
                <c:pt idx="2">
                  <c:v>0.9866537963672678</c:v>
                </c:pt>
                <c:pt idx="3">
                  <c:v>1.0121102732341238</c:v>
                </c:pt>
                <c:pt idx="4">
                  <c:v>1.0148289384547371</c:v>
                </c:pt>
                <c:pt idx="5">
                  <c:v>0.99675910170823001</c:v>
                </c:pt>
                <c:pt idx="6">
                  <c:v>0.93060533873589069</c:v>
                </c:pt>
                <c:pt idx="7">
                  <c:v>0.96113784472312425</c:v>
                </c:pt>
                <c:pt idx="8">
                  <c:v>0.98976206908615583</c:v>
                </c:pt>
                <c:pt idx="9">
                  <c:v>1.0673655218037077</c:v>
                </c:pt>
                <c:pt idx="10">
                  <c:v>1.1141184215966593</c:v>
                </c:pt>
                <c:pt idx="11">
                  <c:v>1.1452870214586268</c:v>
                </c:pt>
                <c:pt idx="12">
                  <c:v>1.1459231153333609</c:v>
                </c:pt>
                <c:pt idx="13">
                  <c:v>1.1510118663312332</c:v>
                </c:pt>
                <c:pt idx="14">
                  <c:v>1.1923579681889453</c:v>
                </c:pt>
                <c:pt idx="15">
                  <c:v>1.1831664116990386</c:v>
                </c:pt>
                <c:pt idx="16">
                  <c:v>1.186315076378972</c:v>
                </c:pt>
                <c:pt idx="17">
                  <c:v>1.193121280838626</c:v>
                </c:pt>
                <c:pt idx="18">
                  <c:v>1.2242262713131205</c:v>
                </c:pt>
                <c:pt idx="19">
                  <c:v>1.2983312077196352</c:v>
                </c:pt>
                <c:pt idx="20">
                  <c:v>1.3103215772583716</c:v>
                </c:pt>
                <c:pt idx="21">
                  <c:v>1.3403770128395549</c:v>
                </c:pt>
                <c:pt idx="22">
                  <c:v>1.2999850517939437</c:v>
                </c:pt>
                <c:pt idx="23">
                  <c:v>1.2439451814298754</c:v>
                </c:pt>
              </c:numCache>
            </c:numRef>
          </c:val>
          <c:smooth val="0"/>
        </c:ser>
        <c:dLbls>
          <c:showLegendKey val="0"/>
          <c:showVal val="0"/>
          <c:showCatName val="0"/>
          <c:showSerName val="0"/>
          <c:showPercent val="0"/>
          <c:showBubbleSize val="0"/>
        </c:dLbls>
        <c:marker val="1"/>
        <c:smooth val="0"/>
        <c:axId val="117357184"/>
        <c:axId val="117376128"/>
      </c:lineChart>
      <c:catAx>
        <c:axId val="1173571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52148322700538341"/>
              <c:y val="0.941366588952917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376128"/>
        <c:crosses val="autoZero"/>
        <c:auto val="1"/>
        <c:lblAlgn val="ctr"/>
        <c:lblOffset val="100"/>
        <c:tickLblSkip val="2"/>
        <c:tickMarkSkip val="1"/>
        <c:noMultiLvlLbl val="0"/>
      </c:catAx>
      <c:valAx>
        <c:axId val="117376128"/>
        <c:scaling>
          <c:orientation val="minMax"/>
          <c:max val="2.2000000000000002"/>
          <c:min val="0"/>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4291817537406364E-2"/>
              <c:y val="0.41686828252613678"/>
            </c:manualLayout>
          </c:layout>
          <c:overlay val="0"/>
          <c:spPr>
            <a:noFill/>
            <a:ln w="25400">
              <a:noFill/>
            </a:ln>
          </c:spPr>
          <c:txPr>
            <a:bodyPr/>
            <a:lstStyle/>
            <a:p>
              <a:pPr algn="ctr" rtl="0">
                <a:defRPr sz="975"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7357184"/>
        <c:crosses val="autoZero"/>
        <c:crossBetween val="midCat"/>
        <c:majorUnit val="0.2"/>
        <c:minorUnit val="0.1"/>
      </c:valAx>
      <c:spPr>
        <a:solidFill>
          <a:srgbClr val="FFFFFF"/>
        </a:solidFill>
        <a:ln w="12700">
          <a:solidFill>
            <a:srgbClr val="808080"/>
          </a:solidFill>
          <a:prstDash val="solid"/>
        </a:ln>
      </c:spPr>
    </c:plotArea>
    <c:legend>
      <c:legendPos val="r"/>
      <c:layout>
        <c:manualLayout>
          <c:xMode val="edge"/>
          <c:yMode val="edge"/>
          <c:x val="0.14006781998965459"/>
          <c:y val="0.66325693925130857"/>
          <c:w val="0.28172117171484956"/>
          <c:h val="0.19745216205516214"/>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horizontalDpi="1200"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Air Freight:  Activity and Intensity Change</a:t>
            </a:r>
          </a:p>
        </c:rich>
      </c:tx>
      <c:layout>
        <c:manualLayout>
          <c:xMode val="edge"/>
          <c:yMode val="edge"/>
          <c:x val="0.21850403176137279"/>
          <c:y val="3.1325208552752559E-2"/>
        </c:manualLayout>
      </c:layout>
      <c:overlay val="0"/>
      <c:spPr>
        <a:noFill/>
        <a:ln w="25400">
          <a:noFill/>
        </a:ln>
      </c:spPr>
    </c:title>
    <c:autoTitleDeleted val="0"/>
    <c:plotArea>
      <c:layout>
        <c:manualLayout>
          <c:layoutTarget val="inner"/>
          <c:xMode val="edge"/>
          <c:yMode val="edge"/>
          <c:x val="0.12903252905017018"/>
          <c:y val="0.18471337579617864"/>
          <c:w val="0.83010927022276171"/>
          <c:h val="0.6942675159235665"/>
        </c:manualLayout>
      </c:layout>
      <c:lineChart>
        <c:grouping val="standard"/>
        <c:varyColors val="0"/>
        <c:ser>
          <c:idx val="0"/>
          <c:order val="0"/>
          <c:tx>
            <c:strRef>
              <c:f>'Charts (web)'!$P$460</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(web)'!$O$461:$O$484</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(web)'!$P$461:$P$484</c:f>
              <c:numCache>
                <c:formatCode>0.0000</c:formatCode>
                <c:ptCount val="24"/>
                <c:pt idx="0">
                  <c:v>1</c:v>
                </c:pt>
                <c:pt idx="1">
                  <c:v>1.214385178096905</c:v>
                </c:pt>
                <c:pt idx="2">
                  <c:v>1.451952347747778</c:v>
                </c:pt>
                <c:pt idx="3">
                  <c:v>1.6172230395480711</c:v>
                </c:pt>
                <c:pt idx="4">
                  <c:v>1.8067702432381618</c:v>
                </c:pt>
                <c:pt idx="5">
                  <c:v>1.8129850143664774</c:v>
                </c:pt>
                <c:pt idx="6">
                  <c:v>1.7849322249532731</c:v>
                </c:pt>
                <c:pt idx="7">
                  <c:v>1.9127987922808627</c:v>
                </c:pt>
                <c:pt idx="8">
                  <c:v>2.1091252137674585</c:v>
                </c:pt>
                <c:pt idx="9">
                  <c:v>2.406437963531241</c:v>
                </c:pt>
                <c:pt idx="10">
                  <c:v>2.5834655478089199</c:v>
                </c:pt>
                <c:pt idx="11">
                  <c:v>2.7512192744334834</c:v>
                </c:pt>
                <c:pt idx="12">
                  <c:v>3.051581605647959</c:v>
                </c:pt>
                <c:pt idx="13">
                  <c:v>3.0963409996176967</c:v>
                </c:pt>
                <c:pt idx="14">
                  <c:v>2.7794432657047308</c:v>
                </c:pt>
                <c:pt idx="15">
                  <c:v>3.3401782024556463</c:v>
                </c:pt>
                <c:pt idx="16">
                  <c:v>3.0816334447748006</c:v>
                </c:pt>
                <c:pt idx="17">
                  <c:v>3.3717592532725358</c:v>
                </c:pt>
                <c:pt idx="18">
                  <c:v>3.5860655171495295</c:v>
                </c:pt>
                <c:pt idx="19">
                  <c:v>4.1952744529360118</c:v>
                </c:pt>
                <c:pt idx="20">
                  <c:v>4.3427136257116228</c:v>
                </c:pt>
                <c:pt idx="21">
                  <c:v>4.3937757680072247</c:v>
                </c:pt>
                <c:pt idx="22">
                  <c:v>4.4035018903492436</c:v>
                </c:pt>
                <c:pt idx="23">
                  <c:v>3.9268113714727746</c:v>
                </c:pt>
              </c:numCache>
            </c:numRef>
          </c:val>
          <c:smooth val="0"/>
        </c:ser>
        <c:ser>
          <c:idx val="1"/>
          <c:order val="1"/>
          <c:tx>
            <c:strRef>
              <c:f>'Charts (web)'!$Q$460</c:f>
              <c:strCache>
                <c:ptCount val="1"/>
                <c:pt idx="0">
                  <c:v>Energy Intensity</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'Charts (web)'!$O$461:$O$484</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(web)'!$Q$461:$Q$484</c:f>
              <c:numCache>
                <c:formatCode>0.0000</c:formatCode>
                <c:ptCount val="24"/>
                <c:pt idx="0">
                  <c:v>1</c:v>
                </c:pt>
                <c:pt idx="1">
                  <c:v>0.99168936986328837</c:v>
                </c:pt>
                <c:pt idx="2">
                  <c:v>0.94175396036011549</c:v>
                </c:pt>
                <c:pt idx="3">
                  <c:v>0.9345425111869794</c:v>
                </c:pt>
                <c:pt idx="4">
                  <c:v>0.91877661673821298</c:v>
                </c:pt>
                <c:pt idx="5">
                  <c:v>0.93003867364269621</c:v>
                </c:pt>
                <c:pt idx="6">
                  <c:v>0.85811851680397466</c:v>
                </c:pt>
                <c:pt idx="7">
                  <c:v>0.86076686272450087</c:v>
                </c:pt>
                <c:pt idx="8">
                  <c:v>0.84036023993764919</c:v>
                </c:pt>
                <c:pt idx="9">
                  <c:v>0.81665702253121875</c:v>
                </c:pt>
                <c:pt idx="10">
                  <c:v>0.80627488818260895</c:v>
                </c:pt>
                <c:pt idx="11">
                  <c:v>0.77872305217112092</c:v>
                </c:pt>
                <c:pt idx="12">
                  <c:v>0.77260034205905204</c:v>
                </c:pt>
                <c:pt idx="13">
                  <c:v>0.77288543128858667</c:v>
                </c:pt>
                <c:pt idx="14">
                  <c:v>0.77797657523387176</c:v>
                </c:pt>
                <c:pt idx="15">
                  <c:v>0.74295167152494901</c:v>
                </c:pt>
                <c:pt idx="16">
                  <c:v>0.75286005844814119</c:v>
                </c:pt>
                <c:pt idx="17">
                  <c:v>0.69448563813250408</c:v>
                </c:pt>
                <c:pt idx="18">
                  <c:v>0.66922924467163469</c:v>
                </c:pt>
                <c:pt idx="19">
                  <c:v>0.61935221139864527</c:v>
                </c:pt>
                <c:pt idx="20">
                  <c:v>0.61205852522681736</c:v>
                </c:pt>
                <c:pt idx="21">
                  <c:v>0.61442384681807594</c:v>
                </c:pt>
                <c:pt idx="22">
                  <c:v>0.60058900877973431</c:v>
                </c:pt>
                <c:pt idx="23">
                  <c:v>0.59202674639407959</c:v>
                </c:pt>
              </c:numCache>
            </c:numRef>
          </c:val>
          <c:smooth val="0"/>
        </c:ser>
        <c:ser>
          <c:idx val="2"/>
          <c:order val="2"/>
          <c:tx>
            <c:strRef>
              <c:f>'Charts (web)'!$R$460</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(web)'!$O$461:$O$484</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(web)'!$R$461:$R$484</c:f>
              <c:numCache>
                <c:formatCode>0.0000</c:formatCode>
                <c:ptCount val="24"/>
                <c:pt idx="0">
                  <c:v>1</c:v>
                </c:pt>
                <c:pt idx="1">
                  <c:v>1.2042928720382371</c:v>
                </c:pt>
                <c:pt idx="2">
                  <c:v>1.3673818737456376</c:v>
                </c:pt>
                <c:pt idx="3">
                  <c:v>1.5113636805286939</c:v>
                </c:pt>
                <c:pt idx="4">
                  <c:v>1.6600182513056363</c:v>
                </c:pt>
                <c:pt idx="5">
                  <c:v>1.6861461780954832</c:v>
                </c:pt>
                <c:pt idx="6">
                  <c:v>1.5316833934725211</c:v>
                </c:pt>
                <c:pt idx="7">
                  <c:v>1.6464738154548126</c:v>
                </c:pt>
                <c:pt idx="8">
                  <c:v>1.7724249707001669</c:v>
                </c:pt>
                <c:pt idx="9">
                  <c:v>1.9652344622035129</c:v>
                </c:pt>
                <c:pt idx="10">
                  <c:v>2.0829833956832595</c:v>
                </c:pt>
                <c:pt idx="11">
                  <c:v>2.1424378705788589</c:v>
                </c:pt>
                <c:pt idx="12">
                  <c:v>2.357652992344724</c:v>
                </c:pt>
                <c:pt idx="13">
                  <c:v>2.3931168489060575</c:v>
                </c:pt>
                <c:pt idx="14">
                  <c:v>2.1623417529098146</c:v>
                </c:pt>
                <c:pt idx="15">
                  <c:v>2.4815909787056221</c:v>
                </c:pt>
                <c:pt idx="16">
                  <c:v>2.3200387353489034</c:v>
                </c:pt>
                <c:pt idx="17">
                  <c:v>2.3416383766381528</c:v>
                </c:pt>
                <c:pt idx="18">
                  <c:v>2.3998999173849742</c:v>
                </c:pt>
                <c:pt idx="19">
                  <c:v>2.5983525098501605</c:v>
                </c:pt>
                <c:pt idx="20">
                  <c:v>2.6579948972354606</c:v>
                </c:pt>
                <c:pt idx="21">
                  <c:v>2.6996406094350442</c:v>
                </c:pt>
                <c:pt idx="22">
                  <c:v>2.6446948354845383</c:v>
                </c:pt>
                <c:pt idx="23">
                  <c:v>2.3247773599563</c:v>
                </c:pt>
              </c:numCache>
            </c:numRef>
          </c:val>
          <c:smooth val="0"/>
        </c:ser>
        <c:dLbls>
          <c:showLegendKey val="0"/>
          <c:showVal val="0"/>
          <c:showCatName val="0"/>
          <c:showSerName val="0"/>
          <c:showPercent val="0"/>
          <c:showBubbleSize val="0"/>
        </c:dLbls>
        <c:marker val="1"/>
        <c:smooth val="0"/>
        <c:axId val="117402240"/>
        <c:axId val="117421184"/>
      </c:lineChart>
      <c:catAx>
        <c:axId val="1174022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49982243194329951"/>
              <c:y val="0.9384288747346072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421184"/>
        <c:crosses val="autoZero"/>
        <c:auto val="1"/>
        <c:lblAlgn val="ctr"/>
        <c:lblOffset val="100"/>
        <c:tickLblSkip val="2"/>
        <c:tickMarkSkip val="1"/>
        <c:noMultiLvlLbl val="0"/>
      </c:catAx>
      <c:valAx>
        <c:axId val="117421184"/>
        <c:scaling>
          <c:orientation val="minMax"/>
          <c:max val="4.5"/>
          <c:min val="0"/>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4291670219922871E-2"/>
              <c:y val="0.41686811441563432"/>
            </c:manualLayout>
          </c:layout>
          <c:overlay val="0"/>
          <c:spPr>
            <a:noFill/>
            <a:ln w="25400">
              <a:noFill/>
            </a:ln>
          </c:spPr>
          <c:txPr>
            <a:bodyPr/>
            <a:lstStyle/>
            <a:p>
              <a:pPr algn="ctr" rtl="0">
                <a:defRPr sz="975"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7402240"/>
        <c:crosses val="autoZero"/>
        <c:crossBetween val="midCat"/>
        <c:majorUnit val="0.5"/>
      </c:valAx>
      <c:spPr>
        <a:solidFill>
          <a:srgbClr val="FFFFFF"/>
        </a:solidFill>
        <a:ln w="12700">
          <a:solidFill>
            <a:srgbClr val="808080"/>
          </a:solidFill>
          <a:prstDash val="solid"/>
        </a:ln>
      </c:spPr>
    </c:plotArea>
    <c:legend>
      <c:legendPos val="r"/>
      <c:layout>
        <c:manualLayout>
          <c:xMode val="edge"/>
          <c:yMode val="edge"/>
          <c:x val="0.1519715360489686"/>
          <c:y val="0.2494692144373673"/>
          <c:w val="0.28172110255171168"/>
          <c:h val="0.19745222929936307"/>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horizontalDpi="1200"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Waterborne Freight:  Activity and Intensity Change</a:t>
            </a:r>
          </a:p>
        </c:rich>
      </c:tx>
      <c:layout>
        <c:manualLayout>
          <c:xMode val="edge"/>
          <c:yMode val="edge"/>
          <c:x val="0.13534998772635434"/>
          <c:y val="4.4064062055937277E-2"/>
        </c:manualLayout>
      </c:layout>
      <c:overlay val="0"/>
      <c:spPr>
        <a:noFill/>
        <a:ln w="25400">
          <a:noFill/>
        </a:ln>
      </c:spPr>
    </c:title>
    <c:autoTitleDeleted val="0"/>
    <c:plotArea>
      <c:layout>
        <c:manualLayout>
          <c:layoutTarget val="inner"/>
          <c:xMode val="edge"/>
          <c:yMode val="edge"/>
          <c:x val="0.12716665255552734"/>
          <c:y val="0.15074309978768577"/>
          <c:w val="0.83010927022276171"/>
          <c:h val="0.6942675159235665"/>
        </c:manualLayout>
      </c:layout>
      <c:lineChart>
        <c:grouping val="standard"/>
        <c:varyColors val="0"/>
        <c:ser>
          <c:idx val="0"/>
          <c:order val="0"/>
          <c:tx>
            <c:strRef>
              <c:f>'Charts (web)'!$P$491</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(web)'!$O$492:$O$515</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(web)'!$P$492:$P$515</c:f>
              <c:numCache>
                <c:formatCode>0.0000</c:formatCode>
                <c:ptCount val="24"/>
                <c:pt idx="0">
                  <c:v>1</c:v>
                </c:pt>
                <c:pt idx="1">
                  <c:v>0.97808548999406475</c:v>
                </c:pt>
                <c:pt idx="2">
                  <c:v>1.0027386138392107</c:v>
                </c:pt>
                <c:pt idx="3">
                  <c:v>0.99670582438379796</c:v>
                </c:pt>
                <c:pt idx="4">
                  <c:v>0.91330044682352152</c:v>
                </c:pt>
                <c:pt idx="5">
                  <c:v>0.93345106778503206</c:v>
                </c:pt>
                <c:pt idx="6">
                  <c:v>0.95008678902986665</c:v>
                </c:pt>
                <c:pt idx="7">
                  <c:v>0.95936548820229117</c:v>
                </c:pt>
                <c:pt idx="8">
                  <c:v>0.8843050718389196</c:v>
                </c:pt>
                <c:pt idx="9">
                  <c:v>0.9125941520991746</c:v>
                </c:pt>
                <c:pt idx="10">
                  <c:v>0.90454069005677673</c:v>
                </c:pt>
                <c:pt idx="11">
                  <c:v>0.85634063854328812</c:v>
                </c:pt>
                <c:pt idx="12">
                  <c:v>0.79219895405220786</c:v>
                </c:pt>
                <c:pt idx="13">
                  <c:v>0.75343550175257856</c:v>
                </c:pt>
                <c:pt idx="14">
                  <c:v>0.7344720427337984</c:v>
                </c:pt>
                <c:pt idx="15">
                  <c:v>0.72320380303929588</c:v>
                </c:pt>
                <c:pt idx="16">
                  <c:v>0.69620032027951662</c:v>
                </c:pt>
                <c:pt idx="17">
                  <c:v>0.68544407986830469</c:v>
                </c:pt>
                <c:pt idx="18">
                  <c:v>0.67879771996819604</c:v>
                </c:pt>
                <c:pt idx="19">
                  <c:v>0.69562247331937244</c:v>
                </c:pt>
                <c:pt idx="20">
                  <c:v>0.66214654467675282</c:v>
                </c:pt>
                <c:pt idx="21">
                  <c:v>0.62894498135435684</c:v>
                </c:pt>
                <c:pt idx="22">
                  <c:v>0.61945082141617303</c:v>
                </c:pt>
                <c:pt idx="23">
                  <c:v>0.58290872033774932</c:v>
                </c:pt>
              </c:numCache>
            </c:numRef>
          </c:val>
          <c:smooth val="0"/>
        </c:ser>
        <c:ser>
          <c:idx val="1"/>
          <c:order val="1"/>
          <c:tx>
            <c:strRef>
              <c:f>'Charts (web)'!$Q$491</c:f>
              <c:strCache>
                <c:ptCount val="1"/>
                <c:pt idx="0">
                  <c:v>Energy Intensity</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'Charts (web)'!$O$492:$O$515</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(web)'!$Q$492:$Q$515</c:f>
              <c:numCache>
                <c:formatCode>0.0000</c:formatCode>
                <c:ptCount val="24"/>
                <c:pt idx="0">
                  <c:v>1</c:v>
                </c:pt>
                <c:pt idx="1">
                  <c:v>0.99</c:v>
                </c:pt>
                <c:pt idx="2">
                  <c:v>0.98009999999999964</c:v>
                </c:pt>
                <c:pt idx="3">
                  <c:v>0.97029899999999969</c:v>
                </c:pt>
                <c:pt idx="4">
                  <c:v>0.96059600999999972</c:v>
                </c:pt>
                <c:pt idx="5">
                  <c:v>0.95099004989999958</c:v>
                </c:pt>
                <c:pt idx="6">
                  <c:v>0.94148014940099967</c:v>
                </c:pt>
                <c:pt idx="7">
                  <c:v>0.93206534790698947</c:v>
                </c:pt>
                <c:pt idx="8">
                  <c:v>0.92274469442791973</c:v>
                </c:pt>
                <c:pt idx="9">
                  <c:v>0.91351724748364016</c:v>
                </c:pt>
                <c:pt idx="10">
                  <c:v>0.90438207500880408</c:v>
                </c:pt>
                <c:pt idx="11">
                  <c:v>0.89533825425871594</c:v>
                </c:pt>
                <c:pt idx="12">
                  <c:v>0.88638487171612867</c:v>
                </c:pt>
                <c:pt idx="13">
                  <c:v>0.85306213217792837</c:v>
                </c:pt>
                <c:pt idx="14">
                  <c:v>0.88638487171612867</c:v>
                </c:pt>
                <c:pt idx="15">
                  <c:v>0.89971396753140864</c:v>
                </c:pt>
                <c:pt idx="16">
                  <c:v>0.84306531031646814</c:v>
                </c:pt>
                <c:pt idx="17">
                  <c:v>0.84306531031646836</c:v>
                </c:pt>
                <c:pt idx="18">
                  <c:v>0.8364007624088281</c:v>
                </c:pt>
                <c:pt idx="19">
                  <c:v>0.80307802287062779</c:v>
                </c:pt>
                <c:pt idx="20">
                  <c:v>0.80307802287062791</c:v>
                </c:pt>
                <c:pt idx="21">
                  <c:v>0.78308437914770757</c:v>
                </c:pt>
                <c:pt idx="22">
                  <c:v>0.74976163960950737</c:v>
                </c:pt>
                <c:pt idx="23">
                  <c:v>0.83973303636264829</c:v>
                </c:pt>
              </c:numCache>
            </c:numRef>
          </c:val>
          <c:smooth val="0"/>
        </c:ser>
        <c:ser>
          <c:idx val="2"/>
          <c:order val="2"/>
          <c:tx>
            <c:strRef>
              <c:f>'Charts (web)'!$R$491</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(web)'!$O$492:$O$515</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(web)'!$R$492:$R$515</c:f>
              <c:numCache>
                <c:formatCode>0.0000</c:formatCode>
                <c:ptCount val="24"/>
                <c:pt idx="0">
                  <c:v>1</c:v>
                </c:pt>
                <c:pt idx="1">
                  <c:v>0.96830463509412401</c:v>
                </c:pt>
                <c:pt idx="2">
                  <c:v>0.98278411542381017</c:v>
                </c:pt>
                <c:pt idx="3">
                  <c:v>0.96710266469377448</c:v>
                </c:pt>
                <c:pt idx="4">
                  <c:v>0.87731276514989176</c:v>
                </c:pt>
                <c:pt idx="5">
                  <c:v>0.88770267753209564</c:v>
                </c:pt>
                <c:pt idx="6">
                  <c:v>0.8944878520797549</c:v>
                </c:pt>
                <c:pt idx="7">
                  <c:v>0.89419132753122754</c:v>
                </c:pt>
                <c:pt idx="8">
                  <c:v>0.81598781329506342</c:v>
                </c:pt>
                <c:pt idx="9">
                  <c:v>0.83367049789530467</c:v>
                </c:pt>
                <c:pt idx="10">
                  <c:v>0.81805038620344328</c:v>
                </c:pt>
                <c:pt idx="11">
                  <c:v>0.76671453236414167</c:v>
                </c:pt>
                <c:pt idx="12">
                  <c:v>0.70219316826121758</c:v>
                </c:pt>
                <c:pt idx="13">
                  <c:v>0.64272729558360187</c:v>
                </c:pt>
                <c:pt idx="14">
                  <c:v>0.65102490737768093</c:v>
                </c:pt>
                <c:pt idx="15">
                  <c:v>0.6506765629662884</c:v>
                </c:pt>
                <c:pt idx="16">
                  <c:v>0.58694233905887527</c:v>
                </c:pt>
                <c:pt idx="17">
                  <c:v>0.57787412589875831</c:v>
                </c:pt>
                <c:pt idx="18">
                  <c:v>0.56774693050277336</c:v>
                </c:pt>
                <c:pt idx="19">
                  <c:v>0.55863912053769771</c:v>
                </c:pt>
                <c:pt idx="20">
                  <c:v>0.5317553379496246</c:v>
                </c:pt>
                <c:pt idx="21">
                  <c:v>0.49251699024194306</c:v>
                </c:pt>
                <c:pt idx="22">
                  <c:v>0.464440463522446</c:v>
                </c:pt>
                <c:pt idx="23">
                  <c:v>0.48948770965148403</c:v>
                </c:pt>
              </c:numCache>
            </c:numRef>
          </c:val>
          <c:smooth val="0"/>
        </c:ser>
        <c:dLbls>
          <c:showLegendKey val="0"/>
          <c:showVal val="0"/>
          <c:showCatName val="0"/>
          <c:showSerName val="0"/>
          <c:showPercent val="0"/>
          <c:showBubbleSize val="0"/>
        </c:dLbls>
        <c:marker val="1"/>
        <c:smooth val="0"/>
        <c:axId val="116734976"/>
        <c:axId val="116741632"/>
      </c:lineChart>
      <c:catAx>
        <c:axId val="1167349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5070947336618894"/>
              <c:y val="0.9256900212314225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741632"/>
        <c:crosses val="autoZero"/>
        <c:auto val="1"/>
        <c:lblAlgn val="ctr"/>
        <c:lblOffset val="100"/>
        <c:tickLblSkip val="2"/>
        <c:tickMarkSkip val="1"/>
        <c:noMultiLvlLbl val="0"/>
      </c:catAx>
      <c:valAx>
        <c:axId val="116741632"/>
        <c:scaling>
          <c:orientation val="minMax"/>
          <c:min val="0.4"/>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4291810645971412E-2"/>
              <c:y val="0.41686811441563432"/>
            </c:manualLayout>
          </c:layout>
          <c:overlay val="0"/>
          <c:spPr>
            <a:noFill/>
            <a:ln w="25400">
              <a:noFill/>
            </a:ln>
          </c:spPr>
          <c:txPr>
            <a:bodyPr/>
            <a:lstStyle/>
            <a:p>
              <a:pPr algn="ctr" rtl="0">
                <a:defRPr sz="975"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6734976"/>
        <c:crosses val="autoZero"/>
        <c:crossBetween val="midCat"/>
      </c:valAx>
      <c:spPr>
        <a:solidFill>
          <a:srgbClr val="FFFFFF"/>
        </a:solidFill>
        <a:ln w="12700">
          <a:solidFill>
            <a:srgbClr val="808080"/>
          </a:solidFill>
          <a:prstDash val="solid"/>
        </a:ln>
      </c:spPr>
    </c:plotArea>
    <c:legend>
      <c:legendPos val="r"/>
      <c:layout>
        <c:manualLayout>
          <c:xMode val="edge"/>
          <c:yMode val="edge"/>
          <c:x val="0.1385216865877377"/>
          <c:y val="0.61889596602972397"/>
          <c:w val="0.28172114277082272"/>
          <c:h val="0.19745222929936301"/>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1200" verticalDpi="120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Intercity Rail:  Activity and Intensity Change</a:t>
            </a:r>
          </a:p>
        </c:rich>
      </c:tx>
      <c:layout>
        <c:manualLayout>
          <c:xMode val="edge"/>
          <c:yMode val="edge"/>
          <c:x val="0.1353499959510506"/>
          <c:y val="4.4064062055937277E-2"/>
        </c:manualLayout>
      </c:layout>
      <c:overlay val="0"/>
      <c:spPr>
        <a:noFill/>
        <a:ln w="25400">
          <a:noFill/>
        </a:ln>
      </c:spPr>
    </c:title>
    <c:autoTitleDeleted val="0"/>
    <c:plotArea>
      <c:layout>
        <c:manualLayout>
          <c:layoutTarget val="inner"/>
          <c:xMode val="edge"/>
          <c:yMode val="edge"/>
          <c:x val="0.12716665255552734"/>
          <c:y val="0.15074309978768588"/>
          <c:w val="0.83010927022276171"/>
          <c:h val="0.6942675159235665"/>
        </c:manualLayout>
      </c:layout>
      <c:lineChart>
        <c:grouping val="standard"/>
        <c:varyColors val="0"/>
        <c:ser>
          <c:idx val="0"/>
          <c:order val="0"/>
          <c:tx>
            <c:strRef>
              <c:f>'Charts (web)'!$P$522</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(web)'!$O$523:$O$546</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(web)'!$P$523:$P$546</c:f>
              <c:numCache>
                <c:formatCode>0.0000</c:formatCode>
                <c:ptCount val="24"/>
                <c:pt idx="0">
                  <c:v>1</c:v>
                </c:pt>
                <c:pt idx="1">
                  <c:v>1.0472309299895506</c:v>
                </c:pt>
                <c:pt idx="2">
                  <c:v>1.1203761755485893</c:v>
                </c:pt>
                <c:pt idx="3">
                  <c:v>1.1882967607105539</c:v>
                </c:pt>
                <c:pt idx="4">
                  <c:v>1.2244514106583073</c:v>
                </c:pt>
                <c:pt idx="5">
                  <c:v>1.2658307210031348</c:v>
                </c:pt>
                <c:pt idx="6">
                  <c:v>1.3109717868338557</c:v>
                </c:pt>
                <c:pt idx="7">
                  <c:v>1.2729362591431557</c:v>
                </c:pt>
                <c:pt idx="8">
                  <c:v>1.2955067920585162</c:v>
                </c:pt>
                <c:pt idx="9">
                  <c:v>1.2374085684430511</c:v>
                </c:pt>
                <c:pt idx="10">
                  <c:v>1.1588296760710555</c:v>
                </c:pt>
                <c:pt idx="11">
                  <c:v>1.0553814002089865</c:v>
                </c:pt>
                <c:pt idx="12">
                  <c:v>1.0796238244514107</c:v>
                </c:pt>
                <c:pt idx="13">
                  <c:v>1.1084639498432602</c:v>
                </c:pt>
                <c:pt idx="14">
                  <c:v>1.1138975966562172</c:v>
                </c:pt>
                <c:pt idx="15">
                  <c:v>1.1490073145245558</c:v>
                </c:pt>
                <c:pt idx="16">
                  <c:v>1.1617554858934169</c:v>
                </c:pt>
                <c:pt idx="17">
                  <c:v>1.1427377220480668</c:v>
                </c:pt>
                <c:pt idx="18">
                  <c:v>1.1870428422152559</c:v>
                </c:pt>
                <c:pt idx="19">
                  <c:v>1.1517241379310346</c:v>
                </c:pt>
                <c:pt idx="20">
                  <c:v>1.1245559038662487</c:v>
                </c:pt>
                <c:pt idx="21">
                  <c:v>1.1306165099268548</c:v>
                </c:pt>
                <c:pt idx="22">
                  <c:v>1.2087774294670846</c:v>
                </c:pt>
                <c:pt idx="23">
                  <c:v>1.2913270637408569</c:v>
                </c:pt>
              </c:numCache>
            </c:numRef>
          </c:val>
          <c:smooth val="0"/>
        </c:ser>
        <c:ser>
          <c:idx val="1"/>
          <c:order val="1"/>
          <c:tx>
            <c:strRef>
              <c:f>'Charts (web)'!$Q$522</c:f>
              <c:strCache>
                <c:ptCount val="1"/>
                <c:pt idx="0">
                  <c:v>Energy Intensity</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'Charts (web)'!$O$523:$O$546</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(web)'!$Q$523:$Q$546</c:f>
              <c:numCache>
                <c:formatCode>0.0000</c:formatCode>
                <c:ptCount val="24"/>
                <c:pt idx="0">
                  <c:v>1</c:v>
                </c:pt>
                <c:pt idx="1">
                  <c:v>0.91788762397144918</c:v>
                </c:pt>
                <c:pt idx="2">
                  <c:v>0.90639545728625781</c:v>
                </c:pt>
                <c:pt idx="3">
                  <c:v>0.88068205056892102</c:v>
                </c:pt>
                <c:pt idx="4">
                  <c:v>0.96863501589683176</c:v>
                </c:pt>
                <c:pt idx="5">
                  <c:v>0.93084687714771697</c:v>
                </c:pt>
                <c:pt idx="6">
                  <c:v>0.89879476086142529</c:v>
                </c:pt>
                <c:pt idx="7">
                  <c:v>0.9378305009678789</c:v>
                </c:pt>
                <c:pt idx="8">
                  <c:v>0.95141001736964348</c:v>
                </c:pt>
                <c:pt idx="9">
                  <c:v>0.99608017187542963</c:v>
                </c:pt>
                <c:pt idx="10">
                  <c:v>1.0723449201579112</c:v>
                </c:pt>
                <c:pt idx="11">
                  <c:v>1.1879902973532825</c:v>
                </c:pt>
                <c:pt idx="12">
                  <c:v>1.2374104319898807</c:v>
                </c:pt>
                <c:pt idx="13">
                  <c:v>1.2319919325282329</c:v>
                </c:pt>
                <c:pt idx="14">
                  <c:v>1.285265774773015</c:v>
                </c:pt>
                <c:pt idx="15">
                  <c:v>1.4436150428984844</c:v>
                </c:pt>
                <c:pt idx="16">
                  <c:v>1.436554814307704</c:v>
                </c:pt>
                <c:pt idx="17">
                  <c:v>1.3739674625174187</c:v>
                </c:pt>
                <c:pt idx="18">
                  <c:v>1.2320642223699716</c:v>
                </c:pt>
                <c:pt idx="19">
                  <c:v>1.2139414333429637</c:v>
                </c:pt>
                <c:pt idx="20">
                  <c:v>1.19219422836967</c:v>
                </c:pt>
                <c:pt idx="21">
                  <c:v>1.166495712307168</c:v>
                </c:pt>
                <c:pt idx="22">
                  <c:v>1.1071464695151452</c:v>
                </c:pt>
                <c:pt idx="23">
                  <c:v>1.0552799763814935</c:v>
                </c:pt>
              </c:numCache>
            </c:numRef>
          </c:val>
          <c:smooth val="0"/>
        </c:ser>
        <c:ser>
          <c:idx val="2"/>
          <c:order val="2"/>
          <c:tx>
            <c:strRef>
              <c:f>'Charts (web)'!$R$522</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(web)'!$O$523:$O$546</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(web)'!$R$523:$R$546</c:f>
              <c:numCache>
                <c:formatCode>0.0000</c:formatCode>
                <c:ptCount val="24"/>
                <c:pt idx="0">
                  <c:v>1</c:v>
                </c:pt>
                <c:pt idx="1">
                  <c:v>0.96124031007751942</c:v>
                </c:pt>
                <c:pt idx="2">
                  <c:v>1.0155038759689923</c:v>
                </c:pt>
                <c:pt idx="3">
                  <c:v>1.0465116279069768</c:v>
                </c:pt>
                <c:pt idx="4">
                  <c:v>1.1860465116279071</c:v>
                </c:pt>
                <c:pt idx="5">
                  <c:v>1.1782945736434107</c:v>
                </c:pt>
                <c:pt idx="6">
                  <c:v>1.1782945736434107</c:v>
                </c:pt>
                <c:pt idx="7">
                  <c:v>1.1937984496124032</c:v>
                </c:pt>
                <c:pt idx="8">
                  <c:v>1.2325581395348837</c:v>
                </c:pt>
                <c:pt idx="9">
                  <c:v>1.2325581395348837</c:v>
                </c:pt>
                <c:pt idx="10">
                  <c:v>1.2426651164630336</c:v>
                </c:pt>
                <c:pt idx="11">
                  <c:v>1.2537828634553976</c:v>
                </c:pt>
                <c:pt idx="12">
                  <c:v>1.3359377830009869</c:v>
                </c:pt>
                <c:pt idx="13">
                  <c:v>1.3656186437052762</c:v>
                </c:pt>
                <c:pt idx="14">
                  <c:v>1.4316544575841523</c:v>
                </c:pt>
                <c:pt idx="15">
                  <c:v>1.6587242436480389</c:v>
                </c:pt>
                <c:pt idx="16">
                  <c:v>1.6689254363085737</c:v>
                </c:pt>
                <c:pt idx="17">
                  <c:v>1.5700844482853176</c:v>
                </c:pt>
                <c:pt idx="18">
                  <c:v>1.4625130163137801</c:v>
                </c:pt>
                <c:pt idx="19">
                  <c:v>1.398125650815689</c:v>
                </c:pt>
                <c:pt idx="20">
                  <c:v>1.340689058068379</c:v>
                </c:pt>
                <c:pt idx="21">
                  <c:v>1.3188593110933704</c:v>
                </c:pt>
                <c:pt idx="22">
                  <c:v>1.338293663464075</c:v>
                </c:pt>
                <c:pt idx="23">
                  <c:v>1.3627115933252345</c:v>
                </c:pt>
              </c:numCache>
            </c:numRef>
          </c:val>
          <c:smooth val="0"/>
        </c:ser>
        <c:dLbls>
          <c:showLegendKey val="0"/>
          <c:showVal val="0"/>
          <c:showCatName val="0"/>
          <c:showSerName val="0"/>
          <c:showPercent val="0"/>
          <c:showBubbleSize val="0"/>
        </c:dLbls>
        <c:marker val="1"/>
        <c:smooth val="0"/>
        <c:axId val="116796032"/>
        <c:axId val="116798592"/>
      </c:lineChart>
      <c:catAx>
        <c:axId val="1167960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50938394043757229"/>
              <c:y val="0.9299363057324840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798592"/>
        <c:crosses val="autoZero"/>
        <c:auto val="1"/>
        <c:lblAlgn val="ctr"/>
        <c:lblOffset val="100"/>
        <c:tickLblSkip val="2"/>
        <c:tickMarkSkip val="1"/>
        <c:noMultiLvlLbl val="0"/>
      </c:catAx>
      <c:valAx>
        <c:axId val="116798592"/>
        <c:scaling>
          <c:orientation val="minMax"/>
          <c:min val="0.4"/>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4291743477618838E-2"/>
              <c:y val="0.41686811441563432"/>
            </c:manualLayout>
          </c:layout>
          <c:overlay val="0"/>
          <c:spPr>
            <a:noFill/>
            <a:ln w="25400">
              <a:noFill/>
            </a:ln>
          </c:spPr>
          <c:txPr>
            <a:bodyPr/>
            <a:lstStyle/>
            <a:p>
              <a:pPr algn="ctr" rtl="0">
                <a:defRPr sz="975"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6796032"/>
        <c:crosses val="autoZero"/>
        <c:crossBetween val="midCat"/>
      </c:valAx>
      <c:spPr>
        <a:solidFill>
          <a:srgbClr val="FFFFFF"/>
        </a:solidFill>
        <a:ln w="12700">
          <a:solidFill>
            <a:srgbClr val="808080"/>
          </a:solidFill>
          <a:prstDash val="solid"/>
        </a:ln>
      </c:spPr>
    </c:plotArea>
    <c:legend>
      <c:legendPos val="r"/>
      <c:layout>
        <c:manualLayout>
          <c:xMode val="edge"/>
          <c:yMode val="edge"/>
          <c:x val="0.16057371231499873"/>
          <c:y val="0.63588110403397025"/>
          <c:w val="0.28172113694499623"/>
          <c:h val="0.19745222929936301"/>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landscape" horizontalDpi="1200" verticalDpi="120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Commercial Air:  Activity and Intensity Change</a:t>
            </a:r>
          </a:p>
        </c:rich>
      </c:tx>
      <c:layout>
        <c:manualLayout>
          <c:xMode val="edge"/>
          <c:yMode val="edge"/>
          <c:x val="0.22972386164978018"/>
          <c:y val="5.2556631058060417E-2"/>
        </c:manualLayout>
      </c:layout>
      <c:overlay val="0"/>
      <c:spPr>
        <a:noFill/>
        <a:ln w="25400">
          <a:noFill/>
        </a:ln>
      </c:spPr>
    </c:title>
    <c:autoTitleDeleted val="0"/>
    <c:plotArea>
      <c:layout>
        <c:manualLayout>
          <c:layoutTarget val="inner"/>
          <c:xMode val="edge"/>
          <c:yMode val="edge"/>
          <c:x val="0.12716665255552734"/>
          <c:y val="0.15074309978768596"/>
          <c:w val="0.83010927022276171"/>
          <c:h val="0.6942675159235665"/>
        </c:manualLayout>
      </c:layout>
      <c:lineChart>
        <c:grouping val="standard"/>
        <c:varyColors val="0"/>
        <c:ser>
          <c:idx val="0"/>
          <c:order val="0"/>
          <c:tx>
            <c:strRef>
              <c:f>'Charts (web)'!$P$553</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(web)'!$O$554:$O$577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(web)'!$P$554:$P$577</c:f>
              <c:numCache>
                <c:formatCode>0.0000</c:formatCode>
                <c:ptCount val="24"/>
                <c:pt idx="0">
                  <c:v>1</c:v>
                </c:pt>
                <c:pt idx="1">
                  <c:v>1.079328230880757</c:v>
                </c:pt>
                <c:pt idx="2">
                  <c:v>1.1901513360469189</c:v>
                </c:pt>
                <c:pt idx="3">
                  <c:v>1.2466026723786789</c:v>
                </c:pt>
                <c:pt idx="4">
                  <c:v>1.2746079049086656</c:v>
                </c:pt>
                <c:pt idx="5">
                  <c:v>1.3451209492042966</c:v>
                </c:pt>
                <c:pt idx="6">
                  <c:v>1.3196582505632732</c:v>
                </c:pt>
                <c:pt idx="7">
                  <c:v>1.4063029626317034</c:v>
                </c:pt>
                <c:pt idx="8">
                  <c:v>1.4412842913012394</c:v>
                </c:pt>
                <c:pt idx="9">
                  <c:v>1.5310387811082027</c:v>
                </c:pt>
                <c:pt idx="10">
                  <c:v>1.5915694200351493</c:v>
                </c:pt>
                <c:pt idx="11">
                  <c:v>1.6981189011971871</c:v>
                </c:pt>
                <c:pt idx="12">
                  <c:v>1.7659249842625324</c:v>
                </c:pt>
                <c:pt idx="13">
                  <c:v>1.8102143856121091</c:v>
                </c:pt>
                <c:pt idx="14">
                  <c:v>1.9045212818986366</c:v>
                </c:pt>
                <c:pt idx="15">
                  <c:v>2.0193130146721625</c:v>
                </c:pt>
                <c:pt idx="16">
                  <c:v>1.8937631689135876</c:v>
                </c:pt>
                <c:pt idx="17">
                  <c:v>1.8663182358085071</c:v>
                </c:pt>
                <c:pt idx="18">
                  <c:v>1.9196315552605869</c:v>
                </c:pt>
                <c:pt idx="19">
                  <c:v>2.1428588042942636</c:v>
                </c:pt>
                <c:pt idx="20">
                  <c:v>2.2648204732349111</c:v>
                </c:pt>
                <c:pt idx="21">
                  <c:v>2.3074585684458788</c:v>
                </c:pt>
                <c:pt idx="22">
                  <c:v>2.3983808467184886</c:v>
                </c:pt>
                <c:pt idx="23">
                  <c:v>2.3464718249480878</c:v>
                </c:pt>
              </c:numCache>
            </c:numRef>
          </c:val>
          <c:smooth val="0"/>
        </c:ser>
        <c:ser>
          <c:idx val="1"/>
          <c:order val="1"/>
          <c:tx>
            <c:strRef>
              <c:f>'Charts (web)'!$Q$553</c:f>
              <c:strCache>
                <c:ptCount val="1"/>
                <c:pt idx="0">
                  <c:v>Energy Intensity</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'Charts (web)'!$O$554:$O$577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(web)'!$Q$554:$Q$577</c:f>
              <c:numCache>
                <c:formatCode>0.0000</c:formatCode>
                <c:ptCount val="24"/>
                <c:pt idx="0">
                  <c:v>1</c:v>
                </c:pt>
                <c:pt idx="1">
                  <c:v>0.99168936986328848</c:v>
                </c:pt>
                <c:pt idx="2">
                  <c:v>0.94175396036011549</c:v>
                </c:pt>
                <c:pt idx="3">
                  <c:v>0.93454251118697917</c:v>
                </c:pt>
                <c:pt idx="4">
                  <c:v>0.91877661673821276</c:v>
                </c:pt>
                <c:pt idx="5">
                  <c:v>0.93003867364269632</c:v>
                </c:pt>
                <c:pt idx="6">
                  <c:v>0.85811851680397466</c:v>
                </c:pt>
                <c:pt idx="7">
                  <c:v>0.86076686272450098</c:v>
                </c:pt>
                <c:pt idx="8">
                  <c:v>0.84036023993764919</c:v>
                </c:pt>
                <c:pt idx="9">
                  <c:v>0.81665702253121897</c:v>
                </c:pt>
                <c:pt idx="10">
                  <c:v>0.80627488818260895</c:v>
                </c:pt>
                <c:pt idx="11">
                  <c:v>0.77872305217112092</c:v>
                </c:pt>
                <c:pt idx="12">
                  <c:v>0.77260034205905181</c:v>
                </c:pt>
                <c:pt idx="13">
                  <c:v>0.772885431288587</c:v>
                </c:pt>
                <c:pt idx="14">
                  <c:v>0.77797657523387165</c:v>
                </c:pt>
                <c:pt idx="15">
                  <c:v>0.7429516715249489</c:v>
                </c:pt>
                <c:pt idx="16">
                  <c:v>0.7528600584481413</c:v>
                </c:pt>
                <c:pt idx="17">
                  <c:v>0.69448563813250419</c:v>
                </c:pt>
                <c:pt idx="18">
                  <c:v>0.66922924467163458</c:v>
                </c:pt>
                <c:pt idx="19">
                  <c:v>0.61935221139864527</c:v>
                </c:pt>
                <c:pt idx="20">
                  <c:v>0.61205852522681736</c:v>
                </c:pt>
                <c:pt idx="21">
                  <c:v>0.61442384681807605</c:v>
                </c:pt>
                <c:pt idx="22">
                  <c:v>0.60058900877973431</c:v>
                </c:pt>
                <c:pt idx="23">
                  <c:v>0.59202674639407948</c:v>
                </c:pt>
              </c:numCache>
            </c:numRef>
          </c:val>
          <c:smooth val="0"/>
        </c:ser>
        <c:ser>
          <c:idx val="2"/>
          <c:order val="2"/>
          <c:tx>
            <c:strRef>
              <c:f>'Charts (web)'!$R$553</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(web)'!$O$554:$O$577</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(web)'!$R$554:$R$577</c:f>
              <c:numCache>
                <c:formatCode>0.0000</c:formatCode>
                <c:ptCount val="24"/>
                <c:pt idx="0">
                  <c:v>1</c:v>
                </c:pt>
                <c:pt idx="1">
                  <c:v>1.0703583331577957</c:v>
                </c:pt>
                <c:pt idx="2">
                  <c:v>1.1208297341500684</c:v>
                </c:pt>
                <c:pt idx="3">
                  <c:v>1.1650031918971697</c:v>
                </c:pt>
                <c:pt idx="4">
                  <c:v>1.1710799385397654</c:v>
                </c:pt>
                <c:pt idx="5">
                  <c:v>1.2510145034869686</c:v>
                </c:pt>
                <c:pt idx="6">
                  <c:v>1.1324231806614837</c:v>
                </c:pt>
                <c:pt idx="7">
                  <c:v>1.2104989891846623</c:v>
                </c:pt>
                <c:pt idx="8">
                  <c:v>1.211198012856274</c:v>
                </c:pt>
                <c:pt idx="9">
                  <c:v>1.2503335723596514</c:v>
                </c:pt>
                <c:pt idx="10">
                  <c:v>1.2832424561736995</c:v>
                </c:pt>
                <c:pt idx="11">
                  <c:v>1.3223643336897435</c:v>
                </c:pt>
                <c:pt idx="12">
                  <c:v>1.3643542468918581</c:v>
                </c:pt>
                <c:pt idx="13">
                  <c:v>1.3990883261486196</c:v>
                </c:pt>
                <c:pt idx="14">
                  <c:v>1.4816729443515242</c:v>
                </c:pt>
                <c:pt idx="15">
                  <c:v>1.5002519795827665</c:v>
                </c:pt>
                <c:pt idx="16">
                  <c:v>1.4257386500352207</c:v>
                </c:pt>
                <c:pt idx="17">
                  <c:v>1.2961312109538006</c:v>
                </c:pt>
                <c:pt idx="18">
                  <c:v>1.2846735757748775</c:v>
                </c:pt>
                <c:pt idx="19">
                  <c:v>1.3271843391547089</c:v>
                </c:pt>
                <c:pt idx="20">
                  <c:v>1.3862026787516621</c:v>
                </c:pt>
                <c:pt idx="21">
                  <c:v>1.4177575699978475</c:v>
                </c:pt>
                <c:pt idx="22">
                  <c:v>1.4404411754069566</c:v>
                </c:pt>
                <c:pt idx="23">
                  <c:v>1.3891740800293941</c:v>
                </c:pt>
              </c:numCache>
            </c:numRef>
          </c:val>
          <c:smooth val="0"/>
        </c:ser>
        <c:dLbls>
          <c:showLegendKey val="0"/>
          <c:showVal val="0"/>
          <c:showCatName val="0"/>
          <c:showSerName val="0"/>
          <c:showPercent val="0"/>
          <c:showBubbleSize val="0"/>
        </c:dLbls>
        <c:marker val="1"/>
        <c:smooth val="0"/>
        <c:axId val="116841088"/>
        <c:axId val="116855936"/>
      </c:lineChart>
      <c:catAx>
        <c:axId val="11684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49002519875578165"/>
              <c:y val="0.9256900212314225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855936"/>
        <c:crosses val="autoZero"/>
        <c:auto val="1"/>
        <c:lblAlgn val="ctr"/>
        <c:lblOffset val="100"/>
        <c:tickLblSkip val="2"/>
        <c:tickMarkSkip val="1"/>
        <c:noMultiLvlLbl val="0"/>
      </c:catAx>
      <c:valAx>
        <c:axId val="116855936"/>
        <c:scaling>
          <c:orientation val="minMax"/>
          <c:min val="0.4"/>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4291743477618838E-2"/>
              <c:y val="0.41686811441563432"/>
            </c:manualLayout>
          </c:layout>
          <c:overlay val="0"/>
          <c:spPr>
            <a:noFill/>
            <a:ln w="25400">
              <a:noFill/>
            </a:ln>
          </c:spPr>
          <c:txPr>
            <a:bodyPr/>
            <a:lstStyle/>
            <a:p>
              <a:pPr algn="ctr" rtl="0">
                <a:defRPr sz="975"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6841088"/>
        <c:crosses val="autoZero"/>
        <c:crossBetween val="midCat"/>
      </c:valAx>
      <c:spPr>
        <a:solidFill>
          <a:srgbClr val="FFFFFF"/>
        </a:solidFill>
        <a:ln w="12700">
          <a:solidFill>
            <a:srgbClr val="808080"/>
          </a:solidFill>
          <a:prstDash val="solid"/>
        </a:ln>
      </c:spPr>
    </c:plotArea>
    <c:legend>
      <c:legendPos val="r"/>
      <c:layout>
        <c:manualLayout>
          <c:xMode val="edge"/>
          <c:yMode val="edge"/>
          <c:x val="0.16057371231499873"/>
          <c:y val="0.19002123142250532"/>
          <c:w val="0.28172113694499623"/>
          <c:h val="0.19745222929936307"/>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1200" verticalDpi="120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General Air:  Activity and Intensity Change</a:t>
            </a:r>
          </a:p>
        </c:rich>
      </c:tx>
      <c:layout>
        <c:manualLayout>
          <c:xMode val="edge"/>
          <c:yMode val="edge"/>
          <c:x val="0.22972386164978018"/>
          <c:y val="5.2556631058060417E-2"/>
        </c:manualLayout>
      </c:layout>
      <c:overlay val="0"/>
      <c:spPr>
        <a:noFill/>
        <a:ln w="25400">
          <a:noFill/>
        </a:ln>
      </c:spPr>
    </c:title>
    <c:autoTitleDeleted val="0"/>
    <c:plotArea>
      <c:layout>
        <c:manualLayout>
          <c:layoutTarget val="inner"/>
          <c:xMode val="edge"/>
          <c:yMode val="edge"/>
          <c:x val="0.12716665255552734"/>
          <c:y val="0.15074309978768602"/>
          <c:w val="0.83010927022276171"/>
          <c:h val="0.6942675159235665"/>
        </c:manualLayout>
      </c:layout>
      <c:lineChart>
        <c:grouping val="standard"/>
        <c:varyColors val="0"/>
        <c:ser>
          <c:idx val="0"/>
          <c:order val="0"/>
          <c:tx>
            <c:strRef>
              <c:f>'Charts (web)'!$P$585</c:f>
              <c:strCache>
                <c:ptCount val="1"/>
                <c:pt idx="0">
                  <c:v>Activity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'Charts (web)'!$O$586:$O$609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(web)'!$P$586:$P$609</c:f>
              <c:numCache>
                <c:formatCode>0.0000</c:formatCode>
                <c:ptCount val="24"/>
                <c:pt idx="0">
                  <c:v>1</c:v>
                </c:pt>
                <c:pt idx="1">
                  <c:v>1.0081300813008129</c:v>
                </c:pt>
                <c:pt idx="2">
                  <c:v>0.98373983739837401</c:v>
                </c:pt>
                <c:pt idx="3">
                  <c:v>1.024390243902439</c:v>
                </c:pt>
                <c:pt idx="4">
                  <c:v>1.065040650406504</c:v>
                </c:pt>
                <c:pt idx="5">
                  <c:v>1.056910569105691</c:v>
                </c:pt>
                <c:pt idx="6">
                  <c:v>0.98373983739837401</c:v>
                </c:pt>
                <c:pt idx="7">
                  <c:v>0.87804878048780488</c:v>
                </c:pt>
                <c:pt idx="8">
                  <c:v>0.80487804878048785</c:v>
                </c:pt>
                <c:pt idx="9">
                  <c:v>0.7967479674796748</c:v>
                </c:pt>
                <c:pt idx="10">
                  <c:v>0.87804878048780488</c:v>
                </c:pt>
                <c:pt idx="11">
                  <c:v>0.97560975609756095</c:v>
                </c:pt>
                <c:pt idx="12">
                  <c:v>1.0162601626016261</c:v>
                </c:pt>
                <c:pt idx="13">
                  <c:v>1.065040650406504</c:v>
                </c:pt>
                <c:pt idx="14">
                  <c:v>1.1463414634146341</c:v>
                </c:pt>
                <c:pt idx="15">
                  <c:v>1.2357723577235773</c:v>
                </c:pt>
                <c:pt idx="16">
                  <c:v>1.2926829268292683</c:v>
                </c:pt>
                <c:pt idx="17">
                  <c:v>1.1079728883849362</c:v>
                </c:pt>
                <c:pt idx="18">
                  <c:v>1.1071767858471233</c:v>
                </c:pt>
                <c:pt idx="19">
                  <c:v>1.3774830363168555</c:v>
                </c:pt>
                <c:pt idx="20">
                  <c:v>1.8978348529408173</c:v>
                </c:pt>
                <c:pt idx="21">
                  <c:v>2.0068817966657351</c:v>
                </c:pt>
                <c:pt idx="22">
                  <c:v>1.8989602638258021</c:v>
                </c:pt>
                <c:pt idx="23">
                  <c:v>2.0730787248596032</c:v>
                </c:pt>
              </c:numCache>
            </c:numRef>
          </c:val>
          <c:smooth val="0"/>
        </c:ser>
        <c:ser>
          <c:idx val="1"/>
          <c:order val="1"/>
          <c:tx>
            <c:strRef>
              <c:f>'Charts (web)'!$Q$585</c:f>
              <c:strCache>
                <c:ptCount val="1"/>
                <c:pt idx="0">
                  <c:v>Energy Intensity</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numRef>
              <c:f>'Charts (web)'!$O$586:$O$609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(web)'!$Q$586:$Q$609</c:f>
              <c:numCache>
                <c:formatCode>0.0000</c:formatCode>
                <c:ptCount val="24"/>
                <c:pt idx="0">
                  <c:v>1</c:v>
                </c:pt>
                <c:pt idx="1">
                  <c:v>1.0199104398249801</c:v>
                </c:pt>
                <c:pt idx="2">
                  <c:v>0.98277155657166237</c:v>
                </c:pt>
                <c:pt idx="3">
                  <c:v>1.0078081243199959</c:v>
                </c:pt>
                <c:pt idx="4">
                  <c:v>0.87495232389688815</c:v>
                </c:pt>
                <c:pt idx="5">
                  <c:v>0.8675520844136696</c:v>
                </c:pt>
                <c:pt idx="6">
                  <c:v>0.85090916948194528</c:v>
                </c:pt>
                <c:pt idx="7">
                  <c:v>0.82658987301031306</c:v>
                </c:pt>
                <c:pt idx="8">
                  <c:v>0.80789696432246383</c:v>
                </c:pt>
                <c:pt idx="9">
                  <c:v>0.82528237288249073</c:v>
                </c:pt>
                <c:pt idx="10">
                  <c:v>0.87142541313424193</c:v>
                </c:pt>
                <c:pt idx="11">
                  <c:v>0.83215588800271334</c:v>
                </c:pt>
                <c:pt idx="12">
                  <c:v>0.83025880469138758</c:v>
                </c:pt>
                <c:pt idx="13">
                  <c:v>0.96188757452113338</c:v>
                </c:pt>
                <c:pt idx="14">
                  <c:v>1.0433864242232245</c:v>
                </c:pt>
                <c:pt idx="15">
                  <c:v>0.98511066885236409</c:v>
                </c:pt>
                <c:pt idx="16">
                  <c:v>0.88764299721394657</c:v>
                </c:pt>
                <c:pt idx="17">
                  <c:v>0.88764299721394657</c:v>
                </c:pt>
                <c:pt idx="18">
                  <c:v>0.88764299721394657</c:v>
                </c:pt>
                <c:pt idx="19">
                  <c:v>0.88764299721394657</c:v>
                </c:pt>
                <c:pt idx="20">
                  <c:v>0.88764299721394657</c:v>
                </c:pt>
                <c:pt idx="21">
                  <c:v>0.88764299721394657</c:v>
                </c:pt>
                <c:pt idx="22">
                  <c:v>0.88764299721394657</c:v>
                </c:pt>
                <c:pt idx="23">
                  <c:v>0.88764299721394668</c:v>
                </c:pt>
              </c:numCache>
            </c:numRef>
          </c:val>
          <c:smooth val="0"/>
        </c:ser>
        <c:ser>
          <c:idx val="2"/>
          <c:order val="2"/>
          <c:tx>
            <c:strRef>
              <c:f>'Charts (web)'!$R$585</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(web)'!$O$586:$O$609</c:f>
              <c:numCache>
                <c:formatCode>0</c:formatCode>
                <c:ptCount val="24"/>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numCache>
            </c:numRef>
          </c:cat>
          <c:val>
            <c:numRef>
              <c:f>'Charts (web)'!$R$586:$R$609</c:f>
              <c:numCache>
                <c:formatCode>0.0000</c:formatCode>
                <c:ptCount val="24"/>
                <c:pt idx="0">
                  <c:v>1</c:v>
                </c:pt>
                <c:pt idx="1">
                  <c:v>1.0282023946203052</c:v>
                </c:pt>
                <c:pt idx="2">
                  <c:v>0.96679153126155415</c:v>
                </c:pt>
                <c:pt idx="3">
                  <c:v>1.0323888102790204</c:v>
                </c:pt>
                <c:pt idx="4">
                  <c:v>0.9318597921178241</c:v>
                </c:pt>
                <c:pt idx="5">
                  <c:v>0.9169249672664801</c:v>
                </c:pt>
                <c:pt idx="6">
                  <c:v>0.83707324802695415</c:v>
                </c:pt>
                <c:pt idx="7">
                  <c:v>0.72578622996027509</c:v>
                </c:pt>
                <c:pt idx="8">
                  <c:v>0.65025853225954422</c:v>
                </c:pt>
                <c:pt idx="9">
                  <c:v>0.65754205319092751</c:v>
                </c:pt>
                <c:pt idx="10">
                  <c:v>0.76515402128860266</c:v>
                </c:pt>
                <c:pt idx="11">
                  <c:v>0.81185940292947645</c:v>
                </c:pt>
                <c:pt idx="12">
                  <c:v>0.84375894785710115</c:v>
                </c:pt>
                <c:pt idx="13">
                  <c:v>1.0244493679859226</c:v>
                </c:pt>
                <c:pt idx="14">
                  <c:v>1.1960771204510137</c:v>
                </c:pt>
                <c:pt idx="15">
                  <c:v>1.2173725338663361</c:v>
                </c:pt>
                <c:pt idx="16">
                  <c:v>1.1474409476180285</c:v>
                </c:pt>
                <c:pt idx="17">
                  <c:v>0.98348437547779821</c:v>
                </c:pt>
                <c:pt idx="18">
                  <c:v>0.98277772063504432</c:v>
                </c:pt>
                <c:pt idx="19">
                  <c:v>1.2227131709676613</c:v>
                </c:pt>
                <c:pt idx="20">
                  <c:v>1.6845998170814769</c:v>
                </c:pt>
                <c:pt idx="21">
                  <c:v>1.7813945730464831</c:v>
                </c:pt>
                <c:pt idx="22">
                  <c:v>1.6855987801725216</c:v>
                </c:pt>
                <c:pt idx="23">
                  <c:v>1.8401538127948449</c:v>
                </c:pt>
              </c:numCache>
            </c:numRef>
          </c:val>
          <c:smooth val="0"/>
        </c:ser>
        <c:dLbls>
          <c:showLegendKey val="0"/>
          <c:showVal val="0"/>
          <c:showCatName val="0"/>
          <c:showSerName val="0"/>
          <c:showPercent val="0"/>
          <c:showBubbleSize val="0"/>
        </c:dLbls>
        <c:marker val="1"/>
        <c:smooth val="0"/>
        <c:axId val="116882048"/>
        <c:axId val="116909184"/>
      </c:lineChart>
      <c:catAx>
        <c:axId val="116882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Year</a:t>
                </a:r>
              </a:p>
            </c:rich>
          </c:tx>
          <c:layout>
            <c:manualLayout>
              <c:xMode val="edge"/>
              <c:yMode val="edge"/>
              <c:x val="0.49244504146600548"/>
              <c:y val="0.9256900212314225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6909184"/>
        <c:crosses val="autoZero"/>
        <c:auto val="1"/>
        <c:lblAlgn val="ctr"/>
        <c:lblOffset val="100"/>
        <c:tickLblSkip val="2"/>
        <c:tickMarkSkip val="1"/>
        <c:noMultiLvlLbl val="0"/>
      </c:catAx>
      <c:valAx>
        <c:axId val="116909184"/>
        <c:scaling>
          <c:orientation val="minMax"/>
          <c:min val="0.4"/>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4291743477618838E-2"/>
              <c:y val="0.41686811441563432"/>
            </c:manualLayout>
          </c:layout>
          <c:overlay val="0"/>
          <c:spPr>
            <a:noFill/>
            <a:ln w="25400">
              <a:noFill/>
            </a:ln>
          </c:spPr>
          <c:txPr>
            <a:bodyPr/>
            <a:lstStyle/>
            <a:p>
              <a:pPr algn="ctr" rtl="0">
                <a:defRPr sz="975"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16882048"/>
        <c:crosses val="autoZero"/>
        <c:crossBetween val="midCat"/>
      </c:valAx>
      <c:spPr>
        <a:solidFill>
          <a:srgbClr val="FFFFFF"/>
        </a:solidFill>
        <a:ln w="12700">
          <a:solidFill>
            <a:srgbClr val="808080"/>
          </a:solidFill>
          <a:prstDash val="solid"/>
        </a:ln>
      </c:spPr>
    </c:plotArea>
    <c:legend>
      <c:legendPos val="r"/>
      <c:layout>
        <c:manualLayout>
          <c:xMode val="edge"/>
          <c:yMode val="edge"/>
          <c:x val="0.16057371231499873"/>
          <c:y val="0.19002123142250532"/>
          <c:w val="0.28172113694499623"/>
          <c:h val="0.19745222929936307"/>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solidFill>
        <a:schemeClr val="tx1"/>
      </a:solidFill>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orientation="landscape" horizontalDpi="1200" verticalDpi="12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629067245119306"/>
          <c:y val="6.7591451068616429E-2"/>
          <c:w val="0.85466377440347074"/>
          <c:h val="0.80153040869891268"/>
        </c:manualLayout>
      </c:layout>
      <c:lineChart>
        <c:grouping val="standard"/>
        <c:varyColors val="0"/>
        <c:ser>
          <c:idx val="0"/>
          <c:order val="0"/>
          <c:tx>
            <c:strRef>
              <c:f>'Charts (web)'!$V$4</c:f>
              <c:strCache>
                <c:ptCount val="1"/>
                <c:pt idx="0">
                  <c:v>Activity Index</c:v>
                </c:pt>
              </c:strCache>
            </c:strRef>
          </c:tx>
          <c:spPr>
            <a:ln w="12700">
              <a:solidFill>
                <a:srgbClr val="FF00FF"/>
              </a:solidFill>
              <a:prstDash val="solid"/>
            </a:ln>
          </c:spPr>
          <c:marker>
            <c:symbol val="square"/>
            <c:size val="4"/>
            <c:spPr>
              <a:solidFill>
                <a:srgbClr val="FF00FF"/>
              </a:solidFill>
              <a:ln>
                <a:solidFill>
                  <a:srgbClr val="FF00FF"/>
                </a:solidFill>
                <a:prstDash val="solid"/>
              </a:ln>
            </c:spPr>
          </c:marker>
          <c:cat>
            <c:numRef>
              <c:f>'Charts (web)'!$U$5:$U$46</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(web)'!$V$5:$V$46</c:f>
              <c:numCache>
                <c:formatCode>0.0000</c:formatCode>
                <c:ptCount val="42"/>
                <c:pt idx="0">
                  <c:v>0.68193706832566803</c:v>
                </c:pt>
                <c:pt idx="1">
                  <c:v>0.71329863032904883</c:v>
                </c:pt>
                <c:pt idx="2">
                  <c:v>0.75758347402363191</c:v>
                </c:pt>
                <c:pt idx="3">
                  <c:v>0.78563192137415572</c:v>
                </c:pt>
                <c:pt idx="4">
                  <c:v>0.77065445171387126</c:v>
                </c:pt>
                <c:pt idx="5">
                  <c:v>0.77452140459660235</c:v>
                </c:pt>
                <c:pt idx="6">
                  <c:v>0.82042491580161059</c:v>
                </c:pt>
                <c:pt idx="7">
                  <c:v>0.85681885206776398</c:v>
                </c:pt>
                <c:pt idx="8">
                  <c:v>0.91602019497620724</c:v>
                </c:pt>
                <c:pt idx="9">
                  <c:v>0.92015382081904729</c:v>
                </c:pt>
                <c:pt idx="10">
                  <c:v>0.91829096619781136</c:v>
                </c:pt>
                <c:pt idx="11">
                  <c:v>0.92139324235246656</c:v>
                </c:pt>
                <c:pt idx="12">
                  <c:v>0.91880064372129211</c:v>
                </c:pt>
                <c:pt idx="13">
                  <c:v>0.95430002937887426</c:v>
                </c:pt>
                <c:pt idx="14">
                  <c:v>0.9856623894086658</c:v>
                </c:pt>
                <c:pt idx="15">
                  <c:v>1</c:v>
                </c:pt>
                <c:pt idx="16">
                  <c:v>1.0164849796307009</c:v>
                </c:pt>
                <c:pt idx="17">
                  <c:v>1.0584149691674531</c:v>
                </c:pt>
                <c:pt idx="18">
                  <c:v>1.0991398319654007</c:v>
                </c:pt>
                <c:pt idx="19">
                  <c:v>1.1129082704181696</c:v>
                </c:pt>
                <c:pt idx="20">
                  <c:v>1.1281809015259485</c:v>
                </c:pt>
                <c:pt idx="21">
                  <c:v>1.1387410050538485</c:v>
                </c:pt>
                <c:pt idx="22">
                  <c:v>1.1743557038530226</c:v>
                </c:pt>
                <c:pt idx="23">
                  <c:v>1.1928861897329768</c:v>
                </c:pt>
                <c:pt idx="24">
                  <c:v>1.2351947387818187</c:v>
                </c:pt>
                <c:pt idx="25">
                  <c:v>1.2729453420385728</c:v>
                </c:pt>
                <c:pt idx="26">
                  <c:v>1.3079839647165596</c:v>
                </c:pt>
                <c:pt idx="27">
                  <c:v>1.3374430898950085</c:v>
                </c:pt>
                <c:pt idx="28">
                  <c:v>1.3675717880848217</c:v>
                </c:pt>
                <c:pt idx="29">
                  <c:v>1.4042865844576962</c:v>
                </c:pt>
                <c:pt idx="30">
                  <c:v>1.4401122757567597</c:v>
                </c:pt>
                <c:pt idx="31">
                  <c:v>1.4527798151403946</c:v>
                </c:pt>
                <c:pt idx="32">
                  <c:v>1.4780235734489733</c:v>
                </c:pt>
                <c:pt idx="33">
                  <c:v>1.5019127170393012</c:v>
                </c:pt>
                <c:pt idx="34">
                  <c:v>1.5633131281393231</c:v>
                </c:pt>
                <c:pt idx="35">
                  <c:v>1.5860478109791885</c:v>
                </c:pt>
                <c:pt idx="36">
                  <c:v>1.6072009796026876</c:v>
                </c:pt>
                <c:pt idx="37">
                  <c:v>1.6278385950555496</c:v>
                </c:pt>
                <c:pt idx="38">
                  <c:v>1.6004580311312939</c:v>
                </c:pt>
                <c:pt idx="39">
                  <c:v>1.5457985245593699</c:v>
                </c:pt>
                <c:pt idx="40">
                  <c:v>1.5820070462690683</c:v>
                </c:pt>
                <c:pt idx="41">
                  <c:v>1.5777558350752059</c:v>
                </c:pt>
              </c:numCache>
            </c:numRef>
          </c:val>
          <c:smooth val="0"/>
        </c:ser>
        <c:ser>
          <c:idx val="1"/>
          <c:order val="1"/>
          <c:tx>
            <c:strRef>
              <c:f>'Charts (web)'!$W$4</c:f>
              <c:strCache>
                <c:ptCount val="1"/>
                <c:pt idx="0">
                  <c:v>Modal Shifts</c:v>
                </c:pt>
              </c:strCache>
            </c:strRef>
          </c:tx>
          <c:spPr>
            <a:ln w="12700">
              <a:solidFill>
                <a:srgbClr val="1F497D"/>
              </a:solidFill>
              <a:prstDash val="solid"/>
            </a:ln>
          </c:spPr>
          <c:marker>
            <c:symbol val="x"/>
            <c:size val="5"/>
            <c:spPr>
              <a:noFill/>
              <a:ln>
                <a:solidFill>
                  <a:srgbClr val="1F497D"/>
                </a:solidFill>
                <a:prstDash val="solid"/>
              </a:ln>
            </c:spPr>
          </c:marker>
          <c:cat>
            <c:numRef>
              <c:f>'Charts (web)'!$U$5:$U$46</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(web)'!$W$5:$W$46</c:f>
              <c:numCache>
                <c:formatCode>0.0000</c:formatCode>
                <c:ptCount val="42"/>
                <c:pt idx="0">
                  <c:v>0.95937390934674072</c:v>
                </c:pt>
                <c:pt idx="1">
                  <c:v>0.96959186211407933</c:v>
                </c:pt>
                <c:pt idx="2">
                  <c:v>0.97620078296171153</c:v>
                </c:pt>
                <c:pt idx="3">
                  <c:v>0.97998802154816</c:v>
                </c:pt>
                <c:pt idx="4">
                  <c:v>0.97957540613371152</c:v>
                </c:pt>
                <c:pt idx="5">
                  <c:v>0.98794015026700865</c:v>
                </c:pt>
                <c:pt idx="6">
                  <c:v>0.99484521397153858</c:v>
                </c:pt>
                <c:pt idx="7">
                  <c:v>1.001258552650897</c:v>
                </c:pt>
                <c:pt idx="8">
                  <c:v>0.99343406014476054</c:v>
                </c:pt>
                <c:pt idx="9">
                  <c:v>0.99116973880962289</c:v>
                </c:pt>
                <c:pt idx="10">
                  <c:v>0.97720521209100131</c:v>
                </c:pt>
                <c:pt idx="11">
                  <c:v>0.97450269902441289</c:v>
                </c:pt>
                <c:pt idx="12">
                  <c:v>0.98585955999683084</c:v>
                </c:pt>
                <c:pt idx="13">
                  <c:v>0.98952235828338286</c:v>
                </c:pt>
                <c:pt idx="14">
                  <c:v>0.99484746146333647</c:v>
                </c:pt>
                <c:pt idx="15">
                  <c:v>1</c:v>
                </c:pt>
                <c:pt idx="16">
                  <c:v>1.0066120725388663</c:v>
                </c:pt>
                <c:pt idx="17">
                  <c:v>1.008249059701241</c:v>
                </c:pt>
                <c:pt idx="18">
                  <c:v>1.012366337615753</c:v>
                </c:pt>
                <c:pt idx="19">
                  <c:v>1.0221551717222097</c:v>
                </c:pt>
                <c:pt idx="20">
                  <c:v>1.0229895758226804</c:v>
                </c:pt>
                <c:pt idx="21">
                  <c:v>1.0269882151215839</c:v>
                </c:pt>
                <c:pt idx="22">
                  <c:v>1.0290448673490344</c:v>
                </c:pt>
                <c:pt idx="23">
                  <c:v>1.0382272741535608</c:v>
                </c:pt>
                <c:pt idx="24">
                  <c:v>1.0389767434336543</c:v>
                </c:pt>
                <c:pt idx="25">
                  <c:v>1.0376006639713391</c:v>
                </c:pt>
                <c:pt idx="26">
                  <c:v>1.0419402995770661</c:v>
                </c:pt>
                <c:pt idx="27">
                  <c:v>1.0545660502797622</c:v>
                </c:pt>
                <c:pt idx="28">
                  <c:v>1.0578740715371109</c:v>
                </c:pt>
                <c:pt idx="29">
                  <c:v>1.0584350998453786</c:v>
                </c:pt>
                <c:pt idx="30">
                  <c:v>1.0610286564513156</c:v>
                </c:pt>
                <c:pt idx="31">
                  <c:v>1.0631480317122799</c:v>
                </c:pt>
                <c:pt idx="32">
                  <c:v>1.0690952605453683</c:v>
                </c:pt>
                <c:pt idx="33">
                  <c:v>1.0691500122453954</c:v>
                </c:pt>
                <c:pt idx="34">
                  <c:v>1.0658397859426922</c:v>
                </c:pt>
                <c:pt idx="35">
                  <c:v>1.0680372541707976</c:v>
                </c:pt>
                <c:pt idx="36">
                  <c:v>1.0666336253272477</c:v>
                </c:pt>
                <c:pt idx="37">
                  <c:v>1.068631992193769</c:v>
                </c:pt>
                <c:pt idx="38">
                  <c:v>1.0732919109268</c:v>
                </c:pt>
                <c:pt idx="39">
                  <c:v>1.0812354558026858</c:v>
                </c:pt>
                <c:pt idx="40">
                  <c:v>1.0694695098582792</c:v>
                </c:pt>
                <c:pt idx="41">
                  <c:v>1.0586039328172128</c:v>
                </c:pt>
              </c:numCache>
            </c:numRef>
          </c:val>
          <c:smooth val="0"/>
        </c:ser>
        <c:ser>
          <c:idx val="2"/>
          <c:order val="2"/>
          <c:tx>
            <c:strRef>
              <c:f>'Charts (web)'!$X$4</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(web)'!$U$5:$U$46</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(web)'!$X$5:$X$46</c:f>
              <c:numCache>
                <c:formatCode>0.0000</c:formatCode>
                <c:ptCount val="42"/>
                <c:pt idx="0">
                  <c:v>1.1934927904088419</c:v>
                </c:pt>
                <c:pt idx="1">
                  <c:v>1.1820648969438168</c:v>
                </c:pt>
                <c:pt idx="2">
                  <c:v>1.1818043808444494</c:v>
                </c:pt>
                <c:pt idx="3">
                  <c:v>1.1858681144100962</c:v>
                </c:pt>
                <c:pt idx="4">
                  <c:v>1.1687116123917829</c:v>
                </c:pt>
                <c:pt idx="5">
                  <c:v>1.1664740838244174</c:v>
                </c:pt>
                <c:pt idx="6">
                  <c:v>1.1498700807763698</c:v>
                </c:pt>
                <c:pt idx="7">
                  <c:v>1.1257992165647734</c:v>
                </c:pt>
                <c:pt idx="8">
                  <c:v>1.1130098189801645</c:v>
                </c:pt>
                <c:pt idx="9">
                  <c:v>1.0999515590507036</c:v>
                </c:pt>
                <c:pt idx="10">
                  <c:v>1.0650117526963567</c:v>
                </c:pt>
                <c:pt idx="11">
                  <c:v>1.0623116885641064</c:v>
                </c:pt>
                <c:pt idx="12">
                  <c:v>1.0367523713592406</c:v>
                </c:pt>
                <c:pt idx="13">
                  <c:v>1.0062017936136707</c:v>
                </c:pt>
                <c:pt idx="14">
                  <c:v>1.0018455894501788</c:v>
                </c:pt>
                <c:pt idx="15">
                  <c:v>1</c:v>
                </c:pt>
                <c:pt idx="16">
                  <c:v>1.0076372215364484</c:v>
                </c:pt>
                <c:pt idx="17">
                  <c:v>0.98888140040758443</c:v>
                </c:pt>
                <c:pt idx="18">
                  <c:v>0.97402907385998705</c:v>
                </c:pt>
                <c:pt idx="19">
                  <c:v>0.96511721846800635</c:v>
                </c:pt>
                <c:pt idx="20">
                  <c:v>0.95515668919483165</c:v>
                </c:pt>
                <c:pt idx="21">
                  <c:v>0.91712551484643423</c:v>
                </c:pt>
                <c:pt idx="22">
                  <c:v>0.9168561266835954</c:v>
                </c:pt>
                <c:pt idx="23">
                  <c:v>0.92060839512767934</c:v>
                </c:pt>
                <c:pt idx="24">
                  <c:v>0.91767019977188213</c:v>
                </c:pt>
                <c:pt idx="25">
                  <c:v>0.91260196733691934</c:v>
                </c:pt>
                <c:pt idx="26">
                  <c:v>0.90593073042817418</c:v>
                </c:pt>
                <c:pt idx="27">
                  <c:v>0.89476708570107855</c:v>
                </c:pt>
                <c:pt idx="28">
                  <c:v>0.89522062609407849</c:v>
                </c:pt>
                <c:pt idx="29">
                  <c:v>0.90243289468672849</c:v>
                </c:pt>
                <c:pt idx="30">
                  <c:v>0.88736930071001807</c:v>
                </c:pt>
                <c:pt idx="31">
                  <c:v>0.87598677623355403</c:v>
                </c:pt>
                <c:pt idx="32">
                  <c:v>0.87444584604045528</c:v>
                </c:pt>
                <c:pt idx="33">
                  <c:v>0.87042436321684946</c:v>
                </c:pt>
                <c:pt idx="34">
                  <c:v>0.85472839370446074</c:v>
                </c:pt>
                <c:pt idx="35">
                  <c:v>0.84177929810714847</c:v>
                </c:pt>
                <c:pt idx="36">
                  <c:v>0.838269370520482</c:v>
                </c:pt>
                <c:pt idx="37">
                  <c:v>0.83191953983036648</c:v>
                </c:pt>
                <c:pt idx="38">
                  <c:v>0.82651078855921678</c:v>
                </c:pt>
                <c:pt idx="39">
                  <c:v>0.82425745208327461</c:v>
                </c:pt>
                <c:pt idx="40">
                  <c:v>0.82566657545572286</c:v>
                </c:pt>
                <c:pt idx="41">
                  <c:v>0.83248236739814063</c:v>
                </c:pt>
              </c:numCache>
            </c:numRef>
          </c:val>
          <c:smooth val="0"/>
        </c:ser>
        <c:ser>
          <c:idx val="3"/>
          <c:order val="3"/>
          <c:tx>
            <c:strRef>
              <c:f>'Charts (web)'!$Y$4</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(web)'!$U$5:$U$46</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(web)'!$Y$5:$Y$46</c:f>
              <c:numCache>
                <c:formatCode>0.0000</c:formatCode>
                <c:ptCount val="42"/>
                <c:pt idx="0">
                  <c:v>0.78082192854927746</c:v>
                </c:pt>
                <c:pt idx="1">
                  <c:v>0.81752618609999606</c:v>
                </c:pt>
                <c:pt idx="2">
                  <c:v>0.87400766130495355</c:v>
                </c:pt>
                <c:pt idx="3">
                  <c:v>0.91301156852127197</c:v>
                </c:pt>
                <c:pt idx="4">
                  <c:v>0.88227693057291134</c:v>
                </c:pt>
                <c:pt idx="5">
                  <c:v>0.89256356429062644</c:v>
                </c:pt>
                <c:pt idx="6">
                  <c:v>0.93851913151968624</c:v>
                </c:pt>
                <c:pt idx="7">
                  <c:v>0.96581999982461852</c:v>
                </c:pt>
                <c:pt idx="8">
                  <c:v>1.0128452365434371</c:v>
                </c:pt>
                <c:pt idx="9">
                  <c:v>1.0031873049382338</c:v>
                </c:pt>
                <c:pt idx="10">
                  <c:v>0.9556975814641212</c:v>
                </c:pt>
                <c:pt idx="11">
                  <c:v>0.95384987925505194</c:v>
                </c:pt>
                <c:pt idx="12">
                  <c:v>0.93909900498013155</c:v>
                </c:pt>
                <c:pt idx="13">
                  <c:v>0.95015757682905622</c:v>
                </c:pt>
                <c:pt idx="14">
                  <c:v>0.98239348094275258</c:v>
                </c:pt>
                <c:pt idx="15">
                  <c:v>1</c:v>
                </c:pt>
                <c:pt idx="16">
                  <c:v>1.0310205033476332</c:v>
                </c:pt>
                <c:pt idx="17">
                  <c:v>1.0552807294965139</c:v>
                </c:pt>
                <c:pt idx="18">
                  <c:v>1.0838334813120365</c:v>
                </c:pt>
                <c:pt idx="19">
                  <c:v>1.0978835148312631</c:v>
                </c:pt>
                <c:pt idx="20">
                  <c:v>1.102362861028408</c:v>
                </c:pt>
                <c:pt idx="21">
                  <c:v>1.0725540704062735</c:v>
                </c:pt>
                <c:pt idx="22">
                  <c:v>1.1079882727786654</c:v>
                </c:pt>
                <c:pt idx="23">
                  <c:v>1.1401615084131307</c:v>
                </c:pt>
                <c:pt idx="24">
                  <c:v>1.1776815960496221</c:v>
                </c:pt>
                <c:pt idx="25">
                  <c:v>1.2053728299092168</c:v>
                </c:pt>
                <c:pt idx="26">
                  <c:v>1.2346397274324545</c:v>
                </c:pt>
                <c:pt idx="27">
                  <c:v>1.2619992512529643</c:v>
                </c:pt>
                <c:pt idx="28">
                  <c:v>1.2951324522484764</c:v>
                </c:pt>
                <c:pt idx="29">
                  <c:v>1.3413277139087507</c:v>
                </c:pt>
                <c:pt idx="30">
                  <c:v>1.3559006402966816</c:v>
                </c:pt>
                <c:pt idx="31">
                  <c:v>1.3529790964848225</c:v>
                </c:pt>
                <c:pt idx="32">
                  <c:v>1.3817538524106496</c:v>
                </c:pt>
                <c:pt idx="33">
                  <c:v>1.3977013295608933</c:v>
                </c:pt>
                <c:pt idx="34">
                  <c:v>1.4241837753930131</c:v>
                </c:pt>
                <c:pt idx="35">
                  <c:v>1.4259389017064681</c:v>
                </c:pt>
                <c:pt idx="36">
                  <c:v>1.4370406615182947</c:v>
                </c:pt>
                <c:pt idx="37">
                  <c:v>1.4471742881440883</c:v>
                </c:pt>
                <c:pt idx="38">
                  <c:v>1.4197460634665096</c:v>
                </c:pt>
                <c:pt idx="39">
                  <c:v>1.3776409682072801</c:v>
                </c:pt>
                <c:pt idx="40">
                  <c:v>1.3969521323480787</c:v>
                </c:pt>
                <c:pt idx="41">
                  <c:v>1.3904274776215071</c:v>
                </c:pt>
              </c:numCache>
            </c:numRef>
          </c:val>
          <c:smooth val="0"/>
        </c:ser>
        <c:dLbls>
          <c:showLegendKey val="0"/>
          <c:showVal val="0"/>
          <c:showCatName val="0"/>
          <c:showSerName val="0"/>
          <c:showPercent val="0"/>
          <c:showBubbleSize val="0"/>
        </c:dLbls>
        <c:marker val="1"/>
        <c:smooth val="0"/>
        <c:axId val="117812224"/>
        <c:axId val="117823360"/>
      </c:lineChart>
      <c:catAx>
        <c:axId val="1178122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823360"/>
        <c:crosses val="autoZero"/>
        <c:auto val="1"/>
        <c:lblAlgn val="ctr"/>
        <c:lblOffset val="100"/>
        <c:tickLblSkip val="5"/>
        <c:tickMarkSkip val="1"/>
        <c:noMultiLvlLbl val="0"/>
      </c:catAx>
      <c:valAx>
        <c:axId val="117823360"/>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1286658581993955E-2"/>
              <c:y val="0.29316005402237344"/>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812224"/>
        <c:crosses val="autoZero"/>
        <c:crossBetween val="midCat"/>
      </c:valAx>
      <c:spPr>
        <a:noFill/>
        <a:ln w="3175">
          <a:solidFill>
            <a:srgbClr val="000000"/>
          </a:solidFill>
          <a:prstDash val="solid"/>
        </a:ln>
      </c:spPr>
    </c:plotArea>
    <c:legend>
      <c:legendPos val="r"/>
      <c:layout>
        <c:manualLayout>
          <c:xMode val="edge"/>
          <c:yMode val="edge"/>
          <c:x val="0.23768854538939091"/>
          <c:y val="0.56693505299968072"/>
          <c:w val="0.25929782762394554"/>
          <c:h val="0.2491916180380364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solidFill>
        <a:sysClr val="window" lastClr="FFFFFF">
          <a:lumMod val="75000"/>
        </a:sysClr>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water_freight_regression!$M$4</c:f>
              <c:strCache>
                <c:ptCount val="1"/>
                <c:pt idx="0">
                  <c:v>predicted</c:v>
                </c:pt>
              </c:strCache>
            </c:strRef>
          </c:tx>
          <c:cat>
            <c:numRef>
              <c:f>water_freight_regression!$L$5:$L$31</c:f>
              <c:numCache>
                <c:formatCode>0</c:formatCode>
                <c:ptCount val="2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numCache>
            </c:numRef>
          </c:cat>
          <c:val>
            <c:numRef>
              <c:f>water_freight_regression!$M$5:$M$31</c:f>
              <c:numCache>
                <c:formatCode>0</c:formatCode>
                <c:ptCount val="27"/>
                <c:pt idx="0">
                  <c:v>494.10241327326844</c:v>
                </c:pt>
                <c:pt idx="1">
                  <c:v>487.79559547619982</c:v>
                </c:pt>
                <c:pt idx="2">
                  <c:v>481.56927910890778</c:v>
                </c:pt>
                <c:pt idx="3">
                  <c:v>475.42243663573277</c:v>
                </c:pt>
                <c:pt idx="4">
                  <c:v>469.35405363667689</c:v>
                </c:pt>
                <c:pt idx="5">
                  <c:v>463.36312863998847</c:v>
                </c:pt>
                <c:pt idx="6">
                  <c:v>457.44867295689784</c:v>
                </c:pt>
                <c:pt idx="7">
                  <c:v>451.60971051844808</c:v>
                </c:pt>
                <c:pt idx="8">
                  <c:v>445.8452777144085</c:v>
                </c:pt>
                <c:pt idx="9">
                  <c:v>440.15442323425867</c:v>
                </c:pt>
                <c:pt idx="10">
                  <c:v>434.53620791018619</c:v>
                </c:pt>
                <c:pt idx="11">
                  <c:v>428.98970456209793</c:v>
                </c:pt>
                <c:pt idx="12">
                  <c:v>423.5139978446004</c:v>
                </c:pt>
                <c:pt idx="13">
                  <c:v>418.10818409594839</c:v>
                </c:pt>
                <c:pt idx="14">
                  <c:v>412.77137118890846</c:v>
                </c:pt>
                <c:pt idx="15">
                  <c:v>407.50267838352522</c:v>
                </c:pt>
                <c:pt idx="16">
                  <c:v>402.30123618178141</c:v>
                </c:pt>
                <c:pt idx="17">
                  <c:v>397.16618618409859</c:v>
                </c:pt>
                <c:pt idx="18">
                  <c:v>392.09668094767079</c:v>
                </c:pt>
                <c:pt idx="19">
                  <c:v>387.09188384661854</c:v>
                </c:pt>
                <c:pt idx="20">
                  <c:v>382.15096893391501</c:v>
                </c:pt>
                <c:pt idx="21">
                  <c:v>377.27312080507551</c:v>
                </c:pt>
                <c:pt idx="22">
                  <c:v>372.45753446359822</c:v>
                </c:pt>
                <c:pt idx="23">
                  <c:v>367.70341518811074</c:v>
                </c:pt>
                <c:pt idx="24">
                  <c:v>363.00997840121255</c:v>
                </c:pt>
                <c:pt idx="25">
                  <c:v>358.37644954000314</c:v>
                </c:pt>
                <c:pt idx="26">
                  <c:v>353.80206392825119</c:v>
                </c:pt>
              </c:numCache>
            </c:numRef>
          </c:val>
          <c:smooth val="0"/>
        </c:ser>
        <c:ser>
          <c:idx val="1"/>
          <c:order val="1"/>
          <c:tx>
            <c:strRef>
              <c:f>water_freight_regression!$N$4</c:f>
              <c:strCache>
                <c:ptCount val="1"/>
                <c:pt idx="0">
                  <c:v>actual</c:v>
                </c:pt>
              </c:strCache>
            </c:strRef>
          </c:tx>
          <c:cat>
            <c:numRef>
              <c:f>water_freight_regression!$L$5:$L$31</c:f>
              <c:numCache>
                <c:formatCode>0</c:formatCode>
                <c:ptCount val="2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numCache>
            </c:numRef>
          </c:cat>
          <c:val>
            <c:numRef>
              <c:f>water_freight_regression!$N$5:$N$31</c:f>
              <c:numCache>
                <c:formatCode>0</c:formatCode>
                <c:ptCount val="27"/>
                <c:pt idx="0">
                  <c:v>544.78782293076051</c:v>
                </c:pt>
                <c:pt idx="1">
                  <c:v>505.7626145545367</c:v>
                </c:pt>
                <c:pt idx="2">
                  <c:v>522.08423954962655</c:v>
                </c:pt>
                <c:pt idx="3">
                  <c:v>576.37234301906187</c:v>
                </c:pt>
                <c:pt idx="4">
                  <c:v>483.1624429159051</c:v>
                </c:pt>
                <c:pt idx="5">
                  <c:v>549.48528132382239</c:v>
                </c:pt>
                <c:pt idx="6">
                  <c:v>468.52812128931606</c:v>
                </c:pt>
                <c:pt idx="7">
                  <c:v>457.92985561690352</c:v>
                </c:pt>
                <c:pt idx="8">
                  <c:v>382.70767546788511</c:v>
                </c:pt>
                <c:pt idx="9">
                  <c:v>456.94801033288923</c:v>
                </c:pt>
                <c:pt idx="10">
                  <c:v>357.33044865473869</c:v>
                </c:pt>
                <c:pt idx="11">
                  <c:v>359.90443004157243</c:v>
                </c:pt>
                <c:pt idx="12">
                  <c:v>309.65560318147726</c:v>
                </c:pt>
                <c:pt idx="13">
                  <c:v>319.38993803160969</c:v>
                </c:pt>
                <c:pt idx="14">
                  <c:v>346.16771053935929</c:v>
                </c:pt>
                <c:pt idx="15">
                  <c:v>446.37557812692478</c:v>
                </c:pt>
                <c:pt idx="16">
                  <c:v>462.55958030732734</c:v>
                </c:pt>
                <c:pt idx="17">
                  <c:v>413.99774741446845</c:v>
                </c:pt>
                <c:pt idx="18">
                  <c:v>360.99971641354364</c:v>
                </c:pt>
                <c:pt idx="19">
                  <c:v>402.91832541454545</c:v>
                </c:pt>
                <c:pt idx="20">
                  <c:v>387.74207186233042</c:v>
                </c:pt>
                <c:pt idx="21">
                  <c:v>386.021199930693</c:v>
                </c:pt>
                <c:pt idx="22">
                  <c:v>398.04614206908821</c:v>
                </c:pt>
                <c:pt idx="23">
                  <c:v>388.77594968656678</c:v>
                </c:pt>
                <c:pt idx="24">
                  <c:v>368.99363765143835</c:v>
                </c:pt>
                <c:pt idx="25">
                  <c:v>374.13598666976509</c:v>
                </c:pt>
                <c:pt idx="26">
                  <c:v>411.80274530804451</c:v>
                </c:pt>
              </c:numCache>
            </c:numRef>
          </c:val>
          <c:smooth val="0"/>
        </c:ser>
        <c:dLbls>
          <c:showLegendKey val="0"/>
          <c:showVal val="0"/>
          <c:showCatName val="0"/>
          <c:showSerName val="0"/>
          <c:showPercent val="0"/>
          <c:showBubbleSize val="0"/>
        </c:dLbls>
        <c:marker val="1"/>
        <c:smooth val="0"/>
        <c:axId val="105047936"/>
        <c:axId val="105049472"/>
      </c:lineChart>
      <c:catAx>
        <c:axId val="105047936"/>
        <c:scaling>
          <c:orientation val="minMax"/>
        </c:scaling>
        <c:delete val="0"/>
        <c:axPos val="b"/>
        <c:numFmt formatCode="0" sourceLinked="1"/>
        <c:majorTickMark val="out"/>
        <c:minorTickMark val="none"/>
        <c:tickLblPos val="nextTo"/>
        <c:crossAx val="105049472"/>
        <c:crosses val="autoZero"/>
        <c:auto val="1"/>
        <c:lblAlgn val="ctr"/>
        <c:lblOffset val="100"/>
        <c:noMultiLvlLbl val="0"/>
      </c:catAx>
      <c:valAx>
        <c:axId val="105049472"/>
        <c:scaling>
          <c:orientation val="minMax"/>
        </c:scaling>
        <c:delete val="0"/>
        <c:axPos val="l"/>
        <c:majorGridlines/>
        <c:numFmt formatCode="0" sourceLinked="1"/>
        <c:majorTickMark val="out"/>
        <c:minorTickMark val="none"/>
        <c:tickLblPos val="nextTo"/>
        <c:crossAx val="1050479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812285989301438"/>
          <c:y val="3.564073807894276E-2"/>
          <c:w val="0.8379015248344458"/>
          <c:h val="0.85332725622970784"/>
        </c:manualLayout>
      </c:layout>
      <c:lineChart>
        <c:grouping val="standard"/>
        <c:varyColors val="0"/>
        <c:ser>
          <c:idx val="0"/>
          <c:order val="0"/>
          <c:tx>
            <c:strRef>
              <c:f>'Charts (web)'!$V$109</c:f>
              <c:strCache>
                <c:ptCount val="1"/>
                <c:pt idx="0">
                  <c:v>Activity Index</c:v>
                </c:pt>
              </c:strCache>
            </c:strRef>
          </c:tx>
          <c:spPr>
            <a:ln w="12700">
              <a:solidFill>
                <a:srgbClr val="FF00FF"/>
              </a:solidFill>
              <a:prstDash val="solid"/>
            </a:ln>
          </c:spPr>
          <c:marker>
            <c:symbol val="square"/>
            <c:size val="4"/>
            <c:spPr>
              <a:solidFill>
                <a:srgbClr val="FF00FF"/>
              </a:solidFill>
              <a:ln>
                <a:solidFill>
                  <a:srgbClr val="FF00FF"/>
                </a:solidFill>
                <a:prstDash val="solid"/>
              </a:ln>
            </c:spPr>
          </c:marker>
          <c:cat>
            <c:numRef>
              <c:f>'Charts (web)'!$U$110:$U$151</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(web)'!$V$110:$V$151</c:f>
              <c:numCache>
                <c:formatCode>0.0000</c:formatCode>
                <c:ptCount val="42"/>
                <c:pt idx="0">
                  <c:v>0.76588284859472133</c:v>
                </c:pt>
                <c:pt idx="1">
                  <c:v>0.77552394319024065</c:v>
                </c:pt>
                <c:pt idx="2">
                  <c:v>0.80684324483253345</c:v>
                </c:pt>
                <c:pt idx="3">
                  <c:v>0.84333390051701151</c:v>
                </c:pt>
                <c:pt idx="4">
                  <c:v>0.83573164264384192</c:v>
                </c:pt>
                <c:pt idx="5">
                  <c:v>0.77353771579880937</c:v>
                </c:pt>
                <c:pt idx="6">
                  <c:v>0.82269181987725681</c:v>
                </c:pt>
                <c:pt idx="7">
                  <c:v>0.85676714385350083</c:v>
                </c:pt>
                <c:pt idx="8">
                  <c:v>0.96968125455165743</c:v>
                </c:pt>
                <c:pt idx="9">
                  <c:v>0.99515469791062616</c:v>
                </c:pt>
                <c:pt idx="10">
                  <c:v>1.0049316076259194</c:v>
                </c:pt>
                <c:pt idx="11">
                  <c:v>0.99114098522495508</c:v>
                </c:pt>
                <c:pt idx="12">
                  <c:v>0.92918416252700275</c:v>
                </c:pt>
                <c:pt idx="13">
                  <c:v>0.97170558228720894</c:v>
                </c:pt>
                <c:pt idx="14">
                  <c:v>1.0130146672735816</c:v>
                </c:pt>
                <c:pt idx="15">
                  <c:v>1</c:v>
                </c:pt>
                <c:pt idx="16">
                  <c:v>0.9950774200832454</c:v>
                </c:pt>
                <c:pt idx="17">
                  <c:v>1.0490174975236324</c:v>
                </c:pt>
                <c:pt idx="18">
                  <c:v>1.08635165196587</c:v>
                </c:pt>
                <c:pt idx="19">
                  <c:v>1.0812251749249242</c:v>
                </c:pt>
                <c:pt idx="20">
                  <c:v>1.1028310617166657</c:v>
                </c:pt>
                <c:pt idx="21">
                  <c:v>1.1205765976477655</c:v>
                </c:pt>
                <c:pt idx="22">
                  <c:v>1.1455152185441313</c:v>
                </c:pt>
                <c:pt idx="23">
                  <c:v>1.158355094199053</c:v>
                </c:pt>
                <c:pt idx="24">
                  <c:v>1.2289998264242239</c:v>
                </c:pt>
                <c:pt idx="25">
                  <c:v>1.2852130872818535</c:v>
                </c:pt>
                <c:pt idx="26">
                  <c:v>1.3019976792583083</c:v>
                </c:pt>
                <c:pt idx="27">
                  <c:v>1.3022405229269418</c:v>
                </c:pt>
                <c:pt idx="28">
                  <c:v>1.3104438595086971</c:v>
                </c:pt>
                <c:pt idx="29">
                  <c:v>1.3404681818326265</c:v>
                </c:pt>
                <c:pt idx="30">
                  <c:v>1.3601754206796468</c:v>
                </c:pt>
                <c:pt idx="31">
                  <c:v>1.3664154518664244</c:v>
                </c:pt>
                <c:pt idx="32">
                  <c:v>1.3873245849450919</c:v>
                </c:pt>
                <c:pt idx="33">
                  <c:v>1.4040209341191801</c:v>
                </c:pt>
                <c:pt idx="34">
                  <c:v>1.4579786322696089</c:v>
                </c:pt>
                <c:pt idx="35">
                  <c:v>1.4630590225311166</c:v>
                </c:pt>
                <c:pt idx="36">
                  <c:v>1.4743121546766038</c:v>
                </c:pt>
                <c:pt idx="37">
                  <c:v>1.4859199746920548</c:v>
                </c:pt>
                <c:pt idx="38">
                  <c:v>1.4824241111741892</c:v>
                </c:pt>
                <c:pt idx="39">
                  <c:v>1.3342759325930826</c:v>
                </c:pt>
                <c:pt idx="40">
                  <c:v>1.4136635770715085</c:v>
                </c:pt>
                <c:pt idx="41">
                  <c:v>1.390481081834521</c:v>
                </c:pt>
              </c:numCache>
            </c:numRef>
          </c:val>
          <c:smooth val="0"/>
        </c:ser>
        <c:ser>
          <c:idx val="1"/>
          <c:order val="1"/>
          <c:tx>
            <c:strRef>
              <c:f>'Charts (web)'!$W$109</c:f>
              <c:strCache>
                <c:ptCount val="1"/>
                <c:pt idx="0">
                  <c:v>Modal Shifts</c:v>
                </c:pt>
              </c:strCache>
            </c:strRef>
          </c:tx>
          <c:spPr>
            <a:ln w="12700">
              <a:solidFill>
                <a:srgbClr val="3366FF"/>
              </a:solidFill>
              <a:prstDash val="solid"/>
            </a:ln>
          </c:spPr>
          <c:marker>
            <c:symbol val="circle"/>
            <c:size val="5"/>
            <c:spPr>
              <a:solidFill>
                <a:srgbClr val="0070C0"/>
              </a:solidFill>
              <a:ln>
                <a:solidFill>
                  <a:srgbClr val="3366FF"/>
                </a:solidFill>
                <a:prstDash val="solid"/>
              </a:ln>
            </c:spPr>
          </c:marker>
          <c:cat>
            <c:numRef>
              <c:f>'Charts (web)'!$U$110:$U$151</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(web)'!$W$110:$W$151</c:f>
              <c:numCache>
                <c:formatCode>0.0000</c:formatCode>
                <c:ptCount val="42"/>
                <c:pt idx="0">
                  <c:v>0.93787500349955433</c:v>
                </c:pt>
                <c:pt idx="1">
                  <c:v>0.97368324789262395</c:v>
                </c:pt>
                <c:pt idx="2">
                  <c:v>0.98632231454950425</c:v>
                </c:pt>
                <c:pt idx="3">
                  <c:v>0.99387017984647652</c:v>
                </c:pt>
                <c:pt idx="4">
                  <c:v>0.98854283897677309</c:v>
                </c:pt>
                <c:pt idx="5">
                  <c:v>1.0148608205659135</c:v>
                </c:pt>
                <c:pt idx="6">
                  <c:v>1.0296366008106235</c:v>
                </c:pt>
                <c:pt idx="7">
                  <c:v>1.0481210919878972</c:v>
                </c:pt>
                <c:pt idx="8">
                  <c:v>0.99990169107085347</c:v>
                </c:pt>
                <c:pt idx="9">
                  <c:v>0.98685619841940297</c:v>
                </c:pt>
                <c:pt idx="10">
                  <c:v>0.93723677444023334</c:v>
                </c:pt>
                <c:pt idx="11">
                  <c:v>0.92724325610874048</c:v>
                </c:pt>
                <c:pt idx="12">
                  <c:v>0.96522613066772189</c:v>
                </c:pt>
                <c:pt idx="13">
                  <c:v>0.97580618327606949</c:v>
                </c:pt>
                <c:pt idx="14">
                  <c:v>0.98617124885676266</c:v>
                </c:pt>
                <c:pt idx="15">
                  <c:v>1</c:v>
                </c:pt>
                <c:pt idx="16">
                  <c:v>1.0201376884178959</c:v>
                </c:pt>
                <c:pt idx="17">
                  <c:v>1.0242116331946314</c:v>
                </c:pt>
                <c:pt idx="18">
                  <c:v>1.035311614727191</c:v>
                </c:pt>
                <c:pt idx="19">
                  <c:v>1.070911004930911</c:v>
                </c:pt>
                <c:pt idx="20">
                  <c:v>1.0692970351191116</c:v>
                </c:pt>
                <c:pt idx="21">
                  <c:v>1.072830378868596</c:v>
                </c:pt>
                <c:pt idx="22">
                  <c:v>1.0768587709133601</c:v>
                </c:pt>
                <c:pt idx="23">
                  <c:v>1.1112312380786342</c:v>
                </c:pt>
                <c:pt idx="24">
                  <c:v>1.1191536497610237</c:v>
                </c:pt>
                <c:pt idx="25">
                  <c:v>1.1145828803247302</c:v>
                </c:pt>
                <c:pt idx="26">
                  <c:v>1.1279676976095676</c:v>
                </c:pt>
                <c:pt idx="27">
                  <c:v>1.1693894803389011</c:v>
                </c:pt>
                <c:pt idx="28">
                  <c:v>1.1807602233084546</c:v>
                </c:pt>
                <c:pt idx="29">
                  <c:v>1.1789870326280358</c:v>
                </c:pt>
                <c:pt idx="30">
                  <c:v>1.1892969989794111</c:v>
                </c:pt>
                <c:pt idx="31">
                  <c:v>1.1925271496647518</c:v>
                </c:pt>
                <c:pt idx="32">
                  <c:v>1.2147251886647978</c:v>
                </c:pt>
                <c:pt idx="33">
                  <c:v>1.215788658881354</c:v>
                </c:pt>
                <c:pt idx="34">
                  <c:v>1.2015800563111487</c:v>
                </c:pt>
                <c:pt idx="35">
                  <c:v>1.2061657621449682</c:v>
                </c:pt>
                <c:pt idx="36">
                  <c:v>1.1983669971409114</c:v>
                </c:pt>
                <c:pt idx="37">
                  <c:v>1.2091045424731937</c:v>
                </c:pt>
                <c:pt idx="38">
                  <c:v>1.2211467803498721</c:v>
                </c:pt>
                <c:pt idx="39">
                  <c:v>1.2520234630503084</c:v>
                </c:pt>
                <c:pt idx="40">
                  <c:v>1.2048095504021683</c:v>
                </c:pt>
                <c:pt idx="41">
                  <c:v>1.1641487314755643</c:v>
                </c:pt>
              </c:numCache>
            </c:numRef>
          </c:val>
          <c:smooth val="0"/>
        </c:ser>
        <c:ser>
          <c:idx val="2"/>
          <c:order val="2"/>
          <c:tx>
            <c:strRef>
              <c:f>'Charts (web)'!$X$109</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(web)'!$U$110:$U$151</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(web)'!$X$110:$X$151</c:f>
              <c:numCache>
                <c:formatCode>0.0000</c:formatCode>
                <c:ptCount val="42"/>
                <c:pt idx="0">
                  <c:v>0.98694527092068007</c:v>
                </c:pt>
                <c:pt idx="1">
                  <c:v>0.97428160987882351</c:v>
                </c:pt>
                <c:pt idx="2">
                  <c:v>0.99095338643512765</c:v>
                </c:pt>
                <c:pt idx="3">
                  <c:v>0.99146496979463183</c:v>
                </c:pt>
                <c:pt idx="4">
                  <c:v>0.99061757870186251</c:v>
                </c:pt>
                <c:pt idx="5">
                  <c:v>1.0134910514757969</c:v>
                </c:pt>
                <c:pt idx="6">
                  <c:v>0.97557971532643428</c:v>
                </c:pt>
                <c:pt idx="7">
                  <c:v>0.98013652057804246</c:v>
                </c:pt>
                <c:pt idx="8">
                  <c:v>0.98650712386202355</c:v>
                </c:pt>
                <c:pt idx="9">
                  <c:v>1.0118903227897342</c:v>
                </c:pt>
                <c:pt idx="10">
                  <c:v>1.0642401165256488</c:v>
                </c:pt>
                <c:pt idx="11">
                  <c:v>1.1013753069747634</c:v>
                </c:pt>
                <c:pt idx="12">
                  <c:v>1.0928981040766685</c:v>
                </c:pt>
                <c:pt idx="13">
                  <c:v>1.025458348496173</c:v>
                </c:pt>
                <c:pt idx="14">
                  <c:v>1.0134658118772026</c:v>
                </c:pt>
                <c:pt idx="15">
                  <c:v>1</c:v>
                </c:pt>
                <c:pt idx="16">
                  <c:v>0.99707933305078211</c:v>
                </c:pt>
                <c:pt idx="17">
                  <c:v>0.97622588106667141</c:v>
                </c:pt>
                <c:pt idx="18">
                  <c:v>0.96946066196849845</c:v>
                </c:pt>
                <c:pt idx="19">
                  <c:v>0.96138228603499831</c:v>
                </c:pt>
                <c:pt idx="20">
                  <c:v>0.9804355191978964</c:v>
                </c:pt>
                <c:pt idx="21">
                  <c:v>0.95220974347568466</c:v>
                </c:pt>
                <c:pt idx="22">
                  <c:v>0.94327015685300253</c:v>
                </c:pt>
                <c:pt idx="23">
                  <c:v>0.93262847092491707</c:v>
                </c:pt>
                <c:pt idx="24">
                  <c:v>0.92935321842630925</c:v>
                </c:pt>
                <c:pt idx="25">
                  <c:v>0.92842025236398729</c:v>
                </c:pt>
                <c:pt idx="26">
                  <c:v>0.92302670620667715</c:v>
                </c:pt>
                <c:pt idx="27">
                  <c:v>0.90612033080496157</c:v>
                </c:pt>
                <c:pt idx="28">
                  <c:v>0.91665501968409024</c:v>
                </c:pt>
                <c:pt idx="29">
                  <c:v>0.92747390352672687</c:v>
                </c:pt>
                <c:pt idx="30">
                  <c:v>0.93825285980950979</c:v>
                </c:pt>
                <c:pt idx="31">
                  <c:v>0.92378946671681728</c:v>
                </c:pt>
                <c:pt idx="32">
                  <c:v>0.93263899682568752</c:v>
                </c:pt>
                <c:pt idx="33">
                  <c:v>0.8847358087418512</c:v>
                </c:pt>
                <c:pt idx="34">
                  <c:v>0.87642993164642391</c:v>
                </c:pt>
                <c:pt idx="35">
                  <c:v>0.89139258422749901</c:v>
                </c:pt>
                <c:pt idx="36">
                  <c:v>0.90699703960999467</c:v>
                </c:pt>
                <c:pt idx="37">
                  <c:v>0.90297902181467271</c:v>
                </c:pt>
                <c:pt idx="38">
                  <c:v>0.89784752734590734</c:v>
                </c:pt>
                <c:pt idx="39">
                  <c:v>0.89861332960903328</c:v>
                </c:pt>
                <c:pt idx="40">
                  <c:v>0.90289090714267362</c:v>
                </c:pt>
                <c:pt idx="41">
                  <c:v>0.91143678448002097</c:v>
                </c:pt>
              </c:numCache>
            </c:numRef>
          </c:val>
          <c:smooth val="0"/>
        </c:ser>
        <c:ser>
          <c:idx val="3"/>
          <c:order val="3"/>
          <c:tx>
            <c:strRef>
              <c:f>'Charts (web)'!$Y$109</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(web)'!$U$110:$U$151</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(web)'!$Y$110:$Y$151</c:f>
              <c:numCache>
                <c:formatCode>0.0000</c:formatCode>
                <c:ptCount val="42"/>
                <c:pt idx="0">
                  <c:v>0.70892513634715182</c:v>
                </c:pt>
                <c:pt idx="1">
                  <c:v>0.7356943381077754</c:v>
                </c:pt>
                <c:pt idx="2">
                  <c:v>0.78860813382698591</c:v>
                </c:pt>
                <c:pt idx="3">
                  <c:v>0.83101065677516139</c:v>
                </c:pt>
                <c:pt idx="4">
                  <c:v>0.81840518201317569</c:v>
                </c:pt>
                <c:pt idx="5">
                  <c:v>0.79562404323980118</c:v>
                </c:pt>
                <c:pt idx="6">
                  <c:v>0.82638783026351281</c:v>
                </c:pt>
                <c:pt idx="7">
                  <c:v>0.88015839500119042</c:v>
                </c:pt>
                <c:pt idx="8">
                  <c:v>0.95650342341821759</c:v>
                </c:pt>
                <c:pt idx="9">
                  <c:v>0.99375176580309288</c:v>
                </c:pt>
                <c:pt idx="10">
                  <c:v>1.00236398128282</c:v>
                </c:pt>
                <c:pt idx="11">
                  <c:v>1.0121956205540448</c:v>
                </c:pt>
                <c:pt idx="12">
                  <c:v>0.98019061973839927</c:v>
                </c:pt>
                <c:pt idx="13">
                  <c:v>0.97233582776302074</c:v>
                </c:pt>
                <c:pt idx="14">
                  <c:v>1.0124583655813981</c:v>
                </c:pt>
                <c:pt idx="15">
                  <c:v>1</c:v>
                </c:pt>
                <c:pt idx="16">
                  <c:v>1.0121511634307252</c:v>
                </c:pt>
                <c:pt idx="17">
                  <c:v>1.0488726324181519</c:v>
                </c:pt>
                <c:pt idx="18">
                  <c:v>1.0903645082530222</c:v>
                </c:pt>
                <c:pt idx="19">
                  <c:v>1.1131806444759895</c:v>
                </c:pt>
                <c:pt idx="20">
                  <c:v>1.1561824925897339</c:v>
                </c:pt>
                <c:pt idx="21">
                  <c:v>1.1447357134657672</c:v>
                </c:pt>
                <c:pt idx="22">
                  <c:v>1.163578552193731</c:v>
                </c:pt>
                <c:pt idx="23">
                  <c:v>1.2004797086143597</c:v>
                </c:pt>
                <c:pt idx="24">
                  <c:v>1.278269257391736</c:v>
                </c:pt>
                <c:pt idx="25">
                  <c:v>1.3299401979560217</c:v>
                </c:pt>
                <c:pt idx="26">
                  <c:v>1.3555674736119754</c:v>
                </c:pt>
                <c:pt idx="27">
                  <c:v>1.3798639326766313</c:v>
                </c:pt>
                <c:pt idx="28">
                  <c:v>1.4183586305622304</c:v>
                </c:pt>
                <c:pt idx="29">
                  <c:v>1.4657747525133444</c:v>
                </c:pt>
                <c:pt idx="30">
                  <c:v>1.517767127368681</c:v>
                </c:pt>
                <c:pt idx="31">
                  <c:v>1.5053034108843111</c:v>
                </c:pt>
                <c:pt idx="32">
                  <c:v>1.5717001351781548</c:v>
                </c:pt>
                <c:pt idx="33">
                  <c:v>1.5102375921960804</c:v>
                </c:pt>
                <c:pt idx="34">
                  <c:v>1.5353983570402694</c:v>
                </c:pt>
                <c:pt idx="35">
                  <c:v>1.5730330956963177</c:v>
                </c:pt>
                <c:pt idx="36">
                  <c:v>1.6024524655714165</c:v>
                </c:pt>
                <c:pt idx="37">
                  <c:v>1.6223215397186292</c:v>
                </c:pt>
                <c:pt idx="38">
                  <c:v>1.6253351578100841</c:v>
                </c:pt>
                <c:pt idx="39">
                  <c:v>1.5011738014362876</c:v>
                </c:pt>
                <c:pt idx="40">
                  <c:v>1.5377996205259881</c:v>
                </c:pt>
                <c:pt idx="41">
                  <c:v>1.4753671382039293</c:v>
                </c:pt>
              </c:numCache>
            </c:numRef>
          </c:val>
          <c:smooth val="0"/>
        </c:ser>
        <c:dLbls>
          <c:showLegendKey val="0"/>
          <c:showVal val="0"/>
          <c:showCatName val="0"/>
          <c:showSerName val="0"/>
          <c:showPercent val="0"/>
          <c:showBubbleSize val="0"/>
        </c:dLbls>
        <c:marker val="1"/>
        <c:smooth val="0"/>
        <c:axId val="117541120"/>
        <c:axId val="117548160"/>
      </c:lineChart>
      <c:catAx>
        <c:axId val="1175411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548160"/>
        <c:crosses val="autoZero"/>
        <c:auto val="1"/>
        <c:lblAlgn val="ctr"/>
        <c:lblOffset val="100"/>
        <c:tickLblSkip val="5"/>
        <c:tickMarkSkip val="1"/>
        <c:noMultiLvlLbl val="0"/>
      </c:catAx>
      <c:valAx>
        <c:axId val="117548160"/>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1235873173120171E-2"/>
              <c:y val="0.28802675472017608"/>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17541120"/>
        <c:crosses val="autoZero"/>
        <c:crossBetween val="midCat"/>
      </c:valAx>
      <c:spPr>
        <a:noFill/>
        <a:ln w="3175">
          <a:solidFill>
            <a:srgbClr val="00000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24522535885419133"/>
          <c:y val="0.56689284240709437"/>
          <c:w val="0.28416485900216915"/>
          <c:h val="0.2322584031834730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solidFill>
        <a:sysClr val="window" lastClr="FFFFFF">
          <a:lumMod val="50000"/>
        </a:sysClr>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812285989301438"/>
          <c:y val="3.564073807894276E-2"/>
          <c:w val="0.8379015248344458"/>
          <c:h val="0.85332725622970784"/>
        </c:manualLayout>
      </c:layout>
      <c:lineChart>
        <c:grouping val="standard"/>
        <c:varyColors val="0"/>
        <c:ser>
          <c:idx val="0"/>
          <c:order val="0"/>
          <c:tx>
            <c:strRef>
              <c:f>'Charts (web)'!$V$53</c:f>
              <c:strCache>
                <c:ptCount val="1"/>
                <c:pt idx="0">
                  <c:v>Activity Index</c:v>
                </c:pt>
              </c:strCache>
            </c:strRef>
          </c:tx>
          <c:spPr>
            <a:ln w="12700">
              <a:solidFill>
                <a:srgbClr val="FF00FF"/>
              </a:solidFill>
              <a:prstDash val="solid"/>
            </a:ln>
          </c:spPr>
          <c:marker>
            <c:symbol val="square"/>
            <c:size val="4"/>
            <c:spPr>
              <a:solidFill>
                <a:srgbClr val="FF00FF"/>
              </a:solidFill>
              <a:ln>
                <a:solidFill>
                  <a:srgbClr val="FF00FF"/>
                </a:solidFill>
                <a:prstDash val="solid"/>
              </a:ln>
            </c:spPr>
          </c:marker>
          <c:cat>
            <c:numRef>
              <c:f>'Charts (web)'!$U$54:$U$95</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(web)'!$V$54:$V$95</c:f>
              <c:numCache>
                <c:formatCode>0.0000</c:formatCode>
                <c:ptCount val="42"/>
                <c:pt idx="0">
                  <c:v>0.65454466933795419</c:v>
                </c:pt>
                <c:pt idx="1">
                  <c:v>0.6916901603657839</c:v>
                </c:pt>
                <c:pt idx="2">
                  <c:v>0.7394123173685786</c:v>
                </c:pt>
                <c:pt idx="3">
                  <c:v>0.7648785031279568</c:v>
                </c:pt>
                <c:pt idx="4">
                  <c:v>0.74783588105686249</c:v>
                </c:pt>
                <c:pt idx="5">
                  <c:v>0.77152280666766848</c:v>
                </c:pt>
                <c:pt idx="6">
                  <c:v>0.81623741815535333</c:v>
                </c:pt>
                <c:pt idx="7">
                  <c:v>0.8531951377916106</c:v>
                </c:pt>
                <c:pt idx="8">
                  <c:v>0.8953338644219323</c:v>
                </c:pt>
                <c:pt idx="9">
                  <c:v>0.89274641986130887</c:v>
                </c:pt>
                <c:pt idx="10">
                  <c:v>0.88704940008007294</c:v>
                </c:pt>
                <c:pt idx="11">
                  <c:v>0.89601169084696186</c:v>
                </c:pt>
                <c:pt idx="12">
                  <c:v>0.9151099212849293</c:v>
                </c:pt>
                <c:pt idx="13">
                  <c:v>0.94801545451041591</c:v>
                </c:pt>
                <c:pt idx="14">
                  <c:v>0.97576870355399725</c:v>
                </c:pt>
                <c:pt idx="15">
                  <c:v>1</c:v>
                </c:pt>
                <c:pt idx="16">
                  <c:v>1.0242283939336427</c:v>
                </c:pt>
                <c:pt idx="17">
                  <c:v>1.0618051946882867</c:v>
                </c:pt>
                <c:pt idx="18">
                  <c:v>1.1037694773536708</c:v>
                </c:pt>
                <c:pt idx="19">
                  <c:v>1.1246438529981866</c:v>
                </c:pt>
                <c:pt idx="20">
                  <c:v>1.1374376197170626</c:v>
                </c:pt>
                <c:pt idx="21">
                  <c:v>1.1451112391787956</c:v>
                </c:pt>
                <c:pt idx="22">
                  <c:v>1.1849835037689405</c:v>
                </c:pt>
                <c:pt idx="23">
                  <c:v>1.2057832848913204</c:v>
                </c:pt>
                <c:pt idx="24">
                  <c:v>1.2365738833740516</c:v>
                </c:pt>
                <c:pt idx="25">
                  <c:v>1.2667691488992032</c:v>
                </c:pt>
                <c:pt idx="26">
                  <c:v>1.3092698934928872</c:v>
                </c:pt>
                <c:pt idx="27">
                  <c:v>1.3509274539681764</c:v>
                </c:pt>
                <c:pt idx="28">
                  <c:v>1.3904272615544104</c:v>
                </c:pt>
                <c:pt idx="29">
                  <c:v>1.4299985585735773</c:v>
                </c:pt>
                <c:pt idx="30">
                  <c:v>1.4729468449386236</c:v>
                </c:pt>
                <c:pt idx="31">
                  <c:v>1.4885176503107744</c:v>
                </c:pt>
                <c:pt idx="32">
                  <c:v>1.5156974363683235</c:v>
                </c:pt>
                <c:pt idx="33">
                  <c:v>1.5428102044506418</c:v>
                </c:pt>
                <c:pt idx="34">
                  <c:v>1.6074017342628364</c:v>
                </c:pt>
                <c:pt idx="35">
                  <c:v>1.6380687050865446</c:v>
                </c:pt>
                <c:pt idx="36">
                  <c:v>1.6637858392841314</c:v>
                </c:pt>
                <c:pt idx="37">
                  <c:v>1.6886467692226337</c:v>
                </c:pt>
                <c:pt idx="38">
                  <c:v>1.6498567486833895</c:v>
                </c:pt>
                <c:pt idx="39">
                  <c:v>1.6415558523876725</c:v>
                </c:pt>
                <c:pt idx="40">
                  <c:v>1.6563436474161584</c:v>
                </c:pt>
                <c:pt idx="41">
                  <c:v>1.6611107443399218</c:v>
                </c:pt>
              </c:numCache>
            </c:numRef>
          </c:val>
          <c:smooth val="0"/>
        </c:ser>
        <c:ser>
          <c:idx val="1"/>
          <c:order val="1"/>
          <c:tx>
            <c:strRef>
              <c:f>'Charts (web)'!$W$53</c:f>
              <c:strCache>
                <c:ptCount val="1"/>
                <c:pt idx="0">
                  <c:v>Modal Shifts</c:v>
                </c:pt>
              </c:strCache>
            </c:strRef>
          </c:tx>
          <c:spPr>
            <a:ln w="12700">
              <a:solidFill>
                <a:srgbClr val="3366FF"/>
              </a:solidFill>
              <a:prstDash val="solid"/>
            </a:ln>
          </c:spPr>
          <c:marker>
            <c:symbol val="circle"/>
            <c:size val="5"/>
            <c:spPr>
              <a:solidFill>
                <a:srgbClr val="0070C0"/>
              </a:solidFill>
              <a:ln>
                <a:solidFill>
                  <a:srgbClr val="3366FF"/>
                </a:solidFill>
                <a:prstDash val="solid"/>
              </a:ln>
            </c:spPr>
          </c:marker>
          <c:cat>
            <c:numRef>
              <c:f>'Charts (web)'!$U$54:$U$95</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(web)'!$W$54:$W$95</c:f>
              <c:numCache>
                <c:formatCode>0.0000</c:formatCode>
                <c:ptCount val="42"/>
                <c:pt idx="0">
                  <c:v>0.96603495133226391</c:v>
                </c:pt>
                <c:pt idx="1">
                  <c:v>0.96808331667432368</c:v>
                </c:pt>
                <c:pt idx="2">
                  <c:v>0.97281497507816528</c:v>
                </c:pt>
                <c:pt idx="3">
                  <c:v>0.97543040587127661</c:v>
                </c:pt>
                <c:pt idx="4">
                  <c:v>0.97657757536861878</c:v>
                </c:pt>
                <c:pt idx="5">
                  <c:v>0.9793674951508774</c:v>
                </c:pt>
                <c:pt idx="6">
                  <c:v>0.98394621414179462</c:v>
                </c:pt>
                <c:pt idx="7">
                  <c:v>0.98678664039040831</c:v>
                </c:pt>
                <c:pt idx="8">
                  <c:v>0.99170121841612657</c:v>
                </c:pt>
                <c:pt idx="9">
                  <c:v>0.99315366128499327</c:v>
                </c:pt>
                <c:pt idx="10">
                  <c:v>0.99283049772099019</c:v>
                </c:pt>
                <c:pt idx="11">
                  <c:v>0.99314843153817867</c:v>
                </c:pt>
                <c:pt idx="12">
                  <c:v>0.99367052978167725</c:v>
                </c:pt>
                <c:pt idx="13">
                  <c:v>0.99465633238252527</c:v>
                </c:pt>
                <c:pt idx="14">
                  <c:v>0.9980644006967776</c:v>
                </c:pt>
                <c:pt idx="15">
                  <c:v>1</c:v>
                </c:pt>
                <c:pt idx="16">
                  <c:v>1.0018332041289146</c:v>
                </c:pt>
                <c:pt idx="17">
                  <c:v>1.0026216954565474</c:v>
                </c:pt>
                <c:pt idx="18">
                  <c:v>1.0042824701172397</c:v>
                </c:pt>
                <c:pt idx="19">
                  <c:v>1.0050587123220136</c:v>
                </c:pt>
                <c:pt idx="20">
                  <c:v>1.0067599691182305</c:v>
                </c:pt>
                <c:pt idx="21">
                  <c:v>1.0109326814721447</c:v>
                </c:pt>
                <c:pt idx="22">
                  <c:v>1.0122662532470388</c:v>
                </c:pt>
                <c:pt idx="23">
                  <c:v>1.0124340920085939</c:v>
                </c:pt>
                <c:pt idx="24">
                  <c:v>1.0106083908996841</c:v>
                </c:pt>
                <c:pt idx="25">
                  <c:v>1.0104128676637203</c:v>
                </c:pt>
                <c:pt idx="26">
                  <c:v>1.0113958481440359</c:v>
                </c:pt>
                <c:pt idx="27">
                  <c:v>1.0136269153004613</c:v>
                </c:pt>
                <c:pt idx="28">
                  <c:v>1.0140885091537211</c:v>
                </c:pt>
                <c:pt idx="29">
                  <c:v>1.0154699724158402</c:v>
                </c:pt>
                <c:pt idx="30">
                  <c:v>1.0153160631567082</c:v>
                </c:pt>
                <c:pt idx="31">
                  <c:v>1.0170375057950132</c:v>
                </c:pt>
                <c:pt idx="32">
                  <c:v>1.0171457005030939</c:v>
                </c:pt>
                <c:pt idx="33">
                  <c:v>1.016848635045386</c:v>
                </c:pt>
                <c:pt idx="34">
                  <c:v>1.0172257451874909</c:v>
                </c:pt>
                <c:pt idx="35">
                  <c:v>1.0185973432595219</c:v>
                </c:pt>
                <c:pt idx="36">
                  <c:v>1.0194540425689942</c:v>
                </c:pt>
                <c:pt idx="37">
                  <c:v>1.0183332464127912</c:v>
                </c:pt>
                <c:pt idx="38">
                  <c:v>1.0203340328993</c:v>
                </c:pt>
                <c:pt idx="39">
                  <c:v>1.0202970032569871</c:v>
                </c:pt>
                <c:pt idx="40">
                  <c:v>1.020622074894348</c:v>
                </c:pt>
                <c:pt idx="41">
                  <c:v>1.0200950627257281</c:v>
                </c:pt>
              </c:numCache>
            </c:numRef>
          </c:val>
          <c:smooth val="0"/>
        </c:ser>
        <c:ser>
          <c:idx val="2"/>
          <c:order val="2"/>
          <c:tx>
            <c:strRef>
              <c:f>'Charts (web)'!$X$53</c:f>
              <c:strCache>
                <c:ptCount val="1"/>
                <c:pt idx="0">
                  <c:v>Energy Intensity</c:v>
                </c:pt>
              </c:strCache>
            </c:strRef>
          </c:tx>
          <c:spPr>
            <a:ln w="12700">
              <a:solidFill>
                <a:srgbClr val="339966"/>
              </a:solidFill>
              <a:prstDash val="solid"/>
            </a:ln>
          </c:spPr>
          <c:marker>
            <c:symbol val="triangle"/>
            <c:size val="5"/>
            <c:spPr>
              <a:solidFill>
                <a:srgbClr val="00FF00"/>
              </a:solidFill>
              <a:ln>
                <a:solidFill>
                  <a:srgbClr val="339966"/>
                </a:solidFill>
                <a:prstDash val="solid"/>
              </a:ln>
            </c:spPr>
          </c:marker>
          <c:cat>
            <c:numRef>
              <c:f>'Charts (web)'!$U$54:$U$95</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(web)'!$X$54:$X$95</c:f>
              <c:numCache>
                <c:formatCode>0.0000</c:formatCode>
                <c:ptCount val="42"/>
                <c:pt idx="0">
                  <c:v>1.2759163330998435</c:v>
                </c:pt>
                <c:pt idx="1">
                  <c:v>1.2650123231521695</c:v>
                </c:pt>
                <c:pt idx="2">
                  <c:v>1.2579240626678765</c:v>
                </c:pt>
                <c:pt idx="3">
                  <c:v>1.2634151079599454</c:v>
                </c:pt>
                <c:pt idx="4">
                  <c:v>1.2396436941349878</c:v>
                </c:pt>
                <c:pt idx="5">
                  <c:v>1.2275752702939975</c:v>
                </c:pt>
                <c:pt idx="6">
                  <c:v>1.2189768579541542</c:v>
                </c:pt>
                <c:pt idx="7">
                  <c:v>1.1838941838936499</c:v>
                </c:pt>
                <c:pt idx="8">
                  <c:v>1.163624049082058</c:v>
                </c:pt>
                <c:pt idx="9">
                  <c:v>1.1352974857388176</c:v>
                </c:pt>
                <c:pt idx="10">
                  <c:v>1.0660392799120582</c:v>
                </c:pt>
                <c:pt idx="11">
                  <c:v>1.0482237123309395</c:v>
                </c:pt>
                <c:pt idx="12">
                  <c:v>1.0164366247954264</c:v>
                </c:pt>
                <c:pt idx="13">
                  <c:v>0.9991527466048743</c:v>
                </c:pt>
                <c:pt idx="14">
                  <c:v>0.99759649851624588</c:v>
                </c:pt>
                <c:pt idx="15">
                  <c:v>1</c:v>
                </c:pt>
                <c:pt idx="16">
                  <c:v>1.0114284553295805</c:v>
                </c:pt>
                <c:pt idx="17">
                  <c:v>0.9934296637720017</c:v>
                </c:pt>
                <c:pt idx="18">
                  <c:v>0.97562398390608562</c:v>
                </c:pt>
                <c:pt idx="19">
                  <c:v>0.96640614607228315</c:v>
                </c:pt>
                <c:pt idx="20">
                  <c:v>0.94568804030853193</c:v>
                </c:pt>
                <c:pt idx="21">
                  <c:v>0.90399721943488731</c:v>
                </c:pt>
                <c:pt idx="22">
                  <c:v>0.90696264337629329</c:v>
                </c:pt>
                <c:pt idx="23">
                  <c:v>0.91612629206741147</c:v>
                </c:pt>
                <c:pt idx="24">
                  <c:v>0.913318574182166</c:v>
                </c:pt>
                <c:pt idx="25">
                  <c:v>0.90659156808585362</c:v>
                </c:pt>
                <c:pt idx="26">
                  <c:v>0.8994038467482065</c:v>
                </c:pt>
                <c:pt idx="27">
                  <c:v>0.89053869068887681</c:v>
                </c:pt>
                <c:pt idx="28">
                  <c:v>0.88697174962960545</c:v>
                </c:pt>
                <c:pt idx="29">
                  <c:v>0.89276271881835545</c:v>
                </c:pt>
                <c:pt idx="30">
                  <c:v>0.86757402620813218</c:v>
                </c:pt>
                <c:pt idx="31">
                  <c:v>0.85739132371352822</c:v>
                </c:pt>
                <c:pt idx="32">
                  <c:v>0.85178116634457823</c:v>
                </c:pt>
                <c:pt idx="33">
                  <c:v>0.8650363298961703</c:v>
                </c:pt>
                <c:pt idx="34">
                  <c:v>0.84645621310091668</c:v>
                </c:pt>
                <c:pt idx="35">
                  <c:v>0.82277940105024827</c:v>
                </c:pt>
                <c:pt idx="36">
                  <c:v>0.81202732503651909</c:v>
                </c:pt>
                <c:pt idx="37">
                  <c:v>0.80480197919421437</c:v>
                </c:pt>
                <c:pt idx="38">
                  <c:v>0.79928663653977283</c:v>
                </c:pt>
                <c:pt idx="39">
                  <c:v>0.79590585718743001</c:v>
                </c:pt>
                <c:pt idx="40">
                  <c:v>0.79627439075489825</c:v>
                </c:pt>
                <c:pt idx="41">
                  <c:v>0.80246055044982545</c:v>
                </c:pt>
              </c:numCache>
            </c:numRef>
          </c:val>
          <c:smooth val="0"/>
        </c:ser>
        <c:ser>
          <c:idx val="3"/>
          <c:order val="3"/>
          <c:tx>
            <c:strRef>
              <c:f>'Charts (web)'!$Y$53</c:f>
              <c:strCache>
                <c:ptCount val="1"/>
                <c:pt idx="0">
                  <c:v>Energy Use</c:v>
                </c:pt>
              </c:strCache>
            </c:strRef>
          </c:tx>
          <c:spPr>
            <a:ln w="12700">
              <a:solidFill>
                <a:srgbClr val="333399"/>
              </a:solidFill>
              <a:prstDash val="solid"/>
            </a:ln>
          </c:spPr>
          <c:marker>
            <c:symbol val="diamond"/>
            <c:size val="5"/>
            <c:spPr>
              <a:solidFill>
                <a:srgbClr val="333399"/>
              </a:solidFill>
              <a:ln>
                <a:solidFill>
                  <a:srgbClr val="333399"/>
                </a:solidFill>
                <a:prstDash val="solid"/>
              </a:ln>
            </c:spPr>
          </c:marker>
          <c:cat>
            <c:numRef>
              <c:f>'Charts (web)'!$U$54:$U$95</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'Charts (web)'!$Y$54:$Y$95</c:f>
              <c:numCache>
                <c:formatCode>0.0000</c:formatCode>
                <c:ptCount val="42"/>
                <c:pt idx="0">
                  <c:v>0.80677851978739767</c:v>
                </c:pt>
                <c:pt idx="1">
                  <c:v>0.84706958801732468</c:v>
                </c:pt>
                <c:pt idx="2">
                  <c:v>0.9048390872807105</c:v>
                </c:pt>
                <c:pt idx="3">
                  <c:v>0.94261600680223367</c:v>
                </c:pt>
                <c:pt idx="4">
                  <c:v>0.90533627464445443</c:v>
                </c:pt>
                <c:pt idx="5">
                  <c:v>0.92756122476567915</c:v>
                </c:pt>
                <c:pt idx="6">
                  <c:v>0.97900141539575269</c:v>
                </c:pt>
                <c:pt idx="7">
                  <c:v>0.99674604246296272</c:v>
                </c:pt>
                <c:pt idx="8">
                  <c:v>1.0331860802460946</c:v>
                </c:pt>
                <c:pt idx="9">
                  <c:v>1.0065937772569653</c:v>
                </c:pt>
                <c:pt idx="10">
                  <c:v>0.93884981082585273</c:v>
                </c:pt>
                <c:pt idx="11">
                  <c:v>0.93278556593874384</c:v>
                </c:pt>
                <c:pt idx="12">
                  <c:v>0.92426387513739638</c:v>
                </c:pt>
                <c:pt idx="13">
                  <c:v>0.94215065779641038</c:v>
                </c:pt>
                <c:pt idx="14">
                  <c:v>0.97153928429107639</c:v>
                </c:pt>
                <c:pt idx="15">
                  <c:v>1</c:v>
                </c:pt>
                <c:pt idx="16">
                  <c:v>1.0378328203948164</c:v>
                </c:pt>
                <c:pt idx="17">
                  <c:v>1.0575942173640895</c:v>
                </c:pt>
                <c:pt idx="18">
                  <c:v>1.0814756126021814</c:v>
                </c:pt>
                <c:pt idx="19">
                  <c:v>1.0923608575729473</c:v>
                </c:pt>
                <c:pt idx="20">
                  <c:v>1.0829325897431992</c:v>
                </c:pt>
                <c:pt idx="21">
                  <c:v>1.0464946406820113</c:v>
                </c:pt>
                <c:pt idx="22">
                  <c:v>1.0879187520755276</c:v>
                </c:pt>
                <c:pt idx="23">
                  <c:v>1.1183850866996163</c:v>
                </c:pt>
                <c:pt idx="24">
                  <c:v>1.1413668630958125</c:v>
                </c:pt>
                <c:pt idx="25">
                  <c:v>1.1604008060543913</c:v>
                </c:pt>
                <c:pt idx="26">
                  <c:v>1.190981700686218</c:v>
                </c:pt>
                <c:pt idx="27">
                  <c:v>1.2194470696684994</c:v>
                </c:pt>
                <c:pt idx="28">
                  <c:v>1.2506446323839444</c:v>
                </c:pt>
                <c:pt idx="29">
                  <c:v>1.2963991320775501</c:v>
                </c:pt>
                <c:pt idx="30">
                  <c:v>1.29746267510532</c:v>
                </c:pt>
                <c:pt idx="31">
                  <c:v>1.297986101061898</c:v>
                </c:pt>
                <c:pt idx="32">
                  <c:v>1.3131783587344412</c:v>
                </c:pt>
                <c:pt idx="33">
                  <c:v>1.3570728442110149</c:v>
                </c:pt>
                <c:pt idx="34">
                  <c:v>1.3840324508746567</c:v>
                </c:pt>
                <c:pt idx="35">
                  <c:v>1.3728341142750418</c:v>
                </c:pt>
                <c:pt idx="36">
                  <c:v>1.377322745707859</c:v>
                </c:pt>
                <c:pt idx="37">
                  <c:v>1.3839416253735484</c:v>
                </c:pt>
                <c:pt idx="38">
                  <c:v>1.3455231124635059</c:v>
                </c:pt>
                <c:pt idx="39">
                  <c:v>1.3330424380308887</c:v>
                </c:pt>
                <c:pt idx="40">
                  <c:v>1.3461025663859147</c:v>
                </c:pt>
                <c:pt idx="41">
                  <c:v>1.3597620754232511</c:v>
                </c:pt>
              </c:numCache>
            </c:numRef>
          </c:val>
          <c:smooth val="0"/>
        </c:ser>
        <c:dLbls>
          <c:showLegendKey val="0"/>
          <c:showVal val="0"/>
          <c:showCatName val="0"/>
          <c:showSerName val="0"/>
          <c:showPercent val="0"/>
          <c:showBubbleSize val="0"/>
        </c:dLbls>
        <c:marker val="1"/>
        <c:smooth val="0"/>
        <c:axId val="117602560"/>
        <c:axId val="117609600"/>
      </c:lineChart>
      <c:catAx>
        <c:axId val="1176025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609600"/>
        <c:crosses val="autoZero"/>
        <c:auto val="1"/>
        <c:lblAlgn val="ctr"/>
        <c:lblOffset val="100"/>
        <c:tickLblSkip val="5"/>
        <c:tickMarkSkip val="1"/>
        <c:noMultiLvlLbl val="0"/>
      </c:catAx>
      <c:valAx>
        <c:axId val="117609600"/>
        <c:scaling>
          <c:orientation val="minMax"/>
        </c:scaling>
        <c:delete val="0"/>
        <c:axPos val="l"/>
        <c:majorGridlines>
          <c:spPr>
            <a:ln w="3175">
              <a:solidFill>
                <a:srgbClr val="000000"/>
              </a:solidFill>
              <a:prstDash val="solid"/>
            </a:ln>
          </c:spPr>
        </c:majorGridlines>
        <c:title>
          <c:tx>
            <c:strRef>
              <c:f>'Charts (web)'!$O$1</c:f>
              <c:strCache>
                <c:ptCount val="1"/>
                <c:pt idx="0">
                  <c:v>Index (1985 = 1.0)</c:v>
                </c:pt>
              </c:strCache>
            </c:strRef>
          </c:tx>
          <c:layout>
            <c:manualLayout>
              <c:xMode val="edge"/>
              <c:yMode val="edge"/>
              <c:x val="1.1235873173120171E-2"/>
              <c:y val="0.28802675472017608"/>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17602560"/>
        <c:crosses val="autoZero"/>
        <c:crossBetween val="midCat"/>
      </c:valAx>
      <c:spPr>
        <a:noFill/>
        <a:ln w="3175">
          <a:solidFill>
            <a:srgbClr val="00000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24522535885419133"/>
          <c:y val="0.56689284240709437"/>
          <c:w val="0.28416485900216915"/>
          <c:h val="0.2322584031834730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solidFill>
        <a:sysClr val="window" lastClr="FFFFFF">
          <a:lumMod val="50000"/>
        </a:sysClr>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5161854768154"/>
          <c:y val="5.1400554097404488E-2"/>
          <c:w val="0.79424628171478551"/>
          <c:h val="0.79523549139690874"/>
        </c:manualLayout>
      </c:layout>
      <c:lineChart>
        <c:grouping val="standard"/>
        <c:varyColors val="0"/>
        <c:ser>
          <c:idx val="0"/>
          <c:order val="0"/>
          <c:tx>
            <c:strRef>
              <c:f>water_freight_regression!$AD$4</c:f>
              <c:strCache>
                <c:ptCount val="1"/>
                <c:pt idx="0">
                  <c:v>Trend extrapolation </c:v>
                </c:pt>
              </c:strCache>
            </c:strRef>
          </c:tx>
          <c:cat>
            <c:numRef>
              <c:f>water_freight_regression!$AC$5:$AC$45</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water_freight_regression!$AD$5:$AD$45</c:f>
              <c:numCache>
                <c:formatCode>0</c:formatCode>
                <c:ptCount val="41"/>
                <c:pt idx="0">
                  <c:v>348.92443384575643</c:v>
                </c:pt>
                <c:pt idx="1">
                  <c:v>345.43518950729884</c:v>
                </c:pt>
                <c:pt idx="2">
                  <c:v>341.98083761222586</c:v>
                </c:pt>
                <c:pt idx="3">
                  <c:v>338.56102923610359</c:v>
                </c:pt>
                <c:pt idx="4">
                  <c:v>335.17541894374256</c:v>
                </c:pt>
                <c:pt idx="5">
                  <c:v>331.82366475430513</c:v>
                </c:pt>
                <c:pt idx="6">
                  <c:v>328.50542810676205</c:v>
                </c:pt>
                <c:pt idx="7">
                  <c:v>325.22037382569442</c:v>
                </c:pt>
                <c:pt idx="8">
                  <c:v>321.96817008743744</c:v>
                </c:pt>
                <c:pt idx="9">
                  <c:v>318.74848838656305</c:v>
                </c:pt>
                <c:pt idx="10">
                  <c:v>315.56100350269742</c:v>
                </c:pt>
                <c:pt idx="11">
                  <c:v>312.40539346767042</c:v>
                </c:pt>
                <c:pt idx="12">
                  <c:v>309.28133953299368</c:v>
                </c:pt>
                <c:pt idx="13">
                  <c:v>306.1885261376637</c:v>
                </c:pt>
                <c:pt idx="14">
                  <c:v>303.12664087628707</c:v>
                </c:pt>
                <c:pt idx="15">
                  <c:v>300.09537446752415</c:v>
                </c:pt>
                <c:pt idx="16">
                  <c:v>297.09442072284889</c:v>
                </c:pt>
                <c:pt idx="17">
                  <c:v>294.12347651562038</c:v>
                </c:pt>
                <c:pt idx="18">
                  <c:v>291.18224175046419</c:v>
                </c:pt>
                <c:pt idx="19">
                  <c:v>288.27041933295953</c:v>
                </c:pt>
                <c:pt idx="20">
                  <c:v>285.3877151396299</c:v>
                </c:pt>
                <c:pt idx="21">
                  <c:v>282.53383798823359</c:v>
                </c:pt>
                <c:pt idx="22">
                  <c:v>279.70849960835125</c:v>
                </c:pt>
                <c:pt idx="23">
                  <c:v>276.91141461226772</c:v>
                </c:pt>
                <c:pt idx="24">
                  <c:v>274.142300466145</c:v>
                </c:pt>
                <c:pt idx="25">
                  <c:v>271.40087746148356</c:v>
                </c:pt>
                <c:pt idx="26">
                  <c:v>268.68686868686871</c:v>
                </c:pt>
              </c:numCache>
            </c:numRef>
          </c:val>
          <c:smooth val="0"/>
        </c:ser>
        <c:ser>
          <c:idx val="1"/>
          <c:order val="1"/>
          <c:tx>
            <c:strRef>
              <c:f>water_freight_regression!$AE$4</c:f>
              <c:strCache>
                <c:ptCount val="1"/>
                <c:pt idx="0">
                  <c:v>Dager estimates</c:v>
                </c:pt>
              </c:strCache>
            </c:strRef>
          </c:tx>
          <c:marker>
            <c:symbol val="square"/>
            <c:size val="5"/>
          </c:marker>
          <c:cat>
            <c:numRef>
              <c:f>water_freight_regression!$AC$5:$AC$45</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water_freight_regression!$AE$5:$AE$45</c:f>
              <c:numCache>
                <c:formatCode>0</c:formatCode>
                <c:ptCount val="41"/>
                <c:pt idx="27">
                  <c:v>266</c:v>
                </c:pt>
                <c:pt idx="28">
                  <c:v>256</c:v>
                </c:pt>
                <c:pt idx="29">
                  <c:v>266</c:v>
                </c:pt>
                <c:pt idx="30">
                  <c:v>270</c:v>
                </c:pt>
                <c:pt idx="31">
                  <c:v>253</c:v>
                </c:pt>
                <c:pt idx="32">
                  <c:v>253</c:v>
                </c:pt>
                <c:pt idx="33">
                  <c:v>251</c:v>
                </c:pt>
                <c:pt idx="34">
                  <c:v>241</c:v>
                </c:pt>
                <c:pt idx="35">
                  <c:v>241</c:v>
                </c:pt>
                <c:pt idx="36">
                  <c:v>235</c:v>
                </c:pt>
                <c:pt idx="37">
                  <c:v>225</c:v>
                </c:pt>
                <c:pt idx="38">
                  <c:v>252</c:v>
                </c:pt>
                <c:pt idx="39">
                  <c:v>225</c:v>
                </c:pt>
                <c:pt idx="40">
                  <c:v>217</c:v>
                </c:pt>
              </c:numCache>
            </c:numRef>
          </c:val>
          <c:smooth val="0"/>
        </c:ser>
        <c:dLbls>
          <c:showLegendKey val="0"/>
          <c:showVal val="0"/>
          <c:showCatName val="0"/>
          <c:showSerName val="0"/>
          <c:showPercent val="0"/>
          <c:showBubbleSize val="0"/>
        </c:dLbls>
        <c:marker val="1"/>
        <c:smooth val="0"/>
        <c:axId val="105158144"/>
        <c:axId val="105159680"/>
      </c:lineChart>
      <c:catAx>
        <c:axId val="105158144"/>
        <c:scaling>
          <c:orientation val="minMax"/>
        </c:scaling>
        <c:delete val="0"/>
        <c:axPos val="b"/>
        <c:numFmt formatCode="0" sourceLinked="1"/>
        <c:majorTickMark val="out"/>
        <c:minorTickMark val="none"/>
        <c:tickLblPos val="nextTo"/>
        <c:crossAx val="105159680"/>
        <c:crosses val="autoZero"/>
        <c:auto val="1"/>
        <c:lblAlgn val="ctr"/>
        <c:lblOffset val="100"/>
        <c:tickLblSkip val="5"/>
        <c:noMultiLvlLbl val="0"/>
      </c:catAx>
      <c:valAx>
        <c:axId val="105159680"/>
        <c:scaling>
          <c:orientation val="minMax"/>
        </c:scaling>
        <c:delete val="0"/>
        <c:axPos val="l"/>
        <c:majorGridlines/>
        <c:title>
          <c:tx>
            <c:rich>
              <a:bodyPr rot="-5400000" vert="horz"/>
              <a:lstStyle/>
              <a:p>
                <a:pPr>
                  <a:defRPr sz="1150" baseline="0"/>
                </a:pPr>
                <a:r>
                  <a:rPr lang="en-US" sz="1150" baseline="0"/>
                  <a:t>Btu per ton-mile</a:t>
                </a:r>
              </a:p>
            </c:rich>
          </c:tx>
          <c:overlay val="0"/>
        </c:title>
        <c:numFmt formatCode="0" sourceLinked="1"/>
        <c:majorTickMark val="out"/>
        <c:minorTickMark val="none"/>
        <c:tickLblPos val="nextTo"/>
        <c:crossAx val="105158144"/>
        <c:crosses val="autoZero"/>
        <c:crossBetween val="midCat"/>
      </c:valAx>
    </c:plotArea>
    <c:legend>
      <c:legendPos val="r"/>
      <c:layout>
        <c:manualLayout>
          <c:xMode val="edge"/>
          <c:yMode val="edge"/>
          <c:x val="0.20254024496937884"/>
          <c:y val="0.56443095654709829"/>
          <c:w val="0.31412642169728783"/>
          <c:h val="0.16743438320209975"/>
        </c:manualLayout>
      </c:layout>
      <c:overlay val="0"/>
      <c:spPr>
        <a:solidFill>
          <a:schemeClr val="bg1"/>
        </a:solidFill>
        <a:ln>
          <a:solidFill>
            <a:schemeClr val="accent1"/>
          </a:solidFill>
        </a:ln>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Freight_Total!$DF$29</c:f>
              <c:strCache>
                <c:ptCount val="1"/>
                <c:pt idx="0">
                  <c:v>Domestic</c:v>
                </c:pt>
              </c:strCache>
            </c:strRef>
          </c:tx>
          <c:cat>
            <c:numRef>
              <c:f>Freight_Total!$DE$30:$DE$70</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Freight_Total!$DF$30:$DF$70</c:f>
              <c:numCache>
                <c:formatCode>0.000</c:formatCode>
                <c:ptCount val="41"/>
                <c:pt idx="0">
                  <c:v>0.34892443384575644</c:v>
                </c:pt>
                <c:pt idx="1">
                  <c:v>0.34543518950729879</c:v>
                </c:pt>
                <c:pt idx="2">
                  <c:v>0.34198083761222586</c:v>
                </c:pt>
                <c:pt idx="3">
                  <c:v>0.33856102923610359</c:v>
                </c:pt>
                <c:pt idx="4">
                  <c:v>0.33517541894374248</c:v>
                </c:pt>
                <c:pt idx="5">
                  <c:v>0.33182366475430508</c:v>
                </c:pt>
                <c:pt idx="6">
                  <c:v>0.32850542810676198</c:v>
                </c:pt>
                <c:pt idx="7">
                  <c:v>0.32522037382569446</c:v>
                </c:pt>
                <c:pt idx="8">
                  <c:v>0.32196817008743739</c:v>
                </c:pt>
                <c:pt idx="9">
                  <c:v>0.31874848838656306</c:v>
                </c:pt>
                <c:pt idx="10">
                  <c:v>0.31556100350269745</c:v>
                </c:pt>
                <c:pt idx="11">
                  <c:v>0.31240539346767043</c:v>
                </c:pt>
                <c:pt idx="12">
                  <c:v>0.30928133953299364</c:v>
                </c:pt>
                <c:pt idx="13">
                  <c:v>0.30618852613766367</c:v>
                </c:pt>
                <c:pt idx="14">
                  <c:v>0.30312664087628705</c:v>
                </c:pt>
                <c:pt idx="15">
                  <c:v>0.30009537446752416</c:v>
                </c:pt>
                <c:pt idx="16">
                  <c:v>0.29709442072284892</c:v>
                </c:pt>
                <c:pt idx="17">
                  <c:v>0.29412347651562032</c:v>
                </c:pt>
                <c:pt idx="18">
                  <c:v>0.29118224175046414</c:v>
                </c:pt>
                <c:pt idx="19">
                  <c:v>0.28827041933295949</c:v>
                </c:pt>
                <c:pt idx="20">
                  <c:v>0.28538771513962985</c:v>
                </c:pt>
                <c:pt idx="21">
                  <c:v>0.28253383798823356</c:v>
                </c:pt>
                <c:pt idx="22">
                  <c:v>0.2797084996083512</c:v>
                </c:pt>
                <c:pt idx="23">
                  <c:v>0.2769114146122677</c:v>
                </c:pt>
                <c:pt idx="24">
                  <c:v>0.27414230046614496</c:v>
                </c:pt>
                <c:pt idx="25">
                  <c:v>0.27140087746148356</c:v>
                </c:pt>
                <c:pt idx="26">
                  <c:v>0.2686868686868687</c:v>
                </c:pt>
                <c:pt idx="27">
                  <c:v>0.26600000000000001</c:v>
                </c:pt>
                <c:pt idx="28">
                  <c:v>0.25600000000000001</c:v>
                </c:pt>
                <c:pt idx="29">
                  <c:v>0.26600000000000001</c:v>
                </c:pt>
                <c:pt idx="30">
                  <c:v>0.26999999999999996</c:v>
                </c:pt>
                <c:pt idx="31">
                  <c:v>0.25299999999999995</c:v>
                </c:pt>
                <c:pt idx="32">
                  <c:v>0.253</c:v>
                </c:pt>
                <c:pt idx="33">
                  <c:v>0.251</c:v>
                </c:pt>
                <c:pt idx="34">
                  <c:v>0.24099999999999996</c:v>
                </c:pt>
                <c:pt idx="35">
                  <c:v>0.24099999999999999</c:v>
                </c:pt>
                <c:pt idx="36">
                  <c:v>0.23499999999999996</c:v>
                </c:pt>
                <c:pt idx="37">
                  <c:v>0.22500000000000001</c:v>
                </c:pt>
                <c:pt idx="38">
                  <c:v>0.252</c:v>
                </c:pt>
                <c:pt idx="39">
                  <c:v>0.22499999999999998</c:v>
                </c:pt>
                <c:pt idx="40">
                  <c:v>0.217</c:v>
                </c:pt>
              </c:numCache>
            </c:numRef>
          </c:val>
          <c:smooth val="0"/>
        </c:ser>
        <c:ser>
          <c:idx val="1"/>
          <c:order val="1"/>
          <c:tx>
            <c:strRef>
              <c:f>Freight_Total!$DG$29</c:f>
              <c:strCache>
                <c:ptCount val="1"/>
                <c:pt idx="0">
                  <c:v>Domestic+Intl.</c:v>
                </c:pt>
              </c:strCache>
            </c:strRef>
          </c:tx>
          <c:cat>
            <c:numRef>
              <c:f>Freight_Total!$DE$30:$DE$70</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Freight_Total!$DG$30:$DG$70</c:f>
              <c:numCache>
                <c:formatCode>0.000</c:formatCode>
                <c:ptCount val="41"/>
                <c:pt idx="0">
                  <c:v>0.31569404066704482</c:v>
                </c:pt>
                <c:pt idx="1">
                  <c:v>0.31293677188559271</c:v>
                </c:pt>
                <c:pt idx="2">
                  <c:v>0.308050761060363</c:v>
                </c:pt>
                <c:pt idx="3">
                  <c:v>0.29700582713202256</c:v>
                </c:pt>
                <c:pt idx="4">
                  <c:v>0.29951111541161901</c:v>
                </c:pt>
                <c:pt idx="5">
                  <c:v>0.29370043873447321</c:v>
                </c:pt>
                <c:pt idx="6">
                  <c:v>0.28711243576207712</c:v>
                </c:pt>
                <c:pt idx="7">
                  <c:v>0.28129863165493785</c:v>
                </c:pt>
                <c:pt idx="8">
                  <c:v>0.2869256826462398</c:v>
                </c:pt>
                <c:pt idx="9">
                  <c:v>0.28348646306919439</c:v>
                </c:pt>
                <c:pt idx="10">
                  <c:v>0.28629039190090744</c:v>
                </c:pt>
                <c:pt idx="11">
                  <c:v>0.28364928265172779</c:v>
                </c:pt>
                <c:pt idx="12">
                  <c:v>0.28414250993040963</c:v>
                </c:pt>
                <c:pt idx="13">
                  <c:v>0.28464553794940722</c:v>
                </c:pt>
                <c:pt idx="14">
                  <c:v>0.27842488494691092</c:v>
                </c:pt>
                <c:pt idx="15">
                  <c:v>0.2777210654599771</c:v>
                </c:pt>
                <c:pt idx="16">
                  <c:v>0.27461076114069327</c:v>
                </c:pt>
                <c:pt idx="17">
                  <c:v>0.27195550759045267</c:v>
                </c:pt>
                <c:pt idx="18">
                  <c:v>0.2669871943355247</c:v>
                </c:pt>
                <c:pt idx="19">
                  <c:v>0.25800110187058051</c:v>
                </c:pt>
                <c:pt idx="20">
                  <c:v>0.2551979866691233</c:v>
                </c:pt>
                <c:pt idx="21">
                  <c:v>0.25536247418598967</c:v>
                </c:pt>
                <c:pt idx="22">
                  <c:v>0.25240775463704651</c:v>
                </c:pt>
                <c:pt idx="23">
                  <c:v>0.24774965918958683</c:v>
                </c:pt>
                <c:pt idx="24">
                  <c:v>0.24565933130126894</c:v>
                </c:pt>
                <c:pt idx="25">
                  <c:v>0.23974953320482043</c:v>
                </c:pt>
                <c:pt idx="26">
                  <c:v>0.23610983628710722</c:v>
                </c:pt>
                <c:pt idx="27">
                  <c:v>0.23122512936530729</c:v>
                </c:pt>
                <c:pt idx="28">
                  <c:v>0.2206734669246552</c:v>
                </c:pt>
                <c:pt idx="29">
                  <c:v>0.2282160407635633</c:v>
                </c:pt>
                <c:pt idx="30">
                  <c:v>0.22840050572337969</c:v>
                </c:pt>
                <c:pt idx="31">
                  <c:v>0.21343486898348552</c:v>
                </c:pt>
                <c:pt idx="32">
                  <c:v>0.21465451982334888</c:v>
                </c:pt>
                <c:pt idx="33">
                  <c:v>0.21295370639941771</c:v>
                </c:pt>
                <c:pt idx="34">
                  <c:v>0.20133789083514447</c:v>
                </c:pt>
                <c:pt idx="35">
                  <c:v>0.20207403116385131</c:v>
                </c:pt>
                <c:pt idx="36">
                  <c:v>0.19352659430957728</c:v>
                </c:pt>
                <c:pt idx="37">
                  <c:v>0.18575134695461398</c:v>
                </c:pt>
                <c:pt idx="38">
                  <c:v>0.20691951546165702</c:v>
                </c:pt>
                <c:pt idx="39">
                  <c:v>0.18790910036122918</c:v>
                </c:pt>
                <c:pt idx="40">
                  <c:v>0.17995228573079811</c:v>
                </c:pt>
              </c:numCache>
            </c:numRef>
          </c:val>
          <c:smooth val="0"/>
        </c:ser>
        <c:dLbls>
          <c:showLegendKey val="0"/>
          <c:showVal val="0"/>
          <c:showCatName val="0"/>
          <c:showSerName val="0"/>
          <c:showPercent val="0"/>
          <c:showBubbleSize val="0"/>
        </c:dLbls>
        <c:marker val="1"/>
        <c:smooth val="0"/>
        <c:axId val="109203840"/>
        <c:axId val="109205376"/>
      </c:lineChart>
      <c:catAx>
        <c:axId val="109203840"/>
        <c:scaling>
          <c:orientation val="minMax"/>
        </c:scaling>
        <c:delete val="0"/>
        <c:axPos val="b"/>
        <c:numFmt formatCode="0" sourceLinked="1"/>
        <c:majorTickMark val="out"/>
        <c:minorTickMark val="none"/>
        <c:tickLblPos val="nextTo"/>
        <c:crossAx val="109205376"/>
        <c:crosses val="autoZero"/>
        <c:auto val="1"/>
        <c:lblAlgn val="ctr"/>
        <c:lblOffset val="100"/>
        <c:noMultiLvlLbl val="0"/>
      </c:catAx>
      <c:valAx>
        <c:axId val="109205376"/>
        <c:scaling>
          <c:orientation val="minMax"/>
        </c:scaling>
        <c:delete val="0"/>
        <c:axPos val="l"/>
        <c:majorGridlines/>
        <c:numFmt formatCode="0.000" sourceLinked="1"/>
        <c:majorTickMark val="out"/>
        <c:minorTickMark val="none"/>
        <c:tickLblPos val="nextTo"/>
        <c:crossAx val="109203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1550743657043"/>
          <c:y val="5.1400464804904254E-2"/>
          <c:w val="0.76445516185476825"/>
          <c:h val="0.79523549139690874"/>
        </c:manualLayout>
      </c:layout>
      <c:lineChart>
        <c:grouping val="standard"/>
        <c:varyColors val="0"/>
        <c:ser>
          <c:idx val="0"/>
          <c:order val="0"/>
          <c:tx>
            <c:strRef>
              <c:f>Freight_Total!$R$85</c:f>
              <c:strCache>
                <c:ptCount val="1"/>
                <c:pt idx="0">
                  <c:v>  Highway</c:v>
                </c:pt>
              </c:strCache>
            </c:strRef>
          </c:tx>
          <c:cat>
            <c:numRef>
              <c:f>Freight_Total!$Q$86:$Q$126</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Freight_Total!$R$86:$R$127</c:f>
              <c:numCache>
                <c:formatCode>0</c:formatCode>
                <c:ptCount val="42"/>
                <c:pt idx="0">
                  <c:v>3310.3607480379032</c:v>
                </c:pt>
                <c:pt idx="1">
                  <c:v>3213.7442510744586</c:v>
                </c:pt>
                <c:pt idx="2">
                  <c:v>3346.0502125876415</c:v>
                </c:pt>
                <c:pt idx="3">
                  <c:v>3435.8499651694124</c:v>
                </c:pt>
                <c:pt idx="4">
                  <c:v>3496.6145296054247</c:v>
                </c:pt>
                <c:pt idx="5">
                  <c:v>3788.9063464902365</c:v>
                </c:pt>
                <c:pt idx="6">
                  <c:v>3610.3452441181557</c:v>
                </c:pt>
                <c:pt idx="7">
                  <c:v>3677.8509629965811</c:v>
                </c:pt>
                <c:pt idx="8">
                  <c:v>3780.0608916343817</c:v>
                </c:pt>
                <c:pt idx="9">
                  <c:v>3873.9476199737169</c:v>
                </c:pt>
                <c:pt idx="10">
                  <c:v>4207.325844910285</c:v>
                </c:pt>
                <c:pt idx="11">
                  <c:v>4459.5465336431753</c:v>
                </c:pt>
                <c:pt idx="12">
                  <c:v>4474.2192593426271</c:v>
                </c:pt>
                <c:pt idx="13">
                  <c:v>4175.1288550506242</c:v>
                </c:pt>
                <c:pt idx="14">
                  <c:v>4101.5530193402237</c:v>
                </c:pt>
                <c:pt idx="15">
                  <c:v>4069.5617178723223</c:v>
                </c:pt>
                <c:pt idx="16">
                  <c:v>4025.2165689546637</c:v>
                </c:pt>
                <c:pt idx="17">
                  <c:v>3944.1368355763771</c:v>
                </c:pt>
                <c:pt idx="18">
                  <c:v>3829.9382562714127</c:v>
                </c:pt>
                <c:pt idx="19">
                  <c:v>3829.2337444532836</c:v>
                </c:pt>
                <c:pt idx="20">
                  <c:v>3908.9022194650111</c:v>
                </c:pt>
                <c:pt idx="21">
                  <c:v>3878.0861391785438</c:v>
                </c:pt>
                <c:pt idx="22">
                  <c:v>3855.1401622565681</c:v>
                </c:pt>
                <c:pt idx="23">
                  <c:v>3796.8132331612019</c:v>
                </c:pt>
                <c:pt idx="24">
                  <c:v>3761.0657565260967</c:v>
                </c:pt>
                <c:pt idx="25">
                  <c:v>3771.5545521321965</c:v>
                </c:pt>
                <c:pt idx="26">
                  <c:v>3754.0577119025302</c:v>
                </c:pt>
                <c:pt idx="27">
                  <c:v>3633.8956049240801</c:v>
                </c:pt>
                <c:pt idx="28">
                  <c:v>3773.7596148680682</c:v>
                </c:pt>
                <c:pt idx="29">
                  <c:v>3827.3029046336942</c:v>
                </c:pt>
                <c:pt idx="30">
                  <c:v>3922.672512304372</c:v>
                </c:pt>
                <c:pt idx="31">
                  <c:v>3848.4989828593352</c:v>
                </c:pt>
                <c:pt idx="32">
                  <c:v>3920.2667229819767</c:v>
                </c:pt>
                <c:pt idx="33">
                  <c:v>3718.1199198578847</c:v>
                </c:pt>
                <c:pt idx="34">
                  <c:v>3719.895994912069</c:v>
                </c:pt>
                <c:pt idx="35">
                  <c:v>3785.625360162408</c:v>
                </c:pt>
                <c:pt idx="36">
                  <c:v>3891.3253991011775</c:v>
                </c:pt>
                <c:pt idx="37">
                  <c:v>3890.3741077487207</c:v>
                </c:pt>
                <c:pt idx="38">
                  <c:v>3888.4090396610368</c:v>
                </c:pt>
                <c:pt idx="39">
                  <c:v>3916.7839273180107</c:v>
                </c:pt>
                <c:pt idx="40">
                  <c:v>3914.94294866576</c:v>
                </c:pt>
                <c:pt idx="41">
                  <c:v>3953.7806843670965</c:v>
                </c:pt>
              </c:numCache>
            </c:numRef>
          </c:val>
          <c:smooth val="0"/>
        </c:ser>
        <c:ser>
          <c:idx val="1"/>
          <c:order val="1"/>
          <c:tx>
            <c:strRef>
              <c:f>Freight_Total!$S$85</c:f>
              <c:strCache>
                <c:ptCount val="1"/>
                <c:pt idx="0">
                  <c:v>Rail</c:v>
                </c:pt>
              </c:strCache>
            </c:strRef>
          </c:tx>
          <c:marker>
            <c:symbol val="square"/>
            <c:size val="4"/>
          </c:marker>
          <c:cat>
            <c:numRef>
              <c:f>Freight_Total!$Q$86:$Q$126</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Freight_Total!$S$86:$S$127</c:f>
              <c:numCache>
                <c:formatCode>0</c:formatCode>
                <c:ptCount val="42"/>
                <c:pt idx="0">
                  <c:v>690.5290838627684</c:v>
                </c:pt>
                <c:pt idx="1">
                  <c:v>716.78569570783372</c:v>
                </c:pt>
                <c:pt idx="2">
                  <c:v>713.7234301818097</c:v>
                </c:pt>
                <c:pt idx="3">
                  <c:v>677.49137541397181</c:v>
                </c:pt>
                <c:pt idx="4">
                  <c:v>680.55353006777045</c:v>
                </c:pt>
                <c:pt idx="5">
                  <c:v>687.1050137089461</c:v>
                </c:pt>
                <c:pt idx="6">
                  <c:v>680.44273208917718</c:v>
                </c:pt>
                <c:pt idx="7">
                  <c:v>668.92705036476207</c:v>
                </c:pt>
                <c:pt idx="8">
                  <c:v>641.36972852972531</c:v>
                </c:pt>
                <c:pt idx="9">
                  <c:v>618.18047553326198</c:v>
                </c:pt>
                <c:pt idx="10">
                  <c:v>597.08566136863715</c:v>
                </c:pt>
                <c:pt idx="11">
                  <c:v>575.15356961179737</c:v>
                </c:pt>
                <c:pt idx="12">
                  <c:v>552.55370255929415</c:v>
                </c:pt>
                <c:pt idx="13">
                  <c:v>525.36031692372694</c:v>
                </c:pt>
                <c:pt idx="14">
                  <c:v>509.9491885340006</c:v>
                </c:pt>
                <c:pt idx="15">
                  <c:v>497.27150438320422</c:v>
                </c:pt>
                <c:pt idx="16">
                  <c:v>485.77640108237432</c:v>
                </c:pt>
                <c:pt idx="17">
                  <c:v>455.92609555315136</c:v>
                </c:pt>
                <c:pt idx="18">
                  <c:v>443.07208210949398</c:v>
                </c:pt>
                <c:pt idx="19">
                  <c:v>436.52411028948325</c:v>
                </c:pt>
                <c:pt idx="20">
                  <c:v>420.4050604998796</c:v>
                </c:pt>
                <c:pt idx="21">
                  <c:v>390.6496931777163</c:v>
                </c:pt>
                <c:pt idx="22">
                  <c:v>392.91232221046312</c:v>
                </c:pt>
                <c:pt idx="23">
                  <c:v>389.10204460614676</c:v>
                </c:pt>
                <c:pt idx="24">
                  <c:v>387.67120207278913</c:v>
                </c:pt>
                <c:pt idx="25">
                  <c:v>372.11500756689196</c:v>
                </c:pt>
                <c:pt idx="26">
                  <c:v>368.3391655450875</c:v>
                </c:pt>
                <c:pt idx="27">
                  <c:v>370.46961805169445</c:v>
                </c:pt>
                <c:pt idx="28">
                  <c:v>364.58060055113231</c:v>
                </c:pt>
                <c:pt idx="29">
                  <c:v>362.74882958099317</c:v>
                </c:pt>
                <c:pt idx="30">
                  <c:v>351.9726800185544</c:v>
                </c:pt>
                <c:pt idx="31">
                  <c:v>345.94495918345513</c:v>
                </c:pt>
                <c:pt idx="32">
                  <c:v>345.26568153782551</c:v>
                </c:pt>
                <c:pt idx="33">
                  <c:v>344.1220596633575</c:v>
                </c:pt>
                <c:pt idx="34">
                  <c:v>340.55203963916716</c:v>
                </c:pt>
                <c:pt idx="35">
                  <c:v>336.84373314470133</c:v>
                </c:pt>
                <c:pt idx="36">
                  <c:v>329.89348703677473</c:v>
                </c:pt>
                <c:pt idx="37">
                  <c:v>320.19653835400959</c:v>
                </c:pt>
                <c:pt idx="38">
                  <c:v>305.23995687685817</c:v>
                </c:pt>
                <c:pt idx="39">
                  <c:v>291.48278243117471</c:v>
                </c:pt>
                <c:pt idx="40">
                  <c:v>288.63639589261766</c:v>
                </c:pt>
                <c:pt idx="41">
                  <c:v>297.61142942398351</c:v>
                </c:pt>
              </c:numCache>
            </c:numRef>
          </c:val>
          <c:smooth val="0"/>
        </c:ser>
        <c:ser>
          <c:idx val="3"/>
          <c:order val="2"/>
          <c:tx>
            <c:strRef>
              <c:f>Freight_Total!$U$85</c:f>
              <c:strCache>
                <c:ptCount val="1"/>
                <c:pt idx="0">
                  <c:v>Waterborne</c:v>
                </c:pt>
              </c:strCache>
            </c:strRef>
          </c:tx>
          <c:marker>
            <c:symbol val="circle"/>
            <c:size val="4"/>
          </c:marker>
          <c:cat>
            <c:numRef>
              <c:f>Freight_Total!$Q$86:$Q$126</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Freight_Total!$U$86:$U$127</c:f>
              <c:numCache>
                <c:formatCode>0</c:formatCode>
                <c:ptCount val="42"/>
                <c:pt idx="0">
                  <c:v>348.92443384575643</c:v>
                </c:pt>
                <c:pt idx="1">
                  <c:v>345.43518950729879</c:v>
                </c:pt>
                <c:pt idx="2">
                  <c:v>341.98083761222586</c:v>
                </c:pt>
                <c:pt idx="3">
                  <c:v>338.56102923610359</c:v>
                </c:pt>
                <c:pt idx="4">
                  <c:v>335.1754189437425</c:v>
                </c:pt>
                <c:pt idx="5">
                  <c:v>331.82366475430507</c:v>
                </c:pt>
                <c:pt idx="6">
                  <c:v>328.505428106762</c:v>
                </c:pt>
                <c:pt idx="7">
                  <c:v>325.22037382569442</c:v>
                </c:pt>
                <c:pt idx="8">
                  <c:v>321.96817008743739</c:v>
                </c:pt>
                <c:pt idx="9">
                  <c:v>318.74848838656305</c:v>
                </c:pt>
                <c:pt idx="10">
                  <c:v>315.56100350269742</c:v>
                </c:pt>
                <c:pt idx="11">
                  <c:v>312.40539346767042</c:v>
                </c:pt>
                <c:pt idx="12">
                  <c:v>309.28133953299363</c:v>
                </c:pt>
                <c:pt idx="13">
                  <c:v>306.1885261376637</c:v>
                </c:pt>
                <c:pt idx="14">
                  <c:v>303.12664087628707</c:v>
                </c:pt>
                <c:pt idx="15">
                  <c:v>300.09537446752415</c:v>
                </c:pt>
                <c:pt idx="16">
                  <c:v>297.09442072284889</c:v>
                </c:pt>
                <c:pt idx="17">
                  <c:v>294.12347651562033</c:v>
                </c:pt>
                <c:pt idx="18">
                  <c:v>291.18224175046413</c:v>
                </c:pt>
                <c:pt idx="19">
                  <c:v>288.27041933295948</c:v>
                </c:pt>
                <c:pt idx="20">
                  <c:v>285.38771513962985</c:v>
                </c:pt>
                <c:pt idx="21">
                  <c:v>282.53383798823359</c:v>
                </c:pt>
                <c:pt idx="22">
                  <c:v>279.70849960835119</c:v>
                </c:pt>
                <c:pt idx="23">
                  <c:v>276.91141461226772</c:v>
                </c:pt>
                <c:pt idx="24">
                  <c:v>274.14230046614495</c:v>
                </c:pt>
                <c:pt idx="25">
                  <c:v>271.40087746148356</c:v>
                </c:pt>
                <c:pt idx="26">
                  <c:v>268.68686868686871</c:v>
                </c:pt>
                <c:pt idx="27">
                  <c:v>266</c:v>
                </c:pt>
                <c:pt idx="28">
                  <c:v>256</c:v>
                </c:pt>
                <c:pt idx="29">
                  <c:v>266</c:v>
                </c:pt>
                <c:pt idx="30">
                  <c:v>269.99999999999994</c:v>
                </c:pt>
                <c:pt idx="31">
                  <c:v>252.99999999999997</c:v>
                </c:pt>
                <c:pt idx="32">
                  <c:v>253.00000000000003</c:v>
                </c:pt>
                <c:pt idx="33">
                  <c:v>250.99999999999997</c:v>
                </c:pt>
                <c:pt idx="34">
                  <c:v>240.99999999999997</c:v>
                </c:pt>
                <c:pt idx="35">
                  <c:v>241</c:v>
                </c:pt>
                <c:pt idx="36">
                  <c:v>234.99999999999997</c:v>
                </c:pt>
                <c:pt idx="37">
                  <c:v>225</c:v>
                </c:pt>
                <c:pt idx="38">
                  <c:v>252</c:v>
                </c:pt>
                <c:pt idx="39">
                  <c:v>224.99999999999997</c:v>
                </c:pt>
                <c:pt idx="40">
                  <c:v>217</c:v>
                </c:pt>
                <c:pt idx="41">
                  <c:v>217</c:v>
                </c:pt>
              </c:numCache>
            </c:numRef>
          </c:val>
          <c:smooth val="0"/>
        </c:ser>
        <c:ser>
          <c:idx val="4"/>
          <c:order val="3"/>
          <c:tx>
            <c:strRef>
              <c:f>Freight_Total!$V$85</c:f>
              <c:strCache>
                <c:ptCount val="1"/>
                <c:pt idx="0">
                  <c:v>Pipeline</c:v>
                </c:pt>
              </c:strCache>
            </c:strRef>
          </c:tx>
          <c:marker>
            <c:symbol val="circle"/>
            <c:size val="4"/>
          </c:marker>
          <c:cat>
            <c:numRef>
              <c:f>Freight_Total!$Q$86:$Q$126</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Freight_Total!$V$86:$V$127</c:f>
              <c:numCache>
                <c:formatCode>0</c:formatCode>
                <c:ptCount val="42"/>
                <c:pt idx="0">
                  <c:v>2947.6731915201676</c:v>
                </c:pt>
                <c:pt idx="1">
                  <c:v>2935.5408360815291</c:v>
                </c:pt>
                <c:pt idx="2">
                  <c:v>2991.7433106462722</c:v>
                </c:pt>
                <c:pt idx="3">
                  <c:v>2851.2508040708694</c:v>
                </c:pt>
                <c:pt idx="4">
                  <c:v>2721.4451180375331</c:v>
                </c:pt>
                <c:pt idx="5">
                  <c:v>2577.3577697632868</c:v>
                </c:pt>
                <c:pt idx="6">
                  <c:v>2396.1700606431882</c:v>
                </c:pt>
                <c:pt idx="7">
                  <c:v>2386.2018106113405</c:v>
                </c:pt>
                <c:pt idx="8">
                  <c:v>2359.8760262339852</c:v>
                </c:pt>
                <c:pt idx="9">
                  <c:v>2571.5690455718768</c:v>
                </c:pt>
                <c:pt idx="10">
                  <c:v>2704.4187432226886</c:v>
                </c:pt>
                <c:pt idx="11">
                  <c:v>2795.9209127207378</c:v>
                </c:pt>
                <c:pt idx="12">
                  <c:v>2841.2014870058815</c:v>
                </c:pt>
                <c:pt idx="13">
                  <c:v>2475.5527679805291</c:v>
                </c:pt>
                <c:pt idx="14">
                  <c:v>2511.2440435642379</c:v>
                </c:pt>
                <c:pt idx="15">
                  <c:v>2473.336597924369</c:v>
                </c:pt>
                <c:pt idx="16">
                  <c:v>2541.7402846297605</c:v>
                </c:pt>
                <c:pt idx="17">
                  <c:v>2593.061073915906</c:v>
                </c:pt>
                <c:pt idx="18">
                  <c:v>2920.174476009423</c:v>
                </c:pt>
                <c:pt idx="19">
                  <c:v>2804.3858021779156</c:v>
                </c:pt>
                <c:pt idx="20">
                  <c:v>2964.5794955098272</c:v>
                </c:pt>
                <c:pt idx="21">
                  <c:v>2617.7276708635327</c:v>
                </c:pt>
                <c:pt idx="22">
                  <c:v>2470.1351070732717</c:v>
                </c:pt>
                <c:pt idx="23">
                  <c:v>2551.5798811393665</c:v>
                </c:pt>
                <c:pt idx="24">
                  <c:v>2737.0676456039891</c:v>
                </c:pt>
                <c:pt idx="25">
                  <c:v>2679.9001671430897</c:v>
                </c:pt>
                <c:pt idx="26">
                  <c:v>2674.7426166418095</c:v>
                </c:pt>
                <c:pt idx="27">
                  <c:v>2806.9021450504883</c:v>
                </c:pt>
                <c:pt idx="28">
                  <c:v>2413.6992775791405</c:v>
                </c:pt>
                <c:pt idx="29">
                  <c:v>2422.2763965908989</c:v>
                </c:pt>
                <c:pt idx="30">
                  <c:v>2314.4598345133277</c:v>
                </c:pt>
                <c:pt idx="31">
                  <c:v>2367.1310756777875</c:v>
                </c:pt>
                <c:pt idx="32">
                  <c:v>2438.9469103166243</c:v>
                </c:pt>
                <c:pt idx="33">
                  <c:v>2232.9843785663934</c:v>
                </c:pt>
                <c:pt idx="34">
                  <c:v>2120.7295955420732</c:v>
                </c:pt>
                <c:pt idx="35">
                  <c:v>2231.6786639587858</c:v>
                </c:pt>
                <c:pt idx="36">
                  <c:v>2272.2801240574554</c:v>
                </c:pt>
                <c:pt idx="37">
                  <c:v>2269.9547274484344</c:v>
                </c:pt>
                <c:pt idx="38">
                  <c:v>2350.3968501929357</c:v>
                </c:pt>
                <c:pt idx="39">
                  <c:v>2481.3364046286033</c:v>
                </c:pt>
                <c:pt idx="40">
                  <c:v>2365.0202939364844</c:v>
                </c:pt>
                <c:pt idx="41">
                  <c:v>2371.7639611297163</c:v>
                </c:pt>
              </c:numCache>
            </c:numRef>
          </c:val>
          <c:smooth val="0"/>
        </c:ser>
        <c:dLbls>
          <c:showLegendKey val="0"/>
          <c:showVal val="0"/>
          <c:showCatName val="0"/>
          <c:showSerName val="0"/>
          <c:showPercent val="0"/>
          <c:showBubbleSize val="0"/>
        </c:dLbls>
        <c:marker val="1"/>
        <c:smooth val="0"/>
        <c:axId val="100015104"/>
        <c:axId val="100016896"/>
      </c:lineChart>
      <c:catAx>
        <c:axId val="100015104"/>
        <c:scaling>
          <c:orientation val="minMax"/>
        </c:scaling>
        <c:delete val="0"/>
        <c:axPos val="b"/>
        <c:numFmt formatCode="0" sourceLinked="1"/>
        <c:majorTickMark val="out"/>
        <c:minorTickMark val="none"/>
        <c:tickLblPos val="nextTo"/>
        <c:crossAx val="100016896"/>
        <c:crosses val="autoZero"/>
        <c:auto val="1"/>
        <c:lblAlgn val="ctr"/>
        <c:lblOffset val="100"/>
        <c:tickLblSkip val="5"/>
        <c:noMultiLvlLbl val="0"/>
      </c:catAx>
      <c:valAx>
        <c:axId val="100016896"/>
        <c:scaling>
          <c:orientation val="minMax"/>
        </c:scaling>
        <c:delete val="0"/>
        <c:axPos val="l"/>
        <c:majorGridlines/>
        <c:title>
          <c:tx>
            <c:rich>
              <a:bodyPr rot="-5400000" vert="horz"/>
              <a:lstStyle/>
              <a:p>
                <a:pPr>
                  <a:defRPr/>
                </a:pPr>
                <a:r>
                  <a:rPr lang="en-US"/>
                  <a:t>Btu per Ton-mile</a:t>
                </a:r>
              </a:p>
            </c:rich>
          </c:tx>
          <c:layout>
            <c:manualLayout>
              <c:xMode val="edge"/>
              <c:yMode val="edge"/>
              <c:x val="1.4722003499562555E-2"/>
              <c:y val="0.29087757901617611"/>
            </c:manualLayout>
          </c:layout>
          <c:overlay val="0"/>
        </c:title>
        <c:numFmt formatCode="#,##0" sourceLinked="0"/>
        <c:majorTickMark val="out"/>
        <c:minorTickMark val="none"/>
        <c:tickLblPos val="nextTo"/>
        <c:crossAx val="100015104"/>
        <c:crosses val="autoZero"/>
        <c:crossBetween val="midCat"/>
      </c:valAx>
      <c:spPr>
        <a:ln>
          <a:solidFill>
            <a:srgbClr val="000000"/>
          </a:solidFill>
        </a:ln>
      </c:spPr>
    </c:plotArea>
    <c:legend>
      <c:legendPos val="r"/>
      <c:layout>
        <c:manualLayout>
          <c:xMode val="edge"/>
          <c:yMode val="edge"/>
          <c:x val="0.43961023622047246"/>
          <c:y val="0.54200440867583222"/>
          <c:w val="0.43816754155730536"/>
          <c:h val="0.17283172936716243"/>
        </c:manualLayout>
      </c:layout>
      <c:overlay val="0"/>
      <c:spPr>
        <a:solidFill>
          <a:schemeClr val="bg1"/>
        </a:solidFill>
        <a:ln>
          <a:solidFill>
            <a:srgbClr val="000000"/>
          </a:solidFill>
        </a:ln>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16905365288226"/>
          <c:y val="5.1400419663625935E-2"/>
          <c:w val="0.81855227471566061"/>
          <c:h val="0.79523549139690874"/>
        </c:manualLayout>
      </c:layout>
      <c:lineChart>
        <c:grouping val="standard"/>
        <c:varyColors val="0"/>
        <c:ser>
          <c:idx val="0"/>
          <c:order val="0"/>
          <c:tx>
            <c:strRef>
              <c:f>Freight_Total!$Y$85</c:f>
              <c:strCache>
                <c:ptCount val="1"/>
                <c:pt idx="0">
                  <c:v>  Highway</c:v>
                </c:pt>
              </c:strCache>
            </c:strRef>
          </c:tx>
          <c:cat>
            <c:numRef>
              <c:f>Freight_Total!$X$86:$X$127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Freight_Total!$Y$86:$Y$127</c:f>
              <c:numCache>
                <c:formatCode>0.000</c:formatCode>
                <c:ptCount val="42"/>
                <c:pt idx="0">
                  <c:v>0.83899610764976162</c:v>
                </c:pt>
                <c:pt idx="1">
                  <c:v>0.81638838324961338</c:v>
                </c:pt>
                <c:pt idx="2">
                  <c:v>0.84422157578282475</c:v>
                </c:pt>
                <c:pt idx="3">
                  <c:v>0.86751770957652163</c:v>
                </c:pt>
                <c:pt idx="4">
                  <c:v>0.8797253823689305</c:v>
                </c:pt>
                <c:pt idx="5">
                  <c:v>0.92444462122853799</c:v>
                </c:pt>
                <c:pt idx="6">
                  <c:v>0.89563792053012126</c:v>
                </c:pt>
                <c:pt idx="7">
                  <c:v>0.91393190589525397</c:v>
                </c:pt>
                <c:pt idx="8">
                  <c:v>0.93772567089734571</c:v>
                </c:pt>
                <c:pt idx="9">
                  <c:v>0.96870551682502759</c:v>
                </c:pt>
                <c:pt idx="10">
                  <c:v>1.042755475424004</c:v>
                </c:pt>
                <c:pt idx="11">
                  <c:v>1.0941752701555822</c:v>
                </c:pt>
                <c:pt idx="12">
                  <c:v>1.0886182459848992</c:v>
                </c:pt>
                <c:pt idx="13">
                  <c:v>1.0275108010061607</c:v>
                </c:pt>
                <c:pt idx="14">
                  <c:v>1.0114505892514025</c:v>
                </c:pt>
                <c:pt idx="15">
                  <c:v>1</c:v>
                </c:pt>
                <c:pt idx="16">
                  <c:v>0.99593533776503185</c:v>
                </c:pt>
                <c:pt idx="17">
                  <c:v>0.97522693411106076</c:v>
                </c:pt>
                <c:pt idx="18">
                  <c:v>0.95223370625609904</c:v>
                </c:pt>
                <c:pt idx="19">
                  <c:v>0.95080777849981069</c:v>
                </c:pt>
                <c:pt idx="20">
                  <c:v>0.97190293635708291</c:v>
                </c:pt>
                <c:pt idx="21">
                  <c:v>0.96511375278514988</c:v>
                </c:pt>
                <c:pt idx="22">
                  <c:v>0.96073392506628852</c:v>
                </c:pt>
                <c:pt idx="23">
                  <c:v>0.94447939951928916</c:v>
                </c:pt>
                <c:pt idx="24">
                  <c:v>0.93279905855468037</c:v>
                </c:pt>
                <c:pt idx="25">
                  <c:v>0.93967783758902723</c:v>
                </c:pt>
                <c:pt idx="26">
                  <c:v>0.93644380694642282</c:v>
                </c:pt>
                <c:pt idx="27">
                  <c:v>0.90661017972899871</c:v>
                </c:pt>
                <c:pt idx="28">
                  <c:v>0.94332609671961265</c:v>
                </c:pt>
                <c:pt idx="29">
                  <c:v>0.9564907976601319</c:v>
                </c:pt>
                <c:pt idx="30">
                  <c:v>0.98207812574622932</c:v>
                </c:pt>
                <c:pt idx="31">
                  <c:v>0.96202043786610603</c:v>
                </c:pt>
                <c:pt idx="32">
                  <c:v>0.97670175147992533</c:v>
                </c:pt>
                <c:pt idx="33">
                  <c:v>0.92409286234289068</c:v>
                </c:pt>
                <c:pt idx="34">
                  <c:v>0.92528732605739505</c:v>
                </c:pt>
                <c:pt idx="35">
                  <c:v>0.94290859615042211</c:v>
                </c:pt>
                <c:pt idx="36">
                  <c:v>0.96468762564489896</c:v>
                </c:pt>
                <c:pt idx="37">
                  <c:v>0.96445179365914169</c:v>
                </c:pt>
                <c:pt idx="38">
                  <c:v>0.95670393095399653</c:v>
                </c:pt>
                <c:pt idx="39">
                  <c:v>0.95911746221013772</c:v>
                </c:pt>
                <c:pt idx="40">
                  <c:v>0.9745014540842708</c:v>
                </c:pt>
                <c:pt idx="41">
                  <c:v>0.98370046704305958</c:v>
                </c:pt>
              </c:numCache>
            </c:numRef>
          </c:val>
          <c:smooth val="0"/>
        </c:ser>
        <c:ser>
          <c:idx val="1"/>
          <c:order val="1"/>
          <c:tx>
            <c:strRef>
              <c:f>Freight_Total!$Z$85</c:f>
              <c:strCache>
                <c:ptCount val="1"/>
                <c:pt idx="0">
                  <c:v>Rail</c:v>
                </c:pt>
              </c:strCache>
            </c:strRef>
          </c:tx>
          <c:marker>
            <c:symbol val="square"/>
            <c:size val="4"/>
          </c:marker>
          <c:cat>
            <c:numRef>
              <c:f>Freight_Total!$X$86:$X$127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Freight_Total!$Z$86:$Z$127</c:f>
              <c:numCache>
                <c:formatCode>0.000</c:formatCode>
                <c:ptCount val="42"/>
                <c:pt idx="0">
                  <c:v>1.3886359418870646</c:v>
                </c:pt>
                <c:pt idx="1">
                  <c:v>1.441437302137202</c:v>
                </c:pt>
                <c:pt idx="2">
                  <c:v>1.4352791661912818</c:v>
                </c:pt>
                <c:pt idx="3">
                  <c:v>1.3624174509140738</c:v>
                </c:pt>
                <c:pt idx="4">
                  <c:v>1.3685753638988463</c:v>
                </c:pt>
                <c:pt idx="5">
                  <c:v>1.3817502262897687</c:v>
                </c:pt>
                <c:pt idx="6">
                  <c:v>1.3683525520594051</c:v>
                </c:pt>
                <c:pt idx="7">
                  <c:v>1.3451948170536587</c:v>
                </c:pt>
                <c:pt idx="8">
                  <c:v>1.2897777630054528</c:v>
                </c:pt>
                <c:pt idx="9">
                  <c:v>1.2431447812398349</c:v>
                </c:pt>
                <c:pt idx="10">
                  <c:v>1.2007236612305756</c:v>
                </c:pt>
                <c:pt idx="11">
                  <c:v>1.1566187978641467</c:v>
                </c:pt>
                <c:pt idx="12">
                  <c:v>1.1111710558292693</c:v>
                </c:pt>
                <c:pt idx="13">
                  <c:v>1.0564858679673652</c:v>
                </c:pt>
                <c:pt idx="14">
                  <c:v>1.0254944915183131</c:v>
                </c:pt>
                <c:pt idx="15">
                  <c:v>1</c:v>
                </c:pt>
                <c:pt idx="16">
                  <c:v>0.97688364766630265</c:v>
                </c:pt>
                <c:pt idx="17">
                  <c:v>0.91685546333217693</c:v>
                </c:pt>
                <c:pt idx="18">
                  <c:v>0.89100637821397577</c:v>
                </c:pt>
                <c:pt idx="19">
                  <c:v>0.87783857800364085</c:v>
                </c:pt>
                <c:pt idx="20">
                  <c:v>0.84542359011971402</c:v>
                </c:pt>
                <c:pt idx="21">
                  <c:v>0.78558632403894257</c:v>
                </c:pt>
                <c:pt idx="22">
                  <c:v>0.7901364118939731</c:v>
                </c:pt>
                <c:pt idx="23">
                  <c:v>0.78247404320658476</c:v>
                </c:pt>
                <c:pt idx="24">
                  <c:v>0.77959665626455121</c:v>
                </c:pt>
                <c:pt idx="25">
                  <c:v>0.74831355564692692</c:v>
                </c:pt>
                <c:pt idx="26">
                  <c:v>0.74072043601605675</c:v>
                </c:pt>
                <c:pt idx="27">
                  <c:v>0.74500472033122067</c:v>
                </c:pt>
                <c:pt idx="28">
                  <c:v>0.73316206003668671</c:v>
                </c:pt>
                <c:pt idx="29">
                  <c:v>0.72947841648584388</c:v>
                </c:pt>
                <c:pt idx="30">
                  <c:v>0.70780786133146179</c:v>
                </c:pt>
                <c:pt idx="31">
                  <c:v>0.69568627225594093</c:v>
                </c:pt>
                <c:pt idx="32">
                  <c:v>0.69432026266230418</c:v>
                </c:pt>
                <c:pt idx="33">
                  <c:v>0.69202046895929181</c:v>
                </c:pt>
                <c:pt idx="34">
                  <c:v>0.68484125198682833</c:v>
                </c:pt>
                <c:pt idx="35">
                  <c:v>0.67738394453651407</c:v>
                </c:pt>
                <c:pt idx="36">
                  <c:v>0.66340718124591003</c:v>
                </c:pt>
                <c:pt idx="37">
                  <c:v>0.64390687085753817</c:v>
                </c:pt>
                <c:pt idx="38">
                  <c:v>0.61382957637089153</c:v>
                </c:pt>
                <c:pt idx="39">
                  <c:v>0.58616425808013739</c:v>
                </c:pt>
                <c:pt idx="40">
                  <c:v>0.58044024913639636</c:v>
                </c:pt>
                <c:pt idx="41">
                  <c:v>0.59848880702128482</c:v>
                </c:pt>
              </c:numCache>
            </c:numRef>
          </c:val>
          <c:smooth val="0"/>
        </c:ser>
        <c:ser>
          <c:idx val="2"/>
          <c:order val="2"/>
          <c:tx>
            <c:strRef>
              <c:f>Freight_Total!$AA$85</c:f>
              <c:strCache>
                <c:ptCount val="1"/>
                <c:pt idx="0">
                  <c:v>Air</c:v>
                </c:pt>
              </c:strCache>
            </c:strRef>
          </c:tx>
          <c:marker>
            <c:symbol val="triangle"/>
            <c:size val="6"/>
          </c:marker>
          <c:cat>
            <c:numRef>
              <c:f>Freight_Total!$X$86:$X$127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Freight_Total!$AA$86:$AA$127</c:f>
              <c:numCache>
                <c:formatCode>0.000</c:formatCode>
                <c:ptCount val="42"/>
                <c:pt idx="0">
                  <c:v>1.8627098160814253</c:v>
                </c:pt>
                <c:pt idx="1">
                  <c:v>1.7835718420577034</c:v>
                </c:pt>
                <c:pt idx="2">
                  <c:v>1.6131389317911105</c:v>
                </c:pt>
                <c:pt idx="3">
                  <c:v>1.6755788187723677</c:v>
                </c:pt>
                <c:pt idx="4">
                  <c:v>1.6353910609422622</c:v>
                </c:pt>
                <c:pt idx="5">
                  <c:v>1.6484199147739309</c:v>
                </c:pt>
                <c:pt idx="6">
                  <c:v>1.4570902261655481</c:v>
                </c:pt>
                <c:pt idx="7">
                  <c:v>1.2933771801114757</c:v>
                </c:pt>
                <c:pt idx="8">
                  <c:v>1.1693500680011124</c:v>
                </c:pt>
                <c:pt idx="9">
                  <c:v>1.0932179643019484</c:v>
                </c:pt>
                <c:pt idx="10">
                  <c:v>1.0511274587541013</c:v>
                </c:pt>
                <c:pt idx="11">
                  <c:v>1.1111062213081393</c:v>
                </c:pt>
                <c:pt idx="12">
                  <c:v>1.0500002088074458</c:v>
                </c:pt>
                <c:pt idx="13">
                  <c:v>0.99386788700907736</c:v>
                </c:pt>
                <c:pt idx="14">
                  <c:v>1.0230969204098488</c:v>
                </c:pt>
                <c:pt idx="15">
                  <c:v>1</c:v>
                </c:pt>
                <c:pt idx="16">
                  <c:v>0.99168936986328837</c:v>
                </c:pt>
                <c:pt idx="17">
                  <c:v>0.94175396036011549</c:v>
                </c:pt>
                <c:pt idx="18">
                  <c:v>0.9345425111869794</c:v>
                </c:pt>
                <c:pt idx="19">
                  <c:v>0.91877661673821298</c:v>
                </c:pt>
                <c:pt idx="20">
                  <c:v>0.93003867364269621</c:v>
                </c:pt>
                <c:pt idx="21">
                  <c:v>0.85811851680397466</c:v>
                </c:pt>
                <c:pt idx="22">
                  <c:v>0.86076686272450087</c:v>
                </c:pt>
                <c:pt idx="23">
                  <c:v>0.84036023993764919</c:v>
                </c:pt>
                <c:pt idx="24">
                  <c:v>0.81665702253121875</c:v>
                </c:pt>
                <c:pt idx="25">
                  <c:v>0.80627488818260895</c:v>
                </c:pt>
                <c:pt idx="26">
                  <c:v>0.77872305217112092</c:v>
                </c:pt>
                <c:pt idx="27">
                  <c:v>0.77260034205905204</c:v>
                </c:pt>
                <c:pt idx="28">
                  <c:v>0.77288543128858667</c:v>
                </c:pt>
                <c:pt idx="29">
                  <c:v>0.77797657523387176</c:v>
                </c:pt>
                <c:pt idx="30">
                  <c:v>0.74295167152494901</c:v>
                </c:pt>
                <c:pt idx="31">
                  <c:v>0.75286005844814119</c:v>
                </c:pt>
                <c:pt idx="32">
                  <c:v>0.69448563813250408</c:v>
                </c:pt>
                <c:pt idx="33">
                  <c:v>0.66922924467163469</c:v>
                </c:pt>
                <c:pt idx="34">
                  <c:v>0.61935221139864527</c:v>
                </c:pt>
                <c:pt idx="35">
                  <c:v>0.61205852522681736</c:v>
                </c:pt>
                <c:pt idx="36">
                  <c:v>0.61442384681807594</c:v>
                </c:pt>
                <c:pt idx="37">
                  <c:v>0.60058900877973431</c:v>
                </c:pt>
                <c:pt idx="38">
                  <c:v>0.59202674639407959</c:v>
                </c:pt>
                <c:pt idx="39">
                  <c:v>0.57588726344451624</c:v>
                </c:pt>
                <c:pt idx="40">
                  <c:v>0.55172762914848561</c:v>
                </c:pt>
                <c:pt idx="41">
                  <c:v>0.55081953600256972</c:v>
                </c:pt>
              </c:numCache>
            </c:numRef>
          </c:val>
          <c:smooth val="0"/>
        </c:ser>
        <c:ser>
          <c:idx val="3"/>
          <c:order val="3"/>
          <c:tx>
            <c:strRef>
              <c:f>Freight_Total!$AB$85</c:f>
              <c:strCache>
                <c:ptCount val="1"/>
                <c:pt idx="0">
                  <c:v>Waterborne</c:v>
                </c:pt>
              </c:strCache>
            </c:strRef>
          </c:tx>
          <c:marker>
            <c:symbol val="x"/>
            <c:size val="5"/>
          </c:marker>
          <c:cat>
            <c:numRef>
              <c:f>Freight_Total!$X$86:$X$127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Freight_Total!$AB$86:$AB$127</c:f>
              <c:numCache>
                <c:formatCode>0.000</c:formatCode>
                <c:ptCount val="42"/>
                <c:pt idx="0">
                  <c:v>1.1627118027556151</c:v>
                </c:pt>
                <c:pt idx="1">
                  <c:v>1.1510846847280589</c:v>
                </c:pt>
                <c:pt idx="2">
                  <c:v>1.1395738378807785</c:v>
                </c:pt>
                <c:pt idx="3">
                  <c:v>1.1281780995019706</c:v>
                </c:pt>
                <c:pt idx="4">
                  <c:v>1.1168963185069507</c:v>
                </c:pt>
                <c:pt idx="5">
                  <c:v>1.1057273553218812</c:v>
                </c:pt>
                <c:pt idx="6">
                  <c:v>1.0946700817686623</c:v>
                </c:pt>
                <c:pt idx="7">
                  <c:v>1.0837233809509759</c:v>
                </c:pt>
                <c:pt idx="8">
                  <c:v>1.0728861471414657</c:v>
                </c:pt>
                <c:pt idx="9">
                  <c:v>1.0621572856700512</c:v>
                </c:pt>
                <c:pt idx="10">
                  <c:v>1.0515357128133507</c:v>
                </c:pt>
                <c:pt idx="11">
                  <c:v>1.0410203556852171</c:v>
                </c:pt>
                <c:pt idx="12">
                  <c:v>1.0306101521283646</c:v>
                </c:pt>
                <c:pt idx="13">
                  <c:v>1.0203040506070811</c:v>
                </c:pt>
                <c:pt idx="14">
                  <c:v>1.0101010101010102</c:v>
                </c:pt>
                <c:pt idx="15">
                  <c:v>1</c:v>
                </c:pt>
                <c:pt idx="16">
                  <c:v>0.99</c:v>
                </c:pt>
                <c:pt idx="17">
                  <c:v>0.98009999999999964</c:v>
                </c:pt>
                <c:pt idx="18">
                  <c:v>0.97029899999999969</c:v>
                </c:pt>
                <c:pt idx="19">
                  <c:v>0.96059600999999972</c:v>
                </c:pt>
                <c:pt idx="20">
                  <c:v>0.95099004989999958</c:v>
                </c:pt>
                <c:pt idx="21">
                  <c:v>0.94148014940099967</c:v>
                </c:pt>
                <c:pt idx="22">
                  <c:v>0.93206534790698947</c:v>
                </c:pt>
                <c:pt idx="23">
                  <c:v>0.92274469442791973</c:v>
                </c:pt>
                <c:pt idx="24">
                  <c:v>0.91351724748364016</c:v>
                </c:pt>
                <c:pt idx="25">
                  <c:v>0.90438207500880408</c:v>
                </c:pt>
                <c:pt idx="26">
                  <c:v>0.89533825425871594</c:v>
                </c:pt>
                <c:pt idx="27">
                  <c:v>0.88638487171612867</c:v>
                </c:pt>
                <c:pt idx="28">
                  <c:v>0.85306213217792837</c:v>
                </c:pt>
                <c:pt idx="29">
                  <c:v>0.88638487171612867</c:v>
                </c:pt>
                <c:pt idx="30">
                  <c:v>0.89971396753140864</c:v>
                </c:pt>
                <c:pt idx="31">
                  <c:v>0.84306531031646814</c:v>
                </c:pt>
                <c:pt idx="32">
                  <c:v>0.84306531031646836</c:v>
                </c:pt>
                <c:pt idx="33">
                  <c:v>0.8364007624088281</c:v>
                </c:pt>
                <c:pt idx="34">
                  <c:v>0.80307802287062779</c:v>
                </c:pt>
                <c:pt idx="35">
                  <c:v>0.80307802287062791</c:v>
                </c:pt>
                <c:pt idx="36">
                  <c:v>0.78308437914770757</c:v>
                </c:pt>
                <c:pt idx="37">
                  <c:v>0.74976163960950737</c:v>
                </c:pt>
                <c:pt idx="38">
                  <c:v>0.83973303636264829</c:v>
                </c:pt>
                <c:pt idx="39">
                  <c:v>0.74976163960950726</c:v>
                </c:pt>
                <c:pt idx="40">
                  <c:v>0.7231034479789471</c:v>
                </c:pt>
                <c:pt idx="41">
                  <c:v>0.7231034479789471</c:v>
                </c:pt>
              </c:numCache>
            </c:numRef>
          </c:val>
          <c:smooth val="0"/>
        </c:ser>
        <c:ser>
          <c:idx val="4"/>
          <c:order val="4"/>
          <c:tx>
            <c:strRef>
              <c:f>Freight_Total!$AC$85</c:f>
              <c:strCache>
                <c:ptCount val="1"/>
                <c:pt idx="0">
                  <c:v>Pipeline</c:v>
                </c:pt>
              </c:strCache>
            </c:strRef>
          </c:tx>
          <c:marker>
            <c:symbol val="circle"/>
            <c:size val="4"/>
          </c:marker>
          <c:cat>
            <c:numRef>
              <c:f>Freight_Total!$X$86:$X$127</c:f>
              <c:numCache>
                <c:formatCode>0</c:formatCode>
                <c:ptCount val="4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numCache>
            </c:numRef>
          </c:cat>
          <c:val>
            <c:numRef>
              <c:f>Freight_Total!$AC$86:$AC$127</c:f>
              <c:numCache>
                <c:formatCode>0.000</c:formatCode>
                <c:ptCount val="42"/>
                <c:pt idx="0">
                  <c:v>1.1917800407732062</c:v>
                </c:pt>
                <c:pt idx="1">
                  <c:v>1.1868747822455881</c:v>
                </c:pt>
                <c:pt idx="2">
                  <c:v>1.2095981247182255</c:v>
                </c:pt>
                <c:pt idx="3">
                  <c:v>1.1527952994605131</c:v>
                </c:pt>
                <c:pt idx="4">
                  <c:v>1.1003132854304496</c:v>
                </c:pt>
                <c:pt idx="5">
                  <c:v>1.0420570220511889</c:v>
                </c:pt>
                <c:pt idx="6">
                  <c:v>0.96880063257627802</c:v>
                </c:pt>
                <c:pt idx="7">
                  <c:v>0.96477034812562423</c:v>
                </c:pt>
                <c:pt idx="8">
                  <c:v>0.95412651404357973</c:v>
                </c:pt>
                <c:pt idx="9">
                  <c:v>1.0397165706155582</c:v>
                </c:pt>
                <c:pt idx="10">
                  <c:v>1.0934293154810568</c:v>
                </c:pt>
                <c:pt idx="11">
                  <c:v>1.130424752970171</c:v>
                </c:pt>
                <c:pt idx="12">
                  <c:v>1.1487322386246279</c:v>
                </c:pt>
                <c:pt idx="13">
                  <c:v>1.0008960244464986</c:v>
                </c:pt>
                <c:pt idx="14">
                  <c:v>1.0153264402716884</c:v>
                </c:pt>
                <c:pt idx="15">
                  <c:v>1</c:v>
                </c:pt>
                <c:pt idx="16">
                  <c:v>1.0276564406004407</c:v>
                </c:pt>
                <c:pt idx="17">
                  <c:v>1.0484060584766384</c:v>
                </c:pt>
                <c:pt idx="18">
                  <c:v>1.180661976400641</c:v>
                </c:pt>
                <c:pt idx="19">
                  <c:v>1.1338472104974973</c:v>
                </c:pt>
                <c:pt idx="20">
                  <c:v>1.1986154646309406</c:v>
                </c:pt>
                <c:pt idx="21">
                  <c:v>1.0583790629469265</c:v>
                </c:pt>
                <c:pt idx="22">
                  <c:v>0.99870559839943174</c:v>
                </c:pt>
                <c:pt idx="23">
                  <c:v>1.0316347088708668</c:v>
                </c:pt>
                <c:pt idx="24">
                  <c:v>1.106629662901905</c:v>
                </c:pt>
                <c:pt idx="25">
                  <c:v>1.083516157643917</c:v>
                </c:pt>
                <c:pt idx="26">
                  <c:v>1.0814308973903759</c:v>
                </c:pt>
                <c:pt idx="27">
                  <c:v>1.1348645984562102</c:v>
                </c:pt>
                <c:pt idx="28">
                  <c:v>0.97588790769712608</c:v>
                </c:pt>
                <c:pt idx="29">
                  <c:v>0.97935574099525313</c:v>
                </c:pt>
                <c:pt idx="30">
                  <c:v>0.93576419661425336</c:v>
                </c:pt>
                <c:pt idx="31">
                  <c:v>0.95705981857232469</c:v>
                </c:pt>
                <c:pt idx="32">
                  <c:v>0.98609583198800976</c:v>
                </c:pt>
                <c:pt idx="33">
                  <c:v>0.90282268108607622</c:v>
                </c:pt>
                <c:pt idx="34">
                  <c:v>0.85743671011935674</c:v>
                </c:pt>
                <c:pt idx="35">
                  <c:v>0.90229476482562732</c:v>
                </c:pt>
                <c:pt idx="36">
                  <c:v>0.91871042783435108</c:v>
                </c:pt>
                <c:pt idx="37">
                  <c:v>0.91777024176708777</c:v>
                </c:pt>
                <c:pt idx="38">
                  <c:v>0.95029396814222344</c:v>
                </c:pt>
                <c:pt idx="39">
                  <c:v>1.0032344189266222</c:v>
                </c:pt>
                <c:pt idx="40">
                  <c:v>0.95620640390038947</c:v>
                </c:pt>
                <c:pt idx="41">
                  <c:v>0.95893295037970461</c:v>
                </c:pt>
              </c:numCache>
            </c:numRef>
          </c:val>
          <c:smooth val="0"/>
        </c:ser>
        <c:dLbls>
          <c:showLegendKey val="0"/>
          <c:showVal val="0"/>
          <c:showCatName val="0"/>
          <c:showSerName val="0"/>
          <c:showPercent val="0"/>
          <c:showBubbleSize val="0"/>
        </c:dLbls>
        <c:marker val="1"/>
        <c:smooth val="0"/>
        <c:axId val="105197568"/>
        <c:axId val="105199104"/>
      </c:lineChart>
      <c:catAx>
        <c:axId val="105197568"/>
        <c:scaling>
          <c:orientation val="minMax"/>
        </c:scaling>
        <c:delete val="0"/>
        <c:axPos val="b"/>
        <c:numFmt formatCode="0" sourceLinked="1"/>
        <c:majorTickMark val="out"/>
        <c:minorTickMark val="none"/>
        <c:tickLblPos val="nextTo"/>
        <c:crossAx val="105199104"/>
        <c:crosses val="autoZero"/>
        <c:auto val="1"/>
        <c:lblAlgn val="ctr"/>
        <c:lblOffset val="100"/>
        <c:tickLblSkip val="5"/>
        <c:noMultiLvlLbl val="0"/>
      </c:catAx>
      <c:valAx>
        <c:axId val="105199104"/>
        <c:scaling>
          <c:orientation val="minMax"/>
        </c:scaling>
        <c:delete val="0"/>
        <c:axPos val="l"/>
        <c:majorGridlines/>
        <c:title>
          <c:tx>
            <c:rich>
              <a:bodyPr rot="-5400000" vert="horz"/>
              <a:lstStyle/>
              <a:p>
                <a:pPr>
                  <a:defRPr/>
                </a:pPr>
                <a:r>
                  <a:rPr lang="en-US"/>
                  <a:t>Energy Intensity Index, 1985 = 1.0</a:t>
                </a:r>
              </a:p>
            </c:rich>
          </c:tx>
          <c:overlay val="0"/>
        </c:title>
        <c:numFmt formatCode="0.0" sourceLinked="0"/>
        <c:majorTickMark val="out"/>
        <c:minorTickMark val="none"/>
        <c:tickLblPos val="nextTo"/>
        <c:crossAx val="105197568"/>
        <c:crosses val="autoZero"/>
        <c:crossBetween val="midCat"/>
      </c:valAx>
      <c:spPr>
        <a:ln>
          <a:solidFill>
            <a:srgbClr val="000000"/>
          </a:solidFill>
        </a:ln>
      </c:spPr>
    </c:plotArea>
    <c:legend>
      <c:legendPos val="r"/>
      <c:layout>
        <c:manualLayout>
          <c:xMode val="edge"/>
          <c:yMode val="edge"/>
          <c:x val="0.3674389149777208"/>
          <c:y val="0.11066506851489664"/>
          <c:w val="0.47951875966073115"/>
          <c:h val="0.22164421413640578"/>
        </c:manualLayout>
      </c:layout>
      <c:overlay val="0"/>
      <c:spPr>
        <a:solidFill>
          <a:schemeClr val="bg1"/>
        </a:solidFill>
        <a:ln>
          <a:solidFill>
            <a:srgbClr val="000000"/>
          </a:solidFill>
        </a:ln>
      </c:sp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Passenger_vehicles!$H$19</c:f>
              <c:strCache>
                <c:ptCount val="1"/>
                <c:pt idx="0">
                  <c:v>LT Share</c:v>
                </c:pt>
              </c:strCache>
            </c:strRef>
          </c:tx>
          <c:cat>
            <c:numRef>
              <c:f>Passenger_vehicles!$G$20:$G$65</c:f>
              <c:numCache>
                <c:formatCode>0</c:formatCode>
                <c:ptCount val="46"/>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numCache>
            </c:numRef>
          </c:cat>
          <c:val>
            <c:numRef>
              <c:f>Passenger_vehicles!$H$20:$H$65</c:f>
              <c:numCache>
                <c:formatCode>0.000</c:formatCode>
                <c:ptCount val="46"/>
                <c:pt idx="0">
                  <c:v>0.1055131276023353</c:v>
                </c:pt>
                <c:pt idx="1">
                  <c:v>0.10390630958505429</c:v>
                </c:pt>
                <c:pt idx="2">
                  <c:v>0.10824383681800831</c:v>
                </c:pt>
                <c:pt idx="3">
                  <c:v>0.11270409787162744</c:v>
                </c:pt>
                <c:pt idx="4">
                  <c:v>0.1185458265784347</c:v>
                </c:pt>
                <c:pt idx="5">
                  <c:v>0.12485474412441851</c:v>
                </c:pt>
                <c:pt idx="6">
                  <c:v>0.13294423047774426</c:v>
                </c:pt>
                <c:pt idx="7">
                  <c:v>0.14456223479257788</c:v>
                </c:pt>
                <c:pt idx="8">
                  <c:v>0.15352439133932264</c:v>
                </c:pt>
                <c:pt idx="9">
                  <c:v>0.1625561900133641</c:v>
                </c:pt>
                <c:pt idx="10">
                  <c:v>0.17326782001468038</c:v>
                </c:pt>
                <c:pt idx="11">
                  <c:v>0.18446212320132629</c:v>
                </c:pt>
                <c:pt idx="12">
                  <c:v>0.19617927722486203</c:v>
                </c:pt>
                <c:pt idx="13">
                  <c:v>0.20779232182705756</c:v>
                </c:pt>
                <c:pt idx="14">
                  <c:v>0.2074357001734721</c:v>
                </c:pt>
                <c:pt idx="15">
                  <c:v>0.20717829554975289</c:v>
                </c:pt>
                <c:pt idx="16">
                  <c:v>0.20854676307137385</c:v>
                </c:pt>
                <c:pt idx="17">
                  <c:v>0.21529297166009337</c:v>
                </c:pt>
                <c:pt idx="18">
                  <c:v>0.22595257036986022</c:v>
                </c:pt>
                <c:pt idx="19">
                  <c:v>0.23871705177623814</c:v>
                </c:pt>
                <c:pt idx="20">
                  <c:v>0.25019356483135724</c:v>
                </c:pt>
                <c:pt idx="21">
                  <c:v>0.2576774743761841</c:v>
                </c:pt>
                <c:pt idx="22">
                  <c:v>0.26814045479034387</c:v>
                </c:pt>
                <c:pt idx="23">
                  <c:v>0.2767599776876718</c:v>
                </c:pt>
                <c:pt idx="24">
                  <c:v>0.28977217996234689</c:v>
                </c:pt>
                <c:pt idx="25">
                  <c:v>0.3234712058653732</c:v>
                </c:pt>
                <c:pt idx="26">
                  <c:v>0.34009435959415568</c:v>
                </c:pt>
                <c:pt idx="27">
                  <c:v>0.35169272313211436</c:v>
                </c:pt>
                <c:pt idx="28">
                  <c:v>0.35224853654750055</c:v>
                </c:pt>
                <c:pt idx="29">
                  <c:v>0.35452125905173976</c:v>
                </c:pt>
                <c:pt idx="30">
                  <c:v>0.3571300484518416</c:v>
                </c:pt>
                <c:pt idx="31">
                  <c:v>0.36150971297691109</c:v>
                </c:pt>
                <c:pt idx="32">
                  <c:v>0.35911006959896635</c:v>
                </c:pt>
                <c:pt idx="33">
                  <c:v>0.36476821792607811</c:v>
                </c:pt>
                <c:pt idx="34">
                  <c:v>0.36580754284192496</c:v>
                </c:pt>
                <c:pt idx="35">
                  <c:v>0.36678611496201696</c:v>
                </c:pt>
                <c:pt idx="36">
                  <c:v>0.36808194145340767</c:v>
                </c:pt>
                <c:pt idx="37">
                  <c:v>0.37049304751872431</c:v>
                </c:pt>
                <c:pt idx="38">
                  <c:v>0.37665700789203294</c:v>
                </c:pt>
                <c:pt idx="39">
                  <c:v>0.37863669824606327</c:v>
                </c:pt>
                <c:pt idx="40">
                  <c:v>0.3903644541121894</c:v>
                </c:pt>
                <c:pt idx="41">
                  <c:v>0.39941674943926497</c:v>
                </c:pt>
                <c:pt idx="42">
                  <c:v>0.4069003486878327</c:v>
                </c:pt>
                <c:pt idx="43">
                  <c:v>0.40500512664717281</c:v>
                </c:pt>
                <c:pt idx="44">
                  <c:v>0.40999395679105599</c:v>
                </c:pt>
                <c:pt idx="45">
                  <c:v>0.40999773294037634</c:v>
                </c:pt>
              </c:numCache>
            </c:numRef>
          </c:val>
          <c:smooth val="0"/>
        </c:ser>
        <c:dLbls>
          <c:showLegendKey val="0"/>
          <c:showVal val="0"/>
          <c:showCatName val="0"/>
          <c:showSerName val="0"/>
          <c:showPercent val="0"/>
          <c:showBubbleSize val="0"/>
        </c:dLbls>
        <c:marker val="1"/>
        <c:smooth val="0"/>
        <c:axId val="96600832"/>
        <c:axId val="96602368"/>
      </c:lineChart>
      <c:catAx>
        <c:axId val="96600832"/>
        <c:scaling>
          <c:orientation val="minMax"/>
        </c:scaling>
        <c:delete val="0"/>
        <c:axPos val="b"/>
        <c:numFmt formatCode="0" sourceLinked="1"/>
        <c:majorTickMark val="out"/>
        <c:minorTickMark val="none"/>
        <c:tickLblPos val="nextTo"/>
        <c:crossAx val="96602368"/>
        <c:crosses val="autoZero"/>
        <c:auto val="1"/>
        <c:lblAlgn val="ctr"/>
        <c:lblOffset val="100"/>
        <c:noMultiLvlLbl val="0"/>
      </c:catAx>
      <c:valAx>
        <c:axId val="96602368"/>
        <c:scaling>
          <c:orientation val="minMax"/>
        </c:scaling>
        <c:delete val="0"/>
        <c:axPos val="l"/>
        <c:majorGridlines/>
        <c:numFmt formatCode="0.000" sourceLinked="1"/>
        <c:majorTickMark val="out"/>
        <c:minorTickMark val="none"/>
        <c:tickLblPos val="nextTo"/>
        <c:crossAx val="96600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09951881014872"/>
          <c:y val="5.1400554097404488E-2"/>
          <c:w val="0.78855205599300082"/>
          <c:h val="0.79523549139690874"/>
        </c:manualLayout>
      </c:layout>
      <c:lineChart>
        <c:grouping val="standard"/>
        <c:varyColors val="0"/>
        <c:ser>
          <c:idx val="0"/>
          <c:order val="0"/>
          <c:tx>
            <c:strRef>
              <c:f>Adjust_Truck_Freight!$E$5</c:f>
              <c:strCache>
                <c:ptCount val="1"/>
                <c:pt idx="0">
                  <c:v>Gross Output</c:v>
                </c:pt>
              </c:strCache>
            </c:strRef>
          </c:tx>
          <c:cat>
            <c:numRef>
              <c:f>Adjust_Truck_Freight!$D$6:$D$46</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Adjust_Truck_Freight!$E$6:$E$46</c:f>
              <c:numCache>
                <c:formatCode>0</c:formatCode>
                <c:ptCount val="41"/>
                <c:pt idx="2" formatCode="#,##0">
                  <c:v>85786.6</c:v>
                </c:pt>
                <c:pt idx="3" formatCode="#,##0">
                  <c:v>92175</c:v>
                </c:pt>
                <c:pt idx="4" formatCode="#,##0">
                  <c:v>90349.7</c:v>
                </c:pt>
                <c:pt idx="5" formatCode="#,##0">
                  <c:v>82866.2</c:v>
                </c:pt>
                <c:pt idx="6" formatCode="#,##0">
                  <c:v>93087.6</c:v>
                </c:pt>
                <c:pt idx="7" formatCode="#,##0">
                  <c:v>101301.2</c:v>
                </c:pt>
                <c:pt idx="8" formatCode="#,##0">
                  <c:v>109332.3</c:v>
                </c:pt>
                <c:pt idx="9" formatCode="#,##0">
                  <c:v>110975</c:v>
                </c:pt>
                <c:pt idx="10" formatCode="#,##0">
                  <c:v>101301.2</c:v>
                </c:pt>
                <c:pt idx="11" formatCode="#,##0">
                  <c:v>96190.5</c:v>
                </c:pt>
                <c:pt idx="12" formatCode="#,##0">
                  <c:v>94912.8</c:v>
                </c:pt>
                <c:pt idx="13" formatCode="#,##0">
                  <c:v>104951.7</c:v>
                </c:pt>
                <c:pt idx="14" formatCode="#,##0">
                  <c:v>110610</c:v>
                </c:pt>
                <c:pt idx="15" formatCode="#,##0">
                  <c:v>111340.1</c:v>
                </c:pt>
                <c:pt idx="16" formatCode="#,##0">
                  <c:v>115720.7</c:v>
                </c:pt>
                <c:pt idx="17" formatCode="#,##0">
                  <c:v>121561.4</c:v>
                </c:pt>
                <c:pt idx="18" formatCode="#,##0">
                  <c:v>127584.8</c:v>
                </c:pt>
                <c:pt idx="19" formatCode="#,##0">
                  <c:v>129957.6</c:v>
                </c:pt>
                <c:pt idx="20" formatCode="#,##0">
                  <c:v>134155.70000000001</c:v>
                </c:pt>
                <c:pt idx="21" formatCode="#,##0">
                  <c:v>138353.70000000001</c:v>
                </c:pt>
                <c:pt idx="22" formatCode="#,##0">
                  <c:v>148757.6</c:v>
                </c:pt>
                <c:pt idx="23" formatCode="#,##0">
                  <c:v>157153.79999999999</c:v>
                </c:pt>
                <c:pt idx="24" formatCode="#,##0">
                  <c:v>165732.4</c:v>
                </c:pt>
                <c:pt idx="25" formatCode="#,##0">
                  <c:v>168105.2</c:v>
                </c:pt>
                <c:pt idx="26" formatCode="#,##0">
                  <c:v>173685.3</c:v>
                </c:pt>
                <c:pt idx="27" formatCode="#,##0">
                  <c:v>182389.7</c:v>
                </c:pt>
                <c:pt idx="28" formatCode="#,##0">
                  <c:v>186831.4</c:v>
                </c:pt>
                <c:pt idx="29" formatCode="#,##0">
                  <c:v>195289.7</c:v>
                </c:pt>
                <c:pt idx="30" formatCode="#,##0">
                  <c:v>199451.7</c:v>
                </c:pt>
                <c:pt idx="31" formatCode="#,##0">
                  <c:v>199115.1</c:v>
                </c:pt>
                <c:pt idx="32" formatCode="#,##0">
                  <c:v>240188.9</c:v>
                </c:pt>
                <c:pt idx="33" formatCode="#,##0">
                  <c:v>219916.6</c:v>
                </c:pt>
                <c:pt idx="34" formatCode="#,##0">
                  <c:v>235480.2</c:v>
                </c:pt>
                <c:pt idx="35" formatCode="#,##0">
                  <c:v>253393</c:v>
                </c:pt>
                <c:pt idx="36" formatCode="#,##0">
                  <c:v>262079.5</c:v>
                </c:pt>
                <c:pt idx="37" formatCode="#,##0">
                  <c:v>266174.40000000002</c:v>
                </c:pt>
                <c:pt idx="38" formatCode="#,##0">
                  <c:v>257119.5</c:v>
                </c:pt>
                <c:pt idx="39" formatCode="#,##0">
                  <c:v>220029.5</c:v>
                </c:pt>
                <c:pt idx="40" formatCode="#,##0">
                  <c:v>252273</c:v>
                </c:pt>
              </c:numCache>
            </c:numRef>
          </c:val>
          <c:smooth val="0"/>
        </c:ser>
        <c:ser>
          <c:idx val="1"/>
          <c:order val="1"/>
          <c:tx>
            <c:strRef>
              <c:f>Adjust_Truck_Freight!$F$5</c:f>
              <c:strCache>
                <c:ptCount val="1"/>
                <c:pt idx="0">
                  <c:v>Single-Unit Trucks</c:v>
                </c:pt>
              </c:strCache>
            </c:strRef>
          </c:tx>
          <c:cat>
            <c:numRef>
              <c:f>Adjust_Truck_Freight!$D$6:$D$46</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Adjust_Truck_Freight!$F$6:$F$46</c:f>
              <c:numCache>
                <c:formatCode>_(* #,##0_);_(* \(#,##0\);_(* "-"??_);_(@_)</c:formatCode>
                <c:ptCount val="41"/>
                <c:pt idx="0">
                  <c:v>27081</c:v>
                </c:pt>
                <c:pt idx="1">
                  <c:v>28985</c:v>
                </c:pt>
                <c:pt idx="2">
                  <c:v>31414</c:v>
                </c:pt>
                <c:pt idx="3">
                  <c:v>33661</c:v>
                </c:pt>
                <c:pt idx="4">
                  <c:v>33441</c:v>
                </c:pt>
                <c:pt idx="5">
                  <c:v>34606</c:v>
                </c:pt>
                <c:pt idx="6">
                  <c:v>36390</c:v>
                </c:pt>
                <c:pt idx="7">
                  <c:v>39339</c:v>
                </c:pt>
                <c:pt idx="8">
                  <c:v>42747</c:v>
                </c:pt>
                <c:pt idx="9">
                  <c:v>42012</c:v>
                </c:pt>
                <c:pt idx="10">
                  <c:v>39813</c:v>
                </c:pt>
                <c:pt idx="11">
                  <c:v>39568</c:v>
                </c:pt>
                <c:pt idx="12">
                  <c:v>40658</c:v>
                </c:pt>
                <c:pt idx="13">
                  <c:v>42546</c:v>
                </c:pt>
                <c:pt idx="14">
                  <c:v>44419</c:v>
                </c:pt>
                <c:pt idx="15">
                  <c:v>45441</c:v>
                </c:pt>
                <c:pt idx="16">
                  <c:v>45637</c:v>
                </c:pt>
                <c:pt idx="17">
                  <c:v>48022</c:v>
                </c:pt>
                <c:pt idx="18">
                  <c:v>49434</c:v>
                </c:pt>
                <c:pt idx="19">
                  <c:v>50870</c:v>
                </c:pt>
                <c:pt idx="20">
                  <c:v>51901</c:v>
                </c:pt>
                <c:pt idx="21">
                  <c:v>52898</c:v>
                </c:pt>
                <c:pt idx="22">
                  <c:v>53874</c:v>
                </c:pt>
                <c:pt idx="23">
                  <c:v>56772</c:v>
                </c:pt>
                <c:pt idx="24">
                  <c:v>61284</c:v>
                </c:pt>
                <c:pt idx="25">
                  <c:v>62707</c:v>
                </c:pt>
                <c:pt idx="26">
                  <c:v>64072</c:v>
                </c:pt>
                <c:pt idx="27">
                  <c:v>66893</c:v>
                </c:pt>
                <c:pt idx="28">
                  <c:v>68021</c:v>
                </c:pt>
                <c:pt idx="29">
                  <c:v>70304</c:v>
                </c:pt>
                <c:pt idx="30">
                  <c:v>70500</c:v>
                </c:pt>
                <c:pt idx="31">
                  <c:v>72448</c:v>
                </c:pt>
                <c:pt idx="32">
                  <c:v>75866</c:v>
                </c:pt>
                <c:pt idx="33">
                  <c:v>77757</c:v>
                </c:pt>
                <c:pt idx="34">
                  <c:v>78441</c:v>
                </c:pt>
                <c:pt idx="35">
                  <c:v>78496</c:v>
                </c:pt>
                <c:pt idx="36">
                  <c:v>80344</c:v>
                </c:pt>
                <c:pt idx="37">
                  <c:v>119979</c:v>
                </c:pt>
                <c:pt idx="38">
                  <c:v>126855</c:v>
                </c:pt>
                <c:pt idx="39">
                  <c:v>120207</c:v>
                </c:pt>
                <c:pt idx="40">
                  <c:v>110738</c:v>
                </c:pt>
              </c:numCache>
            </c:numRef>
          </c:val>
          <c:smooth val="0"/>
        </c:ser>
        <c:ser>
          <c:idx val="2"/>
          <c:order val="2"/>
          <c:tx>
            <c:strRef>
              <c:f>Adjust_Truck_Freight!$G$5</c:f>
              <c:strCache>
                <c:ptCount val="1"/>
                <c:pt idx="0">
                  <c:v>Combination Trucks</c:v>
                </c:pt>
              </c:strCache>
            </c:strRef>
          </c:tx>
          <c:cat>
            <c:numRef>
              <c:f>Adjust_Truck_Freight!$D$6:$D$46</c:f>
              <c:numCache>
                <c:formatCode>0</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Adjust_Truck_Freight!$G$6:$G$46</c:f>
              <c:numCache>
                <c:formatCode>_(* #,##0_);_(* \(#,##0\);_(* "-"??_);_(@_)</c:formatCode>
                <c:ptCount val="41"/>
                <c:pt idx="0">
                  <c:v>35134</c:v>
                </c:pt>
                <c:pt idx="1">
                  <c:v>37217</c:v>
                </c:pt>
                <c:pt idx="2">
                  <c:v>40706</c:v>
                </c:pt>
                <c:pt idx="3">
                  <c:v>45649</c:v>
                </c:pt>
                <c:pt idx="4">
                  <c:v>45966</c:v>
                </c:pt>
                <c:pt idx="5">
                  <c:v>46724</c:v>
                </c:pt>
                <c:pt idx="6">
                  <c:v>49680</c:v>
                </c:pt>
                <c:pt idx="7">
                  <c:v>55682</c:v>
                </c:pt>
                <c:pt idx="8">
                  <c:v>62992</c:v>
                </c:pt>
                <c:pt idx="9">
                  <c:v>66992</c:v>
                </c:pt>
                <c:pt idx="10">
                  <c:v>68678</c:v>
                </c:pt>
                <c:pt idx="11">
                  <c:v>69134</c:v>
                </c:pt>
                <c:pt idx="12">
                  <c:v>70765</c:v>
                </c:pt>
                <c:pt idx="13">
                  <c:v>73586</c:v>
                </c:pt>
                <c:pt idx="14">
                  <c:v>77377</c:v>
                </c:pt>
                <c:pt idx="15">
                  <c:v>78063</c:v>
                </c:pt>
                <c:pt idx="16">
                  <c:v>81038</c:v>
                </c:pt>
                <c:pt idx="17">
                  <c:v>85495</c:v>
                </c:pt>
                <c:pt idx="18">
                  <c:v>88551</c:v>
                </c:pt>
                <c:pt idx="19">
                  <c:v>91879</c:v>
                </c:pt>
                <c:pt idx="20">
                  <c:v>94341</c:v>
                </c:pt>
                <c:pt idx="21">
                  <c:v>96645</c:v>
                </c:pt>
                <c:pt idx="22">
                  <c:v>99510</c:v>
                </c:pt>
                <c:pt idx="23">
                  <c:v>103116</c:v>
                </c:pt>
                <c:pt idx="24">
                  <c:v>108932</c:v>
                </c:pt>
                <c:pt idx="25">
                  <c:v>115451</c:v>
                </c:pt>
                <c:pt idx="26">
                  <c:v>118899</c:v>
                </c:pt>
                <c:pt idx="27">
                  <c:v>124584</c:v>
                </c:pt>
                <c:pt idx="28">
                  <c:v>128159</c:v>
                </c:pt>
                <c:pt idx="29">
                  <c:v>132382</c:v>
                </c:pt>
                <c:pt idx="30">
                  <c:v>135020</c:v>
                </c:pt>
                <c:pt idx="31">
                  <c:v>136584</c:v>
                </c:pt>
                <c:pt idx="32">
                  <c:v>138737</c:v>
                </c:pt>
                <c:pt idx="33">
                  <c:v>140160</c:v>
                </c:pt>
                <c:pt idx="34">
                  <c:v>142370</c:v>
                </c:pt>
                <c:pt idx="35">
                  <c:v>144028</c:v>
                </c:pt>
                <c:pt idx="36">
                  <c:v>142169</c:v>
                </c:pt>
                <c:pt idx="37">
                  <c:v>184199</c:v>
                </c:pt>
                <c:pt idx="38">
                  <c:v>183826</c:v>
                </c:pt>
                <c:pt idx="39">
                  <c:v>168100</c:v>
                </c:pt>
                <c:pt idx="40">
                  <c:v>175789</c:v>
                </c:pt>
              </c:numCache>
            </c:numRef>
          </c:val>
          <c:smooth val="0"/>
        </c:ser>
        <c:dLbls>
          <c:showLegendKey val="0"/>
          <c:showVal val="0"/>
          <c:showCatName val="0"/>
          <c:showSerName val="0"/>
          <c:showPercent val="0"/>
          <c:showBubbleSize val="0"/>
        </c:dLbls>
        <c:marker val="1"/>
        <c:smooth val="0"/>
        <c:axId val="110255104"/>
        <c:axId val="110256896"/>
      </c:lineChart>
      <c:catAx>
        <c:axId val="110255104"/>
        <c:scaling>
          <c:orientation val="minMax"/>
        </c:scaling>
        <c:delete val="0"/>
        <c:axPos val="b"/>
        <c:numFmt formatCode="0" sourceLinked="1"/>
        <c:majorTickMark val="out"/>
        <c:minorTickMark val="none"/>
        <c:tickLblPos val="nextTo"/>
        <c:crossAx val="110256896"/>
        <c:crosses val="autoZero"/>
        <c:auto val="1"/>
        <c:lblAlgn val="ctr"/>
        <c:lblOffset val="100"/>
        <c:tickLblSkip val="5"/>
        <c:noMultiLvlLbl val="0"/>
      </c:catAx>
      <c:valAx>
        <c:axId val="110256896"/>
        <c:scaling>
          <c:orientation val="minMax"/>
        </c:scaling>
        <c:delete val="0"/>
        <c:axPos val="l"/>
        <c:majorGridlines/>
        <c:numFmt formatCode="0" sourceLinked="1"/>
        <c:majorTickMark val="out"/>
        <c:minorTickMark val="none"/>
        <c:tickLblPos val="nextTo"/>
        <c:crossAx val="110255104"/>
        <c:crosses val="autoZero"/>
        <c:crossBetween val="between"/>
      </c:valAx>
    </c:plotArea>
    <c:legend>
      <c:legendPos val="r"/>
      <c:layout>
        <c:manualLayout>
          <c:xMode val="edge"/>
          <c:yMode val="edge"/>
          <c:x val="0.14742935258092735"/>
          <c:y val="0.11053514144065327"/>
          <c:w val="0.30812620297462817"/>
          <c:h val="0.25115157480314959"/>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18" Type="http://schemas.openxmlformats.org/officeDocument/2006/relationships/chart" Target="../charts/chart28.xml"/><Relationship Id="rId3" Type="http://schemas.openxmlformats.org/officeDocument/2006/relationships/chart" Target="../charts/chart13.xml"/><Relationship Id="rId21" Type="http://schemas.openxmlformats.org/officeDocument/2006/relationships/chart" Target="../charts/chart31.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20" Type="http://schemas.openxmlformats.org/officeDocument/2006/relationships/chart" Target="../charts/chart30.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19" Type="http://schemas.openxmlformats.org/officeDocument/2006/relationships/chart" Target="../charts/chart29.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14</xdr:col>
      <xdr:colOff>133350</xdr:colOff>
      <xdr:row>123</xdr:row>
      <xdr:rowOff>90487</xdr:rowOff>
    </xdr:from>
    <xdr:to>
      <xdr:col>20</xdr:col>
      <xdr:colOff>542925</xdr:colOff>
      <xdr:row>140</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481012</xdr:colOff>
      <xdr:row>136</xdr:row>
      <xdr:rowOff>23811</xdr:rowOff>
    </xdr:from>
    <xdr:to>
      <xdr:col>16</xdr:col>
      <xdr:colOff>600075</xdr:colOff>
      <xdr:row>154</xdr:row>
      <xdr:rowOff>104774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142875</xdr:colOff>
      <xdr:row>4</xdr:row>
      <xdr:rowOff>52387</xdr:rowOff>
    </xdr:from>
    <xdr:to>
      <xdr:col>22</xdr:col>
      <xdr:colOff>447675</xdr:colOff>
      <xdr:row>21</xdr:row>
      <xdr:rowOff>42862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85725</xdr:colOff>
      <xdr:row>5</xdr:row>
      <xdr:rowOff>80962</xdr:rowOff>
    </xdr:from>
    <xdr:to>
      <xdr:col>39</xdr:col>
      <xdr:colOff>390525</xdr:colOff>
      <xdr:row>22</xdr:row>
      <xdr:rowOff>71437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107</xdr:col>
      <xdr:colOff>543486</xdr:colOff>
      <xdr:row>73</xdr:row>
      <xdr:rowOff>62753</xdr:rowOff>
    </xdr:from>
    <xdr:to>
      <xdr:col>115</xdr:col>
      <xdr:colOff>274544</xdr:colOff>
      <xdr:row>90</xdr:row>
      <xdr:rowOff>138953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509869</xdr:colOff>
      <xdr:row>134</xdr:row>
      <xdr:rowOff>56030</xdr:rowOff>
    </xdr:from>
    <xdr:to>
      <xdr:col>22</xdr:col>
      <xdr:colOff>5604</xdr:colOff>
      <xdr:row>153</xdr:row>
      <xdr:rowOff>116541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521072</xdr:colOff>
      <xdr:row>134</xdr:row>
      <xdr:rowOff>62753</xdr:rowOff>
    </xdr:from>
    <xdr:to>
      <xdr:col>29</xdr:col>
      <xdr:colOff>156881</xdr:colOff>
      <xdr:row>153</xdr:row>
      <xdr:rowOff>67236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152400</xdr:colOff>
      <xdr:row>31</xdr:row>
      <xdr:rowOff>23812</xdr:rowOff>
    </xdr:from>
    <xdr:to>
      <xdr:col>16</xdr:col>
      <xdr:colOff>457200</xdr:colOff>
      <xdr:row>48</xdr:row>
      <xdr:rowOff>14287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323850</xdr:colOff>
      <xdr:row>9</xdr:row>
      <xdr:rowOff>109537</xdr:rowOff>
    </xdr:from>
    <xdr:to>
      <xdr:col>19</xdr:col>
      <xdr:colOff>19050</xdr:colOff>
      <xdr:row>26</xdr:row>
      <xdr:rowOff>100012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266700</xdr:colOff>
      <xdr:row>48</xdr:row>
      <xdr:rowOff>80962</xdr:rowOff>
    </xdr:from>
    <xdr:to>
      <xdr:col>49</xdr:col>
      <xdr:colOff>571500</xdr:colOff>
      <xdr:row>65</xdr:row>
      <xdr:rowOff>14287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304800</xdr:colOff>
      <xdr:row>107</xdr:row>
      <xdr:rowOff>0</xdr:rowOff>
    </xdr:from>
    <xdr:to>
      <xdr:col>2</xdr:col>
      <xdr:colOff>304800</xdr:colOff>
      <xdr:row>107</xdr:row>
      <xdr:rowOff>0</xdr:rowOff>
    </xdr:to>
    <xdr:cxnSp macro="">
      <xdr:nvCxnSpPr>
        <xdr:cNvPr id="2" name="Line 14"/>
        <xdr:cNvCxnSpPr>
          <a:cxnSpLocks noChangeShapeType="1"/>
        </xdr:cNvCxnSpPr>
      </xdr:nvCxnSpPr>
      <xdr:spPr bwMode="auto">
        <a:xfrm>
          <a:off x="1857375" y="20497800"/>
          <a:ext cx="0" cy="0"/>
        </a:xfrm>
        <a:prstGeom prst="line">
          <a:avLst/>
        </a:prstGeom>
        <a:noFill/>
        <a:ln w="12192">
          <a:solidFill>
            <a:srgbClr val="02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142875</xdr:rowOff>
    </xdr:from>
    <xdr:to>
      <xdr:col>6</xdr:col>
      <xdr:colOff>733425</xdr:colOff>
      <xdr:row>21</xdr:row>
      <xdr:rowOff>0</xdr:rowOff>
    </xdr:to>
    <xdr:graphicFrame macro="">
      <xdr:nvGraphicFramePr>
        <xdr:cNvPr id="25790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48</xdr:row>
      <xdr:rowOff>76200</xdr:rowOff>
    </xdr:from>
    <xdr:to>
      <xdr:col>7</xdr:col>
      <xdr:colOff>9525</xdr:colOff>
      <xdr:row>69</xdr:row>
      <xdr:rowOff>38100</xdr:rowOff>
    </xdr:to>
    <xdr:graphicFrame macro="">
      <xdr:nvGraphicFramePr>
        <xdr:cNvPr id="25790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106</xdr:row>
      <xdr:rowOff>104775</xdr:rowOff>
    </xdr:from>
    <xdr:to>
      <xdr:col>7</xdr:col>
      <xdr:colOff>95250</xdr:colOff>
      <xdr:row>123</xdr:row>
      <xdr:rowOff>133350</xdr:rowOff>
    </xdr:to>
    <xdr:graphicFrame macro="">
      <xdr:nvGraphicFramePr>
        <xdr:cNvPr id="257908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171450</xdr:colOff>
      <xdr:row>168</xdr:row>
      <xdr:rowOff>85725</xdr:rowOff>
    </xdr:from>
    <xdr:to>
      <xdr:col>7</xdr:col>
      <xdr:colOff>190500</xdr:colOff>
      <xdr:row>192</xdr:row>
      <xdr:rowOff>314325</xdr:rowOff>
    </xdr:to>
    <xdr:graphicFrame macro="">
      <xdr:nvGraphicFramePr>
        <xdr:cNvPr id="25790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208</xdr:row>
      <xdr:rowOff>66675</xdr:rowOff>
    </xdr:from>
    <xdr:to>
      <xdr:col>7</xdr:col>
      <xdr:colOff>57150</xdr:colOff>
      <xdr:row>228</xdr:row>
      <xdr:rowOff>95250</xdr:rowOff>
    </xdr:to>
    <xdr:graphicFrame macro="">
      <xdr:nvGraphicFramePr>
        <xdr:cNvPr id="25790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217</xdr:row>
      <xdr:rowOff>0</xdr:rowOff>
    </xdr:from>
    <xdr:to>
      <xdr:col>9</xdr:col>
      <xdr:colOff>104775</xdr:colOff>
      <xdr:row>239</xdr:row>
      <xdr:rowOff>47625</xdr:rowOff>
    </xdr:to>
    <xdr:graphicFrame macro="">
      <xdr:nvGraphicFramePr>
        <xdr:cNvPr id="257908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246</xdr:row>
      <xdr:rowOff>66675</xdr:rowOff>
    </xdr:from>
    <xdr:to>
      <xdr:col>9</xdr:col>
      <xdr:colOff>28575</xdr:colOff>
      <xdr:row>264</xdr:row>
      <xdr:rowOff>123825</xdr:rowOff>
    </xdr:to>
    <xdr:graphicFrame macro="">
      <xdr:nvGraphicFramePr>
        <xdr:cNvPr id="257908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392</xdr:row>
      <xdr:rowOff>0</xdr:rowOff>
    </xdr:from>
    <xdr:to>
      <xdr:col>6</xdr:col>
      <xdr:colOff>695325</xdr:colOff>
      <xdr:row>410</xdr:row>
      <xdr:rowOff>9525</xdr:rowOff>
    </xdr:to>
    <xdr:graphicFrame macro="">
      <xdr:nvGraphicFramePr>
        <xdr:cNvPr id="2579087"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362</xdr:row>
      <xdr:rowOff>0</xdr:rowOff>
    </xdr:from>
    <xdr:to>
      <xdr:col>7</xdr:col>
      <xdr:colOff>28575</xdr:colOff>
      <xdr:row>379</xdr:row>
      <xdr:rowOff>66675</xdr:rowOff>
    </xdr:to>
    <xdr:graphicFrame macro="">
      <xdr:nvGraphicFramePr>
        <xdr:cNvPr id="257908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332</xdr:row>
      <xdr:rowOff>0</xdr:rowOff>
    </xdr:from>
    <xdr:to>
      <xdr:col>6</xdr:col>
      <xdr:colOff>628650</xdr:colOff>
      <xdr:row>349</xdr:row>
      <xdr:rowOff>85725</xdr:rowOff>
    </xdr:to>
    <xdr:graphicFrame macro="">
      <xdr:nvGraphicFramePr>
        <xdr:cNvPr id="257908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304</xdr:row>
      <xdr:rowOff>0</xdr:rowOff>
    </xdr:from>
    <xdr:to>
      <xdr:col>8</xdr:col>
      <xdr:colOff>142875</xdr:colOff>
      <xdr:row>321</xdr:row>
      <xdr:rowOff>66675</xdr:rowOff>
    </xdr:to>
    <xdr:graphicFrame macro="">
      <xdr:nvGraphicFramePr>
        <xdr:cNvPr id="257909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275</xdr:row>
      <xdr:rowOff>0</xdr:rowOff>
    </xdr:from>
    <xdr:to>
      <xdr:col>8</xdr:col>
      <xdr:colOff>114300</xdr:colOff>
      <xdr:row>293</xdr:row>
      <xdr:rowOff>66675</xdr:rowOff>
    </xdr:to>
    <xdr:graphicFrame macro="">
      <xdr:nvGraphicFramePr>
        <xdr:cNvPr id="257909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426</xdr:row>
      <xdr:rowOff>95250</xdr:rowOff>
    </xdr:from>
    <xdr:to>
      <xdr:col>8</xdr:col>
      <xdr:colOff>209550</xdr:colOff>
      <xdr:row>446</xdr:row>
      <xdr:rowOff>95250</xdr:rowOff>
    </xdr:to>
    <xdr:graphicFrame macro="">
      <xdr:nvGraphicFramePr>
        <xdr:cNvPr id="257909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459</xdr:row>
      <xdr:rowOff>0</xdr:rowOff>
    </xdr:from>
    <xdr:to>
      <xdr:col>8</xdr:col>
      <xdr:colOff>266700</xdr:colOff>
      <xdr:row>476</xdr:row>
      <xdr:rowOff>66675</xdr:rowOff>
    </xdr:to>
    <xdr:graphicFrame macro="">
      <xdr:nvGraphicFramePr>
        <xdr:cNvPr id="257909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490</xdr:row>
      <xdr:rowOff>0</xdr:rowOff>
    </xdr:from>
    <xdr:to>
      <xdr:col>8</xdr:col>
      <xdr:colOff>285750</xdr:colOff>
      <xdr:row>507</xdr:row>
      <xdr:rowOff>66675</xdr:rowOff>
    </xdr:to>
    <xdr:graphicFrame macro="">
      <xdr:nvGraphicFramePr>
        <xdr:cNvPr id="257909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521</xdr:row>
      <xdr:rowOff>0</xdr:rowOff>
    </xdr:from>
    <xdr:to>
      <xdr:col>8</xdr:col>
      <xdr:colOff>238125</xdr:colOff>
      <xdr:row>538</xdr:row>
      <xdr:rowOff>66675</xdr:rowOff>
    </xdr:to>
    <xdr:graphicFrame macro="">
      <xdr:nvGraphicFramePr>
        <xdr:cNvPr id="257909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552</xdr:row>
      <xdr:rowOff>0</xdr:rowOff>
    </xdr:from>
    <xdr:to>
      <xdr:col>8</xdr:col>
      <xdr:colOff>238125</xdr:colOff>
      <xdr:row>569</xdr:row>
      <xdr:rowOff>66675</xdr:rowOff>
    </xdr:to>
    <xdr:graphicFrame macro="">
      <xdr:nvGraphicFramePr>
        <xdr:cNvPr id="257909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584</xdr:row>
      <xdr:rowOff>0</xdr:rowOff>
    </xdr:from>
    <xdr:to>
      <xdr:col>8</xdr:col>
      <xdr:colOff>238125</xdr:colOff>
      <xdr:row>601</xdr:row>
      <xdr:rowOff>66675</xdr:rowOff>
    </xdr:to>
    <xdr:graphicFrame macro="">
      <xdr:nvGraphicFramePr>
        <xdr:cNvPr id="257909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561976</xdr:colOff>
      <xdr:row>25</xdr:row>
      <xdr:rowOff>66676</xdr:rowOff>
    </xdr:from>
    <xdr:to>
      <xdr:col>9</xdr:col>
      <xdr:colOff>104776</xdr:colOff>
      <xdr:row>46</xdr:row>
      <xdr:rowOff>1</xdr:rowOff>
    </xdr:to>
    <xdr:graphicFrame macro="">
      <xdr:nvGraphicFramePr>
        <xdr:cNvPr id="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381000</xdr:colOff>
      <xdr:row>125</xdr:row>
      <xdr:rowOff>19049</xdr:rowOff>
    </xdr:from>
    <xdr:to>
      <xdr:col>8</xdr:col>
      <xdr:colOff>123825</xdr:colOff>
      <xdr:row>145</xdr:row>
      <xdr:rowOff>47625</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75</xdr:row>
      <xdr:rowOff>0</xdr:rowOff>
    </xdr:from>
    <xdr:to>
      <xdr:col>8</xdr:col>
      <xdr:colOff>352425</xdr:colOff>
      <xdr:row>95</xdr:row>
      <xdr:rowOff>28576</xdr:rowOff>
    </xdr:to>
    <xdr:graphicFrame macro="">
      <xdr:nvGraphicFramePr>
        <xdr:cNvPr id="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transportation_indicators_012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conomywide_indicators_0309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General_inputs"/>
      <sheetName val="Total_Transportation "/>
      <sheetName val="Passenger_Total"/>
      <sheetName val="Passenger-Highway"/>
      <sheetName val="Personal_vehicles"/>
      <sheetName val="Buses"/>
      <sheetName val="Passenger-Air"/>
      <sheetName val="Passenger-Rail"/>
      <sheetName val="Urban_Rail"/>
      <sheetName val="Freight_Total"/>
      <sheetName val="Freight-Trucks"/>
      <sheetName val="Pipelines"/>
      <sheetName val="Table6.5 (AER2006)"/>
      <sheetName val="Table6.5 (AER2007)"/>
      <sheetName val="Table6.5 (AER2008)"/>
      <sheetName val="Table6.5 (AER2010)"/>
      <sheetName val="AER10_Table2.1e"/>
      <sheetName val="Passenger-based Activity"/>
      <sheetName val="Passenger-based Energy Use"/>
      <sheetName val="Freight-based Activity"/>
      <sheetName val="Adjust_Truck_Freight"/>
      <sheetName val="Freight-based Energy Use"/>
      <sheetName val="FuelConsump"/>
      <sheetName val="Fuel Heat Content"/>
      <sheetName val="TEDB_Ed30_Table 9.10"/>
      <sheetName val="BTS Tran Indexes (TSI_TO 1) "/>
      <sheetName val="Ch (w)"/>
    </sheetNames>
    <sheetDataSet>
      <sheetData sheetId="0"/>
      <sheetData sheetId="1">
        <row r="6">
          <cell r="F6">
            <v>1985</v>
          </cell>
          <cell r="M6">
            <v>37</v>
          </cell>
        </row>
        <row r="7">
          <cell r="F7">
            <v>1996</v>
          </cell>
          <cell r="M7">
            <v>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Level_structure"/>
      <sheetName val="Energy Weights"/>
      <sheetName val="General_inputs"/>
      <sheetName val="All_Sectors"/>
      <sheetName val="Report_charts"/>
      <sheetName val="Indicators_report"/>
      <sheetName val="Sector_Activity"/>
      <sheetName val="AER10_Table2.1a"/>
      <sheetName val="AER10_Table2.1b"/>
      <sheetName val="AER10_Table2.1c"/>
      <sheetName val="AER10_Table2.1d"/>
      <sheetName val="AER10_Table2.1e"/>
      <sheetName val="AER10_Table2.1f"/>
      <sheetName val="AER11_Table2.1b"/>
      <sheetName val="AER11_Table2.1c"/>
      <sheetName val="AER11_Table2.1d"/>
      <sheetName val="AER11_Table2.1e"/>
      <sheetName val="AER11_Table2.1f"/>
      <sheetName val="Annual Data_MER_July-2014"/>
      <sheetName val="mer_dataT02.02"/>
      <sheetName val="mer_dataT02.03"/>
      <sheetName val="mer_dataT02.04"/>
      <sheetName val="mer_dataT02.05"/>
      <sheetName val="mer_dataT02.06"/>
      <sheetName val="GDPLev"/>
      <sheetName val="LongChart"/>
      <sheetName val="C (www)"/>
      <sheetName val="Charts (other)"/>
      <sheetName val="Impact_report"/>
    </sheetNames>
    <sheetDataSet>
      <sheetData sheetId="0"/>
      <sheetData sheetId="1"/>
      <sheetData sheetId="2">
        <row r="12">
          <cell r="G12">
            <v>0.27831433484014928</v>
          </cell>
          <cell r="I12">
            <v>0.30137666246306588</v>
          </cell>
        </row>
        <row r="18">
          <cell r="G18">
            <v>0.27831433484014928</v>
          </cell>
          <cell r="I18">
            <v>0.30137666246306588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hyperlink" Target="http://www.eia.gov/naturalga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eia.gov/totalenergy/data/monthly/"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www.enotrans.com/" TargetMode="External"/><Relationship Id="rId7" Type="http://schemas.openxmlformats.org/officeDocument/2006/relationships/hyperlink" Target="http://www.apta.com/resources/statistics/Documents/FactBook/2014-Fact-Book-Appendix-A.pdf" TargetMode="External"/><Relationship Id="rId2" Type="http://schemas.openxmlformats.org/officeDocument/2006/relationships/hyperlink" Target="http://www.ugpti.org/tia2007/" TargetMode="External"/><Relationship Id="rId1" Type="http://schemas.openxmlformats.org/officeDocument/2006/relationships/hyperlink" Target="http://www.bts.gov/xml/air_traffic/src/datadisp.xml" TargetMode="External"/><Relationship Id="rId6" Type="http://schemas.openxmlformats.org/officeDocument/2006/relationships/hyperlink" Target="http://www.fhwa.dot.gov/policyinformation/statistics.cfm" TargetMode="External"/><Relationship Id="rId5" Type="http://schemas.openxmlformats.org/officeDocument/2006/relationships/hyperlink" Target="http://www.fhwa.dot.gov/policyinformation/statistics/2012/pdf/vm1.pdf" TargetMode="External"/><Relationship Id="rId10" Type="http://schemas.openxmlformats.org/officeDocument/2006/relationships/comments" Target="../comments2.xml"/><Relationship Id="rId4" Type="http://schemas.openxmlformats.org/officeDocument/2006/relationships/hyperlink" Target="http://www.apta.com/resources/statistics/Documents/FactBook/2013-Fact-Book-Appendix-A.pdf" TargetMode="External"/><Relationship Id="rId9" Type="http://schemas.openxmlformats.org/officeDocument/2006/relationships/vmlDrawing" Target="../drawings/vmlDrawing2.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bts.gov/programs/airline_information/air_carrier_traffic_statistics/airtraffic/annual/1981_present.html" TargetMode="External"/><Relationship Id="rId2" Type="http://schemas.openxmlformats.org/officeDocument/2006/relationships/hyperlink" Target="http://www.eia.doe.gov/aer/natgas.html" TargetMode="External"/><Relationship Id="rId1" Type="http://schemas.openxmlformats.org/officeDocument/2006/relationships/hyperlink" Target="http://www.bts.gov/publications/national_transportation_statistics/html/table_01_32.html" TargetMode="External"/><Relationship Id="rId5" Type="http://schemas.openxmlformats.org/officeDocument/2006/relationships/printerSettings" Target="../printerSettings/printerSettings19.bin"/><Relationship Id="rId4" Type="http://schemas.openxmlformats.org/officeDocument/2006/relationships/hyperlink" Target="http://www.bts.gov/xml/air_traffic/src/index.xml"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fhwa.dot.gov/policy/ohim/hs04/htm/mf33e.htm" TargetMode="External"/><Relationship Id="rId13" Type="http://schemas.openxmlformats.org/officeDocument/2006/relationships/hyperlink" Target="http://www.rita.dot.gov/bts/sites/rita.dot.gov.bts/files/publications/national_transportation_statistics/html/table_04_08.html" TargetMode="External"/><Relationship Id="rId18" Type="http://schemas.openxmlformats.org/officeDocument/2006/relationships/comments" Target="../comments4.xml"/><Relationship Id="rId3" Type="http://schemas.openxmlformats.org/officeDocument/2006/relationships/hyperlink" Target="http://www.bts.gov/publications/national_transportation_statistics/2005/html/table_04_12.html" TargetMode="External"/><Relationship Id="rId7" Type="http://schemas.openxmlformats.org/officeDocument/2006/relationships/hyperlink" Target="http://www.apta.com/research/stats/factbook/index.cfm" TargetMode="External"/><Relationship Id="rId12" Type="http://schemas.openxmlformats.org/officeDocument/2006/relationships/hyperlink" Target="http://tonto.eia.doe.gov/dnav/pet/pet_cons_821dsta_dcu_nus_a.htm" TargetMode="External"/><Relationship Id="rId17" Type="http://schemas.openxmlformats.org/officeDocument/2006/relationships/vmlDrawing" Target="../drawings/vmlDrawing4.vml"/><Relationship Id="rId2" Type="http://schemas.openxmlformats.org/officeDocument/2006/relationships/hyperlink" Target="http://www.bts.gov/publications/national_transportation_statistics/2005/html/table_04_11.html" TargetMode="External"/><Relationship Id="rId16" Type="http://schemas.openxmlformats.org/officeDocument/2006/relationships/printerSettings" Target="../printerSettings/printerSettings22.bin"/><Relationship Id="rId1" Type="http://schemas.openxmlformats.org/officeDocument/2006/relationships/hyperlink" Target="http://www.bts.gov/publications/national_transportation_statistics/html/table_04_26.html" TargetMode="External"/><Relationship Id="rId6" Type="http://schemas.openxmlformats.org/officeDocument/2006/relationships/hyperlink" Target="http://www.bts.gov/publications/national_transportation_statistics/html/table_04_11.html" TargetMode="External"/><Relationship Id="rId11" Type="http://schemas.openxmlformats.org/officeDocument/2006/relationships/hyperlink" Target="http://www.fhwa.dot.gov/policy/ohim/hs04/htm/mf33e.htm" TargetMode="External"/><Relationship Id="rId5" Type="http://schemas.openxmlformats.org/officeDocument/2006/relationships/hyperlink" Target="http://www.eia.doe.gov/aer/natgas.html" TargetMode="External"/><Relationship Id="rId15" Type="http://schemas.openxmlformats.org/officeDocument/2006/relationships/hyperlink" Target="http://www.apta.com/resources/statistics/Documents/FactBook/2013-Fact-Book-Appendix-A.pdf" TargetMode="External"/><Relationship Id="rId10" Type="http://schemas.openxmlformats.org/officeDocument/2006/relationships/hyperlink" Target="http://www.apta.com/resources/statistics/Pages/transitstats.aspx" TargetMode="External"/><Relationship Id="rId4" Type="http://schemas.openxmlformats.org/officeDocument/2006/relationships/hyperlink" Target="http://www.bts.gov/publications/national_transportation_statistics/html/table_04_12.html" TargetMode="External"/><Relationship Id="rId9" Type="http://schemas.openxmlformats.org/officeDocument/2006/relationships/hyperlink" Target="http://www.apta.com/research/stats/index.cfm" TargetMode="External"/><Relationship Id="rId14" Type="http://schemas.openxmlformats.org/officeDocument/2006/relationships/hyperlink" Target="http://www.apta.com/resources/statistics/Documents/FactBook/2013-Fact-Book-Appendix-A.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eia.doe.gov/oiaf/analysispaper/errata_biofuels.html"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4"/>
  <sheetViews>
    <sheetView workbookViewId="0">
      <selection activeCell="A34" sqref="A34"/>
    </sheetView>
  </sheetViews>
  <sheetFormatPr defaultRowHeight="12.75" x14ac:dyDescent="0.2"/>
  <cols>
    <col min="1" max="1" width="7.42578125" customWidth="1"/>
    <col min="2" max="2" width="7" customWidth="1"/>
    <col min="3" max="3" width="5.7109375" customWidth="1"/>
    <col min="4" max="4" width="7" customWidth="1"/>
    <col min="9" max="9" width="8.42578125" customWidth="1"/>
    <col min="10" max="10" width="7.42578125" customWidth="1"/>
    <col min="11" max="11" width="7.7109375" customWidth="1"/>
    <col min="12" max="12" width="8" customWidth="1"/>
    <col min="13" max="13" width="5.5703125" customWidth="1"/>
    <col min="14" max="14" width="3.42578125" customWidth="1"/>
    <col min="15" max="15" width="11.42578125" customWidth="1"/>
  </cols>
  <sheetData>
    <row r="1" spans="1:13" ht="18" x14ac:dyDescent="0.25">
      <c r="A1" s="250" t="s">
        <v>134</v>
      </c>
      <c r="B1" s="3"/>
      <c r="C1" s="3"/>
      <c r="D1" s="3"/>
      <c r="E1" s="3"/>
      <c r="F1" s="3"/>
    </row>
    <row r="3" spans="1:13" ht="15.75" x14ac:dyDescent="0.25">
      <c r="B3" s="210" t="s">
        <v>224</v>
      </c>
    </row>
    <row r="4" spans="1:13" ht="15.75" x14ac:dyDescent="0.25">
      <c r="B4" s="210"/>
    </row>
    <row r="5" spans="1:13" ht="15.75" x14ac:dyDescent="0.25">
      <c r="B5" s="210" t="s">
        <v>215</v>
      </c>
    </row>
    <row r="6" spans="1:13" ht="15.75" x14ac:dyDescent="0.25">
      <c r="B6" s="210" t="s">
        <v>216</v>
      </c>
    </row>
    <row r="8" spans="1:13" ht="15" x14ac:dyDescent="0.25">
      <c r="B8" s="248" t="s">
        <v>217</v>
      </c>
      <c r="C8" s="248"/>
      <c r="D8" s="248"/>
      <c r="E8" s="248"/>
      <c r="F8" s="249"/>
    </row>
    <row r="10" spans="1:13" ht="15.75" x14ac:dyDescent="0.25">
      <c r="B10" s="210" t="s">
        <v>226</v>
      </c>
      <c r="C10" s="210"/>
      <c r="D10" s="210"/>
      <c r="E10" s="210"/>
      <c r="F10" s="210"/>
      <c r="G10" s="210"/>
      <c r="H10" s="210"/>
      <c r="I10" s="210"/>
      <c r="J10" s="210"/>
      <c r="K10" s="210"/>
      <c r="L10" s="210"/>
      <c r="M10" s="210"/>
    </row>
    <row r="11" spans="1:13" ht="15.75" x14ac:dyDescent="0.25">
      <c r="B11" s="210" t="s">
        <v>124</v>
      </c>
      <c r="C11" s="210"/>
      <c r="D11" s="210"/>
      <c r="E11" s="210"/>
      <c r="F11" s="210"/>
      <c r="G11" s="210"/>
      <c r="H11" s="210"/>
      <c r="I11" s="210"/>
      <c r="J11" s="210"/>
      <c r="K11" s="210"/>
      <c r="L11" s="210"/>
      <c r="M11" s="210"/>
    </row>
    <row r="12" spans="1:13" ht="15.75" x14ac:dyDescent="0.25">
      <c r="B12" s="210" t="s">
        <v>138</v>
      </c>
      <c r="C12" s="210"/>
      <c r="D12" s="210"/>
      <c r="E12" s="210"/>
      <c r="F12" s="210"/>
      <c r="G12" s="210"/>
      <c r="H12" s="210"/>
      <c r="I12" s="210"/>
      <c r="J12" s="210"/>
      <c r="K12" s="210"/>
      <c r="L12" s="210"/>
      <c r="M12" s="210"/>
    </row>
    <row r="14" spans="1:13" x14ac:dyDescent="0.2">
      <c r="B14" s="245" t="s">
        <v>130</v>
      </c>
      <c r="C14" s="246">
        <v>1</v>
      </c>
      <c r="D14" s="246">
        <v>2</v>
      </c>
      <c r="E14" s="246">
        <v>3</v>
      </c>
      <c r="F14" s="246">
        <v>4</v>
      </c>
      <c r="G14" s="246"/>
      <c r="H14" s="246"/>
      <c r="I14" s="245"/>
      <c r="J14" s="245"/>
      <c r="K14" s="245"/>
      <c r="L14" s="245"/>
      <c r="M14" s="247"/>
    </row>
    <row r="15" spans="1:13" x14ac:dyDescent="0.2">
      <c r="B15" s="247"/>
      <c r="C15" s="247" t="s">
        <v>133</v>
      </c>
      <c r="D15" s="247"/>
      <c r="E15" s="247"/>
      <c r="F15" s="247"/>
      <c r="G15" s="247"/>
      <c r="H15" s="247"/>
      <c r="I15" s="247"/>
      <c r="J15" s="247"/>
      <c r="K15" s="247"/>
      <c r="L15" s="247"/>
      <c r="M15" s="247"/>
    </row>
    <row r="16" spans="1:13" x14ac:dyDescent="0.2">
      <c r="B16" s="247"/>
      <c r="C16" s="247"/>
      <c r="D16" s="247"/>
      <c r="E16" s="247"/>
      <c r="F16" s="247"/>
      <c r="G16" s="247"/>
      <c r="H16" s="247"/>
      <c r="I16" s="247"/>
      <c r="J16" s="247"/>
      <c r="K16" s="247"/>
      <c r="L16" s="247"/>
      <c r="M16" s="247"/>
    </row>
    <row r="17" spans="2:16" x14ac:dyDescent="0.2">
      <c r="B17" s="247"/>
      <c r="C17" s="247"/>
      <c r="D17" s="247" t="s">
        <v>126</v>
      </c>
      <c r="E17" s="247"/>
      <c r="F17" s="247"/>
      <c r="G17" s="247"/>
      <c r="H17" s="247"/>
      <c r="I17" s="247"/>
      <c r="J17" s="247"/>
      <c r="K17" s="247"/>
      <c r="L17" s="247"/>
      <c r="M17" s="247"/>
    </row>
    <row r="18" spans="2:16" x14ac:dyDescent="0.2">
      <c r="B18" s="247"/>
      <c r="C18" s="247"/>
      <c r="D18" s="247" t="s">
        <v>125</v>
      </c>
      <c r="E18" s="247" t="s">
        <v>127</v>
      </c>
      <c r="F18" s="247"/>
      <c r="G18" s="247"/>
      <c r="H18" s="247"/>
      <c r="I18" s="247"/>
      <c r="J18" s="247"/>
      <c r="K18" s="247"/>
      <c r="L18" s="247"/>
      <c r="M18" s="247"/>
    </row>
    <row r="19" spans="2:16" x14ac:dyDescent="0.2">
      <c r="B19" s="247"/>
      <c r="C19" s="247"/>
      <c r="D19" s="247"/>
      <c r="E19" s="247"/>
      <c r="F19" s="247" t="s">
        <v>128</v>
      </c>
      <c r="G19" s="247"/>
      <c r="H19" s="247"/>
      <c r="I19" s="247"/>
      <c r="J19" s="247"/>
      <c r="K19" s="247"/>
      <c r="L19" s="247"/>
      <c r="M19" s="247"/>
    </row>
    <row r="20" spans="2:16" x14ac:dyDescent="0.2">
      <c r="B20" s="247"/>
      <c r="C20" s="247"/>
      <c r="D20" s="247"/>
      <c r="E20" s="247"/>
      <c r="F20" s="247" t="s">
        <v>129</v>
      </c>
      <c r="G20" s="247"/>
      <c r="H20" s="247"/>
      <c r="I20" s="247"/>
      <c r="J20" s="247"/>
      <c r="K20" s="247"/>
      <c r="L20" s="247"/>
      <c r="M20" s="247"/>
    </row>
    <row r="21" spans="2:16" x14ac:dyDescent="0.2">
      <c r="B21" s="247"/>
      <c r="C21" s="247"/>
      <c r="D21" s="247"/>
      <c r="E21" s="247" t="s">
        <v>365</v>
      </c>
      <c r="F21" s="247"/>
      <c r="G21" s="247"/>
      <c r="H21" s="247"/>
      <c r="I21" s="247"/>
      <c r="J21" s="247"/>
      <c r="K21" s="247"/>
      <c r="L21" s="247"/>
      <c r="M21" s="247"/>
    </row>
    <row r="22" spans="2:16" x14ac:dyDescent="0.2">
      <c r="B22" s="247"/>
      <c r="C22" s="247"/>
      <c r="D22" s="247"/>
      <c r="E22" s="247" t="s">
        <v>132</v>
      </c>
      <c r="F22" s="247"/>
      <c r="G22" s="247"/>
      <c r="H22" s="247"/>
      <c r="I22" s="247"/>
      <c r="J22" s="247"/>
      <c r="K22" s="247"/>
      <c r="L22" s="247"/>
      <c r="M22" s="247"/>
    </row>
    <row r="23" spans="2:16" x14ac:dyDescent="0.2">
      <c r="B23" s="247"/>
      <c r="C23" s="247"/>
      <c r="D23" s="247"/>
      <c r="E23" s="247"/>
      <c r="F23" s="247" t="s">
        <v>131</v>
      </c>
      <c r="G23" s="247"/>
      <c r="H23" s="247"/>
      <c r="I23" s="247"/>
      <c r="J23" s="247"/>
      <c r="K23" s="247"/>
      <c r="L23" s="247"/>
      <c r="M23" s="247"/>
    </row>
    <row r="24" spans="2:16" x14ac:dyDescent="0.2">
      <c r="B24" s="247"/>
      <c r="C24" s="247"/>
      <c r="D24" s="247"/>
      <c r="E24" s="247"/>
      <c r="F24" s="247"/>
      <c r="G24" s="247"/>
      <c r="H24" s="247"/>
      <c r="I24" s="247"/>
      <c r="J24" s="247"/>
      <c r="K24" s="247"/>
      <c r="L24" s="247"/>
      <c r="M24" s="247"/>
    </row>
    <row r="25" spans="2:16" x14ac:dyDescent="0.2">
      <c r="B25" s="247"/>
      <c r="C25" s="247"/>
      <c r="D25" s="247" t="s">
        <v>228</v>
      </c>
      <c r="E25" s="247"/>
      <c r="F25" s="247"/>
      <c r="G25" s="247"/>
      <c r="H25" s="247"/>
      <c r="I25" s="247"/>
      <c r="J25" s="247"/>
      <c r="K25" s="247"/>
      <c r="L25" s="247"/>
      <c r="M25" s="247"/>
    </row>
    <row r="26" spans="2:16" x14ac:dyDescent="0.2">
      <c r="B26" s="247"/>
      <c r="C26" s="247"/>
      <c r="D26" s="247"/>
      <c r="E26" s="247" t="s">
        <v>135</v>
      </c>
      <c r="F26" s="247"/>
      <c r="G26" s="247"/>
      <c r="H26" s="247"/>
      <c r="I26" s="247"/>
      <c r="J26" s="247"/>
      <c r="K26" s="247"/>
      <c r="L26" s="247"/>
      <c r="M26" s="247"/>
    </row>
    <row r="27" spans="2:16" x14ac:dyDescent="0.2">
      <c r="B27" s="247"/>
      <c r="C27" s="247"/>
      <c r="D27" s="247"/>
      <c r="E27" s="247" t="s">
        <v>136</v>
      </c>
      <c r="F27" s="247"/>
      <c r="G27" s="247"/>
      <c r="H27" s="247"/>
      <c r="I27" s="247"/>
      <c r="J27" s="247"/>
      <c r="K27" s="247"/>
      <c r="L27" s="247"/>
      <c r="M27" s="247"/>
    </row>
    <row r="30" spans="2:16" x14ac:dyDescent="0.2">
      <c r="B30" t="s">
        <v>139</v>
      </c>
    </row>
    <row r="31" spans="2:16" x14ac:dyDescent="0.2">
      <c r="B31" t="s">
        <v>140</v>
      </c>
    </row>
    <row r="32" spans="2:16" x14ac:dyDescent="0.2">
      <c r="C32" s="26"/>
      <c r="D32" s="26"/>
      <c r="E32" s="26"/>
      <c r="F32" s="26"/>
      <c r="G32" s="26"/>
      <c r="H32" s="26"/>
      <c r="I32" s="26"/>
      <c r="J32" s="26"/>
      <c r="K32" s="26"/>
      <c r="L32" s="26"/>
      <c r="M32" s="26"/>
      <c r="N32" s="26"/>
      <c r="O32" s="26"/>
      <c r="P32" s="36"/>
    </row>
    <row r="33" spans="3:15" ht="30" customHeight="1" x14ac:dyDescent="0.2">
      <c r="C33" s="231"/>
      <c r="D33" s="232"/>
      <c r="E33" s="789" t="s">
        <v>158</v>
      </c>
      <c r="F33" s="789"/>
      <c r="G33" s="789"/>
      <c r="H33" s="787"/>
      <c r="I33" s="786" t="s">
        <v>162</v>
      </c>
      <c r="J33" s="787"/>
      <c r="K33" s="788" t="s">
        <v>157</v>
      </c>
      <c r="L33" s="788"/>
      <c r="M33" s="788"/>
      <c r="N33" s="233"/>
      <c r="O33" s="234"/>
    </row>
    <row r="34" spans="3:15" ht="76.5" customHeight="1" thickBot="1" x14ac:dyDescent="0.25">
      <c r="C34" s="225" t="s">
        <v>310</v>
      </c>
      <c r="D34" s="228" t="s">
        <v>144</v>
      </c>
      <c r="E34" s="238" t="s">
        <v>161</v>
      </c>
      <c r="F34" s="239" t="s">
        <v>156</v>
      </c>
      <c r="G34" s="239" t="s">
        <v>160</v>
      </c>
      <c r="H34" s="240" t="s">
        <v>159</v>
      </c>
      <c r="I34" s="241" t="s">
        <v>147</v>
      </c>
      <c r="J34" s="240" t="s">
        <v>227</v>
      </c>
      <c r="K34" s="237" t="s">
        <v>152</v>
      </c>
      <c r="L34" s="237" t="s">
        <v>163</v>
      </c>
      <c r="M34" s="213" t="s">
        <v>153</v>
      </c>
      <c r="N34" s="214"/>
      <c r="O34" s="240" t="s">
        <v>177</v>
      </c>
    </row>
    <row r="35" spans="3:15" x14ac:dyDescent="0.2">
      <c r="C35" s="224"/>
      <c r="D35" s="227"/>
      <c r="E35" s="36"/>
      <c r="F35" s="36"/>
      <c r="G35" s="36"/>
      <c r="H35" s="63"/>
      <c r="I35" s="27"/>
      <c r="J35" s="63"/>
      <c r="K35" s="215"/>
      <c r="L35" s="215"/>
      <c r="M35" s="215"/>
      <c r="N35" s="216"/>
      <c r="O35" s="63"/>
    </row>
    <row r="36" spans="3:15" x14ac:dyDescent="0.2">
      <c r="C36" s="224">
        <v>1949</v>
      </c>
      <c r="D36" s="229" t="s">
        <v>146</v>
      </c>
      <c r="E36" s="217" t="s">
        <v>146</v>
      </c>
      <c r="F36" s="217" t="s">
        <v>146</v>
      </c>
      <c r="G36" s="217" t="s">
        <v>146</v>
      </c>
      <c r="H36" s="100" t="s">
        <v>146</v>
      </c>
      <c r="I36" s="235" t="s">
        <v>146</v>
      </c>
      <c r="J36" s="100" t="s">
        <v>146</v>
      </c>
      <c r="K36" s="218" t="s">
        <v>146</v>
      </c>
      <c r="L36" s="218" t="s">
        <v>146</v>
      </c>
      <c r="M36" s="218" t="s">
        <v>146</v>
      </c>
      <c r="N36" s="219"/>
      <c r="O36" s="100" t="s">
        <v>146</v>
      </c>
    </row>
    <row r="37" spans="3:15" x14ac:dyDescent="0.2">
      <c r="C37" s="242" t="s">
        <v>142</v>
      </c>
      <c r="D37" s="229" t="s">
        <v>141</v>
      </c>
      <c r="E37" s="243" t="s">
        <v>141</v>
      </c>
      <c r="F37" s="243" t="s">
        <v>141</v>
      </c>
      <c r="G37" s="243" t="s">
        <v>141</v>
      </c>
      <c r="H37" s="244" t="s">
        <v>141</v>
      </c>
      <c r="I37" s="243" t="s">
        <v>141</v>
      </c>
      <c r="J37" s="244" t="s">
        <v>141</v>
      </c>
      <c r="K37" s="218" t="s">
        <v>141</v>
      </c>
      <c r="L37" s="218" t="s">
        <v>141</v>
      </c>
      <c r="M37" s="218" t="s">
        <v>141</v>
      </c>
      <c r="N37" s="219"/>
      <c r="O37" s="244" t="s">
        <v>141</v>
      </c>
    </row>
    <row r="38" spans="3:15" x14ac:dyDescent="0.2">
      <c r="C38" s="226">
        <v>2011</v>
      </c>
      <c r="D38" s="230" t="s">
        <v>146</v>
      </c>
      <c r="E38" s="220" t="s">
        <v>146</v>
      </c>
      <c r="F38" s="220" t="s">
        <v>146</v>
      </c>
      <c r="G38" s="220" t="s">
        <v>146</v>
      </c>
      <c r="H38" s="223" t="s">
        <v>146</v>
      </c>
      <c r="I38" s="236" t="s">
        <v>146</v>
      </c>
      <c r="J38" s="223" t="s">
        <v>146</v>
      </c>
      <c r="K38" s="221" t="s">
        <v>146</v>
      </c>
      <c r="L38" s="221" t="s">
        <v>146</v>
      </c>
      <c r="M38" s="221" t="s">
        <v>146</v>
      </c>
      <c r="N38" s="222"/>
      <c r="O38" s="223" t="s">
        <v>146</v>
      </c>
    </row>
    <row r="40" spans="3:15" x14ac:dyDescent="0.2">
      <c r="C40" t="s">
        <v>593</v>
      </c>
    </row>
    <row r="41" spans="3:15" x14ac:dyDescent="0.2">
      <c r="C41" s="212" t="s">
        <v>143</v>
      </c>
      <c r="D41" t="s">
        <v>145</v>
      </c>
    </row>
    <row r="42" spans="3:15" x14ac:dyDescent="0.2">
      <c r="C42" s="212" t="s">
        <v>148</v>
      </c>
      <c r="D42" t="s">
        <v>149</v>
      </c>
    </row>
    <row r="43" spans="3:15" x14ac:dyDescent="0.2">
      <c r="C43" s="212" t="s">
        <v>150</v>
      </c>
      <c r="D43" t="s">
        <v>151</v>
      </c>
    </row>
    <row r="44" spans="3:15" x14ac:dyDescent="0.2">
      <c r="C44" s="212" t="s">
        <v>164</v>
      </c>
      <c r="D44" t="s">
        <v>167</v>
      </c>
    </row>
    <row r="45" spans="3:15" x14ac:dyDescent="0.2">
      <c r="C45" s="212"/>
      <c r="D45" t="s">
        <v>176</v>
      </c>
    </row>
    <row r="46" spans="3:15" x14ac:dyDescent="0.2">
      <c r="C46" s="212"/>
      <c r="D46" t="s">
        <v>182</v>
      </c>
    </row>
    <row r="47" spans="3:15" x14ac:dyDescent="0.2">
      <c r="C47" s="212"/>
      <c r="D47" t="s">
        <v>165</v>
      </c>
    </row>
    <row r="48" spans="3:15" x14ac:dyDescent="0.2">
      <c r="D48" t="s">
        <v>214</v>
      </c>
    </row>
    <row r="49" spans="2:16" x14ac:dyDescent="0.2">
      <c r="D49" t="s">
        <v>166</v>
      </c>
    </row>
    <row r="50" spans="2:16" x14ac:dyDescent="0.2">
      <c r="C50" s="212" t="s">
        <v>178</v>
      </c>
      <c r="D50" t="s">
        <v>179</v>
      </c>
    </row>
    <row r="51" spans="2:16" x14ac:dyDescent="0.2">
      <c r="C51" s="212"/>
      <c r="D51" t="s">
        <v>180</v>
      </c>
    </row>
    <row r="52" spans="2:16" x14ac:dyDescent="0.2">
      <c r="C52" s="212"/>
      <c r="D52" t="s">
        <v>181</v>
      </c>
    </row>
    <row r="53" spans="2:16" x14ac:dyDescent="0.2">
      <c r="C53" s="212"/>
    </row>
    <row r="55" spans="2:16" ht="15" x14ac:dyDescent="0.25">
      <c r="B55" s="248" t="s">
        <v>225</v>
      </c>
      <c r="C55" s="6"/>
    </row>
    <row r="57" spans="2:16" ht="15.75" x14ac:dyDescent="0.25">
      <c r="C57" s="210" t="s">
        <v>218</v>
      </c>
      <c r="D57" s="210"/>
      <c r="E57" s="210"/>
      <c r="F57" s="210"/>
      <c r="G57" s="210"/>
      <c r="H57" s="210"/>
      <c r="I57" s="210"/>
      <c r="J57" s="210"/>
      <c r="K57" s="210"/>
      <c r="L57" s="210"/>
      <c r="M57" s="210"/>
      <c r="N57" s="210"/>
      <c r="O57" s="210"/>
      <c r="P57" s="211"/>
    </row>
    <row r="59" spans="2:16" x14ac:dyDescent="0.2">
      <c r="D59" s="7" t="s">
        <v>219</v>
      </c>
      <c r="E59" s="7"/>
      <c r="F59" s="7"/>
      <c r="G59" s="7"/>
    </row>
    <row r="60" spans="2:16" x14ac:dyDescent="0.2">
      <c r="D60" s="7" t="s">
        <v>221</v>
      </c>
      <c r="E60" s="7"/>
      <c r="F60" s="7"/>
      <c r="G60" s="7"/>
    </row>
    <row r="61" spans="2:16" x14ac:dyDescent="0.2">
      <c r="D61" s="7" t="s">
        <v>471</v>
      </c>
      <c r="E61" s="7"/>
      <c r="F61" s="7"/>
      <c r="G61" s="7"/>
    </row>
    <row r="62" spans="2:16" x14ac:dyDescent="0.2">
      <c r="D62" s="7" t="s">
        <v>220</v>
      </c>
      <c r="E62" s="7"/>
      <c r="F62" s="7"/>
      <c r="G62" s="7"/>
    </row>
    <row r="63" spans="2:16" x14ac:dyDescent="0.2">
      <c r="D63" s="7" t="s">
        <v>222</v>
      </c>
      <c r="E63" s="7"/>
      <c r="F63" s="7"/>
      <c r="G63" s="7"/>
    </row>
    <row r="64" spans="2:16" x14ac:dyDescent="0.2">
      <c r="D64" s="7" t="s">
        <v>223</v>
      </c>
      <c r="E64" s="7"/>
      <c r="F64" s="7"/>
      <c r="G64" s="7"/>
    </row>
  </sheetData>
  <mergeCells count="3">
    <mergeCell ref="I33:J33"/>
    <mergeCell ref="K33:M33"/>
    <mergeCell ref="E33:H33"/>
  </mergeCells>
  <phoneticPr fontId="0" type="noConversion"/>
  <pageMargins left="0.75" right="0.75" top="1" bottom="1" header="0.5" footer="0.5"/>
  <pageSetup scale="71"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35"/>
  <sheetViews>
    <sheetView workbookViewId="0">
      <pane xSplit="2" ySplit="7" topLeftCell="C8" activePane="bottomRight" state="frozen"/>
      <selection pane="topRight" activeCell="C1" sqref="C1"/>
      <selection pane="bottomLeft" activeCell="A8" sqref="A8"/>
      <selection pane="bottomRight" activeCell="A27" sqref="A27"/>
    </sheetView>
  </sheetViews>
  <sheetFormatPr defaultRowHeight="12.75" x14ac:dyDescent="0.2"/>
  <cols>
    <col min="1" max="1" width="5.5703125" customWidth="1"/>
    <col min="2" max="2" width="6.85546875" customWidth="1"/>
    <col min="4" max="4" width="11" customWidth="1"/>
    <col min="5" max="6" width="10.5703125" customWidth="1"/>
    <col min="8" max="8" width="12" customWidth="1"/>
    <col min="9" max="9" width="13.5703125" customWidth="1"/>
    <col min="10" max="10" width="15.7109375" customWidth="1"/>
    <col min="12" max="12" width="10.7109375" customWidth="1"/>
    <col min="13" max="13" width="10.28515625" customWidth="1"/>
    <col min="14" max="14" width="9.85546875" customWidth="1"/>
    <col min="16" max="16" width="11.7109375" customWidth="1"/>
    <col min="17" max="17" width="11.140625" customWidth="1"/>
    <col min="18" max="18" width="10.140625" customWidth="1"/>
    <col min="20" max="20" width="9.5703125" customWidth="1"/>
    <col min="21" max="21" width="9.7109375" customWidth="1"/>
    <col min="22" max="22" width="10" customWidth="1"/>
    <col min="23" max="23" width="10.42578125" customWidth="1"/>
    <col min="24" max="24" width="10.28515625" customWidth="1"/>
    <col min="26" max="26" width="5.7109375" customWidth="1"/>
    <col min="28" max="28" width="9.140625" style="173"/>
    <col min="29" max="29" width="6.42578125" customWidth="1"/>
    <col min="31" max="31" width="10.7109375" customWidth="1"/>
    <col min="34" max="34" width="11.140625" customWidth="1"/>
    <col min="36" max="36" width="9.5703125" customWidth="1"/>
    <col min="38" max="38" width="11.42578125" customWidth="1"/>
    <col min="42" max="42" width="11.7109375" customWidth="1"/>
    <col min="43" max="43" width="10.85546875" customWidth="1"/>
    <col min="44" max="44" width="7.140625" customWidth="1"/>
    <col min="45" max="45" width="12.85546875" customWidth="1"/>
    <col min="46" max="46" width="11" customWidth="1"/>
    <col min="48" max="48" width="11.140625" customWidth="1"/>
    <col min="49" max="49" width="8.42578125" customWidth="1"/>
  </cols>
  <sheetData>
    <row r="1" spans="1:58" ht="15.75" x14ac:dyDescent="0.25">
      <c r="A1" s="133"/>
      <c r="B1" s="133"/>
      <c r="D1" s="137" t="s">
        <v>723</v>
      </c>
      <c r="AC1" s="134"/>
    </row>
    <row r="2" spans="1:58" x14ac:dyDescent="0.2">
      <c r="A2" s="133" t="s">
        <v>340</v>
      </c>
      <c r="B2" s="133" t="s">
        <v>310</v>
      </c>
      <c r="AC2" s="134"/>
    </row>
    <row r="3" spans="1:58" x14ac:dyDescent="0.2">
      <c r="A3" s="133"/>
      <c r="B3" s="133"/>
      <c r="D3" s="6" t="s">
        <v>760</v>
      </c>
      <c r="H3" s="6" t="s">
        <v>722</v>
      </c>
      <c r="L3" s="6" t="s">
        <v>682</v>
      </c>
      <c r="P3" s="6" t="s">
        <v>685</v>
      </c>
      <c r="T3" s="6" t="s">
        <v>109</v>
      </c>
      <c r="U3" s="6"/>
      <c r="AB3" s="422"/>
      <c r="AC3" s="134"/>
      <c r="AE3" s="6" t="s">
        <v>694</v>
      </c>
      <c r="AH3" s="6" t="s">
        <v>695</v>
      </c>
      <c r="AL3" s="6" t="s">
        <v>696</v>
      </c>
      <c r="AM3" s="6"/>
      <c r="AP3" s="6" t="s">
        <v>698</v>
      </c>
      <c r="AS3" s="6" t="s">
        <v>699</v>
      </c>
      <c r="AV3" s="6" t="s">
        <v>700</v>
      </c>
      <c r="AZ3" s="6" t="s">
        <v>705</v>
      </c>
      <c r="BD3" s="6" t="s">
        <v>706</v>
      </c>
    </row>
    <row r="4" spans="1:58" x14ac:dyDescent="0.2">
      <c r="A4" s="133"/>
      <c r="B4" s="133"/>
      <c r="T4" s="149" t="s">
        <v>711</v>
      </c>
      <c r="U4" s="149" t="s">
        <v>712</v>
      </c>
      <c r="V4" s="149" t="s">
        <v>713</v>
      </c>
      <c r="W4" s="149" t="s">
        <v>714</v>
      </c>
      <c r="X4" s="149" t="s">
        <v>715</v>
      </c>
      <c r="Y4" s="149" t="s">
        <v>716</v>
      </c>
      <c r="Z4" s="149"/>
      <c r="AA4" s="149" t="s">
        <v>720</v>
      </c>
      <c r="AB4" s="423"/>
      <c r="AC4" s="134"/>
      <c r="AL4" s="6" t="s">
        <v>697</v>
      </c>
      <c r="AM4" s="6"/>
    </row>
    <row r="5" spans="1:58" s="308" customFormat="1" ht="67.5" customHeight="1" x14ac:dyDescent="0.2">
      <c r="A5" s="315"/>
      <c r="B5" s="315"/>
      <c r="D5" s="273" t="s">
        <v>363</v>
      </c>
      <c r="E5" s="273" t="s">
        <v>320</v>
      </c>
      <c r="F5" s="273" t="s">
        <v>690</v>
      </c>
      <c r="G5" s="261"/>
      <c r="H5" s="273" t="s">
        <v>363</v>
      </c>
      <c r="I5" s="273" t="s">
        <v>320</v>
      </c>
      <c r="J5" s="273" t="s">
        <v>690</v>
      </c>
      <c r="K5" s="261"/>
      <c r="L5" s="273" t="s">
        <v>363</v>
      </c>
      <c r="M5" s="273" t="str">
        <f>E5</f>
        <v>General Aviation</v>
      </c>
      <c r="N5" s="273" t="str">
        <f>F5</f>
        <v xml:space="preserve">   Total</v>
      </c>
      <c r="O5" s="261"/>
      <c r="P5" s="273" t="s">
        <v>363</v>
      </c>
      <c r="Q5" s="273" t="str">
        <f>I5</f>
        <v>General Aviation</v>
      </c>
      <c r="R5" s="273" t="str">
        <f>F5</f>
        <v xml:space="preserve">   Total</v>
      </c>
      <c r="S5" s="261"/>
      <c r="T5" s="306" t="s">
        <v>665</v>
      </c>
      <c r="U5" s="306" t="s">
        <v>707</v>
      </c>
      <c r="V5" s="306" t="s">
        <v>364</v>
      </c>
      <c r="W5" s="306" t="s">
        <v>708</v>
      </c>
      <c r="X5" s="306" t="s">
        <v>692</v>
      </c>
      <c r="Y5" s="306" t="s">
        <v>709</v>
      </c>
      <c r="Z5" s="306"/>
      <c r="AA5" s="306" t="s">
        <v>710</v>
      </c>
      <c r="AB5" s="423"/>
      <c r="AC5" s="140"/>
      <c r="AE5" s="273" t="str">
        <f>D5</f>
        <v>Commercial Carriers</v>
      </c>
      <c r="AF5" s="273" t="str">
        <f>E5</f>
        <v>General Aviation</v>
      </c>
      <c r="AH5" s="273" t="str">
        <f>D5</f>
        <v>Commercial Carriers</v>
      </c>
      <c r="AI5" s="273" t="str">
        <f>E5</f>
        <v>General Aviation</v>
      </c>
      <c r="AJ5" s="273" t="str">
        <f>F5</f>
        <v xml:space="preserve">   Total</v>
      </c>
      <c r="AK5" s="261"/>
      <c r="AL5" s="273" t="str">
        <f>D5</f>
        <v>Commercial Carriers</v>
      </c>
      <c r="AM5" s="273" t="str">
        <f>E5</f>
        <v>General Aviation</v>
      </c>
      <c r="AN5" s="261"/>
      <c r="AO5" s="261"/>
      <c r="AP5" s="273" t="str">
        <f>D5</f>
        <v>Commercial Carriers</v>
      </c>
      <c r="AQ5" s="273" t="str">
        <f>E5</f>
        <v>General Aviation</v>
      </c>
      <c r="AR5" s="261"/>
      <c r="AS5" s="273" t="str">
        <f>D5</f>
        <v>Commercial Carriers</v>
      </c>
      <c r="AT5" s="273" t="str">
        <f>E5</f>
        <v>General Aviation</v>
      </c>
      <c r="AU5" s="261"/>
      <c r="AV5" s="273" t="str">
        <f>D5</f>
        <v>Commercial Carriers</v>
      </c>
      <c r="AW5" s="273" t="str">
        <f>E5</f>
        <v>General Aviation</v>
      </c>
      <c r="AX5" s="261"/>
      <c r="AY5" s="261"/>
      <c r="AZ5" s="316" t="s">
        <v>701</v>
      </c>
      <c r="BA5" s="316" t="s">
        <v>702</v>
      </c>
      <c r="BB5" s="316" t="s">
        <v>702</v>
      </c>
      <c r="BC5" s="421"/>
      <c r="BD5" s="316" t="s">
        <v>701</v>
      </c>
      <c r="BE5" s="316" t="s">
        <v>702</v>
      </c>
      <c r="BF5" s="316" t="s">
        <v>702</v>
      </c>
    </row>
    <row r="6" spans="1:58" ht="18.75" customHeight="1" x14ac:dyDescent="0.2">
      <c r="A6" s="133"/>
      <c r="B6" s="133"/>
      <c r="D6" s="274" t="s">
        <v>663</v>
      </c>
      <c r="E6" s="274" t="s">
        <v>663</v>
      </c>
      <c r="F6" s="274" t="s">
        <v>691</v>
      </c>
      <c r="G6" s="1"/>
      <c r="H6" s="135"/>
      <c r="I6" s="135"/>
      <c r="J6" s="135"/>
      <c r="K6" s="1"/>
      <c r="L6" s="135"/>
      <c r="M6" s="135"/>
      <c r="N6" s="135"/>
      <c r="O6" s="1"/>
      <c r="P6" s="135"/>
      <c r="Q6" s="135"/>
      <c r="R6" s="135"/>
      <c r="S6" s="1"/>
      <c r="T6" s="151"/>
      <c r="U6" s="151"/>
      <c r="V6" s="151"/>
      <c r="W6" s="151"/>
      <c r="X6" s="152" t="s">
        <v>718</v>
      </c>
      <c r="Y6" s="152" t="s">
        <v>719</v>
      </c>
      <c r="Z6" s="151"/>
      <c r="AA6" s="151"/>
      <c r="AC6" s="134"/>
      <c r="AZ6" t="s">
        <v>703</v>
      </c>
      <c r="BA6" t="s">
        <v>703</v>
      </c>
      <c r="BB6" t="s">
        <v>704</v>
      </c>
      <c r="BD6" t="s">
        <v>703</v>
      </c>
      <c r="BE6" t="s">
        <v>703</v>
      </c>
      <c r="BF6" t="s">
        <v>704</v>
      </c>
    </row>
    <row r="7" spans="1:58" ht="12.75" customHeight="1" thickBot="1" x14ac:dyDescent="0.25">
      <c r="A7" s="133"/>
      <c r="B7" s="133"/>
      <c r="D7" s="274" t="s">
        <v>761</v>
      </c>
      <c r="E7" s="274" t="s">
        <v>762</v>
      </c>
      <c r="F7" s="274"/>
      <c r="G7" s="1"/>
      <c r="H7" s="135" t="s">
        <v>688</v>
      </c>
      <c r="I7" s="135" t="s">
        <v>687</v>
      </c>
      <c r="J7" s="274" t="s">
        <v>687</v>
      </c>
      <c r="K7" s="1"/>
      <c r="L7" s="135" t="s">
        <v>686</v>
      </c>
      <c r="M7" s="135" t="s">
        <v>686</v>
      </c>
      <c r="N7" s="135" t="s">
        <v>686</v>
      </c>
      <c r="O7" s="1"/>
      <c r="P7" s="135" t="s">
        <v>689</v>
      </c>
      <c r="Q7" s="135" t="s">
        <v>689</v>
      </c>
      <c r="R7" s="135" t="s">
        <v>689</v>
      </c>
      <c r="S7" s="1"/>
      <c r="T7" s="153"/>
      <c r="U7" s="153"/>
      <c r="V7" s="153"/>
      <c r="W7" s="153"/>
      <c r="X7" s="153"/>
      <c r="Y7" s="153"/>
      <c r="Z7" s="153"/>
      <c r="AA7" s="153"/>
      <c r="AB7" s="143"/>
      <c r="AC7" s="134"/>
      <c r="AZ7" s="130"/>
      <c r="BA7" s="130"/>
      <c r="BB7" s="130"/>
      <c r="BC7" s="36"/>
      <c r="BD7" s="130"/>
      <c r="BE7" s="130"/>
      <c r="BF7" s="130"/>
    </row>
    <row r="8" spans="1:58" x14ac:dyDescent="0.2">
      <c r="A8" s="133" t="s">
        <v>664</v>
      </c>
      <c r="B8" s="133">
        <v>1949</v>
      </c>
      <c r="D8" s="308"/>
      <c r="E8" s="308"/>
      <c r="F8" s="308"/>
      <c r="H8" s="310"/>
      <c r="I8" s="310">
        <f>'Passenger-based Activity'!U8</f>
        <v>800</v>
      </c>
      <c r="J8" s="310">
        <f t="shared" ref="J8:J39" si="0">H8+I8</f>
        <v>800</v>
      </c>
      <c r="T8" s="131"/>
      <c r="U8" s="131"/>
      <c r="V8" s="131"/>
      <c r="W8" s="131"/>
      <c r="X8" s="131"/>
      <c r="Y8" s="131"/>
      <c r="Z8" s="131"/>
      <c r="AA8" s="132"/>
      <c r="AC8" s="134"/>
      <c r="AE8" t="e">
        <f t="shared" ref="AE8:AE39" si="1">D8/F8</f>
        <v>#DIV/0!</v>
      </c>
      <c r="AF8" t="e">
        <f t="shared" ref="AF8:AF39" si="2">E8/F8</f>
        <v>#DIV/0!</v>
      </c>
      <c r="AS8" s="129">
        <f t="shared" ref="AS8:AS39" si="3">H8/J8</f>
        <v>0</v>
      </c>
      <c r="AT8" s="129">
        <f t="shared" ref="AT8:AT39" si="4">I8/J8</f>
        <v>1</v>
      </c>
      <c r="BA8" s="129">
        <v>1</v>
      </c>
      <c r="BB8" s="129">
        <f t="shared" ref="BB8:BB39" si="5">BA8/BA$72</f>
        <v>1.7256273623823351</v>
      </c>
      <c r="BC8" s="129"/>
      <c r="BE8" s="129">
        <v>1</v>
      </c>
      <c r="BF8" s="129">
        <f t="shared" ref="BF8:BF39" si="6">BE8/BE$72</f>
        <v>1.0369978502549793</v>
      </c>
    </row>
    <row r="9" spans="1:58" x14ac:dyDescent="0.2">
      <c r="A9" s="133" t="s">
        <v>664</v>
      </c>
      <c r="B9" s="133">
        <f t="shared" ref="B9:B40" si="7">B8+1</f>
        <v>1950</v>
      </c>
      <c r="D9" s="308"/>
      <c r="E9" s="308"/>
      <c r="F9" s="308"/>
      <c r="H9" s="310"/>
      <c r="I9" s="310">
        <f>'Passenger-based Activity'!U9</f>
        <v>800</v>
      </c>
      <c r="J9" s="310">
        <f t="shared" si="0"/>
        <v>800</v>
      </c>
      <c r="T9" s="131"/>
      <c r="U9" s="131"/>
      <c r="V9" s="131"/>
      <c r="W9" s="131"/>
      <c r="X9" s="131"/>
      <c r="Y9" s="131"/>
      <c r="Z9" s="131"/>
      <c r="AA9" s="132"/>
      <c r="AC9" s="134"/>
      <c r="AE9" t="e">
        <f t="shared" si="1"/>
        <v>#DIV/0!</v>
      </c>
      <c r="AF9" t="e">
        <f t="shared" si="2"/>
        <v>#DIV/0!</v>
      </c>
      <c r="AH9" t="e">
        <f t="shared" ref="AH9:AH40" si="8">(AE9-AE8)/LN(AE9/AE8)</f>
        <v>#DIV/0!</v>
      </c>
      <c r="AI9" t="e">
        <f t="shared" ref="AI9:AI40" si="9">(AF9-AF8)/LN(AF9/AF8)</f>
        <v>#DIV/0!</v>
      </c>
      <c r="AJ9" t="e">
        <f t="shared" ref="AJ9:AJ40" si="10">AH9+AI9</f>
        <v>#DIV/0!</v>
      </c>
      <c r="AL9" t="e">
        <f t="shared" ref="AL9:AL40" si="11">AH9/AJ9</f>
        <v>#DIV/0!</v>
      </c>
      <c r="AM9" t="e">
        <f t="shared" ref="AM9:AM40" si="12">AI9/AJ9</f>
        <v>#DIV/0!</v>
      </c>
      <c r="AP9" t="e">
        <f t="shared" ref="AP9:AP40" si="13">LN(P9/P8)</f>
        <v>#DIV/0!</v>
      </c>
      <c r="AQ9" t="e">
        <f t="shared" ref="AQ9:AQ40" si="14">LN(Q9/Q8)</f>
        <v>#DIV/0!</v>
      </c>
      <c r="AS9" s="129">
        <f t="shared" si="3"/>
        <v>0</v>
      </c>
      <c r="AT9" s="129">
        <f t="shared" si="4"/>
        <v>1</v>
      </c>
      <c r="AV9" t="e">
        <f t="shared" ref="AV9:AV40" si="15">LN(AS9/AS8)</f>
        <v>#DIV/0!</v>
      </c>
      <c r="AW9">
        <f t="shared" ref="AW9:AW40" si="16">LN(AT9/AT8)</f>
        <v>0</v>
      </c>
      <c r="AZ9" t="e">
        <f t="shared" ref="AZ9:AZ40" si="17">EXP(SUMPRODUCT($AL9:$AM9,AP9:AQ9))</f>
        <v>#DIV/0!</v>
      </c>
      <c r="BA9" s="129">
        <f t="shared" ref="BA9:BA40" si="18">IF(ISERR(AZ9),BA8,AZ9*BA8)</f>
        <v>1</v>
      </c>
      <c r="BB9" s="129">
        <f t="shared" si="5"/>
        <v>1.7256273623823351</v>
      </c>
      <c r="BC9" s="129"/>
      <c r="BD9" t="e">
        <f t="shared" ref="BD9:BD40" si="19">EXP(SUMPRODUCT($AL9:$AM9,AV9:AW9))</f>
        <v>#DIV/0!</v>
      </c>
      <c r="BE9" s="129">
        <f t="shared" ref="BE9:BE40" si="20">IF(ISERR(BD9),BE8,BD9*BE8)</f>
        <v>1</v>
      </c>
      <c r="BF9" s="129">
        <f t="shared" si="6"/>
        <v>1.0369978502549793</v>
      </c>
    </row>
    <row r="10" spans="1:58" x14ac:dyDescent="0.2">
      <c r="A10" s="133" t="s">
        <v>664</v>
      </c>
      <c r="B10" s="133">
        <f t="shared" si="7"/>
        <v>1951</v>
      </c>
      <c r="D10" s="308"/>
      <c r="E10" s="308"/>
      <c r="F10" s="308"/>
      <c r="H10" s="310"/>
      <c r="I10" s="310">
        <f>'Passenger-based Activity'!U10</f>
        <v>900</v>
      </c>
      <c r="J10" s="310">
        <f t="shared" si="0"/>
        <v>900</v>
      </c>
      <c r="T10" s="131"/>
      <c r="U10" s="131"/>
      <c r="V10" s="131"/>
      <c r="W10" s="131"/>
      <c r="X10" s="131"/>
      <c r="Y10" s="131"/>
      <c r="Z10" s="131"/>
      <c r="AA10" s="132"/>
      <c r="AC10" s="134"/>
      <c r="AE10" t="e">
        <f t="shared" si="1"/>
        <v>#DIV/0!</v>
      </c>
      <c r="AF10" t="e">
        <f t="shared" si="2"/>
        <v>#DIV/0!</v>
      </c>
      <c r="AH10" t="e">
        <f t="shared" si="8"/>
        <v>#DIV/0!</v>
      </c>
      <c r="AI10" t="e">
        <f t="shared" si="9"/>
        <v>#DIV/0!</v>
      </c>
      <c r="AJ10" t="e">
        <f t="shared" si="10"/>
        <v>#DIV/0!</v>
      </c>
      <c r="AL10" t="e">
        <f t="shared" si="11"/>
        <v>#DIV/0!</v>
      </c>
      <c r="AM10" t="e">
        <f t="shared" si="12"/>
        <v>#DIV/0!</v>
      </c>
      <c r="AP10" t="e">
        <f t="shared" si="13"/>
        <v>#DIV/0!</v>
      </c>
      <c r="AQ10" t="e">
        <f t="shared" si="14"/>
        <v>#DIV/0!</v>
      </c>
      <c r="AS10" s="129">
        <f t="shared" si="3"/>
        <v>0</v>
      </c>
      <c r="AT10" s="129">
        <f t="shared" si="4"/>
        <v>1</v>
      </c>
      <c r="AV10" t="e">
        <f t="shared" si="15"/>
        <v>#DIV/0!</v>
      </c>
      <c r="AW10">
        <f t="shared" si="16"/>
        <v>0</v>
      </c>
      <c r="AZ10" t="e">
        <f t="shared" si="17"/>
        <v>#DIV/0!</v>
      </c>
      <c r="BA10" s="129">
        <f t="shared" si="18"/>
        <v>1</v>
      </c>
      <c r="BB10" s="129">
        <f t="shared" si="5"/>
        <v>1.7256273623823351</v>
      </c>
      <c r="BC10" s="129"/>
      <c r="BD10" t="e">
        <f t="shared" si="19"/>
        <v>#DIV/0!</v>
      </c>
      <c r="BE10" s="129">
        <f t="shared" si="20"/>
        <v>1</v>
      </c>
      <c r="BF10" s="129">
        <f t="shared" si="6"/>
        <v>1.0369978502549793</v>
      </c>
    </row>
    <row r="11" spans="1:58" x14ac:dyDescent="0.2">
      <c r="A11" s="133" t="s">
        <v>664</v>
      </c>
      <c r="B11" s="133">
        <f t="shared" si="7"/>
        <v>1952</v>
      </c>
      <c r="D11" s="308"/>
      <c r="E11" s="308"/>
      <c r="F11" s="308"/>
      <c r="H11" s="310"/>
      <c r="I11" s="310">
        <f>'Passenger-based Activity'!U11</f>
        <v>1000</v>
      </c>
      <c r="J11" s="310">
        <f t="shared" si="0"/>
        <v>1000</v>
      </c>
      <c r="T11" s="131"/>
      <c r="U11" s="131"/>
      <c r="V11" s="131"/>
      <c r="W11" s="131"/>
      <c r="X11" s="131"/>
      <c r="Y11" s="131"/>
      <c r="Z11" s="131"/>
      <c r="AA11" s="132"/>
      <c r="AC11" s="134"/>
      <c r="AE11" t="e">
        <f t="shared" si="1"/>
        <v>#DIV/0!</v>
      </c>
      <c r="AF11" t="e">
        <f t="shared" si="2"/>
        <v>#DIV/0!</v>
      </c>
      <c r="AH11" t="e">
        <f t="shared" si="8"/>
        <v>#DIV/0!</v>
      </c>
      <c r="AI11" t="e">
        <f t="shared" si="9"/>
        <v>#DIV/0!</v>
      </c>
      <c r="AJ11" t="e">
        <f t="shared" si="10"/>
        <v>#DIV/0!</v>
      </c>
      <c r="AL11" t="e">
        <f t="shared" si="11"/>
        <v>#DIV/0!</v>
      </c>
      <c r="AM11" t="e">
        <f t="shared" si="12"/>
        <v>#DIV/0!</v>
      </c>
      <c r="AP11" t="e">
        <f t="shared" si="13"/>
        <v>#DIV/0!</v>
      </c>
      <c r="AQ11" t="e">
        <f t="shared" si="14"/>
        <v>#DIV/0!</v>
      </c>
      <c r="AS11" s="129">
        <f t="shared" si="3"/>
        <v>0</v>
      </c>
      <c r="AT11" s="129">
        <f t="shared" si="4"/>
        <v>1</v>
      </c>
      <c r="AV11" t="e">
        <f t="shared" si="15"/>
        <v>#DIV/0!</v>
      </c>
      <c r="AW11">
        <f t="shared" si="16"/>
        <v>0</v>
      </c>
      <c r="AZ11" t="e">
        <f t="shared" si="17"/>
        <v>#DIV/0!</v>
      </c>
      <c r="BA11" s="129">
        <f t="shared" si="18"/>
        <v>1</v>
      </c>
      <c r="BB11" s="129">
        <f t="shared" si="5"/>
        <v>1.7256273623823351</v>
      </c>
      <c r="BC11" s="129"/>
      <c r="BD11" t="e">
        <f t="shared" si="19"/>
        <v>#DIV/0!</v>
      </c>
      <c r="BE11" s="129">
        <f t="shared" si="20"/>
        <v>1</v>
      </c>
      <c r="BF11" s="129">
        <f t="shared" si="6"/>
        <v>1.0369978502549793</v>
      </c>
    </row>
    <row r="12" spans="1:58" x14ac:dyDescent="0.2">
      <c r="A12" s="133" t="s">
        <v>664</v>
      </c>
      <c r="B12" s="133">
        <f t="shared" si="7"/>
        <v>1953</v>
      </c>
      <c r="D12" s="308"/>
      <c r="E12" s="308"/>
      <c r="F12" s="308"/>
      <c r="H12" s="310"/>
      <c r="I12" s="310">
        <f>'Passenger-based Activity'!U12</f>
        <v>1200</v>
      </c>
      <c r="J12" s="310">
        <f t="shared" si="0"/>
        <v>1200</v>
      </c>
      <c r="T12" s="131"/>
      <c r="U12" s="131"/>
      <c r="V12" s="131"/>
      <c r="W12" s="131"/>
      <c r="X12" s="131"/>
      <c r="Y12" s="131"/>
      <c r="Z12" s="131"/>
      <c r="AA12" s="132"/>
      <c r="AC12" s="134"/>
      <c r="AE12" t="e">
        <f t="shared" si="1"/>
        <v>#DIV/0!</v>
      </c>
      <c r="AF12" t="e">
        <f t="shared" si="2"/>
        <v>#DIV/0!</v>
      </c>
      <c r="AH12" t="e">
        <f t="shared" si="8"/>
        <v>#DIV/0!</v>
      </c>
      <c r="AI12" t="e">
        <f t="shared" si="9"/>
        <v>#DIV/0!</v>
      </c>
      <c r="AJ12" t="e">
        <f t="shared" si="10"/>
        <v>#DIV/0!</v>
      </c>
      <c r="AL12" t="e">
        <f t="shared" si="11"/>
        <v>#DIV/0!</v>
      </c>
      <c r="AM12" t="e">
        <f t="shared" si="12"/>
        <v>#DIV/0!</v>
      </c>
      <c r="AP12" t="e">
        <f t="shared" si="13"/>
        <v>#DIV/0!</v>
      </c>
      <c r="AQ12" t="e">
        <f t="shared" si="14"/>
        <v>#DIV/0!</v>
      </c>
      <c r="AS12" s="129">
        <f t="shared" si="3"/>
        <v>0</v>
      </c>
      <c r="AT12" s="129">
        <f t="shared" si="4"/>
        <v>1</v>
      </c>
      <c r="AV12" t="e">
        <f t="shared" si="15"/>
        <v>#DIV/0!</v>
      </c>
      <c r="AW12">
        <f t="shared" si="16"/>
        <v>0</v>
      </c>
      <c r="AZ12" t="e">
        <f t="shared" si="17"/>
        <v>#DIV/0!</v>
      </c>
      <c r="BA12" s="129">
        <f t="shared" si="18"/>
        <v>1</v>
      </c>
      <c r="BB12" s="129">
        <f t="shared" si="5"/>
        <v>1.7256273623823351</v>
      </c>
      <c r="BC12" s="129"/>
      <c r="BD12" t="e">
        <f t="shared" si="19"/>
        <v>#DIV/0!</v>
      </c>
      <c r="BE12" s="129">
        <f t="shared" si="20"/>
        <v>1</v>
      </c>
      <c r="BF12" s="129">
        <f t="shared" si="6"/>
        <v>1.0369978502549793</v>
      </c>
    </row>
    <row r="13" spans="1:58" x14ac:dyDescent="0.2">
      <c r="A13" s="133" t="s">
        <v>664</v>
      </c>
      <c r="B13" s="133">
        <f t="shared" si="7"/>
        <v>1954</v>
      </c>
      <c r="D13" s="308"/>
      <c r="E13" s="308"/>
      <c r="F13" s="308"/>
      <c r="H13" s="310"/>
      <c r="I13" s="310">
        <f>'Passenger-based Activity'!U13</f>
        <v>1400</v>
      </c>
      <c r="J13" s="310">
        <f t="shared" si="0"/>
        <v>1400</v>
      </c>
      <c r="T13" s="131"/>
      <c r="U13" s="131"/>
      <c r="V13" s="131"/>
      <c r="W13" s="131"/>
      <c r="X13" s="131"/>
      <c r="Y13" s="131"/>
      <c r="Z13" s="131"/>
      <c r="AA13" s="132"/>
      <c r="AC13" s="134"/>
      <c r="AE13" t="e">
        <f t="shared" si="1"/>
        <v>#DIV/0!</v>
      </c>
      <c r="AF13" t="e">
        <f t="shared" si="2"/>
        <v>#DIV/0!</v>
      </c>
      <c r="AH13" t="e">
        <f t="shared" si="8"/>
        <v>#DIV/0!</v>
      </c>
      <c r="AI13" t="e">
        <f t="shared" si="9"/>
        <v>#DIV/0!</v>
      </c>
      <c r="AJ13" t="e">
        <f t="shared" si="10"/>
        <v>#DIV/0!</v>
      </c>
      <c r="AL13" t="e">
        <f t="shared" si="11"/>
        <v>#DIV/0!</v>
      </c>
      <c r="AM13" t="e">
        <f t="shared" si="12"/>
        <v>#DIV/0!</v>
      </c>
      <c r="AP13" t="e">
        <f t="shared" si="13"/>
        <v>#DIV/0!</v>
      </c>
      <c r="AQ13" t="e">
        <f t="shared" si="14"/>
        <v>#DIV/0!</v>
      </c>
      <c r="AS13" s="129">
        <f t="shared" si="3"/>
        <v>0</v>
      </c>
      <c r="AT13" s="129">
        <f t="shared" si="4"/>
        <v>1</v>
      </c>
      <c r="AV13" t="e">
        <f t="shared" si="15"/>
        <v>#DIV/0!</v>
      </c>
      <c r="AW13">
        <f t="shared" si="16"/>
        <v>0</v>
      </c>
      <c r="AZ13" t="e">
        <f t="shared" si="17"/>
        <v>#DIV/0!</v>
      </c>
      <c r="BA13" s="129">
        <f t="shared" si="18"/>
        <v>1</v>
      </c>
      <c r="BB13" s="129">
        <f t="shared" si="5"/>
        <v>1.7256273623823351</v>
      </c>
      <c r="BC13" s="129"/>
      <c r="BD13" t="e">
        <f t="shared" si="19"/>
        <v>#DIV/0!</v>
      </c>
      <c r="BE13" s="129">
        <f t="shared" si="20"/>
        <v>1</v>
      </c>
      <c r="BF13" s="129">
        <f t="shared" si="6"/>
        <v>1.0369978502549793</v>
      </c>
    </row>
    <row r="14" spans="1:58" x14ac:dyDescent="0.2">
      <c r="A14" s="133" t="s">
        <v>664</v>
      </c>
      <c r="B14" s="133">
        <f t="shared" si="7"/>
        <v>1955</v>
      </c>
      <c r="D14" s="308"/>
      <c r="E14" s="308"/>
      <c r="F14" s="308"/>
      <c r="H14" s="310"/>
      <c r="I14" s="310">
        <f>'Passenger-based Activity'!U14</f>
        <v>1500</v>
      </c>
      <c r="J14" s="310">
        <f t="shared" si="0"/>
        <v>1500</v>
      </c>
      <c r="T14" s="131"/>
      <c r="U14" s="131"/>
      <c r="V14" s="131"/>
      <c r="W14" s="131"/>
      <c r="X14" s="131"/>
      <c r="Y14" s="131"/>
      <c r="Z14" s="131"/>
      <c r="AA14" s="132"/>
      <c r="AC14" s="134"/>
      <c r="AE14" t="e">
        <f t="shared" si="1"/>
        <v>#DIV/0!</v>
      </c>
      <c r="AF14" t="e">
        <f t="shared" si="2"/>
        <v>#DIV/0!</v>
      </c>
      <c r="AH14" t="e">
        <f t="shared" si="8"/>
        <v>#DIV/0!</v>
      </c>
      <c r="AI14" t="e">
        <f t="shared" si="9"/>
        <v>#DIV/0!</v>
      </c>
      <c r="AJ14" t="e">
        <f t="shared" si="10"/>
        <v>#DIV/0!</v>
      </c>
      <c r="AL14" t="e">
        <f t="shared" si="11"/>
        <v>#DIV/0!</v>
      </c>
      <c r="AM14" t="e">
        <f t="shared" si="12"/>
        <v>#DIV/0!</v>
      </c>
      <c r="AP14" t="e">
        <f t="shared" si="13"/>
        <v>#DIV/0!</v>
      </c>
      <c r="AQ14" t="e">
        <f t="shared" si="14"/>
        <v>#DIV/0!</v>
      </c>
      <c r="AS14" s="129">
        <f t="shared" si="3"/>
        <v>0</v>
      </c>
      <c r="AT14" s="129">
        <f t="shared" si="4"/>
        <v>1</v>
      </c>
      <c r="AV14" t="e">
        <f t="shared" si="15"/>
        <v>#DIV/0!</v>
      </c>
      <c r="AW14">
        <f t="shared" si="16"/>
        <v>0</v>
      </c>
      <c r="AZ14" t="e">
        <f t="shared" si="17"/>
        <v>#DIV/0!</v>
      </c>
      <c r="BA14" s="129">
        <f t="shared" si="18"/>
        <v>1</v>
      </c>
      <c r="BB14" s="129">
        <f t="shared" si="5"/>
        <v>1.7256273623823351</v>
      </c>
      <c r="BC14" s="129"/>
      <c r="BD14" t="e">
        <f t="shared" si="19"/>
        <v>#DIV/0!</v>
      </c>
      <c r="BE14" s="129">
        <f t="shared" si="20"/>
        <v>1</v>
      </c>
      <c r="BF14" s="129">
        <f t="shared" si="6"/>
        <v>1.0369978502549793</v>
      </c>
    </row>
    <row r="15" spans="1:58" x14ac:dyDescent="0.2">
      <c r="A15" s="133" t="s">
        <v>664</v>
      </c>
      <c r="B15" s="133">
        <f t="shared" si="7"/>
        <v>1956</v>
      </c>
      <c r="D15" s="308"/>
      <c r="E15" s="308"/>
      <c r="F15" s="308"/>
      <c r="H15" s="310"/>
      <c r="I15" s="310">
        <f>'Passenger-based Activity'!U15</f>
        <v>1600</v>
      </c>
      <c r="J15" s="310">
        <f t="shared" si="0"/>
        <v>1600</v>
      </c>
      <c r="T15" s="131"/>
      <c r="U15" s="131"/>
      <c r="V15" s="131"/>
      <c r="W15" s="131"/>
      <c r="X15" s="131"/>
      <c r="Y15" s="131"/>
      <c r="Z15" s="131"/>
      <c r="AA15" s="132"/>
      <c r="AC15" s="134"/>
      <c r="AE15" t="e">
        <f t="shared" si="1"/>
        <v>#DIV/0!</v>
      </c>
      <c r="AF15" t="e">
        <f t="shared" si="2"/>
        <v>#DIV/0!</v>
      </c>
      <c r="AH15" t="e">
        <f t="shared" si="8"/>
        <v>#DIV/0!</v>
      </c>
      <c r="AI15" t="e">
        <f t="shared" si="9"/>
        <v>#DIV/0!</v>
      </c>
      <c r="AJ15" t="e">
        <f t="shared" si="10"/>
        <v>#DIV/0!</v>
      </c>
      <c r="AL15" t="e">
        <f t="shared" si="11"/>
        <v>#DIV/0!</v>
      </c>
      <c r="AM15" t="e">
        <f t="shared" si="12"/>
        <v>#DIV/0!</v>
      </c>
      <c r="AP15" t="e">
        <f t="shared" si="13"/>
        <v>#DIV/0!</v>
      </c>
      <c r="AQ15" t="e">
        <f t="shared" si="14"/>
        <v>#DIV/0!</v>
      </c>
      <c r="AS15" s="129">
        <f t="shared" si="3"/>
        <v>0</v>
      </c>
      <c r="AT15" s="129">
        <f t="shared" si="4"/>
        <v>1</v>
      </c>
      <c r="AV15" t="e">
        <f t="shared" si="15"/>
        <v>#DIV/0!</v>
      </c>
      <c r="AW15">
        <f t="shared" si="16"/>
        <v>0</v>
      </c>
      <c r="AZ15" t="e">
        <f t="shared" si="17"/>
        <v>#DIV/0!</v>
      </c>
      <c r="BA15" s="129">
        <f t="shared" si="18"/>
        <v>1</v>
      </c>
      <c r="BB15" s="129">
        <f t="shared" si="5"/>
        <v>1.7256273623823351</v>
      </c>
      <c r="BC15" s="129"/>
      <c r="BD15" t="e">
        <f t="shared" si="19"/>
        <v>#DIV/0!</v>
      </c>
      <c r="BE15" s="129">
        <f t="shared" si="20"/>
        <v>1</v>
      </c>
      <c r="BF15" s="129">
        <f t="shared" si="6"/>
        <v>1.0369978502549793</v>
      </c>
    </row>
    <row r="16" spans="1:58" x14ac:dyDescent="0.2">
      <c r="A16" s="133" t="s">
        <v>664</v>
      </c>
      <c r="B16" s="133">
        <f t="shared" si="7"/>
        <v>1957</v>
      </c>
      <c r="D16" s="308"/>
      <c r="E16" s="308"/>
      <c r="F16" s="308"/>
      <c r="H16" s="310"/>
      <c r="I16" s="310">
        <f>'Passenger-based Activity'!U16</f>
        <v>1800</v>
      </c>
      <c r="J16" s="310">
        <f t="shared" si="0"/>
        <v>1800</v>
      </c>
      <c r="T16" s="131"/>
      <c r="U16" s="131"/>
      <c r="V16" s="131"/>
      <c r="W16" s="131"/>
      <c r="X16" s="131"/>
      <c r="Y16" s="131"/>
      <c r="Z16" s="131"/>
      <c r="AA16" s="132"/>
      <c r="AC16" s="134"/>
      <c r="AE16" t="e">
        <f t="shared" si="1"/>
        <v>#DIV/0!</v>
      </c>
      <c r="AF16" t="e">
        <f t="shared" si="2"/>
        <v>#DIV/0!</v>
      </c>
      <c r="AH16" t="e">
        <f t="shared" si="8"/>
        <v>#DIV/0!</v>
      </c>
      <c r="AI16" t="e">
        <f t="shared" si="9"/>
        <v>#DIV/0!</v>
      </c>
      <c r="AJ16" t="e">
        <f t="shared" si="10"/>
        <v>#DIV/0!</v>
      </c>
      <c r="AL16" t="e">
        <f t="shared" si="11"/>
        <v>#DIV/0!</v>
      </c>
      <c r="AM16" t="e">
        <f t="shared" si="12"/>
        <v>#DIV/0!</v>
      </c>
      <c r="AP16" t="e">
        <f t="shared" si="13"/>
        <v>#DIV/0!</v>
      </c>
      <c r="AQ16" t="e">
        <f t="shared" si="14"/>
        <v>#DIV/0!</v>
      </c>
      <c r="AS16" s="129">
        <f t="shared" si="3"/>
        <v>0</v>
      </c>
      <c r="AT16" s="129">
        <f t="shared" si="4"/>
        <v>1</v>
      </c>
      <c r="AV16" t="e">
        <f t="shared" si="15"/>
        <v>#DIV/0!</v>
      </c>
      <c r="AW16">
        <f t="shared" si="16"/>
        <v>0</v>
      </c>
      <c r="AZ16" t="e">
        <f t="shared" si="17"/>
        <v>#DIV/0!</v>
      </c>
      <c r="BA16" s="129">
        <f t="shared" si="18"/>
        <v>1</v>
      </c>
      <c r="BB16" s="129">
        <f t="shared" si="5"/>
        <v>1.7256273623823351</v>
      </c>
      <c r="BC16" s="129"/>
      <c r="BD16" t="e">
        <f t="shared" si="19"/>
        <v>#DIV/0!</v>
      </c>
      <c r="BE16" s="129">
        <f t="shared" si="20"/>
        <v>1</v>
      </c>
      <c r="BF16" s="129">
        <f t="shared" si="6"/>
        <v>1.0369978502549793</v>
      </c>
    </row>
    <row r="17" spans="1:58" x14ac:dyDescent="0.2">
      <c r="A17" s="133" t="s">
        <v>664</v>
      </c>
      <c r="B17" s="133">
        <f t="shared" si="7"/>
        <v>1958</v>
      </c>
      <c r="D17" s="308"/>
      <c r="E17" s="308"/>
      <c r="F17" s="308"/>
      <c r="H17" s="310"/>
      <c r="I17" s="310">
        <f>'Passenger-based Activity'!U17</f>
        <v>2100</v>
      </c>
      <c r="J17" s="310">
        <f t="shared" si="0"/>
        <v>2100</v>
      </c>
      <c r="T17" s="131"/>
      <c r="U17" s="131"/>
      <c r="V17" s="131"/>
      <c r="W17" s="131"/>
      <c r="X17" s="131"/>
      <c r="Y17" s="131"/>
      <c r="Z17" s="131"/>
      <c r="AA17" s="132"/>
      <c r="AC17" s="134"/>
      <c r="AE17" t="e">
        <f t="shared" si="1"/>
        <v>#DIV/0!</v>
      </c>
      <c r="AF17" t="e">
        <f t="shared" si="2"/>
        <v>#DIV/0!</v>
      </c>
      <c r="AH17" t="e">
        <f t="shared" si="8"/>
        <v>#DIV/0!</v>
      </c>
      <c r="AI17" t="e">
        <f t="shared" si="9"/>
        <v>#DIV/0!</v>
      </c>
      <c r="AJ17" t="e">
        <f t="shared" si="10"/>
        <v>#DIV/0!</v>
      </c>
      <c r="AL17" t="e">
        <f t="shared" si="11"/>
        <v>#DIV/0!</v>
      </c>
      <c r="AM17" t="e">
        <f t="shared" si="12"/>
        <v>#DIV/0!</v>
      </c>
      <c r="AP17" t="e">
        <f t="shared" si="13"/>
        <v>#DIV/0!</v>
      </c>
      <c r="AQ17" t="e">
        <f t="shared" si="14"/>
        <v>#DIV/0!</v>
      </c>
      <c r="AS17" s="129">
        <f t="shared" si="3"/>
        <v>0</v>
      </c>
      <c r="AT17" s="129">
        <f t="shared" si="4"/>
        <v>1</v>
      </c>
      <c r="AV17" t="e">
        <f t="shared" si="15"/>
        <v>#DIV/0!</v>
      </c>
      <c r="AW17">
        <f t="shared" si="16"/>
        <v>0</v>
      </c>
      <c r="AZ17" t="e">
        <f t="shared" si="17"/>
        <v>#DIV/0!</v>
      </c>
      <c r="BA17" s="129">
        <f t="shared" si="18"/>
        <v>1</v>
      </c>
      <c r="BB17" s="129">
        <f t="shared" si="5"/>
        <v>1.7256273623823351</v>
      </c>
      <c r="BC17" s="129"/>
      <c r="BD17" t="e">
        <f t="shared" si="19"/>
        <v>#DIV/0!</v>
      </c>
      <c r="BE17" s="129">
        <f t="shared" si="20"/>
        <v>1</v>
      </c>
      <c r="BF17" s="129">
        <f t="shared" si="6"/>
        <v>1.0369978502549793</v>
      </c>
    </row>
    <row r="18" spans="1:58" x14ac:dyDescent="0.2">
      <c r="A18" s="133" t="s">
        <v>664</v>
      </c>
      <c r="B18" s="133">
        <f t="shared" si="7"/>
        <v>1959</v>
      </c>
      <c r="D18" s="308"/>
      <c r="E18" s="308"/>
      <c r="F18" s="308"/>
      <c r="H18" s="310"/>
      <c r="I18" s="310">
        <f>'Passenger-based Activity'!U18</f>
        <v>2100</v>
      </c>
      <c r="J18" s="310">
        <f t="shared" si="0"/>
        <v>2100</v>
      </c>
      <c r="T18" s="131"/>
      <c r="U18" s="131"/>
      <c r="V18" s="131"/>
      <c r="W18" s="131"/>
      <c r="X18" s="131"/>
      <c r="Y18" s="131"/>
      <c r="Z18" s="131"/>
      <c r="AA18" s="132"/>
      <c r="AC18" s="134"/>
      <c r="AE18" t="e">
        <f t="shared" si="1"/>
        <v>#DIV/0!</v>
      </c>
      <c r="AF18" t="e">
        <f t="shared" si="2"/>
        <v>#DIV/0!</v>
      </c>
      <c r="AH18" t="e">
        <f t="shared" si="8"/>
        <v>#DIV/0!</v>
      </c>
      <c r="AI18" t="e">
        <f t="shared" si="9"/>
        <v>#DIV/0!</v>
      </c>
      <c r="AJ18" t="e">
        <f t="shared" si="10"/>
        <v>#DIV/0!</v>
      </c>
      <c r="AL18" t="e">
        <f t="shared" si="11"/>
        <v>#DIV/0!</v>
      </c>
      <c r="AM18" t="e">
        <f t="shared" si="12"/>
        <v>#DIV/0!</v>
      </c>
      <c r="AP18" t="e">
        <f t="shared" si="13"/>
        <v>#DIV/0!</v>
      </c>
      <c r="AQ18" t="e">
        <f t="shared" si="14"/>
        <v>#DIV/0!</v>
      </c>
      <c r="AS18" s="129">
        <f t="shared" si="3"/>
        <v>0</v>
      </c>
      <c r="AT18" s="129">
        <f t="shared" si="4"/>
        <v>1</v>
      </c>
      <c r="AV18" t="e">
        <f t="shared" si="15"/>
        <v>#DIV/0!</v>
      </c>
      <c r="AW18">
        <f t="shared" si="16"/>
        <v>0</v>
      </c>
      <c r="AZ18" t="e">
        <f t="shared" si="17"/>
        <v>#DIV/0!</v>
      </c>
      <c r="BA18" s="129">
        <f t="shared" si="18"/>
        <v>1</v>
      </c>
      <c r="BB18" s="129">
        <f t="shared" si="5"/>
        <v>1.7256273623823351</v>
      </c>
      <c r="BC18" s="129"/>
      <c r="BD18" t="e">
        <f t="shared" si="19"/>
        <v>#DIV/0!</v>
      </c>
      <c r="BE18" s="129">
        <f t="shared" si="20"/>
        <v>1</v>
      </c>
      <c r="BF18" s="129">
        <f t="shared" si="6"/>
        <v>1.0369978502549793</v>
      </c>
    </row>
    <row r="19" spans="1:58" x14ac:dyDescent="0.2">
      <c r="A19" s="133" t="s">
        <v>664</v>
      </c>
      <c r="B19" s="133">
        <f t="shared" si="7"/>
        <v>1960</v>
      </c>
      <c r="D19" s="308"/>
      <c r="E19" s="308"/>
      <c r="F19" s="308"/>
      <c r="H19" s="310"/>
      <c r="I19" s="310">
        <f>'Passenger-based Activity'!U19</f>
        <v>2300</v>
      </c>
      <c r="J19" s="310">
        <f t="shared" si="0"/>
        <v>2300</v>
      </c>
      <c r="T19" s="131"/>
      <c r="U19" s="131"/>
      <c r="V19" s="131"/>
      <c r="W19" s="131"/>
      <c r="X19" s="131"/>
      <c r="Y19" s="131"/>
      <c r="Z19" s="131"/>
      <c r="AA19" s="132"/>
      <c r="AC19" s="134"/>
      <c r="AE19" t="e">
        <f t="shared" si="1"/>
        <v>#DIV/0!</v>
      </c>
      <c r="AF19" t="e">
        <f t="shared" si="2"/>
        <v>#DIV/0!</v>
      </c>
      <c r="AH19" t="e">
        <f t="shared" si="8"/>
        <v>#DIV/0!</v>
      </c>
      <c r="AI19" t="e">
        <f t="shared" si="9"/>
        <v>#DIV/0!</v>
      </c>
      <c r="AJ19" t="e">
        <f t="shared" si="10"/>
        <v>#DIV/0!</v>
      </c>
      <c r="AL19" t="e">
        <f t="shared" si="11"/>
        <v>#DIV/0!</v>
      </c>
      <c r="AM19" t="e">
        <f t="shared" si="12"/>
        <v>#DIV/0!</v>
      </c>
      <c r="AP19" t="e">
        <f t="shared" si="13"/>
        <v>#DIV/0!</v>
      </c>
      <c r="AQ19" t="e">
        <f t="shared" si="14"/>
        <v>#DIV/0!</v>
      </c>
      <c r="AS19" s="129">
        <f t="shared" si="3"/>
        <v>0</v>
      </c>
      <c r="AT19" s="129">
        <f t="shared" si="4"/>
        <v>1</v>
      </c>
      <c r="AV19" t="e">
        <f t="shared" si="15"/>
        <v>#DIV/0!</v>
      </c>
      <c r="AW19">
        <f t="shared" si="16"/>
        <v>0</v>
      </c>
      <c r="AZ19" t="e">
        <f t="shared" si="17"/>
        <v>#DIV/0!</v>
      </c>
      <c r="BA19" s="129">
        <f t="shared" si="18"/>
        <v>1</v>
      </c>
      <c r="BB19" s="129">
        <f t="shared" si="5"/>
        <v>1.7256273623823351</v>
      </c>
      <c r="BC19" s="129"/>
      <c r="BD19" t="e">
        <f t="shared" si="19"/>
        <v>#DIV/0!</v>
      </c>
      <c r="BE19" s="129">
        <f t="shared" si="20"/>
        <v>1</v>
      </c>
      <c r="BF19" s="129">
        <f t="shared" si="6"/>
        <v>1.0369978502549793</v>
      </c>
    </row>
    <row r="20" spans="1:58" x14ac:dyDescent="0.2">
      <c r="A20" s="133" t="s">
        <v>664</v>
      </c>
      <c r="B20" s="133">
        <f t="shared" si="7"/>
        <v>1961</v>
      </c>
      <c r="D20" s="308"/>
      <c r="E20" s="308"/>
      <c r="F20" s="308"/>
      <c r="H20" s="310"/>
      <c r="I20" s="310">
        <f>'Passenger-based Activity'!U20</f>
        <v>2300</v>
      </c>
      <c r="J20" s="310">
        <f t="shared" si="0"/>
        <v>2300</v>
      </c>
      <c r="T20" s="131"/>
      <c r="U20" s="131"/>
      <c r="V20" s="131"/>
      <c r="W20" s="131"/>
      <c r="X20" s="131"/>
      <c r="Y20" s="131"/>
      <c r="Z20" s="131"/>
      <c r="AA20" s="132"/>
      <c r="AC20" s="134"/>
      <c r="AE20" t="e">
        <f t="shared" si="1"/>
        <v>#DIV/0!</v>
      </c>
      <c r="AF20" t="e">
        <f t="shared" si="2"/>
        <v>#DIV/0!</v>
      </c>
      <c r="AH20" t="e">
        <f t="shared" si="8"/>
        <v>#DIV/0!</v>
      </c>
      <c r="AI20" t="e">
        <f t="shared" si="9"/>
        <v>#DIV/0!</v>
      </c>
      <c r="AJ20" t="e">
        <f t="shared" si="10"/>
        <v>#DIV/0!</v>
      </c>
      <c r="AL20" t="e">
        <f t="shared" si="11"/>
        <v>#DIV/0!</v>
      </c>
      <c r="AM20" t="e">
        <f t="shared" si="12"/>
        <v>#DIV/0!</v>
      </c>
      <c r="AP20" t="e">
        <f t="shared" si="13"/>
        <v>#DIV/0!</v>
      </c>
      <c r="AQ20" t="e">
        <f t="shared" si="14"/>
        <v>#DIV/0!</v>
      </c>
      <c r="AS20" s="129">
        <f t="shared" si="3"/>
        <v>0</v>
      </c>
      <c r="AT20" s="129">
        <f t="shared" si="4"/>
        <v>1</v>
      </c>
      <c r="AV20" t="e">
        <f t="shared" si="15"/>
        <v>#DIV/0!</v>
      </c>
      <c r="AW20">
        <f t="shared" si="16"/>
        <v>0</v>
      </c>
      <c r="AZ20" t="e">
        <f t="shared" si="17"/>
        <v>#DIV/0!</v>
      </c>
      <c r="BA20" s="129">
        <f t="shared" si="18"/>
        <v>1</v>
      </c>
      <c r="BB20" s="129">
        <f t="shared" si="5"/>
        <v>1.7256273623823351</v>
      </c>
      <c r="BC20" s="129"/>
      <c r="BD20" t="e">
        <f t="shared" si="19"/>
        <v>#DIV/0!</v>
      </c>
      <c r="BE20" s="129">
        <f t="shared" si="20"/>
        <v>1</v>
      </c>
      <c r="BF20" s="129">
        <f t="shared" si="6"/>
        <v>1.0369978502549793</v>
      </c>
    </row>
    <row r="21" spans="1:58" x14ac:dyDescent="0.2">
      <c r="A21" s="133" t="s">
        <v>664</v>
      </c>
      <c r="B21" s="133">
        <f t="shared" si="7"/>
        <v>1962</v>
      </c>
      <c r="D21" s="309"/>
      <c r="E21" s="309">
        <f>'Passenger-based Energy Use'!O20</f>
        <v>31.668199999999999</v>
      </c>
      <c r="F21" s="309">
        <f t="shared" ref="F21:F39" si="21">D21+E21</f>
        <v>31.668199999999999</v>
      </c>
      <c r="H21" s="310"/>
      <c r="I21" s="310">
        <f>'Passenger-based Activity'!U21</f>
        <v>2700</v>
      </c>
      <c r="J21" s="310">
        <f t="shared" si="0"/>
        <v>2700</v>
      </c>
      <c r="T21" s="131"/>
      <c r="U21" s="131"/>
      <c r="V21" s="131"/>
      <c r="W21" s="131"/>
      <c r="X21" s="131"/>
      <c r="Y21" s="131"/>
      <c r="Z21" s="131"/>
      <c r="AA21" s="132"/>
      <c r="AC21" s="134"/>
      <c r="AE21" s="129">
        <f t="shared" si="1"/>
        <v>0</v>
      </c>
      <c r="AF21" s="129">
        <f t="shared" si="2"/>
        <v>1</v>
      </c>
      <c r="AH21" t="e">
        <f t="shared" si="8"/>
        <v>#DIV/0!</v>
      </c>
      <c r="AI21" t="e">
        <f t="shared" si="9"/>
        <v>#DIV/0!</v>
      </c>
      <c r="AJ21" t="e">
        <f t="shared" si="10"/>
        <v>#DIV/0!</v>
      </c>
      <c r="AL21" t="e">
        <f t="shared" si="11"/>
        <v>#DIV/0!</v>
      </c>
      <c r="AM21" t="e">
        <f t="shared" si="12"/>
        <v>#DIV/0!</v>
      </c>
      <c r="AP21" t="e">
        <f t="shared" si="13"/>
        <v>#DIV/0!</v>
      </c>
      <c r="AQ21" t="e">
        <f t="shared" si="14"/>
        <v>#DIV/0!</v>
      </c>
      <c r="AS21" s="129">
        <f t="shared" si="3"/>
        <v>0</v>
      </c>
      <c r="AT21" s="129">
        <f t="shared" si="4"/>
        <v>1</v>
      </c>
      <c r="AV21" t="e">
        <f t="shared" si="15"/>
        <v>#DIV/0!</v>
      </c>
      <c r="AW21">
        <f t="shared" si="16"/>
        <v>0</v>
      </c>
      <c r="AZ21" t="e">
        <f t="shared" si="17"/>
        <v>#DIV/0!</v>
      </c>
      <c r="BA21" s="129">
        <f t="shared" si="18"/>
        <v>1</v>
      </c>
      <c r="BB21" s="129">
        <f t="shared" si="5"/>
        <v>1.7256273623823351</v>
      </c>
      <c r="BC21" s="129"/>
      <c r="BD21" t="e">
        <f t="shared" si="19"/>
        <v>#DIV/0!</v>
      </c>
      <c r="BE21" s="129">
        <f t="shared" si="20"/>
        <v>1</v>
      </c>
      <c r="BF21" s="129">
        <f t="shared" si="6"/>
        <v>1.0369978502549793</v>
      </c>
    </row>
    <row r="22" spans="1:58" x14ac:dyDescent="0.2">
      <c r="A22" s="133" t="s">
        <v>664</v>
      </c>
      <c r="B22" s="133">
        <f t="shared" si="7"/>
        <v>1963</v>
      </c>
      <c r="D22" s="309"/>
      <c r="E22" s="309">
        <f>'Passenger-based Energy Use'!O21</f>
        <v>34.369999999999997</v>
      </c>
      <c r="F22" s="309">
        <f t="shared" si="21"/>
        <v>34.369999999999997</v>
      </c>
      <c r="H22" s="310"/>
      <c r="I22" s="310">
        <f>'Passenger-based Activity'!U22</f>
        <v>3400</v>
      </c>
      <c r="J22" s="310">
        <f t="shared" si="0"/>
        <v>3400</v>
      </c>
      <c r="T22" s="131"/>
      <c r="U22" s="131"/>
      <c r="V22" s="131"/>
      <c r="W22" s="131"/>
      <c r="X22" s="131"/>
      <c r="Y22" s="131"/>
      <c r="Z22" s="131"/>
      <c r="AA22" s="132"/>
      <c r="AC22" s="134"/>
      <c r="AE22" s="129">
        <f t="shared" si="1"/>
        <v>0</v>
      </c>
      <c r="AF22" s="129">
        <f t="shared" si="2"/>
        <v>1</v>
      </c>
      <c r="AH22" t="e">
        <f t="shared" si="8"/>
        <v>#DIV/0!</v>
      </c>
      <c r="AI22" t="e">
        <f t="shared" si="9"/>
        <v>#DIV/0!</v>
      </c>
      <c r="AJ22" t="e">
        <f t="shared" si="10"/>
        <v>#DIV/0!</v>
      </c>
      <c r="AL22" t="e">
        <f t="shared" si="11"/>
        <v>#DIV/0!</v>
      </c>
      <c r="AM22" t="e">
        <f t="shared" si="12"/>
        <v>#DIV/0!</v>
      </c>
      <c r="AP22" t="e">
        <f t="shared" si="13"/>
        <v>#DIV/0!</v>
      </c>
      <c r="AQ22" t="e">
        <f t="shared" si="14"/>
        <v>#DIV/0!</v>
      </c>
      <c r="AS22" s="129">
        <f t="shared" si="3"/>
        <v>0</v>
      </c>
      <c r="AT22" s="129">
        <f t="shared" si="4"/>
        <v>1</v>
      </c>
      <c r="AV22" t="e">
        <f t="shared" si="15"/>
        <v>#DIV/0!</v>
      </c>
      <c r="AW22">
        <f t="shared" si="16"/>
        <v>0</v>
      </c>
      <c r="AZ22" t="e">
        <f t="shared" si="17"/>
        <v>#DIV/0!</v>
      </c>
      <c r="BA22" s="129">
        <f t="shared" si="18"/>
        <v>1</v>
      </c>
      <c r="BB22" s="129">
        <f t="shared" si="5"/>
        <v>1.7256273623823351</v>
      </c>
      <c r="BC22" s="129"/>
      <c r="BD22" t="e">
        <f t="shared" si="19"/>
        <v>#DIV/0!</v>
      </c>
      <c r="BE22" s="129">
        <f t="shared" si="20"/>
        <v>1</v>
      </c>
      <c r="BF22" s="129">
        <f t="shared" si="6"/>
        <v>1.0369978502549793</v>
      </c>
    </row>
    <row r="23" spans="1:58" x14ac:dyDescent="0.2">
      <c r="A23" s="133" t="s">
        <v>664</v>
      </c>
      <c r="B23" s="133">
        <f t="shared" si="7"/>
        <v>1964</v>
      </c>
      <c r="D23" s="309"/>
      <c r="E23" s="309">
        <f>'Passenger-based Energy Use'!O22</f>
        <v>37.0274</v>
      </c>
      <c r="F23" s="309">
        <f t="shared" si="21"/>
        <v>37.0274</v>
      </c>
      <c r="H23" s="310"/>
      <c r="I23" s="310">
        <f>'Passenger-based Activity'!U23</f>
        <v>3700</v>
      </c>
      <c r="J23" s="310">
        <f t="shared" si="0"/>
        <v>3700</v>
      </c>
      <c r="T23" s="131"/>
      <c r="U23" s="131"/>
      <c r="V23" s="131"/>
      <c r="W23" s="131"/>
      <c r="X23" s="131"/>
      <c r="Y23" s="131"/>
      <c r="Z23" s="131"/>
      <c r="AA23" s="132"/>
      <c r="AC23" s="134"/>
      <c r="AE23" s="129">
        <f t="shared" si="1"/>
        <v>0</v>
      </c>
      <c r="AF23" s="129">
        <f t="shared" si="2"/>
        <v>1</v>
      </c>
      <c r="AH23" t="e">
        <f t="shared" si="8"/>
        <v>#DIV/0!</v>
      </c>
      <c r="AI23" t="e">
        <f t="shared" si="9"/>
        <v>#DIV/0!</v>
      </c>
      <c r="AJ23" t="e">
        <f t="shared" si="10"/>
        <v>#DIV/0!</v>
      </c>
      <c r="AL23" t="e">
        <f t="shared" si="11"/>
        <v>#DIV/0!</v>
      </c>
      <c r="AM23" t="e">
        <f t="shared" si="12"/>
        <v>#DIV/0!</v>
      </c>
      <c r="AP23" t="e">
        <f t="shared" si="13"/>
        <v>#DIV/0!</v>
      </c>
      <c r="AQ23" t="e">
        <f t="shared" si="14"/>
        <v>#DIV/0!</v>
      </c>
      <c r="AS23" s="129">
        <f t="shared" si="3"/>
        <v>0</v>
      </c>
      <c r="AT23" s="129">
        <f t="shared" si="4"/>
        <v>1</v>
      </c>
      <c r="AV23" t="e">
        <f t="shared" si="15"/>
        <v>#DIV/0!</v>
      </c>
      <c r="AW23">
        <f t="shared" si="16"/>
        <v>0</v>
      </c>
      <c r="AZ23" t="e">
        <f t="shared" si="17"/>
        <v>#DIV/0!</v>
      </c>
      <c r="BA23" s="129">
        <f t="shared" si="18"/>
        <v>1</v>
      </c>
      <c r="BB23" s="129">
        <f t="shared" si="5"/>
        <v>1.7256273623823351</v>
      </c>
      <c r="BC23" s="129"/>
      <c r="BD23" t="e">
        <f t="shared" si="19"/>
        <v>#DIV/0!</v>
      </c>
      <c r="BE23" s="129">
        <f t="shared" si="20"/>
        <v>1</v>
      </c>
      <c r="BF23" s="129">
        <f t="shared" si="6"/>
        <v>1.0369978502549793</v>
      </c>
    </row>
    <row r="24" spans="1:58" x14ac:dyDescent="0.2">
      <c r="A24" s="133" t="s">
        <v>664</v>
      </c>
      <c r="B24" s="133">
        <f t="shared" si="7"/>
        <v>1965</v>
      </c>
      <c r="D24" s="309"/>
      <c r="E24" s="309">
        <f>'Passenger-based Energy Use'!O23</f>
        <v>42.6584</v>
      </c>
      <c r="F24" s="309">
        <f t="shared" si="21"/>
        <v>42.6584</v>
      </c>
      <c r="H24" s="310"/>
      <c r="I24" s="310">
        <f>'Passenger-based Activity'!U24</f>
        <v>4400</v>
      </c>
      <c r="J24" s="310">
        <f t="shared" si="0"/>
        <v>4400</v>
      </c>
      <c r="T24" s="131"/>
      <c r="U24" s="131"/>
      <c r="V24" s="131"/>
      <c r="W24" s="131"/>
      <c r="X24" s="131"/>
      <c r="Y24" s="131"/>
      <c r="Z24" s="131"/>
      <c r="AA24" s="132"/>
      <c r="AC24" s="134"/>
      <c r="AE24" s="129">
        <f t="shared" si="1"/>
        <v>0</v>
      </c>
      <c r="AF24" s="129">
        <f t="shared" si="2"/>
        <v>1</v>
      </c>
      <c r="AH24" t="e">
        <f t="shared" si="8"/>
        <v>#DIV/0!</v>
      </c>
      <c r="AI24" t="e">
        <f t="shared" si="9"/>
        <v>#DIV/0!</v>
      </c>
      <c r="AJ24" t="e">
        <f t="shared" si="10"/>
        <v>#DIV/0!</v>
      </c>
      <c r="AL24" t="e">
        <f t="shared" si="11"/>
        <v>#DIV/0!</v>
      </c>
      <c r="AM24" t="e">
        <f t="shared" si="12"/>
        <v>#DIV/0!</v>
      </c>
      <c r="AP24" t="e">
        <f t="shared" si="13"/>
        <v>#DIV/0!</v>
      </c>
      <c r="AQ24" t="e">
        <f t="shared" si="14"/>
        <v>#DIV/0!</v>
      </c>
      <c r="AS24" s="129">
        <f t="shared" si="3"/>
        <v>0</v>
      </c>
      <c r="AT24" s="129">
        <f t="shared" si="4"/>
        <v>1</v>
      </c>
      <c r="AV24" t="e">
        <f t="shared" si="15"/>
        <v>#DIV/0!</v>
      </c>
      <c r="AW24">
        <f t="shared" si="16"/>
        <v>0</v>
      </c>
      <c r="AZ24" t="e">
        <f t="shared" si="17"/>
        <v>#DIV/0!</v>
      </c>
      <c r="BA24" s="129">
        <f t="shared" si="18"/>
        <v>1</v>
      </c>
      <c r="BB24" s="129">
        <f t="shared" si="5"/>
        <v>1.7256273623823351</v>
      </c>
      <c r="BC24" s="129"/>
      <c r="BD24" t="e">
        <f t="shared" si="19"/>
        <v>#DIV/0!</v>
      </c>
      <c r="BE24" s="129">
        <f t="shared" si="20"/>
        <v>1</v>
      </c>
      <c r="BF24" s="129">
        <f t="shared" si="6"/>
        <v>1.0369978502549793</v>
      </c>
    </row>
    <row r="25" spans="1:58" x14ac:dyDescent="0.2">
      <c r="A25" s="133" t="s">
        <v>664</v>
      </c>
      <c r="B25" s="133">
        <f t="shared" si="7"/>
        <v>1966</v>
      </c>
      <c r="D25" s="309"/>
      <c r="E25" s="309">
        <f>'Passenger-based Energy Use'!O24</f>
        <v>56.28</v>
      </c>
      <c r="F25" s="309">
        <f t="shared" si="21"/>
        <v>56.28</v>
      </c>
      <c r="H25" s="310"/>
      <c r="I25" s="310">
        <f>'Passenger-based Activity'!U25</f>
        <v>5700</v>
      </c>
      <c r="J25" s="310">
        <f t="shared" si="0"/>
        <v>5700</v>
      </c>
      <c r="T25" s="131"/>
      <c r="U25" s="131"/>
      <c r="V25" s="131"/>
      <c r="W25" s="131"/>
      <c r="X25" s="131"/>
      <c r="Y25" s="131"/>
      <c r="Z25" s="131"/>
      <c r="AA25" s="132"/>
      <c r="AC25" s="134"/>
      <c r="AE25" s="129">
        <f t="shared" si="1"/>
        <v>0</v>
      </c>
      <c r="AF25" s="129">
        <f t="shared" si="2"/>
        <v>1</v>
      </c>
      <c r="AH25" t="e">
        <f t="shared" si="8"/>
        <v>#DIV/0!</v>
      </c>
      <c r="AI25" t="e">
        <f t="shared" si="9"/>
        <v>#DIV/0!</v>
      </c>
      <c r="AJ25" t="e">
        <f t="shared" si="10"/>
        <v>#DIV/0!</v>
      </c>
      <c r="AL25" t="e">
        <f t="shared" si="11"/>
        <v>#DIV/0!</v>
      </c>
      <c r="AM25" t="e">
        <f t="shared" si="12"/>
        <v>#DIV/0!</v>
      </c>
      <c r="AP25" t="e">
        <f t="shared" si="13"/>
        <v>#DIV/0!</v>
      </c>
      <c r="AQ25" t="e">
        <f t="shared" si="14"/>
        <v>#DIV/0!</v>
      </c>
      <c r="AS25" s="129">
        <f t="shared" si="3"/>
        <v>0</v>
      </c>
      <c r="AT25" s="129">
        <f t="shared" si="4"/>
        <v>1</v>
      </c>
      <c r="AV25" t="e">
        <f t="shared" si="15"/>
        <v>#DIV/0!</v>
      </c>
      <c r="AW25">
        <f t="shared" si="16"/>
        <v>0</v>
      </c>
      <c r="AZ25" t="e">
        <f t="shared" si="17"/>
        <v>#DIV/0!</v>
      </c>
      <c r="BA25" s="129">
        <f t="shared" si="18"/>
        <v>1</v>
      </c>
      <c r="BB25" s="129">
        <f t="shared" si="5"/>
        <v>1.7256273623823351</v>
      </c>
      <c r="BC25" s="129"/>
      <c r="BD25" t="e">
        <f t="shared" si="19"/>
        <v>#DIV/0!</v>
      </c>
      <c r="BE25" s="129">
        <f t="shared" si="20"/>
        <v>1</v>
      </c>
      <c r="BF25" s="129">
        <f t="shared" si="6"/>
        <v>1.0369978502549793</v>
      </c>
    </row>
    <row r="26" spans="1:58" x14ac:dyDescent="0.2">
      <c r="A26" s="133" t="s">
        <v>664</v>
      </c>
      <c r="B26" s="133">
        <f t="shared" si="7"/>
        <v>1967</v>
      </c>
      <c r="D26" s="309"/>
      <c r="E26" s="309">
        <f>'Passenger-based Energy Use'!O25</f>
        <v>61.099200000000003</v>
      </c>
      <c r="F26" s="309">
        <f t="shared" si="21"/>
        <v>61.099200000000003</v>
      </c>
      <c r="H26" s="310"/>
      <c r="I26" s="310">
        <f>'Passenger-based Activity'!U26</f>
        <v>7000</v>
      </c>
      <c r="J26" s="310">
        <f t="shared" si="0"/>
        <v>7000</v>
      </c>
      <c r="T26" s="131"/>
      <c r="U26" s="131"/>
      <c r="V26" s="131"/>
      <c r="W26" s="131"/>
      <c r="X26" s="131"/>
      <c r="Y26" s="131"/>
      <c r="Z26" s="131"/>
      <c r="AA26" s="132"/>
      <c r="AC26" s="134"/>
      <c r="AE26" s="129">
        <f t="shared" si="1"/>
        <v>0</v>
      </c>
      <c r="AF26" s="129">
        <f t="shared" si="2"/>
        <v>1</v>
      </c>
      <c r="AH26" t="e">
        <f t="shared" si="8"/>
        <v>#DIV/0!</v>
      </c>
      <c r="AI26" t="e">
        <f t="shared" si="9"/>
        <v>#DIV/0!</v>
      </c>
      <c r="AJ26" t="e">
        <f t="shared" si="10"/>
        <v>#DIV/0!</v>
      </c>
      <c r="AL26" t="e">
        <f t="shared" si="11"/>
        <v>#DIV/0!</v>
      </c>
      <c r="AM26" t="e">
        <f t="shared" si="12"/>
        <v>#DIV/0!</v>
      </c>
      <c r="AP26" t="e">
        <f t="shared" si="13"/>
        <v>#DIV/0!</v>
      </c>
      <c r="AQ26" t="e">
        <f t="shared" si="14"/>
        <v>#DIV/0!</v>
      </c>
      <c r="AS26" s="129">
        <f t="shared" si="3"/>
        <v>0</v>
      </c>
      <c r="AT26" s="129">
        <f t="shared" si="4"/>
        <v>1</v>
      </c>
      <c r="AV26" t="e">
        <f t="shared" si="15"/>
        <v>#DIV/0!</v>
      </c>
      <c r="AW26">
        <f t="shared" si="16"/>
        <v>0</v>
      </c>
      <c r="AZ26" t="e">
        <f t="shared" si="17"/>
        <v>#DIV/0!</v>
      </c>
      <c r="BA26" s="129">
        <f t="shared" si="18"/>
        <v>1</v>
      </c>
      <c r="BB26" s="129">
        <f t="shared" si="5"/>
        <v>1.7256273623823351</v>
      </c>
      <c r="BC26" s="129"/>
      <c r="BD26" t="e">
        <f t="shared" si="19"/>
        <v>#DIV/0!</v>
      </c>
      <c r="BE26" s="129">
        <f t="shared" si="20"/>
        <v>1</v>
      </c>
      <c r="BF26" s="129">
        <f t="shared" si="6"/>
        <v>1.0369978502549793</v>
      </c>
    </row>
    <row r="27" spans="1:58" x14ac:dyDescent="0.2">
      <c r="A27" s="133" t="s">
        <v>664</v>
      </c>
      <c r="B27" s="133">
        <f t="shared" si="7"/>
        <v>1968</v>
      </c>
      <c r="D27" s="309"/>
      <c r="E27" s="309">
        <f>'Passenger-based Energy Use'!O26</f>
        <v>75.024000000000001</v>
      </c>
      <c r="F27" s="309">
        <f t="shared" si="21"/>
        <v>75.024000000000001</v>
      </c>
      <c r="H27" s="310"/>
      <c r="I27" s="310">
        <f>'Passenger-based Activity'!U27</f>
        <v>8200</v>
      </c>
      <c r="J27" s="310">
        <f t="shared" si="0"/>
        <v>8200</v>
      </c>
      <c r="T27" s="131"/>
      <c r="U27" s="131"/>
      <c r="V27" s="131"/>
      <c r="W27" s="131"/>
      <c r="X27" s="131"/>
      <c r="Y27" s="131"/>
      <c r="Z27" s="131"/>
      <c r="AA27" s="132"/>
      <c r="AC27" s="134"/>
      <c r="AE27" s="129">
        <f t="shared" si="1"/>
        <v>0</v>
      </c>
      <c r="AF27" s="129">
        <f t="shared" si="2"/>
        <v>1</v>
      </c>
      <c r="AH27" t="e">
        <f t="shared" si="8"/>
        <v>#DIV/0!</v>
      </c>
      <c r="AI27" t="e">
        <f t="shared" si="9"/>
        <v>#DIV/0!</v>
      </c>
      <c r="AJ27" t="e">
        <f t="shared" si="10"/>
        <v>#DIV/0!</v>
      </c>
      <c r="AL27" t="e">
        <f t="shared" si="11"/>
        <v>#DIV/0!</v>
      </c>
      <c r="AM27" t="e">
        <f t="shared" si="12"/>
        <v>#DIV/0!</v>
      </c>
      <c r="AP27" t="e">
        <f t="shared" si="13"/>
        <v>#DIV/0!</v>
      </c>
      <c r="AQ27" t="e">
        <f t="shared" si="14"/>
        <v>#DIV/0!</v>
      </c>
      <c r="AS27" s="129">
        <f t="shared" si="3"/>
        <v>0</v>
      </c>
      <c r="AT27" s="129">
        <f t="shared" si="4"/>
        <v>1</v>
      </c>
      <c r="AV27" t="e">
        <f t="shared" si="15"/>
        <v>#DIV/0!</v>
      </c>
      <c r="AW27">
        <f t="shared" si="16"/>
        <v>0</v>
      </c>
      <c r="AZ27" t="e">
        <f t="shared" si="17"/>
        <v>#DIV/0!</v>
      </c>
      <c r="BA27" s="129">
        <f t="shared" si="18"/>
        <v>1</v>
      </c>
      <c r="BB27" s="129">
        <f t="shared" si="5"/>
        <v>1.7256273623823351</v>
      </c>
      <c r="BC27" s="129"/>
      <c r="BD27" t="e">
        <f t="shared" si="19"/>
        <v>#DIV/0!</v>
      </c>
      <c r="BE27" s="129">
        <f t="shared" si="20"/>
        <v>1</v>
      </c>
      <c r="BF27" s="129">
        <f t="shared" si="6"/>
        <v>1.0369978502549793</v>
      </c>
    </row>
    <row r="28" spans="1:58" x14ac:dyDescent="0.2">
      <c r="A28" s="133" t="s">
        <v>664</v>
      </c>
      <c r="B28" s="133">
        <f t="shared" si="7"/>
        <v>1969</v>
      </c>
      <c r="D28" s="309"/>
      <c r="E28" s="309">
        <f>'Passenger-based Energy Use'!O27</f>
        <v>85.424400000000006</v>
      </c>
      <c r="F28" s="309">
        <f t="shared" si="21"/>
        <v>85.424400000000006</v>
      </c>
      <c r="H28" s="310"/>
      <c r="I28" s="310">
        <f>'Passenger-based Activity'!U28</f>
        <v>8800</v>
      </c>
      <c r="J28" s="310">
        <f t="shared" si="0"/>
        <v>8800</v>
      </c>
      <c r="T28" s="131"/>
      <c r="U28" s="131"/>
      <c r="V28" s="131"/>
      <c r="W28" s="131"/>
      <c r="X28" s="131"/>
      <c r="Y28" s="131"/>
      <c r="Z28" s="131"/>
      <c r="AA28" s="132"/>
      <c r="AC28" s="134"/>
      <c r="AE28" s="129">
        <f t="shared" si="1"/>
        <v>0</v>
      </c>
      <c r="AF28" s="129">
        <f t="shared" si="2"/>
        <v>1</v>
      </c>
      <c r="AH28" t="e">
        <f t="shared" si="8"/>
        <v>#DIV/0!</v>
      </c>
      <c r="AI28" t="e">
        <f t="shared" si="9"/>
        <v>#DIV/0!</v>
      </c>
      <c r="AJ28" t="e">
        <f t="shared" si="10"/>
        <v>#DIV/0!</v>
      </c>
      <c r="AL28" t="e">
        <f t="shared" si="11"/>
        <v>#DIV/0!</v>
      </c>
      <c r="AM28" t="e">
        <f t="shared" si="12"/>
        <v>#DIV/0!</v>
      </c>
      <c r="AP28" t="e">
        <f t="shared" si="13"/>
        <v>#DIV/0!</v>
      </c>
      <c r="AQ28" t="e">
        <f t="shared" si="14"/>
        <v>#DIV/0!</v>
      </c>
      <c r="AS28" s="129">
        <f t="shared" si="3"/>
        <v>0</v>
      </c>
      <c r="AT28" s="129">
        <f t="shared" si="4"/>
        <v>1</v>
      </c>
      <c r="AV28" t="e">
        <f t="shared" si="15"/>
        <v>#DIV/0!</v>
      </c>
      <c r="AW28">
        <f t="shared" si="16"/>
        <v>0</v>
      </c>
      <c r="AZ28" t="e">
        <f t="shared" si="17"/>
        <v>#DIV/0!</v>
      </c>
      <c r="BA28" s="129">
        <f t="shared" si="18"/>
        <v>1</v>
      </c>
      <c r="BB28" s="129">
        <f t="shared" si="5"/>
        <v>1.7256273623823351</v>
      </c>
      <c r="BC28" s="129"/>
      <c r="BD28" t="e">
        <f t="shared" si="19"/>
        <v>#DIV/0!</v>
      </c>
      <c r="BE28" s="129">
        <f t="shared" si="20"/>
        <v>1</v>
      </c>
      <c r="BF28" s="129">
        <f t="shared" si="6"/>
        <v>1.0369978502549793</v>
      </c>
    </row>
    <row r="29" spans="1:58" x14ac:dyDescent="0.2">
      <c r="A29" s="133" t="s">
        <v>664</v>
      </c>
      <c r="B29" s="133">
        <f t="shared" si="7"/>
        <v>1970</v>
      </c>
      <c r="D29" s="309">
        <f>'Passenger-based Energy Use'!N28</f>
        <v>1211.3189464035624</v>
      </c>
      <c r="E29" s="309">
        <f>'Passenger-based Energy Use'!O28</f>
        <v>94.310199999999995</v>
      </c>
      <c r="F29" s="309">
        <f t="shared" si="21"/>
        <v>1305.6291464035623</v>
      </c>
      <c r="H29" s="310">
        <f>'Passenger-based Activity'!N29</f>
        <v>151476.84999999998</v>
      </c>
      <c r="I29" s="310">
        <f>'Passenger-based Activity'!U29</f>
        <v>9100</v>
      </c>
      <c r="J29" s="310">
        <f t="shared" si="0"/>
        <v>160576.84999999998</v>
      </c>
      <c r="L29" s="311">
        <f>D29/H29*1000000</f>
        <v>7996.7265387652487</v>
      </c>
      <c r="M29" s="311">
        <f>E29/I29*1000000</f>
        <v>10363.758241758242</v>
      </c>
      <c r="N29" s="311">
        <f>F29/J29*1000000</f>
        <v>8130.8678455428826</v>
      </c>
      <c r="O29" s="308"/>
      <c r="P29" s="312">
        <f t="shared" ref="P29:P70" si="22">L29/L$72</f>
        <v>1.8627098160814257</v>
      </c>
      <c r="Q29" s="312">
        <f t="shared" ref="Q29:Q70" si="23">M29/M$72</f>
        <v>0.88591934887139812</v>
      </c>
      <c r="R29" s="312">
        <f t="shared" ref="R29:R70" si="24">N29/N$72</f>
        <v>1.7894718651316517</v>
      </c>
      <c r="T29" s="131">
        <f t="shared" ref="T29:T70" si="25">J29/J$72</f>
        <v>0.44190638820165501</v>
      </c>
      <c r="U29" s="131">
        <f t="shared" ref="U29:U39" si="26">R29</f>
        <v>1.7894718651316517</v>
      </c>
      <c r="V29" s="131">
        <f t="shared" ref="V29:V39" si="27">BF29</f>
        <v>1.0369978502549793</v>
      </c>
      <c r="W29" s="131">
        <f t="shared" ref="W29:W39" si="28">BB29</f>
        <v>1.7256273623823351</v>
      </c>
      <c r="X29" s="131">
        <f t="shared" ref="X29:X39" si="29">T29*V29*W29</f>
        <v>0.79077904870880722</v>
      </c>
      <c r="Y29" s="131">
        <f t="shared" ref="Y29:Y70" si="30">F29/F$72</f>
        <v>0.79077904870880711</v>
      </c>
      <c r="Z29" s="131"/>
      <c r="AA29" s="131">
        <f t="shared" ref="AA29:AA39" si="31">V29*W29</f>
        <v>1.7894718651316515</v>
      </c>
      <c r="AB29" s="141"/>
      <c r="AC29" s="134"/>
      <c r="AE29" s="129">
        <f t="shared" si="1"/>
        <v>0.92776647162038062</v>
      </c>
      <c r="AF29" s="129">
        <f t="shared" si="2"/>
        <v>7.2233528379619411E-2</v>
      </c>
      <c r="AH29" t="e">
        <f t="shared" si="8"/>
        <v>#DIV/0!</v>
      </c>
      <c r="AI29">
        <f t="shared" si="9"/>
        <v>0.35305140441208266</v>
      </c>
      <c r="AJ29" t="e">
        <f t="shared" si="10"/>
        <v>#DIV/0!</v>
      </c>
      <c r="AL29" t="e">
        <f t="shared" si="11"/>
        <v>#DIV/0!</v>
      </c>
      <c r="AM29" t="e">
        <f t="shared" si="12"/>
        <v>#DIV/0!</v>
      </c>
      <c r="AP29" t="e">
        <f t="shared" si="13"/>
        <v>#DIV/0!</v>
      </c>
      <c r="AQ29" t="e">
        <f t="shared" si="14"/>
        <v>#DIV/0!</v>
      </c>
      <c r="AS29" s="129">
        <f t="shared" si="3"/>
        <v>0.94332931552711363</v>
      </c>
      <c r="AT29" s="129">
        <f t="shared" si="4"/>
        <v>5.6670684472886354E-2</v>
      </c>
      <c r="AV29" t="e">
        <f t="shared" si="15"/>
        <v>#DIV/0!</v>
      </c>
      <c r="AW29">
        <f t="shared" si="16"/>
        <v>-2.8704982306507456</v>
      </c>
      <c r="AZ29" t="e">
        <f t="shared" si="17"/>
        <v>#DIV/0!</v>
      </c>
      <c r="BA29" s="129">
        <f t="shared" si="18"/>
        <v>1</v>
      </c>
      <c r="BB29" s="129">
        <f t="shared" si="5"/>
        <v>1.7256273623823351</v>
      </c>
      <c r="BC29" s="129"/>
      <c r="BD29" t="e">
        <f t="shared" si="19"/>
        <v>#DIV/0!</v>
      </c>
      <c r="BE29" s="129">
        <f t="shared" si="20"/>
        <v>1</v>
      </c>
      <c r="BF29" s="129">
        <f t="shared" si="6"/>
        <v>1.0369978502549793</v>
      </c>
    </row>
    <row r="30" spans="1:58" x14ac:dyDescent="0.2">
      <c r="A30" s="133" t="s">
        <v>664</v>
      </c>
      <c r="B30" s="133">
        <f t="shared" si="7"/>
        <v>1971</v>
      </c>
      <c r="D30" s="309">
        <f>'Passenger-based Energy Use'!N29</f>
        <v>1194.540556612111</v>
      </c>
      <c r="E30" s="309">
        <f>'Passenger-based Energy Use'!O29</f>
        <v>91.571600000000004</v>
      </c>
      <c r="F30" s="309">
        <f t="shared" si="21"/>
        <v>1286.112156612111</v>
      </c>
      <c r="H30" s="310">
        <f>'Passenger-based Activity'!N30</f>
        <v>156006.69999999998</v>
      </c>
      <c r="I30" s="310">
        <f>'Passenger-based Activity'!U30</f>
        <v>9200</v>
      </c>
      <c r="J30" s="310">
        <f t="shared" si="0"/>
        <v>165206.69999999998</v>
      </c>
      <c r="L30" s="311">
        <f t="shared" ref="L30:L39" si="32">D30/H30*1000000</f>
        <v>7656.9824027564919</v>
      </c>
      <c r="M30" s="311">
        <f t="shared" ref="M30:M39" si="33">E30/I30*1000000</f>
        <v>9953.434782608696</v>
      </c>
      <c r="N30" s="311">
        <f t="shared" ref="N30:N39" si="34">F30/J30*1000000</f>
        <v>7784.8668160075295</v>
      </c>
      <c r="O30" s="308"/>
      <c r="P30" s="312">
        <f t="shared" si="22"/>
        <v>1.7835718420577034</v>
      </c>
      <c r="Q30" s="312">
        <f t="shared" si="23"/>
        <v>0.8508438981249945</v>
      </c>
      <c r="R30" s="312">
        <f t="shared" si="24"/>
        <v>1.713322661944257</v>
      </c>
      <c r="T30" s="131">
        <f t="shared" si="25"/>
        <v>0.45464770359933177</v>
      </c>
      <c r="U30" s="131">
        <f t="shared" si="26"/>
        <v>1.713322661944257</v>
      </c>
      <c r="V30" s="131">
        <f t="shared" si="27"/>
        <v>1.0366992100368355</v>
      </c>
      <c r="W30" s="131">
        <f t="shared" si="28"/>
        <v>1.6526709438539842</v>
      </c>
      <c r="X30" s="131">
        <f t="shared" si="29"/>
        <v>0.77895821377765051</v>
      </c>
      <c r="Y30" s="131">
        <f t="shared" si="30"/>
        <v>0.77895821377765051</v>
      </c>
      <c r="Z30" s="131"/>
      <c r="AA30" s="131">
        <f t="shared" si="31"/>
        <v>1.7133226619442568</v>
      </c>
      <c r="AB30" s="141"/>
      <c r="AC30" s="134"/>
      <c r="AE30" s="129">
        <f t="shared" si="1"/>
        <v>0.92879967775033023</v>
      </c>
      <c r="AF30" s="129">
        <f t="shared" si="2"/>
        <v>7.1200322249669726E-2</v>
      </c>
      <c r="AH30" s="129">
        <f t="shared" si="8"/>
        <v>0.92828297885301525</v>
      </c>
      <c r="AI30" s="129">
        <f t="shared" si="9"/>
        <v>7.171568487096748E-2</v>
      </c>
      <c r="AJ30" s="129">
        <f t="shared" si="10"/>
        <v>0.99999866372398272</v>
      </c>
      <c r="AL30" s="129">
        <f t="shared" si="11"/>
        <v>0.9282842192969547</v>
      </c>
      <c r="AM30" s="129">
        <f t="shared" si="12"/>
        <v>7.1715780703045295E-2</v>
      </c>
      <c r="AP30" s="129">
        <f t="shared" si="13"/>
        <v>-4.3414311349430398E-2</v>
      </c>
      <c r="AQ30" s="129">
        <f t="shared" si="14"/>
        <v>-4.0397239813136789E-2</v>
      </c>
      <c r="AS30" s="129">
        <f t="shared" si="3"/>
        <v>0.94431218588592347</v>
      </c>
      <c r="AT30" s="129">
        <f t="shared" si="4"/>
        <v>5.5687814114076493E-2</v>
      </c>
      <c r="AV30">
        <f t="shared" si="15"/>
        <v>1.041374060591219E-3</v>
      </c>
      <c r="AW30">
        <f t="shared" si="16"/>
        <v>-1.7495702459455101E-2</v>
      </c>
      <c r="AZ30" s="129">
        <f t="shared" si="17"/>
        <v>0.9577218001297626</v>
      </c>
      <c r="BA30" s="129">
        <f t="shared" si="18"/>
        <v>0.9577218001297626</v>
      </c>
      <c r="BB30" s="129">
        <f t="shared" si="5"/>
        <v>1.6526709438539842</v>
      </c>
      <c r="BC30" s="129"/>
      <c r="BD30" s="129">
        <f t="shared" si="19"/>
        <v>0.99971201462175618</v>
      </c>
      <c r="BE30" s="129">
        <f t="shared" si="20"/>
        <v>0.99971201462175618</v>
      </c>
      <c r="BF30" s="129">
        <f t="shared" si="6"/>
        <v>1.0366992100368355</v>
      </c>
    </row>
    <row r="31" spans="1:58" x14ac:dyDescent="0.2">
      <c r="A31" s="133" t="s">
        <v>664</v>
      </c>
      <c r="B31" s="133">
        <f t="shared" si="7"/>
        <v>1972</v>
      </c>
      <c r="D31" s="309">
        <f>'Passenger-based Energy Use'!N30</f>
        <v>1213.7764852041644</v>
      </c>
      <c r="E31" s="309">
        <f>'Passenger-based Energy Use'!O30</f>
        <v>103.2718</v>
      </c>
      <c r="F31" s="309">
        <f t="shared" si="21"/>
        <v>1317.0482852041644</v>
      </c>
      <c r="H31" s="310">
        <f>'Passenger-based Activity'!N31</f>
        <v>175266.9</v>
      </c>
      <c r="I31" s="310">
        <f>'Passenger-based Activity'!U31</f>
        <v>10000</v>
      </c>
      <c r="J31" s="310">
        <f t="shared" si="0"/>
        <v>185266.9</v>
      </c>
      <c r="L31" s="311">
        <f t="shared" si="32"/>
        <v>6925.303552491454</v>
      </c>
      <c r="M31" s="311">
        <f t="shared" si="33"/>
        <v>10327.18</v>
      </c>
      <c r="N31" s="311">
        <f t="shared" si="34"/>
        <v>7108.92385636163</v>
      </c>
      <c r="O31" s="308"/>
      <c r="P31" s="312">
        <f t="shared" si="22"/>
        <v>1.6131389317911107</v>
      </c>
      <c r="Q31" s="312">
        <f t="shared" si="23"/>
        <v>0.88279255149100844</v>
      </c>
      <c r="R31" s="312">
        <f t="shared" si="24"/>
        <v>1.5645586023508871</v>
      </c>
      <c r="T31" s="131">
        <f t="shared" si="25"/>
        <v>0.50985323620632239</v>
      </c>
      <c r="U31" s="131">
        <f t="shared" si="26"/>
        <v>1.5645586023508871</v>
      </c>
      <c r="V31" s="131">
        <f t="shared" si="27"/>
        <v>1.036017176838365</v>
      </c>
      <c r="W31" s="131">
        <f t="shared" si="28"/>
        <v>1.5101666626083192</v>
      </c>
      <c r="X31" s="131">
        <f t="shared" si="29"/>
        <v>0.79769526664304014</v>
      </c>
      <c r="Y31" s="131">
        <f t="shared" si="30"/>
        <v>0.79769526664304036</v>
      </c>
      <c r="Z31" s="131"/>
      <c r="AA31" s="131">
        <f t="shared" si="31"/>
        <v>1.5645586023508866</v>
      </c>
      <c r="AB31" s="141"/>
      <c r="AC31" s="134"/>
      <c r="AE31" s="129">
        <f t="shared" si="1"/>
        <v>0.9215884480772919</v>
      </c>
      <c r="AF31" s="129">
        <f t="shared" si="2"/>
        <v>7.84115519227081E-2</v>
      </c>
      <c r="AH31" s="129">
        <f t="shared" si="8"/>
        <v>0.92518937902764842</v>
      </c>
      <c r="AI31" s="129">
        <f t="shared" si="9"/>
        <v>7.4747971445516787E-2</v>
      </c>
      <c r="AJ31" s="129">
        <f t="shared" si="10"/>
        <v>0.99993735047316523</v>
      </c>
      <c r="AL31" s="129">
        <f t="shared" si="11"/>
        <v>0.92524734533603881</v>
      </c>
      <c r="AM31" s="129">
        <f t="shared" si="12"/>
        <v>7.4752654663961124E-2</v>
      </c>
      <c r="AP31" s="129">
        <f t="shared" si="13"/>
        <v>-0.10043607853049348</v>
      </c>
      <c r="AQ31" s="129">
        <f t="shared" si="14"/>
        <v>3.6861558691637986E-2</v>
      </c>
      <c r="AS31" s="129">
        <f t="shared" si="3"/>
        <v>0.94602381753027653</v>
      </c>
      <c r="AT31" s="129">
        <f t="shared" si="4"/>
        <v>5.397618246972341E-2</v>
      </c>
      <c r="AV31">
        <f t="shared" si="15"/>
        <v>1.8109289660983617E-3</v>
      </c>
      <c r="AW31">
        <f t="shared" si="16"/>
        <v>-3.121846198109824E-2</v>
      </c>
      <c r="AZ31" s="129">
        <f t="shared" si="17"/>
        <v>0.91377334866591853</v>
      </c>
      <c r="BA31" s="129">
        <f t="shared" si="18"/>
        <v>0.87514065639492467</v>
      </c>
      <c r="BB31" s="129">
        <f t="shared" si="5"/>
        <v>1.5101666626083192</v>
      </c>
      <c r="BC31" s="129"/>
      <c r="BD31" s="129">
        <f t="shared" si="19"/>
        <v>0.99934211081491386</v>
      </c>
      <c r="BE31" s="129">
        <f t="shared" si="20"/>
        <v>0.99905431489913588</v>
      </c>
      <c r="BF31" s="129">
        <f t="shared" si="6"/>
        <v>1.036017176838365</v>
      </c>
    </row>
    <row r="32" spans="1:58" x14ac:dyDescent="0.2">
      <c r="A32" s="133" t="s">
        <v>664</v>
      </c>
      <c r="B32" s="133">
        <f t="shared" si="7"/>
        <v>1973</v>
      </c>
      <c r="D32" s="309">
        <f>'Passenger-based Energy Use'!N31</f>
        <v>1254.1770139687792</v>
      </c>
      <c r="E32" s="309">
        <f>'Passenger-based Energy Use'!O31</f>
        <v>90.4422</v>
      </c>
      <c r="F32" s="309">
        <f t="shared" si="21"/>
        <v>1344.6192139687791</v>
      </c>
      <c r="H32" s="310">
        <f>'Passenger-based Activity'!N32</f>
        <v>174352</v>
      </c>
      <c r="I32" s="310">
        <f>'Passenger-based Activity'!U32</f>
        <v>10700</v>
      </c>
      <c r="J32" s="310">
        <f t="shared" si="0"/>
        <v>185052</v>
      </c>
      <c r="L32" s="311">
        <f t="shared" si="32"/>
        <v>7193.3617851746994</v>
      </c>
      <c r="M32" s="311">
        <f t="shared" si="33"/>
        <v>8452.5420560747662</v>
      </c>
      <c r="N32" s="311">
        <f t="shared" si="34"/>
        <v>7266.1695845966487</v>
      </c>
      <c r="O32" s="308"/>
      <c r="P32" s="312">
        <f t="shared" si="22"/>
        <v>1.6755788187723677</v>
      </c>
      <c r="Q32" s="312">
        <f t="shared" si="23"/>
        <v>0.72254392469844597</v>
      </c>
      <c r="R32" s="312">
        <f t="shared" si="24"/>
        <v>1.5991658314848536</v>
      </c>
      <c r="T32" s="131">
        <f t="shared" si="25"/>
        <v>0.50926183288246507</v>
      </c>
      <c r="U32" s="131">
        <f t="shared" si="26"/>
        <v>1.5991658314848536</v>
      </c>
      <c r="V32" s="131">
        <f t="shared" si="27"/>
        <v>1.0372887329127758</v>
      </c>
      <c r="W32" s="131">
        <f t="shared" si="28"/>
        <v>1.5416785902940351</v>
      </c>
      <c r="X32" s="131">
        <f t="shared" si="29"/>
        <v>0.8143941224249881</v>
      </c>
      <c r="Y32" s="131">
        <f t="shared" si="30"/>
        <v>0.81439412242498788</v>
      </c>
      <c r="Z32" s="131"/>
      <c r="AA32" s="131">
        <f t="shared" si="31"/>
        <v>1.599165831484854</v>
      </c>
      <c r="AB32" s="141"/>
      <c r="AC32" s="134"/>
      <c r="AE32" s="129">
        <f t="shared" si="1"/>
        <v>0.93273768583668337</v>
      </c>
      <c r="AF32" s="129">
        <f t="shared" si="2"/>
        <v>6.7262314163316711E-2</v>
      </c>
      <c r="AH32" s="129">
        <f t="shared" si="8"/>
        <v>0.92715189428185552</v>
      </c>
      <c r="AI32" s="129">
        <f t="shared" si="9"/>
        <v>7.2694491258714633E-2</v>
      </c>
      <c r="AJ32" s="129">
        <f t="shared" si="10"/>
        <v>0.99984638554057015</v>
      </c>
      <c r="AL32" s="129">
        <f t="shared" si="11"/>
        <v>0.92729434010064249</v>
      </c>
      <c r="AM32" s="129">
        <f t="shared" si="12"/>
        <v>7.2705659899357566E-2</v>
      </c>
      <c r="AP32" s="129">
        <f t="shared" si="13"/>
        <v>3.7976741053509885E-2</v>
      </c>
      <c r="AQ32" s="129">
        <f t="shared" si="14"/>
        <v>-0.20031202340940113</v>
      </c>
      <c r="AS32" s="129">
        <f t="shared" si="3"/>
        <v>0.94217841471586361</v>
      </c>
      <c r="AT32" s="129">
        <f t="shared" si="4"/>
        <v>5.7821585284136348E-2</v>
      </c>
      <c r="AV32">
        <f t="shared" si="15"/>
        <v>-4.0730892751084744E-3</v>
      </c>
      <c r="AW32">
        <f t="shared" si="16"/>
        <v>6.8819269895639523E-2</v>
      </c>
      <c r="AZ32" s="129">
        <f t="shared" si="17"/>
        <v>1.020866523189758</v>
      </c>
      <c r="BA32" s="129">
        <f t="shared" si="18"/>
        <v>0.89340179919588936</v>
      </c>
      <c r="BB32" s="129">
        <f t="shared" si="5"/>
        <v>1.5416785902940351</v>
      </c>
      <c r="BC32" s="129"/>
      <c r="BD32" s="129">
        <f t="shared" si="19"/>
        <v>1.0012273503787756</v>
      </c>
      <c r="BE32" s="129">
        <f t="shared" si="20"/>
        <v>1.0002805045909449</v>
      </c>
      <c r="BF32" s="129">
        <f t="shared" si="6"/>
        <v>1.0372887329127758</v>
      </c>
    </row>
    <row r="33" spans="1:58" x14ac:dyDescent="0.2">
      <c r="A33" s="133" t="s">
        <v>664</v>
      </c>
      <c r="B33" s="133">
        <f t="shared" si="7"/>
        <v>1974</v>
      </c>
      <c r="D33" s="309">
        <f>'Passenger-based Energy Use'!N32</f>
        <v>1221.9900769069611</v>
      </c>
      <c r="E33" s="309">
        <f>'Passenger-based Energy Use'!O32</f>
        <v>101.4436</v>
      </c>
      <c r="F33" s="309">
        <f t="shared" si="21"/>
        <v>1323.4336769069612</v>
      </c>
      <c r="H33" s="310">
        <f>'Passenger-based Activity'!N33</f>
        <v>174052</v>
      </c>
      <c r="I33" s="310">
        <f>'Passenger-based Activity'!U33</f>
        <v>11200</v>
      </c>
      <c r="J33" s="310">
        <f t="shared" si="0"/>
        <v>185252</v>
      </c>
      <c r="L33" s="311">
        <f t="shared" si="32"/>
        <v>7020.8332964111942</v>
      </c>
      <c r="M33" s="311">
        <f t="shared" si="33"/>
        <v>9057.4642857142862</v>
      </c>
      <c r="N33" s="311">
        <f t="shared" si="34"/>
        <v>7143.9643129734695</v>
      </c>
      <c r="O33" s="308"/>
      <c r="P33" s="312">
        <f t="shared" si="22"/>
        <v>1.6353910609422622</v>
      </c>
      <c r="Q33" s="312">
        <f t="shared" si="23"/>
        <v>0.77425415329493608</v>
      </c>
      <c r="R33" s="312">
        <f t="shared" si="24"/>
        <v>1.5722704373529313</v>
      </c>
      <c r="T33" s="131">
        <f t="shared" si="25"/>
        <v>0.50981223150867017</v>
      </c>
      <c r="U33" s="131">
        <f t="shared" si="26"/>
        <v>1.5722704373529313</v>
      </c>
      <c r="V33" s="131">
        <f t="shared" si="27"/>
        <v>1.0379148218053571</v>
      </c>
      <c r="W33" s="131">
        <f t="shared" si="28"/>
        <v>1.5148357112947981</v>
      </c>
      <c r="X33" s="131">
        <f t="shared" si="29"/>
        <v>0.80156270020201092</v>
      </c>
      <c r="Y33" s="131">
        <f t="shared" si="30"/>
        <v>0.80156270020201059</v>
      </c>
      <c r="Z33" s="131"/>
      <c r="AA33" s="131">
        <f t="shared" si="31"/>
        <v>1.5722704373529317</v>
      </c>
      <c r="AB33" s="141"/>
      <c r="AC33" s="134"/>
      <c r="AE33" s="129">
        <f t="shared" si="1"/>
        <v>0.92334817998806928</v>
      </c>
      <c r="AF33" s="129">
        <f t="shared" si="2"/>
        <v>7.6651820011930674E-2</v>
      </c>
      <c r="AH33" s="129">
        <f t="shared" si="8"/>
        <v>0.92803501630469354</v>
      </c>
      <c r="AI33" s="129">
        <f t="shared" si="9"/>
        <v>7.1854849746934596E-2</v>
      </c>
      <c r="AJ33" s="129">
        <f t="shared" si="10"/>
        <v>0.99988986605162811</v>
      </c>
      <c r="AL33" s="129">
        <f t="shared" si="11"/>
        <v>0.9281372357230947</v>
      </c>
      <c r="AM33" s="129">
        <f t="shared" si="12"/>
        <v>7.1862764276905328E-2</v>
      </c>
      <c r="AP33" s="129">
        <f t="shared" si="13"/>
        <v>-2.4276712275481123E-2</v>
      </c>
      <c r="AQ33" s="129">
        <f t="shared" si="14"/>
        <v>6.9121969551409687E-2</v>
      </c>
      <c r="AS33" s="129">
        <f t="shared" si="3"/>
        <v>0.93954181331375641</v>
      </c>
      <c r="AT33" s="129">
        <f t="shared" si="4"/>
        <v>6.0458186686243601E-2</v>
      </c>
      <c r="AV33">
        <f t="shared" si="15"/>
        <v>-2.8023327679469624E-3</v>
      </c>
      <c r="AW33">
        <f t="shared" si="16"/>
        <v>4.4589843157468036E-2</v>
      </c>
      <c r="AZ33" s="129">
        <f t="shared" si="17"/>
        <v>0.98258853747581887</v>
      </c>
      <c r="BA33" s="129">
        <f t="shared" si="18"/>
        <v>0.87784636725015408</v>
      </c>
      <c r="BB33" s="129">
        <f t="shared" si="5"/>
        <v>1.5148357112947981</v>
      </c>
      <c r="BC33" s="129"/>
      <c r="BD33" s="129">
        <f t="shared" si="19"/>
        <v>1.0006035820815513</v>
      </c>
      <c r="BE33" s="129">
        <f t="shared" si="20"/>
        <v>1.000884255980041</v>
      </c>
      <c r="BF33" s="129">
        <f t="shared" si="6"/>
        <v>1.0379148218053571</v>
      </c>
    </row>
    <row r="34" spans="1:58" x14ac:dyDescent="0.2">
      <c r="A34" s="133" t="s">
        <v>664</v>
      </c>
      <c r="B34" s="133">
        <f t="shared" si="7"/>
        <v>1975</v>
      </c>
      <c r="D34" s="309">
        <f>'Passenger-based Energy Use'!N33</f>
        <v>1226.573556294881</v>
      </c>
      <c r="E34" s="309">
        <f>'Passenger-based Energy Use'!O33</f>
        <v>110.67740000000001</v>
      </c>
      <c r="F34" s="309">
        <f t="shared" si="21"/>
        <v>1337.250956294881</v>
      </c>
      <c r="H34" s="310">
        <f>'Passenger-based Activity'!N34</f>
        <v>173324</v>
      </c>
      <c r="I34" s="310">
        <f>'Passenger-based Activity'!U34</f>
        <v>11400</v>
      </c>
      <c r="J34" s="310">
        <f t="shared" si="0"/>
        <v>184724</v>
      </c>
      <c r="L34" s="311">
        <f t="shared" si="32"/>
        <v>7076.7669583836114</v>
      </c>
      <c r="M34" s="311">
        <f t="shared" si="33"/>
        <v>9708.5438596491222</v>
      </c>
      <c r="N34" s="311">
        <f t="shared" si="34"/>
        <v>7239.1836268967818</v>
      </c>
      <c r="O34" s="308"/>
      <c r="P34" s="312">
        <f t="shared" si="22"/>
        <v>1.6484199147739313</v>
      </c>
      <c r="Q34" s="312">
        <f t="shared" si="23"/>
        <v>0.8299100243359766</v>
      </c>
      <c r="R34" s="312">
        <f t="shared" si="24"/>
        <v>1.5932266607868553</v>
      </c>
      <c r="T34" s="131">
        <f t="shared" si="25"/>
        <v>0.50835917913548889</v>
      </c>
      <c r="U34" s="131">
        <f t="shared" si="26"/>
        <v>1.5932266607868553</v>
      </c>
      <c r="V34" s="131">
        <f t="shared" si="27"/>
        <v>1.0383372619562199</v>
      </c>
      <c r="W34" s="131">
        <f t="shared" si="28"/>
        <v>1.534401893451486</v>
      </c>
      <c r="X34" s="131">
        <f t="shared" si="29"/>
        <v>0.80993139745438181</v>
      </c>
      <c r="Y34" s="131">
        <f t="shared" si="30"/>
        <v>0.80993139745438159</v>
      </c>
      <c r="Z34" s="131"/>
      <c r="AA34" s="131">
        <f t="shared" si="31"/>
        <v>1.5932266607868555</v>
      </c>
      <c r="AB34" s="141"/>
      <c r="AC34" s="134"/>
      <c r="AE34" s="129">
        <f t="shared" si="1"/>
        <v>0.91723513116292421</v>
      </c>
      <c r="AF34" s="129">
        <f t="shared" si="2"/>
        <v>8.2764868837075803E-2</v>
      </c>
      <c r="AH34" s="129">
        <f t="shared" si="8"/>
        <v>0.92028827173194172</v>
      </c>
      <c r="AI34" s="129">
        <f t="shared" si="9"/>
        <v>7.9669260237112946E-2</v>
      </c>
      <c r="AJ34" s="129">
        <f t="shared" si="10"/>
        <v>0.99995753196905468</v>
      </c>
      <c r="AL34" s="129">
        <f t="shared" si="11"/>
        <v>0.92032735622258566</v>
      </c>
      <c r="AM34" s="129">
        <f t="shared" si="12"/>
        <v>7.9672643777414384E-2</v>
      </c>
      <c r="AP34" s="129">
        <f t="shared" si="13"/>
        <v>7.9352449302393501E-3</v>
      </c>
      <c r="AQ34" s="129">
        <f t="shared" si="14"/>
        <v>6.9417107379569659E-2</v>
      </c>
      <c r="AS34" s="129">
        <f t="shared" si="3"/>
        <v>0.9382863082219961</v>
      </c>
      <c r="AT34" s="129">
        <f t="shared" si="4"/>
        <v>6.171369177800394E-2</v>
      </c>
      <c r="AV34">
        <f t="shared" si="15"/>
        <v>-1.3371887069318299E-3</v>
      </c>
      <c r="AW34">
        <f t="shared" si="16"/>
        <v>2.0553818231011652E-2</v>
      </c>
      <c r="AZ34" s="129">
        <f t="shared" si="17"/>
        <v>1.0129163723899564</v>
      </c>
      <c r="BA34" s="129">
        <f t="shared" si="18"/>
        <v>0.88918495783072748</v>
      </c>
      <c r="BB34" s="129">
        <f t="shared" si="5"/>
        <v>1.534401893451486</v>
      </c>
      <c r="BC34" s="129"/>
      <c r="BD34" s="129">
        <f t="shared" si="19"/>
        <v>1.0004070084962542</v>
      </c>
      <c r="BE34" s="129">
        <f t="shared" si="20"/>
        <v>1.001291624375992</v>
      </c>
      <c r="BF34" s="129">
        <f t="shared" si="6"/>
        <v>1.0383372619562199</v>
      </c>
    </row>
    <row r="35" spans="1:58" x14ac:dyDescent="0.2">
      <c r="A35" s="133" t="s">
        <v>664</v>
      </c>
      <c r="B35" s="133">
        <f t="shared" si="7"/>
        <v>1976</v>
      </c>
      <c r="D35" s="309">
        <f>'Passenger-based Energy Use'!N34</f>
        <v>1199.9251760678098</v>
      </c>
      <c r="E35" s="309">
        <f>'Passenger-based Energy Use'!O34</f>
        <v>118.7514</v>
      </c>
      <c r="F35" s="309">
        <f t="shared" si="21"/>
        <v>1318.6765760678099</v>
      </c>
      <c r="H35" s="310">
        <f>'Passenger-based Activity'!N35</f>
        <v>191823</v>
      </c>
      <c r="I35" s="310">
        <f>'Passenger-based Activity'!U35</f>
        <v>12100</v>
      </c>
      <c r="J35" s="310">
        <f t="shared" si="0"/>
        <v>203923</v>
      </c>
      <c r="L35" s="311">
        <f t="shared" si="32"/>
        <v>6255.3769676619067</v>
      </c>
      <c r="M35" s="311">
        <f t="shared" si="33"/>
        <v>9814.1652892561979</v>
      </c>
      <c r="N35" s="311">
        <f t="shared" si="34"/>
        <v>6466.5416655689151</v>
      </c>
      <c r="O35" s="308"/>
      <c r="P35" s="312">
        <f t="shared" si="22"/>
        <v>1.4570902261655481</v>
      </c>
      <c r="Q35" s="312">
        <f t="shared" si="23"/>
        <v>0.83893880192433645</v>
      </c>
      <c r="R35" s="312">
        <f t="shared" si="24"/>
        <v>1.4231807225326418</v>
      </c>
      <c r="T35" s="131">
        <f t="shared" si="25"/>
        <v>0.56119469525804067</v>
      </c>
      <c r="U35" s="131">
        <f t="shared" si="26"/>
        <v>1.4231807225326418</v>
      </c>
      <c r="V35" s="131">
        <f t="shared" si="27"/>
        <v>1.0372156338073257</v>
      </c>
      <c r="W35" s="131">
        <f t="shared" si="28"/>
        <v>1.3721165359883247</v>
      </c>
      <c r="X35" s="131">
        <f t="shared" si="29"/>
        <v>0.79868147187882432</v>
      </c>
      <c r="Y35" s="131">
        <f t="shared" si="30"/>
        <v>0.79868147187882399</v>
      </c>
      <c r="Z35" s="131"/>
      <c r="AA35" s="131">
        <f t="shared" si="31"/>
        <v>1.4231807225326425</v>
      </c>
      <c r="AB35" s="141"/>
      <c r="AC35" s="134"/>
      <c r="AE35" s="129">
        <f t="shared" si="1"/>
        <v>0.90994653112432811</v>
      </c>
      <c r="AF35" s="129">
        <f t="shared" si="2"/>
        <v>9.0053468875671824E-2</v>
      </c>
      <c r="AH35" s="129">
        <f t="shared" si="8"/>
        <v>0.91358598543716596</v>
      </c>
      <c r="AI35" s="129">
        <f t="shared" si="9"/>
        <v>8.6357911842119398E-2</v>
      </c>
      <c r="AJ35" s="129">
        <f t="shared" si="10"/>
        <v>0.99994389727928534</v>
      </c>
      <c r="AL35" s="129">
        <f t="shared" si="11"/>
        <v>0.91363724297224291</v>
      </c>
      <c r="AM35" s="129">
        <f t="shared" si="12"/>
        <v>8.6362757027757073E-2</v>
      </c>
      <c r="AP35" s="129">
        <f t="shared" si="13"/>
        <v>-0.12337575040024025</v>
      </c>
      <c r="AQ35" s="129">
        <f t="shared" si="14"/>
        <v>1.0820471619534987E-2</v>
      </c>
      <c r="AS35" s="129">
        <f t="shared" si="3"/>
        <v>0.9406638780323946</v>
      </c>
      <c r="AT35" s="129">
        <f t="shared" si="4"/>
        <v>5.9336121967605418E-2</v>
      </c>
      <c r="AV35" s="129">
        <f t="shared" si="15"/>
        <v>2.530744132285591E-3</v>
      </c>
      <c r="AW35" s="129">
        <f t="shared" si="16"/>
        <v>-3.9287555201397956E-2</v>
      </c>
      <c r="AZ35" s="129">
        <f t="shared" si="17"/>
        <v>0.89423542935148725</v>
      </c>
      <c r="BA35" s="129">
        <f t="shared" si="18"/>
        <v>0.79514069253864472</v>
      </c>
      <c r="BB35" s="129">
        <f t="shared" si="5"/>
        <v>1.3721165359883247</v>
      </c>
      <c r="BC35" s="129"/>
      <c r="BD35" s="129">
        <f t="shared" si="19"/>
        <v>0.99891978436102624</v>
      </c>
      <c r="BE35" s="129">
        <f t="shared" si="20"/>
        <v>1.0002100135041676</v>
      </c>
      <c r="BF35" s="129">
        <f t="shared" si="6"/>
        <v>1.0372156338073257</v>
      </c>
    </row>
    <row r="36" spans="1:58" x14ac:dyDescent="0.2">
      <c r="A36" s="133" t="s">
        <v>664</v>
      </c>
      <c r="B36" s="133">
        <f t="shared" si="7"/>
        <v>1977</v>
      </c>
      <c r="D36" s="309">
        <f>'Passenger-based Energy Use'!N35</f>
        <v>1144.2799709038948</v>
      </c>
      <c r="E36" s="309">
        <f>'Passenger-based Energy Use'!O35</f>
        <v>127.1712</v>
      </c>
      <c r="F36" s="309">
        <f t="shared" si="21"/>
        <v>1271.4511709038948</v>
      </c>
      <c r="H36" s="310">
        <f>'Passenger-based Activity'!N36</f>
        <v>206082</v>
      </c>
      <c r="I36" s="310">
        <f>'Passenger-based Activity'!U36</f>
        <v>12800</v>
      </c>
      <c r="J36" s="310">
        <f t="shared" si="0"/>
        <v>218882</v>
      </c>
      <c r="L36" s="311">
        <f t="shared" si="32"/>
        <v>5552.5469031933635</v>
      </c>
      <c r="M36" s="311">
        <f t="shared" si="33"/>
        <v>9935.25</v>
      </c>
      <c r="N36" s="311">
        <f t="shared" si="34"/>
        <v>5808.8429880204621</v>
      </c>
      <c r="O36" s="308"/>
      <c r="P36" s="312">
        <f t="shared" si="22"/>
        <v>1.2933771801114757</v>
      </c>
      <c r="Q36" s="312">
        <f t="shared" si="23"/>
        <v>0.84928941852480944</v>
      </c>
      <c r="R36" s="312">
        <f t="shared" si="24"/>
        <v>1.2784319329120586</v>
      </c>
      <c r="T36" s="131">
        <f t="shared" si="25"/>
        <v>0.60236176050504575</v>
      </c>
      <c r="U36" s="131">
        <f t="shared" si="26"/>
        <v>1.2784319329120586</v>
      </c>
      <c r="V36" s="131">
        <f t="shared" si="27"/>
        <v>1.0366376314789969</v>
      </c>
      <c r="W36" s="131">
        <f t="shared" si="28"/>
        <v>1.2332486242932239</v>
      </c>
      <c r="X36" s="131">
        <f t="shared" si="29"/>
        <v>0.77007850979477643</v>
      </c>
      <c r="Y36" s="131">
        <f t="shared" si="30"/>
        <v>0.7700785097947761</v>
      </c>
      <c r="Z36" s="131"/>
      <c r="AA36" s="131">
        <f t="shared" si="31"/>
        <v>1.278431932912059</v>
      </c>
      <c r="AB36" s="141"/>
      <c r="AC36" s="134"/>
      <c r="AE36" s="129">
        <f t="shared" si="1"/>
        <v>0.89997948571663045</v>
      </c>
      <c r="AF36" s="129">
        <f t="shared" si="2"/>
        <v>0.1000205142833696</v>
      </c>
      <c r="AH36" s="129">
        <f t="shared" si="8"/>
        <v>0.90495386045930915</v>
      </c>
      <c r="AI36" s="129">
        <f t="shared" si="9"/>
        <v>9.4949819433153504E-2</v>
      </c>
      <c r="AJ36" s="129">
        <f t="shared" si="10"/>
        <v>0.99990367989246265</v>
      </c>
      <c r="AL36" s="129">
        <f t="shared" si="11"/>
        <v>0.90504103410904024</v>
      </c>
      <c r="AM36" s="129">
        <f t="shared" si="12"/>
        <v>9.4958965890959757E-2</v>
      </c>
      <c r="AP36" s="129">
        <f t="shared" si="13"/>
        <v>-0.11918468474398547</v>
      </c>
      <c r="AQ36" s="129">
        <f t="shared" si="14"/>
        <v>1.2262259534099576E-2</v>
      </c>
      <c r="AS36" s="129">
        <f t="shared" si="3"/>
        <v>0.94152100218382506</v>
      </c>
      <c r="AT36" s="129">
        <f t="shared" si="4"/>
        <v>5.8478997816174924E-2</v>
      </c>
      <c r="AV36" s="129">
        <f t="shared" si="15"/>
        <v>9.1077579008238044E-4</v>
      </c>
      <c r="AW36" s="129">
        <f t="shared" si="16"/>
        <v>-1.4550581885191311E-2</v>
      </c>
      <c r="AZ36" s="129">
        <f t="shared" si="17"/>
        <v>0.89879291732675215</v>
      </c>
      <c r="BA36" s="129">
        <f t="shared" si="18"/>
        <v>0.71466682273202253</v>
      </c>
      <c r="BB36" s="129">
        <f t="shared" si="5"/>
        <v>1.2332486242932239</v>
      </c>
      <c r="BC36" s="129"/>
      <c r="BD36">
        <f t="shared" si="19"/>
        <v>0.99944273658293492</v>
      </c>
      <c r="BE36" s="129">
        <f t="shared" si="20"/>
        <v>0.99965263305425955</v>
      </c>
      <c r="BF36" s="129">
        <f t="shared" si="6"/>
        <v>1.0366376314789969</v>
      </c>
    </row>
    <row r="37" spans="1:58" x14ac:dyDescent="0.2">
      <c r="A37" s="133" t="s">
        <v>664</v>
      </c>
      <c r="B37" s="133">
        <f t="shared" si="7"/>
        <v>1978</v>
      </c>
      <c r="D37" s="309">
        <f>'Passenger-based Energy Use'!N36</f>
        <v>1189.7515190020088</v>
      </c>
      <c r="E37" s="309">
        <f>'Passenger-based Energy Use'!O36</f>
        <v>165.26859999999999</v>
      </c>
      <c r="F37" s="309">
        <f t="shared" si="21"/>
        <v>1355.0201190020089</v>
      </c>
      <c r="H37" s="310">
        <f>'Passenger-based Activity'!N37</f>
        <v>236998</v>
      </c>
      <c r="I37" s="310">
        <f>'Passenger-based Activity'!U37</f>
        <v>14100</v>
      </c>
      <c r="J37" s="310">
        <f t="shared" si="0"/>
        <v>251098</v>
      </c>
      <c r="L37" s="311">
        <f t="shared" si="32"/>
        <v>5020.0909670208557</v>
      </c>
      <c r="M37" s="311">
        <f t="shared" si="33"/>
        <v>11721.17730496454</v>
      </c>
      <c r="N37" s="311">
        <f t="shared" si="34"/>
        <v>5396.3795769062626</v>
      </c>
      <c r="O37" s="308"/>
      <c r="P37" s="312">
        <f t="shared" si="22"/>
        <v>1.1693500680011124</v>
      </c>
      <c r="Q37" s="312">
        <f t="shared" si="23"/>
        <v>1.0019548433868828</v>
      </c>
      <c r="R37" s="312">
        <f t="shared" si="24"/>
        <v>1.1876554397250871</v>
      </c>
      <c r="T37" s="131">
        <f t="shared" si="25"/>
        <v>0.69101997121415182</v>
      </c>
      <c r="U37" s="131">
        <f t="shared" si="26"/>
        <v>1.1876554397250871</v>
      </c>
      <c r="V37" s="131">
        <f t="shared" si="27"/>
        <v>1.0342588207618273</v>
      </c>
      <c r="W37" s="131">
        <f t="shared" si="28"/>
        <v>1.1483155046724853</v>
      </c>
      <c r="X37" s="131">
        <f t="shared" si="29"/>
        <v>0.82069362777116062</v>
      </c>
      <c r="Y37" s="131">
        <f t="shared" si="30"/>
        <v>0.82069362777116051</v>
      </c>
      <c r="Z37" s="131"/>
      <c r="AA37" s="131">
        <f t="shared" si="31"/>
        <v>1.1876554397250874</v>
      </c>
      <c r="AB37" s="141"/>
      <c r="AC37" s="134"/>
      <c r="AE37" s="129">
        <f t="shared" si="1"/>
        <v>0.8780323644775675</v>
      </c>
      <c r="AF37" s="129">
        <f t="shared" si="2"/>
        <v>0.12196763552243239</v>
      </c>
      <c r="AH37" s="129">
        <f t="shared" si="8"/>
        <v>0.88896077207004032</v>
      </c>
      <c r="AI37" s="129">
        <f t="shared" si="9"/>
        <v>0.11063148940146646</v>
      </c>
      <c r="AJ37" s="129">
        <f t="shared" si="10"/>
        <v>0.99959226147150682</v>
      </c>
      <c r="AL37" s="129">
        <f t="shared" si="11"/>
        <v>0.88932338347777418</v>
      </c>
      <c r="AM37" s="129">
        <f t="shared" si="12"/>
        <v>0.11067661652222584</v>
      </c>
      <c r="AP37" s="129">
        <f t="shared" si="13"/>
        <v>-0.10080866951159968</v>
      </c>
      <c r="AQ37" s="129">
        <f t="shared" si="14"/>
        <v>0.1653081924955197</v>
      </c>
      <c r="AS37" s="129">
        <f t="shared" si="3"/>
        <v>0.94384662562027577</v>
      </c>
      <c r="AT37" s="129">
        <f t="shared" si="4"/>
        <v>5.6153374379724251E-2</v>
      </c>
      <c r="AV37" s="129">
        <f t="shared" si="15"/>
        <v>2.4670250848415724E-3</v>
      </c>
      <c r="AW37" s="129">
        <f t="shared" si="16"/>
        <v>-4.0580902899726025E-2</v>
      </c>
      <c r="AZ37" s="129">
        <f t="shared" si="17"/>
        <v>0.93113057825674539</v>
      </c>
      <c r="BA37" s="129">
        <f t="shared" si="18"/>
        <v>0.66544813191137908</v>
      </c>
      <c r="BB37" s="129">
        <f t="shared" si="5"/>
        <v>1.1483155046724853</v>
      </c>
      <c r="BC37" s="129"/>
      <c r="BD37" s="129">
        <f t="shared" si="19"/>
        <v>0.99770526301097551</v>
      </c>
      <c r="BE37" s="129">
        <f t="shared" si="20"/>
        <v>0.99735869318101422</v>
      </c>
      <c r="BF37" s="129">
        <f t="shared" si="6"/>
        <v>1.0342588207618273</v>
      </c>
    </row>
    <row r="38" spans="1:58" x14ac:dyDescent="0.2">
      <c r="A38" s="133" t="s">
        <v>664</v>
      </c>
      <c r="B38" s="133">
        <f t="shared" si="7"/>
        <v>1979</v>
      </c>
      <c r="D38" s="309">
        <f>'Passenger-based Energy Use'!N37</f>
        <v>1265.8590244979316</v>
      </c>
      <c r="E38" s="309">
        <f>'Passenger-based Energy Use'!O37</f>
        <v>167.874</v>
      </c>
      <c r="F38" s="309">
        <f t="shared" si="21"/>
        <v>1433.7330244979316</v>
      </c>
      <c r="H38" s="310">
        <f>'Passenger-based Activity'!N38</f>
        <v>269719</v>
      </c>
      <c r="I38" s="310">
        <f>'Passenger-based Activity'!U38</f>
        <v>15500</v>
      </c>
      <c r="J38" s="310">
        <f t="shared" si="0"/>
        <v>285219</v>
      </c>
      <c r="L38" s="311">
        <f t="shared" si="32"/>
        <v>4693.2512151458805</v>
      </c>
      <c r="M38" s="311">
        <f t="shared" si="33"/>
        <v>10830.58064516129</v>
      </c>
      <c r="N38" s="311">
        <f t="shared" si="34"/>
        <v>5026.779508019913</v>
      </c>
      <c r="O38" s="308"/>
      <c r="P38" s="312">
        <f t="shared" si="22"/>
        <v>1.0932179643019484</v>
      </c>
      <c r="Q38" s="312">
        <f t="shared" si="23"/>
        <v>0.92582446726706291</v>
      </c>
      <c r="R38" s="312">
        <f t="shared" si="24"/>
        <v>1.1063124715220805</v>
      </c>
      <c r="T38" s="131">
        <f t="shared" si="25"/>
        <v>0.78492072883786079</v>
      </c>
      <c r="U38" s="131">
        <f t="shared" si="26"/>
        <v>1.1063124715220805</v>
      </c>
      <c r="V38" s="131">
        <f t="shared" si="27"/>
        <v>1.0319572339024361</v>
      </c>
      <c r="W38" s="131">
        <f t="shared" si="28"/>
        <v>1.0720526347186539</v>
      </c>
      <c r="X38" s="131">
        <f t="shared" si="29"/>
        <v>0.8683675914695268</v>
      </c>
      <c r="Y38" s="131">
        <f t="shared" si="30"/>
        <v>0.86836759146952647</v>
      </c>
      <c r="Z38" s="131"/>
      <c r="AA38" s="131">
        <f t="shared" si="31"/>
        <v>1.1063124715220807</v>
      </c>
      <c r="AB38" s="141"/>
      <c r="AC38" s="134"/>
      <c r="AE38" s="129">
        <f t="shared" si="1"/>
        <v>0.88291125535119308</v>
      </c>
      <c r="AF38" s="129">
        <f t="shared" si="2"/>
        <v>0.11708874464880695</v>
      </c>
      <c r="AH38" s="129">
        <f t="shared" si="8"/>
        <v>0.88046955699114726</v>
      </c>
      <c r="AI38" s="129">
        <f t="shared" si="9"/>
        <v>0.11951159273128981</v>
      </c>
      <c r="AJ38" s="129">
        <f t="shared" si="10"/>
        <v>0.99998114972243712</v>
      </c>
      <c r="AL38" s="129">
        <f t="shared" si="11"/>
        <v>0.88048615439954792</v>
      </c>
      <c r="AM38" s="129">
        <f t="shared" si="12"/>
        <v>0.11951384560045199</v>
      </c>
      <c r="AP38" s="129">
        <f t="shared" si="13"/>
        <v>-6.7322489324123505E-2</v>
      </c>
      <c r="AQ38" s="129">
        <f t="shared" si="14"/>
        <v>-7.9023557658509602E-2</v>
      </c>
      <c r="AS38" s="129">
        <f t="shared" si="3"/>
        <v>0.94565579431945279</v>
      </c>
      <c r="AT38" s="129">
        <f t="shared" si="4"/>
        <v>5.4344205680547229E-2</v>
      </c>
      <c r="AV38" s="129">
        <f t="shared" si="15"/>
        <v>1.9149689706166916E-3</v>
      </c>
      <c r="AW38" s="129">
        <f t="shared" si="16"/>
        <v>-3.2748778518285594E-2</v>
      </c>
      <c r="AZ38" s="129">
        <f t="shared" si="17"/>
        <v>0.93358718083704484</v>
      </c>
      <c r="BA38" s="129">
        <f t="shared" si="18"/>
        <v>0.62125384546442231</v>
      </c>
      <c r="BB38" s="129">
        <f t="shared" si="5"/>
        <v>1.0720526347186539</v>
      </c>
      <c r="BC38" s="129"/>
      <c r="BD38" s="129">
        <f t="shared" si="19"/>
        <v>0.99777465097402229</v>
      </c>
      <c r="BE38" s="129">
        <f t="shared" si="20"/>
        <v>0.99513922198459348</v>
      </c>
      <c r="BF38" s="129">
        <f t="shared" si="6"/>
        <v>1.0319572339024361</v>
      </c>
    </row>
    <row r="39" spans="1:58" x14ac:dyDescent="0.2">
      <c r="A39" s="133" t="s">
        <v>664</v>
      </c>
      <c r="B39" s="133">
        <f t="shared" si="7"/>
        <v>1980</v>
      </c>
      <c r="D39" s="309">
        <f>'Passenger-based Energy Use'!N38</f>
        <v>1208.1100126947761</v>
      </c>
      <c r="E39" s="309">
        <f>'Passenger-based Energy Use'!O38</f>
        <v>165.91399999999999</v>
      </c>
      <c r="F39" s="309">
        <f t="shared" si="21"/>
        <v>1374.024012694776</v>
      </c>
      <c r="H39" s="310">
        <f>'Passenger-based Activity'!N39</f>
        <v>267722</v>
      </c>
      <c r="I39" s="310">
        <f>'Passenger-based Activity'!U39</f>
        <v>14700</v>
      </c>
      <c r="J39" s="310">
        <f t="shared" si="0"/>
        <v>282422</v>
      </c>
      <c r="L39" s="311">
        <f t="shared" si="32"/>
        <v>4512.5541146964988</v>
      </c>
      <c r="M39" s="311">
        <f t="shared" si="33"/>
        <v>11286.666666666666</v>
      </c>
      <c r="N39" s="311">
        <f t="shared" si="34"/>
        <v>4865.1451115521313</v>
      </c>
      <c r="O39" s="308"/>
      <c r="P39" s="312">
        <f t="shared" si="22"/>
        <v>1.0511274587541013</v>
      </c>
      <c r="Q39" s="312">
        <f t="shared" si="23"/>
        <v>0.96481181353430279</v>
      </c>
      <c r="R39" s="312">
        <f t="shared" si="24"/>
        <v>1.070739367837314</v>
      </c>
      <c r="T39" s="131">
        <f t="shared" si="25"/>
        <v>0.77722340405038348</v>
      </c>
      <c r="U39" s="131">
        <f t="shared" si="26"/>
        <v>1.070739367837314</v>
      </c>
      <c r="V39" s="131">
        <f t="shared" si="27"/>
        <v>1.0288717931613285</v>
      </c>
      <c r="W39" s="131">
        <f t="shared" si="28"/>
        <v>1.0406927033613613</v>
      </c>
      <c r="X39" s="131">
        <f t="shared" si="29"/>
        <v>0.83220369632127311</v>
      </c>
      <c r="Y39" s="131">
        <f t="shared" si="30"/>
        <v>0.83220369632127289</v>
      </c>
      <c r="Z39" s="131"/>
      <c r="AA39" s="131">
        <f t="shared" si="31"/>
        <v>1.0707393678373143</v>
      </c>
      <c r="AB39" s="141"/>
      <c r="AC39" s="134"/>
      <c r="AE39" s="129">
        <f t="shared" si="1"/>
        <v>0.87924956298645418</v>
      </c>
      <c r="AF39" s="129">
        <f t="shared" si="2"/>
        <v>0.12075043701354578</v>
      </c>
      <c r="AH39" s="129">
        <f t="shared" si="8"/>
        <v>0.88107914102818907</v>
      </c>
      <c r="AI39" s="129">
        <f t="shared" si="9"/>
        <v>0.11891019453906504</v>
      </c>
      <c r="AJ39" s="129">
        <f t="shared" si="10"/>
        <v>0.99998933556725411</v>
      </c>
      <c r="AL39" s="129">
        <f t="shared" si="11"/>
        <v>0.8810885373376387</v>
      </c>
      <c r="AM39" s="129">
        <f t="shared" si="12"/>
        <v>0.11891146266236131</v>
      </c>
      <c r="AP39" s="129">
        <f t="shared" si="13"/>
        <v>-3.9262249372218387E-2</v>
      </c>
      <c r="AQ39" s="129">
        <f t="shared" si="14"/>
        <v>4.1248413949525747E-2</v>
      </c>
      <c r="AS39" s="129">
        <f t="shared" si="3"/>
        <v>0.94795023050612204</v>
      </c>
      <c r="AT39" s="129">
        <f t="shared" si="4"/>
        <v>5.2049769493877955E-2</v>
      </c>
      <c r="AV39" s="129">
        <f t="shared" si="15"/>
        <v>2.423352354665538E-3</v>
      </c>
      <c r="AW39" s="129">
        <f t="shared" si="16"/>
        <v>-4.3137630171001203E-2</v>
      </c>
      <c r="AZ39" s="129">
        <f t="shared" si="17"/>
        <v>0.97074776896050208</v>
      </c>
      <c r="BA39" s="129">
        <f t="shared" si="18"/>
        <v>0.60308078444272051</v>
      </c>
      <c r="BB39" s="129">
        <f t="shared" si="5"/>
        <v>1.0406927033613613</v>
      </c>
      <c r="BC39" s="129"/>
      <c r="BD39" s="129">
        <f t="shared" si="19"/>
        <v>0.99701010793883404</v>
      </c>
      <c r="BE39" s="129">
        <f t="shared" si="20"/>
        <v>0.99216386312502691</v>
      </c>
      <c r="BF39" s="129">
        <f t="shared" si="6"/>
        <v>1.0288717931613285</v>
      </c>
    </row>
    <row r="40" spans="1:58" x14ac:dyDescent="0.2">
      <c r="A40" s="133" t="s">
        <v>664</v>
      </c>
      <c r="B40" s="133">
        <f t="shared" si="7"/>
        <v>1981</v>
      </c>
      <c r="D40" s="309">
        <f>'Passenger-based Energy Use'!N39</f>
        <v>1240.5126264696532</v>
      </c>
      <c r="E40" s="309">
        <f>'Passenger-based Energy Use'!O39</f>
        <v>161.24279999999999</v>
      </c>
      <c r="F40" s="309">
        <f t="shared" ref="F40:F59" si="35">D40+E40</f>
        <v>1401.7554264696532</v>
      </c>
      <c r="H40" s="310">
        <f>'Passenger-based Activity'!N40</f>
        <v>260063</v>
      </c>
      <c r="I40" s="310">
        <f>'Passenger-based Activity'!U40</f>
        <v>14600</v>
      </c>
      <c r="J40" s="310">
        <f t="shared" ref="J40:J59" si="36">H40+I40</f>
        <v>274663</v>
      </c>
      <c r="L40" s="311">
        <f t="shared" ref="L40:L60" si="37">D40/H40*1000000</f>
        <v>4770.0465905171177</v>
      </c>
      <c r="M40" s="311">
        <f t="shared" ref="M40:M60" si="38">E40/I40*1000000</f>
        <v>11044.027397260274</v>
      </c>
      <c r="N40" s="311">
        <f t="shared" ref="N40:N60" si="39">F40/J40*1000000</f>
        <v>5103.5466242983339</v>
      </c>
      <c r="O40" s="308"/>
      <c r="P40" s="312">
        <f t="shared" si="22"/>
        <v>1.1111062213081393</v>
      </c>
      <c r="Q40" s="312">
        <f t="shared" si="23"/>
        <v>0.94407041658652191</v>
      </c>
      <c r="R40" s="312">
        <f t="shared" si="24"/>
        <v>1.1232076661503916</v>
      </c>
      <c r="T40" s="131">
        <f t="shared" si="25"/>
        <v>0.75587068934675938</v>
      </c>
      <c r="U40" s="131">
        <f t="shared" ref="U40:U67" si="40">R40</f>
        <v>1.1232076661503916</v>
      </c>
      <c r="V40" s="131">
        <f t="shared" ref="V40:V67" si="41">BF40</f>
        <v>1.0303636227026922</v>
      </c>
      <c r="W40" s="131">
        <f t="shared" ref="W40:W67" si="42">BB40</f>
        <v>1.090108037009464</v>
      </c>
      <c r="X40" s="131">
        <f t="shared" ref="X40:X67" si="43">T40*V40*W40</f>
        <v>0.84899975289266139</v>
      </c>
      <c r="Y40" s="131">
        <f t="shared" si="30"/>
        <v>0.84899975289266116</v>
      </c>
      <c r="Z40" s="131"/>
      <c r="AA40" s="131">
        <f t="shared" ref="AA40:AA67" si="44">V40*W40</f>
        <v>1.1232076661503918</v>
      </c>
      <c r="AB40" s="141"/>
      <c r="AC40" s="134"/>
      <c r="AE40" s="129">
        <f t="shared" ref="AE40:AE60" si="45">D40/F40</f>
        <v>0.88497080378273052</v>
      </c>
      <c r="AF40" s="129">
        <f t="shared" ref="AF40:AF60" si="46">E40/F40</f>
        <v>0.11502919621726947</v>
      </c>
      <c r="AH40" s="129">
        <f t="shared" si="8"/>
        <v>0.88210709111329588</v>
      </c>
      <c r="AI40" s="129">
        <f t="shared" si="9"/>
        <v>0.11786667513591045</v>
      </c>
      <c r="AJ40" s="129">
        <f t="shared" si="10"/>
        <v>0.99997376624920631</v>
      </c>
      <c r="AL40" s="129">
        <f t="shared" si="11"/>
        <v>0.88213023269798807</v>
      </c>
      <c r="AM40" s="129">
        <f t="shared" si="12"/>
        <v>0.11786976730201197</v>
      </c>
      <c r="AP40" s="129">
        <f t="shared" si="13"/>
        <v>5.5492756492953682E-2</v>
      </c>
      <c r="AQ40" s="129">
        <f t="shared" si="14"/>
        <v>-2.1732313234971962E-2</v>
      </c>
      <c r="AS40" s="129">
        <f t="shared" ref="AS40:AS66" si="47">H40/J40</f>
        <v>0.946843950586719</v>
      </c>
      <c r="AT40" s="129">
        <f t="shared" ref="AT40:AT66" si="48">I40/J40</f>
        <v>5.3156049413281004E-2</v>
      </c>
      <c r="AV40" s="129">
        <f t="shared" si="15"/>
        <v>-1.167704710248952E-3</v>
      </c>
      <c r="AW40" s="129">
        <f t="shared" si="16"/>
        <v>2.1031549559379092E-2</v>
      </c>
      <c r="AZ40" s="129">
        <f t="shared" si="17"/>
        <v>1.0474831172434425</v>
      </c>
      <c r="BA40" s="129">
        <f t="shared" si="18"/>
        <v>0.63171694003768142</v>
      </c>
      <c r="BB40" s="129">
        <f t="shared" ref="BB40:BB70" si="49">BA40/BA$72</f>
        <v>1.090108037009464</v>
      </c>
      <c r="BC40" s="129"/>
      <c r="BD40" s="129">
        <f t="shared" si="19"/>
        <v>1.001449966411053</v>
      </c>
      <c r="BE40" s="129">
        <f t="shared" si="20"/>
        <v>0.99360246740081881</v>
      </c>
      <c r="BF40" s="129">
        <f t="shared" ref="BF40:BF70" si="50">BE40/BE$72</f>
        <v>1.0303636227026922</v>
      </c>
    </row>
    <row r="41" spans="1:58" x14ac:dyDescent="0.2">
      <c r="A41" s="133" t="s">
        <v>664</v>
      </c>
      <c r="B41" s="133">
        <f t="shared" ref="B41:B70" si="51">B40+1</f>
        <v>1982</v>
      </c>
      <c r="D41" s="309">
        <f>'Passenger-based Energy Use'!N40</f>
        <v>1228.0592712157463</v>
      </c>
      <c r="E41" s="309">
        <f>'Passenger-based Energy Use'!O40</f>
        <v>173.59460000000001</v>
      </c>
      <c r="F41" s="309">
        <f t="shared" si="35"/>
        <v>1401.6538712157462</v>
      </c>
      <c r="H41" s="310">
        <f>'Passenger-based Activity'!N41</f>
        <v>272435</v>
      </c>
      <c r="I41" s="310">
        <f>'Passenger-based Activity'!U41</f>
        <v>13100</v>
      </c>
      <c r="J41" s="310">
        <f t="shared" si="36"/>
        <v>285535</v>
      </c>
      <c r="L41" s="311">
        <f t="shared" si="37"/>
        <v>4507.7147621111326</v>
      </c>
      <c r="M41" s="311">
        <f t="shared" si="38"/>
        <v>13251.496183206107</v>
      </c>
      <c r="N41" s="311">
        <f t="shared" si="39"/>
        <v>4908.8688644675658</v>
      </c>
      <c r="O41" s="308"/>
      <c r="P41" s="312">
        <f t="shared" si="22"/>
        <v>1.0500002088074458</v>
      </c>
      <c r="Q41" s="312">
        <f t="shared" si="23"/>
        <v>1.1327702360805059</v>
      </c>
      <c r="R41" s="312">
        <f t="shared" si="24"/>
        <v>1.0803622552297132</v>
      </c>
      <c r="T41" s="131">
        <f t="shared" si="25"/>
        <v>0.78579035866726477</v>
      </c>
      <c r="U41" s="131">
        <f t="shared" si="40"/>
        <v>1.0803622552297132</v>
      </c>
      <c r="V41" s="131">
        <f t="shared" si="41"/>
        <v>1.019259132055782</v>
      </c>
      <c r="W41" s="131">
        <f t="shared" si="42"/>
        <v>1.0599485658280934</v>
      </c>
      <c r="X41" s="131">
        <f t="shared" si="43"/>
        <v>0.84893824402753149</v>
      </c>
      <c r="Y41" s="131">
        <f t="shared" si="30"/>
        <v>0.84893824402753115</v>
      </c>
      <c r="Z41" s="131"/>
      <c r="AA41" s="131">
        <f t="shared" si="44"/>
        <v>1.0803622552297134</v>
      </c>
      <c r="AB41" s="141"/>
      <c r="AC41" s="134"/>
      <c r="AE41" s="129">
        <f t="shared" si="45"/>
        <v>0.87615016548313029</v>
      </c>
      <c r="AF41" s="129">
        <f t="shared" si="46"/>
        <v>0.12384983451686973</v>
      </c>
      <c r="AH41" s="129">
        <f t="shared" ref="AH41:AH66" si="52">(AE41-AE40)/LN(AE41/AE40)</f>
        <v>0.88055312150249354</v>
      </c>
      <c r="AI41" s="129">
        <f t="shared" ref="AI41:AI66" si="53">(AF41-AF40)/LN(AF41/AF40)</f>
        <v>0.11938521175247591</v>
      </c>
      <c r="AJ41" s="129">
        <f t="shared" ref="AJ41:AJ66" si="54">AH41+AI41</f>
        <v>0.99993833325496939</v>
      </c>
      <c r="AL41" s="129">
        <f t="shared" ref="AL41:AL66" si="55">AH41/AJ41</f>
        <v>0.88060742569608597</v>
      </c>
      <c r="AM41" s="129">
        <f t="shared" ref="AM41:AM66" si="56">AI41/AJ41</f>
        <v>0.11939257430391405</v>
      </c>
      <c r="AP41" s="129">
        <f t="shared" ref="AP41:AP66" si="57">LN(P41/P40)</f>
        <v>-5.6565751791821647E-2</v>
      </c>
      <c r="AQ41" s="129">
        <f t="shared" ref="AQ41:AQ66" si="58">LN(Q41/Q40)</f>
        <v>0.1822206907426516</v>
      </c>
      <c r="AS41" s="129">
        <f t="shared" si="47"/>
        <v>0.95412121105994008</v>
      </c>
      <c r="AT41" s="129">
        <f t="shared" si="48"/>
        <v>4.5878788940059888E-2</v>
      </c>
      <c r="AV41" s="129">
        <f t="shared" ref="AV41:AV66" si="59">LN(AS41/AS40)</f>
        <v>7.6564222952791878E-3</v>
      </c>
      <c r="AW41" s="129">
        <f t="shared" ref="AW41:AW66" si="60">LN(AT41/AT40)</f>
        <v>-0.14722902039573615</v>
      </c>
      <c r="AZ41" s="129">
        <f t="shared" ref="AZ41:AZ66" si="61">EXP(SUMPRODUCT($AL41:$AM41,AP41:AQ41))</f>
        <v>0.9723335025910752</v>
      </c>
      <c r="BA41" s="129">
        <f t="shared" ref="BA41:BA66" si="62">IF(ISERR(AZ41),BA40,AZ41*BA40)</f>
        <v>0.61423954495295496</v>
      </c>
      <c r="BB41" s="129">
        <f t="shared" si="49"/>
        <v>1.0599485658280934</v>
      </c>
      <c r="BC41" s="129"/>
      <c r="BD41" s="129">
        <f t="shared" ref="BD41:BD66" si="63">EXP(SUMPRODUCT($AL41:$AM41,AV41:AW41))</f>
        <v>0.98922274583240544</v>
      </c>
      <c r="BE41" s="129">
        <f t="shared" ref="BE41:BE66" si="64">IF(ISERR(BD41),BE40,BD41*BE40)</f>
        <v>0.98289416106809113</v>
      </c>
      <c r="BF41" s="129">
        <f t="shared" si="50"/>
        <v>1.019259132055782</v>
      </c>
    </row>
    <row r="42" spans="1:58" x14ac:dyDescent="0.2">
      <c r="A42" s="133" t="s">
        <v>664</v>
      </c>
      <c r="B42" s="133">
        <f t="shared" si="51"/>
        <v>1983</v>
      </c>
      <c r="D42" s="309">
        <f>'Passenger-based Energy Use'!N41</f>
        <v>1259.3013205534492</v>
      </c>
      <c r="E42" s="309">
        <f>'Passenger-based Energy Use'!O41</f>
        <v>134.20060000000001</v>
      </c>
      <c r="F42" s="309">
        <f t="shared" si="35"/>
        <v>1393.5019205534491</v>
      </c>
      <c r="H42" s="310">
        <f>'Passenger-based Activity'!N42</f>
        <v>295144</v>
      </c>
      <c r="I42" s="310">
        <f>'Passenger-based Activity'!U42</f>
        <v>12700</v>
      </c>
      <c r="J42" s="310">
        <f t="shared" si="36"/>
        <v>307844</v>
      </c>
      <c r="L42" s="311">
        <f t="shared" si="37"/>
        <v>4266.7352904123045</v>
      </c>
      <c r="M42" s="311">
        <f t="shared" si="38"/>
        <v>10566.976377952757</v>
      </c>
      <c r="N42" s="311">
        <f t="shared" si="39"/>
        <v>4526.6496035441623</v>
      </c>
      <c r="O42" s="308"/>
      <c r="P42" s="312">
        <f t="shared" si="22"/>
        <v>0.99386788700907758</v>
      </c>
      <c r="Q42" s="312">
        <f t="shared" si="23"/>
        <v>0.90329093113881309</v>
      </c>
      <c r="R42" s="312">
        <f t="shared" si="24"/>
        <v>0.99624200795392237</v>
      </c>
      <c r="T42" s="131">
        <f t="shared" si="25"/>
        <v>0.84718457342730469</v>
      </c>
      <c r="U42" s="131">
        <f t="shared" si="40"/>
        <v>0.99624200795392237</v>
      </c>
      <c r="V42" s="131">
        <f t="shared" si="41"/>
        <v>1.0118095001284286</v>
      </c>
      <c r="W42" s="131">
        <f t="shared" si="42"/>
        <v>0.9846142063574912</v>
      </c>
      <c r="X42" s="131">
        <f t="shared" si="43"/>
        <v>0.84400086053880541</v>
      </c>
      <c r="Y42" s="131">
        <f t="shared" si="30"/>
        <v>0.84400086053880508</v>
      </c>
      <c r="Z42" s="131"/>
      <c r="AA42" s="131">
        <f t="shared" si="44"/>
        <v>0.99624200795392259</v>
      </c>
      <c r="AB42" s="141"/>
      <c r="AC42" s="134"/>
      <c r="AE42" s="129">
        <f t="shared" si="45"/>
        <v>0.90369543233445981</v>
      </c>
      <c r="AF42" s="129">
        <f t="shared" si="46"/>
        <v>9.6304567665540311E-2</v>
      </c>
      <c r="AH42" s="129">
        <f t="shared" si="52"/>
        <v>0.88985174497450115</v>
      </c>
      <c r="AI42" s="129">
        <f t="shared" si="53"/>
        <v>0.10950038216294962</v>
      </c>
      <c r="AJ42" s="129">
        <f t="shared" si="54"/>
        <v>0.99935212713745081</v>
      </c>
      <c r="AL42" s="129">
        <f t="shared" si="55"/>
        <v>0.89042862951960378</v>
      </c>
      <c r="AM42" s="129">
        <f t="shared" si="56"/>
        <v>0.1095713704803962</v>
      </c>
      <c r="AP42" s="129">
        <f t="shared" si="57"/>
        <v>-5.4941354646230726E-2</v>
      </c>
      <c r="AQ42" s="129">
        <f t="shared" si="58"/>
        <v>-0.22637676354262076</v>
      </c>
      <c r="AS42" s="129">
        <f t="shared" si="47"/>
        <v>0.95874533854809574</v>
      </c>
      <c r="AT42" s="129">
        <f t="shared" si="48"/>
        <v>4.1254661451904213E-2</v>
      </c>
      <c r="AV42" s="129">
        <f t="shared" si="59"/>
        <v>4.8347716640466274E-3</v>
      </c>
      <c r="AW42" s="129">
        <f t="shared" si="60"/>
        <v>-0.10623878437223282</v>
      </c>
      <c r="AZ42" s="129">
        <f t="shared" si="61"/>
        <v>0.92892640086573763</v>
      </c>
      <c r="BA42" s="129">
        <f t="shared" si="62"/>
        <v>0.57058332976255688</v>
      </c>
      <c r="BB42" s="129">
        <f t="shared" si="49"/>
        <v>0.9846142063574912</v>
      </c>
      <c r="BC42" s="129"/>
      <c r="BD42" s="129">
        <f t="shared" si="63"/>
        <v>0.99269113055447644</v>
      </c>
      <c r="BE42" s="129">
        <f t="shared" si="64"/>
        <v>0.97571031596607705</v>
      </c>
      <c r="BF42" s="129">
        <f t="shared" si="50"/>
        <v>1.0118095001284286</v>
      </c>
    </row>
    <row r="43" spans="1:58" x14ac:dyDescent="0.2">
      <c r="A43" s="133" t="s">
        <v>664</v>
      </c>
      <c r="B43" s="133">
        <f t="shared" si="51"/>
        <v>1984</v>
      </c>
      <c r="D43" s="309">
        <f>'Passenger-based Energy Use'!N42</f>
        <v>1403.3309989803945</v>
      </c>
      <c r="E43" s="309">
        <f>'Passenger-based Energy Use'!O42</f>
        <v>155.33197999999999</v>
      </c>
      <c r="F43" s="309">
        <f t="shared" si="35"/>
        <v>1558.6629789803944</v>
      </c>
      <c r="H43" s="310">
        <f>'Passenger-based Activity'!N43</f>
        <v>319504</v>
      </c>
      <c r="I43" s="310">
        <f>'Passenger-based Activity'!U43</f>
        <v>13000</v>
      </c>
      <c r="J43" s="310">
        <f t="shared" si="36"/>
        <v>332504</v>
      </c>
      <c r="L43" s="311">
        <f t="shared" si="37"/>
        <v>4392.217308642128</v>
      </c>
      <c r="M43" s="311">
        <f t="shared" si="38"/>
        <v>11948.613846153845</v>
      </c>
      <c r="N43" s="311">
        <f t="shared" si="39"/>
        <v>4687.6518146560475</v>
      </c>
      <c r="O43" s="308"/>
      <c r="P43" s="312">
        <f t="shared" si="22"/>
        <v>1.0230969204098483</v>
      </c>
      <c r="Q43" s="312">
        <f t="shared" si="23"/>
        <v>1.0213966740220413</v>
      </c>
      <c r="R43" s="312">
        <f t="shared" si="24"/>
        <v>1.0316759779165061</v>
      </c>
      <c r="T43" s="131">
        <f t="shared" si="25"/>
        <v>0.91504872403838478</v>
      </c>
      <c r="U43" s="131">
        <f t="shared" si="40"/>
        <v>1.0316759779165061</v>
      </c>
      <c r="V43" s="131">
        <f t="shared" si="41"/>
        <v>1.0085418379906965</v>
      </c>
      <c r="W43" s="131">
        <f t="shared" si="42"/>
        <v>1.0229382054907106</v>
      </c>
      <c r="X43" s="131">
        <f t="shared" si="43"/>
        <v>0.94403378721355169</v>
      </c>
      <c r="Y43" s="131">
        <f t="shared" si="30"/>
        <v>0.94403378721355169</v>
      </c>
      <c r="Z43" s="131"/>
      <c r="AA43" s="131">
        <f t="shared" si="44"/>
        <v>1.0316759779165061</v>
      </c>
      <c r="AB43" s="141"/>
      <c r="AC43" s="134"/>
      <c r="AE43" s="129">
        <f t="shared" si="45"/>
        <v>0.90034280527942545</v>
      </c>
      <c r="AF43" s="129">
        <f t="shared" si="46"/>
        <v>9.9657194720574563E-2</v>
      </c>
      <c r="AH43" s="129">
        <f t="shared" si="52"/>
        <v>0.90201808038489806</v>
      </c>
      <c r="AI43" s="129">
        <f t="shared" si="53"/>
        <v>9.797132066663479E-2</v>
      </c>
      <c r="AJ43" s="129">
        <f t="shared" si="54"/>
        <v>0.99998940105153289</v>
      </c>
      <c r="AL43" s="129">
        <f t="shared" si="55"/>
        <v>0.90202764092938015</v>
      </c>
      <c r="AM43" s="129">
        <f t="shared" si="56"/>
        <v>9.7972359070619783E-2</v>
      </c>
      <c r="AP43" s="129">
        <f t="shared" si="57"/>
        <v>2.8985215452995251E-2</v>
      </c>
      <c r="AQ43" s="129">
        <f t="shared" si="58"/>
        <v>0.1228815735097554</v>
      </c>
      <c r="AS43" s="129">
        <f t="shared" si="47"/>
        <v>0.9609027259822438</v>
      </c>
      <c r="AT43" s="129">
        <f t="shared" si="48"/>
        <v>3.909727401775618E-2</v>
      </c>
      <c r="AV43" s="129">
        <f t="shared" si="59"/>
        <v>2.2476915245993124E-3</v>
      </c>
      <c r="AW43" s="129">
        <f t="shared" si="60"/>
        <v>-5.371136494582765E-2</v>
      </c>
      <c r="AZ43" s="129">
        <f t="shared" si="61"/>
        <v>1.0389228581974217</v>
      </c>
      <c r="BA43" s="129">
        <f t="shared" si="62"/>
        <v>0.59279206379671756</v>
      </c>
      <c r="BB43" s="129">
        <f t="shared" si="49"/>
        <v>1.0229382054907106</v>
      </c>
      <c r="BC43" s="129"/>
      <c r="BD43" s="129">
        <f t="shared" si="63"/>
        <v>0.99677047691554854</v>
      </c>
      <c r="BE43" s="129">
        <f t="shared" si="64"/>
        <v>0.97255923697692714</v>
      </c>
      <c r="BF43" s="129">
        <f t="shared" si="50"/>
        <v>1.0085418379906965</v>
      </c>
    </row>
    <row r="44" spans="1:58" x14ac:dyDescent="0.2">
      <c r="A44" s="133" t="s">
        <v>664</v>
      </c>
      <c r="B44" s="133">
        <f t="shared" si="51"/>
        <v>1985</v>
      </c>
      <c r="D44" s="309">
        <f>'Passenger-based Energy Use'!N43</f>
        <v>1507.1777428273399</v>
      </c>
      <c r="E44" s="309">
        <f>'Passenger-based Energy Use'!O43</f>
        <v>143.88919999999999</v>
      </c>
      <c r="F44" s="309">
        <f t="shared" si="35"/>
        <v>1651.06694282734</v>
      </c>
      <c r="H44" s="310">
        <f>'Passenger-based Activity'!N44</f>
        <v>351073</v>
      </c>
      <c r="I44" s="310">
        <f>'Passenger-based Activity'!U44</f>
        <v>12300</v>
      </c>
      <c r="J44" s="310">
        <f t="shared" si="36"/>
        <v>363373</v>
      </c>
      <c r="L44" s="311">
        <f t="shared" si="37"/>
        <v>4293.0608244648256</v>
      </c>
      <c r="M44" s="311">
        <f t="shared" si="38"/>
        <v>11698.308943089431</v>
      </c>
      <c r="N44" s="311">
        <f t="shared" si="39"/>
        <v>4543.7248855235248</v>
      </c>
      <c r="O44" s="308"/>
      <c r="P44" s="312">
        <f t="shared" si="22"/>
        <v>1</v>
      </c>
      <c r="Q44" s="312">
        <f t="shared" si="23"/>
        <v>1</v>
      </c>
      <c r="R44" s="312">
        <f t="shared" si="24"/>
        <v>1</v>
      </c>
      <c r="T44" s="131">
        <f t="shared" si="25"/>
        <v>1</v>
      </c>
      <c r="U44" s="131">
        <f t="shared" si="40"/>
        <v>1</v>
      </c>
      <c r="V44" s="131">
        <f t="shared" si="41"/>
        <v>1</v>
      </c>
      <c r="W44" s="131">
        <f t="shared" si="42"/>
        <v>1</v>
      </c>
      <c r="X44" s="131">
        <f t="shared" si="43"/>
        <v>1</v>
      </c>
      <c r="Y44" s="131">
        <f t="shared" si="30"/>
        <v>1</v>
      </c>
      <c r="Z44" s="131"/>
      <c r="AA44" s="131">
        <f t="shared" si="44"/>
        <v>1</v>
      </c>
      <c r="AB44" s="141"/>
      <c r="AC44" s="134"/>
      <c r="AE44" s="129">
        <f t="shared" si="45"/>
        <v>0.91285077771976975</v>
      </c>
      <c r="AF44" s="129">
        <f t="shared" si="46"/>
        <v>8.7149222280230212E-2</v>
      </c>
      <c r="AH44" s="129">
        <f t="shared" si="52"/>
        <v>0.90658241067071321</v>
      </c>
      <c r="AI44" s="129">
        <f t="shared" si="53"/>
        <v>9.3263458791519052E-2</v>
      </c>
      <c r="AJ44" s="129">
        <f t="shared" si="54"/>
        <v>0.99984586946223231</v>
      </c>
      <c r="AL44" s="129">
        <f t="shared" si="55"/>
        <v>0.90672216424549423</v>
      </c>
      <c r="AM44" s="129">
        <f t="shared" si="56"/>
        <v>9.3277835754505697E-2</v>
      </c>
      <c r="AP44" s="129">
        <f t="shared" si="57"/>
        <v>-2.2834223840410936E-2</v>
      </c>
      <c r="AQ44" s="129">
        <f t="shared" si="58"/>
        <v>-2.1170978932822309E-2</v>
      </c>
      <c r="AS44" s="129">
        <f t="shared" si="47"/>
        <v>0.96615048448839069</v>
      </c>
      <c r="AT44" s="129">
        <f t="shared" si="48"/>
        <v>3.3849515511609286E-2</v>
      </c>
      <c r="AV44" s="129">
        <f t="shared" si="59"/>
        <v>5.4464209393571862E-3</v>
      </c>
      <c r="AW44" s="129">
        <f t="shared" si="60"/>
        <v>-0.14412805989235364</v>
      </c>
      <c r="AZ44" s="129">
        <f t="shared" si="61"/>
        <v>0.977576157222804</v>
      </c>
      <c r="BA44" s="129">
        <f t="shared" si="62"/>
        <v>0.57949938775857046</v>
      </c>
      <c r="BB44" s="129">
        <f t="shared" si="49"/>
        <v>1</v>
      </c>
      <c r="BC44" s="129"/>
      <c r="BD44" s="129">
        <f t="shared" si="63"/>
        <v>0.99153050704598011</v>
      </c>
      <c r="BE44" s="129">
        <f t="shared" si="64"/>
        <v>0.96432215337198413</v>
      </c>
      <c r="BF44" s="129">
        <f t="shared" si="50"/>
        <v>1</v>
      </c>
    </row>
    <row r="45" spans="1:58" x14ac:dyDescent="0.2">
      <c r="A45" s="133" t="s">
        <v>664</v>
      </c>
      <c r="B45" s="133">
        <f t="shared" si="51"/>
        <v>1986</v>
      </c>
      <c r="D45" s="309">
        <f>'Passenger-based Energy Use'!N44</f>
        <v>1613.2202565852003</v>
      </c>
      <c r="E45" s="309">
        <f>'Passenger-based Energy Use'!O44</f>
        <v>147.94721999999999</v>
      </c>
      <c r="F45" s="309">
        <f t="shared" si="35"/>
        <v>1761.1674765852003</v>
      </c>
      <c r="H45" s="310">
        <f>'Passenger-based Activity'!N45</f>
        <v>378923</v>
      </c>
      <c r="I45" s="310">
        <f>'Passenger-based Activity'!U45</f>
        <v>12400</v>
      </c>
      <c r="J45" s="310">
        <f t="shared" si="36"/>
        <v>391323</v>
      </c>
      <c r="L45" s="311">
        <f t="shared" si="37"/>
        <v>4257.3827837982926</v>
      </c>
      <c r="M45" s="311">
        <f t="shared" si="38"/>
        <v>11931.227419354838</v>
      </c>
      <c r="N45" s="311">
        <f t="shared" si="39"/>
        <v>4500.5468029867916</v>
      </c>
      <c r="O45" s="308"/>
      <c r="P45" s="312">
        <f t="shared" si="22"/>
        <v>0.99168936986328848</v>
      </c>
      <c r="Q45" s="312">
        <f t="shared" si="23"/>
        <v>1.0199104398249801</v>
      </c>
      <c r="R45" s="312">
        <f t="shared" si="24"/>
        <v>0.99049720578939537</v>
      </c>
      <c r="T45" s="131">
        <f t="shared" si="25"/>
        <v>1.0769182080121529</v>
      </c>
      <c r="U45" s="131">
        <f t="shared" si="40"/>
        <v>0.99049720578939537</v>
      </c>
      <c r="V45" s="131">
        <f t="shared" si="41"/>
        <v>0.99640254185741439</v>
      </c>
      <c r="W45" s="131">
        <f t="shared" si="42"/>
        <v>0.99407334303161221</v>
      </c>
      <c r="X45" s="131">
        <f t="shared" si="43"/>
        <v>1.0666844758997609</v>
      </c>
      <c r="Y45" s="131">
        <f t="shared" si="30"/>
        <v>1.0666844758997602</v>
      </c>
      <c r="Z45" s="131"/>
      <c r="AA45" s="131">
        <f t="shared" si="44"/>
        <v>0.99049720578939582</v>
      </c>
      <c r="AB45" s="141"/>
      <c r="AC45" s="134"/>
      <c r="AE45" s="129">
        <f t="shared" si="45"/>
        <v>0.91599480346590267</v>
      </c>
      <c r="AF45" s="129">
        <f t="shared" si="46"/>
        <v>8.4005196534097312E-2</v>
      </c>
      <c r="AH45" s="129">
        <f t="shared" si="52"/>
        <v>0.91442188975993488</v>
      </c>
      <c r="AI45" s="129">
        <f t="shared" si="53"/>
        <v>8.5567582829792321E-2</v>
      </c>
      <c r="AJ45" s="129">
        <f t="shared" si="54"/>
        <v>0.99998947258972715</v>
      </c>
      <c r="AL45" s="129">
        <f t="shared" si="55"/>
        <v>0.91443151635567399</v>
      </c>
      <c r="AM45" s="129">
        <f t="shared" si="56"/>
        <v>8.5568483644326065E-2</v>
      </c>
      <c r="AP45" s="129">
        <f t="shared" si="57"/>
        <v>-8.3453559527930585E-3</v>
      </c>
      <c r="AQ45" s="129">
        <f t="shared" si="58"/>
        <v>1.971481934801789E-2</v>
      </c>
      <c r="AS45" s="129">
        <f t="shared" si="47"/>
        <v>0.96831262154281761</v>
      </c>
      <c r="AT45" s="129">
        <f t="shared" si="48"/>
        <v>3.1687378457182433E-2</v>
      </c>
      <c r="AV45" s="129">
        <f t="shared" si="59"/>
        <v>2.2353881529491313E-3</v>
      </c>
      <c r="AW45" s="129">
        <f t="shared" si="60"/>
        <v>-6.6006240779309749E-2</v>
      </c>
      <c r="AZ45" s="129">
        <f t="shared" si="61"/>
        <v>0.9940733430316121</v>
      </c>
      <c r="BA45" s="129">
        <f t="shared" si="62"/>
        <v>0.57606489367393465</v>
      </c>
      <c r="BB45" s="129">
        <f t="shared" si="49"/>
        <v>0.99407334303161221</v>
      </c>
      <c r="BC45" s="129"/>
      <c r="BD45" s="129">
        <f t="shared" si="63"/>
        <v>0.99640254185741439</v>
      </c>
      <c r="BE45" s="129">
        <f t="shared" si="64"/>
        <v>0.96085304478926037</v>
      </c>
      <c r="BF45" s="129">
        <f t="shared" si="50"/>
        <v>0.99640254185741439</v>
      </c>
    </row>
    <row r="46" spans="1:58" x14ac:dyDescent="0.2">
      <c r="A46" s="133" t="s">
        <v>664</v>
      </c>
      <c r="B46" s="133">
        <f t="shared" si="51"/>
        <v>1987</v>
      </c>
      <c r="D46" s="309">
        <f>'Passenger-based Energy Use'!N45</f>
        <v>1689.2896288100676</v>
      </c>
      <c r="E46" s="309">
        <f>'Passenger-based Energy Use'!O45</f>
        <v>139.11086</v>
      </c>
      <c r="F46" s="309">
        <f t="shared" si="35"/>
        <v>1828.4004888100676</v>
      </c>
      <c r="H46" s="310">
        <f>'Passenger-based Activity'!N46</f>
        <v>417830</v>
      </c>
      <c r="I46" s="310">
        <f>'Passenger-based Activity'!U46</f>
        <v>12100</v>
      </c>
      <c r="J46" s="310">
        <f t="shared" si="36"/>
        <v>429930</v>
      </c>
      <c r="L46" s="311">
        <f t="shared" si="37"/>
        <v>4043.0070335066121</v>
      </c>
      <c r="M46" s="311">
        <f t="shared" si="38"/>
        <v>11496.765289256198</v>
      </c>
      <c r="N46" s="311">
        <f t="shared" si="39"/>
        <v>4252.7864741005915</v>
      </c>
      <c r="O46" s="308"/>
      <c r="P46" s="312">
        <f t="shared" si="22"/>
        <v>0.94175396036011549</v>
      </c>
      <c r="Q46" s="312">
        <f t="shared" si="23"/>
        <v>0.98277155657166237</v>
      </c>
      <c r="R46" s="312">
        <f t="shared" si="24"/>
        <v>0.9359691841489185</v>
      </c>
      <c r="T46" s="131">
        <f t="shared" si="25"/>
        <v>1.1831644068216405</v>
      </c>
      <c r="U46" s="131">
        <f t="shared" si="40"/>
        <v>0.9359691841489185</v>
      </c>
      <c r="V46" s="131">
        <f t="shared" si="41"/>
        <v>0.99031902661153903</v>
      </c>
      <c r="W46" s="131">
        <f t="shared" si="42"/>
        <v>0.94511885462951994</v>
      </c>
      <c r="X46" s="131">
        <f t="shared" si="43"/>
        <v>1.1074054245668903</v>
      </c>
      <c r="Y46" s="131">
        <f t="shared" si="30"/>
        <v>1.1074054245668901</v>
      </c>
      <c r="Z46" s="131"/>
      <c r="AA46" s="131">
        <f t="shared" si="44"/>
        <v>0.93596918414891883</v>
      </c>
      <c r="AB46" s="141"/>
      <c r="AC46" s="134"/>
      <c r="AE46" s="129">
        <f t="shared" si="45"/>
        <v>0.92391663596057449</v>
      </c>
      <c r="AF46" s="129">
        <f t="shared" si="46"/>
        <v>7.6083364039425561E-2</v>
      </c>
      <c r="AH46" s="129">
        <f t="shared" si="52"/>
        <v>0.91995003504287032</v>
      </c>
      <c r="AI46" s="129">
        <f t="shared" si="53"/>
        <v>7.9978903493137785E-2</v>
      </c>
      <c r="AJ46" s="129">
        <f t="shared" si="54"/>
        <v>0.99992893853600806</v>
      </c>
      <c r="AL46" s="129">
        <f t="shared" si="55"/>
        <v>0.92001541268499087</v>
      </c>
      <c r="AM46" s="129">
        <f t="shared" si="56"/>
        <v>7.9984587315009181E-2</v>
      </c>
      <c r="AP46" s="129">
        <f t="shared" si="57"/>
        <v>-5.1665871146030072E-2</v>
      </c>
      <c r="AQ46" s="129">
        <f t="shared" si="58"/>
        <v>-3.7093399319210726E-2</v>
      </c>
      <c r="AS46" s="129">
        <f t="shared" si="47"/>
        <v>0.97185588351592123</v>
      </c>
      <c r="AT46" s="129">
        <f t="shared" si="48"/>
        <v>2.8144116484078805E-2</v>
      </c>
      <c r="AV46" s="129">
        <f t="shared" si="59"/>
        <v>3.6525342031760934E-3</v>
      </c>
      <c r="AW46" s="129">
        <f t="shared" si="60"/>
        <v>-0.11858011882653172</v>
      </c>
      <c r="AZ46" s="129">
        <f t="shared" si="61"/>
        <v>0.95075364534693552</v>
      </c>
      <c r="BA46" s="129">
        <f t="shared" si="62"/>
        <v>0.54769579761688814</v>
      </c>
      <c r="BB46" s="129">
        <f t="shared" si="49"/>
        <v>0.94511885462951994</v>
      </c>
      <c r="BC46" s="129"/>
      <c r="BD46" s="129">
        <f t="shared" si="63"/>
        <v>0.99389452054735339</v>
      </c>
      <c r="BE46" s="129">
        <f t="shared" si="64"/>
        <v>0.95498657626728656</v>
      </c>
      <c r="BF46" s="129">
        <f t="shared" si="50"/>
        <v>0.99031902661153903</v>
      </c>
    </row>
    <row r="47" spans="1:58" x14ac:dyDescent="0.2">
      <c r="A47" s="133" t="s">
        <v>664</v>
      </c>
      <c r="B47" s="133">
        <f t="shared" si="51"/>
        <v>1988</v>
      </c>
      <c r="D47" s="309">
        <f>'Passenger-based Energy Use'!N46</f>
        <v>1755.8668811502225</v>
      </c>
      <c r="E47" s="309">
        <f>'Passenger-based Energy Use'!O46</f>
        <v>148.5496</v>
      </c>
      <c r="F47" s="309">
        <f t="shared" si="35"/>
        <v>1904.4164811502226</v>
      </c>
      <c r="H47" s="310">
        <f>'Passenger-based Activity'!N47</f>
        <v>437648.54</v>
      </c>
      <c r="I47" s="310">
        <f>'Passenger-based Activity'!U47</f>
        <v>12600</v>
      </c>
      <c r="J47" s="310">
        <f t="shared" si="36"/>
        <v>450248.54</v>
      </c>
      <c r="L47" s="311">
        <f t="shared" si="37"/>
        <v>4012.0478435738014</v>
      </c>
      <c r="M47" s="311">
        <f t="shared" si="38"/>
        <v>11789.650793650793</v>
      </c>
      <c r="N47" s="311">
        <f t="shared" si="39"/>
        <v>4229.7005141876143</v>
      </c>
      <c r="O47" s="308"/>
      <c r="P47" s="312">
        <f t="shared" si="22"/>
        <v>0.93454251118697917</v>
      </c>
      <c r="Q47" s="312">
        <f t="shared" si="23"/>
        <v>1.0078081243199959</v>
      </c>
      <c r="R47" s="312">
        <f t="shared" si="24"/>
        <v>0.93088833957874439</v>
      </c>
      <c r="T47" s="131">
        <f t="shared" si="25"/>
        <v>1.2390808893341001</v>
      </c>
      <c r="U47" s="131">
        <f t="shared" si="40"/>
        <v>0.93088833957874439</v>
      </c>
      <c r="V47" s="131">
        <f t="shared" si="41"/>
        <v>0.99003532892232859</v>
      </c>
      <c r="W47" s="131">
        <f t="shared" si="42"/>
        <v>0.94025769827025607</v>
      </c>
      <c r="X47" s="131">
        <f t="shared" si="43"/>
        <v>1.1534459516759745</v>
      </c>
      <c r="Y47" s="131">
        <f t="shared" si="30"/>
        <v>1.1534459516759743</v>
      </c>
      <c r="Z47" s="131"/>
      <c r="AA47" s="131">
        <f t="shared" si="44"/>
        <v>0.93088833957874462</v>
      </c>
      <c r="AB47" s="141"/>
      <c r="AC47" s="134"/>
      <c r="AE47" s="129">
        <f t="shared" si="45"/>
        <v>0.92199731441607791</v>
      </c>
      <c r="AF47" s="129">
        <f t="shared" si="46"/>
        <v>7.8002685583922038E-2</v>
      </c>
      <c r="AH47" s="129">
        <f t="shared" si="52"/>
        <v>0.92295664258017418</v>
      </c>
      <c r="AI47" s="129">
        <f t="shared" si="53"/>
        <v>7.7039040081897617E-2</v>
      </c>
      <c r="AJ47" s="129">
        <f t="shared" si="54"/>
        <v>0.99999568266207184</v>
      </c>
      <c r="AL47" s="129">
        <f t="shared" si="55"/>
        <v>0.92296062731309669</v>
      </c>
      <c r="AM47" s="129">
        <f t="shared" si="56"/>
        <v>7.7039372686903279E-2</v>
      </c>
      <c r="AP47" s="129">
        <f t="shared" si="57"/>
        <v>-7.6869351855842665E-3</v>
      </c>
      <c r="AQ47" s="129">
        <f t="shared" si="58"/>
        <v>2.5156378643818221E-2</v>
      </c>
      <c r="AS47" s="129">
        <f t="shared" si="47"/>
        <v>0.97201545617449425</v>
      </c>
      <c r="AT47" s="129">
        <f t="shared" si="48"/>
        <v>2.79845438255058E-2</v>
      </c>
      <c r="AV47" s="129">
        <f t="shared" si="59"/>
        <v>1.6418026818260694E-4</v>
      </c>
      <c r="AW47" s="129">
        <f t="shared" si="60"/>
        <v>-5.6859753150052096E-3</v>
      </c>
      <c r="AZ47" s="129">
        <f t="shared" si="61"/>
        <v>0.99485656609700224</v>
      </c>
      <c r="BA47" s="129">
        <f t="shared" si="62"/>
        <v>0.54487876048289607</v>
      </c>
      <c r="BB47" s="129">
        <f t="shared" si="49"/>
        <v>0.94025769827025607</v>
      </c>
      <c r="BC47" s="129"/>
      <c r="BD47" s="129">
        <f t="shared" si="63"/>
        <v>0.99971352899259025</v>
      </c>
      <c r="BE47" s="129">
        <f t="shared" si="64"/>
        <v>0.95471300030072048</v>
      </c>
      <c r="BF47" s="129">
        <f t="shared" si="50"/>
        <v>0.99003532892232859</v>
      </c>
    </row>
    <row r="48" spans="1:58" x14ac:dyDescent="0.2">
      <c r="A48" s="133" t="s">
        <v>664</v>
      </c>
      <c r="B48" s="133">
        <f t="shared" si="51"/>
        <v>1989</v>
      </c>
      <c r="D48" s="309">
        <f>'Passenger-based Energy Use'!N47</f>
        <v>1765.0256184387435</v>
      </c>
      <c r="E48" s="309">
        <f>'Passenger-based Energy Use'!O47</f>
        <v>134.08456000000001</v>
      </c>
      <c r="F48" s="309">
        <f t="shared" si="35"/>
        <v>1899.1101784387436</v>
      </c>
      <c r="H48" s="310">
        <f>'Passenger-based Activity'!N48</f>
        <v>447480.42099999997</v>
      </c>
      <c r="I48" s="310">
        <f>'Passenger-based Activity'!U48</f>
        <v>13100</v>
      </c>
      <c r="J48" s="310">
        <f t="shared" si="36"/>
        <v>460580.42099999997</v>
      </c>
      <c r="L48" s="311">
        <f t="shared" si="37"/>
        <v>3944.3638997531548</v>
      </c>
      <c r="M48" s="311">
        <f t="shared" si="38"/>
        <v>10235.462595419847</v>
      </c>
      <c r="N48" s="311">
        <f t="shared" si="39"/>
        <v>4123.2976736515329</v>
      </c>
      <c r="O48" s="308"/>
      <c r="P48" s="312">
        <f t="shared" si="22"/>
        <v>0.91877661673821276</v>
      </c>
      <c r="Q48" s="312">
        <f t="shared" si="23"/>
        <v>0.87495232389688815</v>
      </c>
      <c r="R48" s="312">
        <f t="shared" si="24"/>
        <v>0.90747080369863753</v>
      </c>
      <c r="T48" s="131">
        <f t="shared" si="25"/>
        <v>1.2675141548766693</v>
      </c>
      <c r="U48" s="131">
        <f t="shared" si="40"/>
        <v>0.90747080369863753</v>
      </c>
      <c r="V48" s="131">
        <f t="shared" si="41"/>
        <v>0.99079667277446715</v>
      </c>
      <c r="W48" s="131">
        <f t="shared" si="42"/>
        <v>0.9159001323223086</v>
      </c>
      <c r="X48" s="131">
        <f t="shared" si="43"/>
        <v>1.1502320888253303</v>
      </c>
      <c r="Y48" s="131">
        <f t="shared" si="30"/>
        <v>1.1502320888253303</v>
      </c>
      <c r="Z48" s="131"/>
      <c r="AA48" s="131">
        <f t="shared" si="44"/>
        <v>0.90747080369863753</v>
      </c>
      <c r="AB48" s="141"/>
      <c r="AC48" s="134"/>
      <c r="AE48" s="129">
        <f t="shared" si="45"/>
        <v>0.92939611323118132</v>
      </c>
      <c r="AF48" s="129">
        <f t="shared" si="46"/>
        <v>7.0603886768818638E-2</v>
      </c>
      <c r="AH48" s="129">
        <f t="shared" si="52"/>
        <v>0.92569178578255706</v>
      </c>
      <c r="AI48" s="129">
        <f t="shared" si="53"/>
        <v>7.4241850516819793E-2</v>
      </c>
      <c r="AJ48" s="129">
        <f t="shared" si="54"/>
        <v>0.99993363629937682</v>
      </c>
      <c r="AL48" s="129">
        <f t="shared" si="55"/>
        <v>0.92575322219224554</v>
      </c>
      <c r="AM48" s="129">
        <f t="shared" si="56"/>
        <v>7.424677780775446E-2</v>
      </c>
      <c r="AP48" s="129">
        <f t="shared" si="57"/>
        <v>-1.701409599090763E-2</v>
      </c>
      <c r="AQ48" s="129">
        <f t="shared" si="58"/>
        <v>-0.14136367975660213</v>
      </c>
      <c r="AS48" s="129">
        <f t="shared" si="47"/>
        <v>0.97155762728350969</v>
      </c>
      <c r="AT48" s="129">
        <f t="shared" si="48"/>
        <v>2.8442372716490267E-2</v>
      </c>
      <c r="AV48" s="129">
        <f t="shared" si="59"/>
        <v>-4.7112084783364276E-4</v>
      </c>
      <c r="AW48" s="129">
        <f t="shared" si="60"/>
        <v>1.6227678773178534E-2</v>
      </c>
      <c r="AZ48" s="129">
        <f t="shared" si="61"/>
        <v>0.97409479763605566</v>
      </c>
      <c r="BA48" s="129">
        <f t="shared" si="62"/>
        <v>0.5307635659287715</v>
      </c>
      <c r="BB48" s="129">
        <f t="shared" si="49"/>
        <v>0.9159001323223086</v>
      </c>
      <c r="BC48" s="129"/>
      <c r="BD48" s="129">
        <f t="shared" si="63"/>
        <v>1.0007690067514736</v>
      </c>
      <c r="BE48" s="129">
        <f t="shared" si="64"/>
        <v>0.95544718104367132</v>
      </c>
      <c r="BF48" s="129">
        <f t="shared" si="50"/>
        <v>0.99079667277446715</v>
      </c>
    </row>
    <row r="49" spans="1:58" x14ac:dyDescent="0.2">
      <c r="A49" s="133" t="s">
        <v>664</v>
      </c>
      <c r="B49" s="133">
        <f t="shared" si="51"/>
        <v>1990</v>
      </c>
      <c r="D49" s="309">
        <f>'Passenger-based Energy Use'!N48</f>
        <v>1885.5012156097546</v>
      </c>
      <c r="E49" s="309">
        <f>'Passenger-based Energy Use'!O48</f>
        <v>131.93559999999999</v>
      </c>
      <c r="F49" s="309">
        <f t="shared" si="35"/>
        <v>2017.4368156097546</v>
      </c>
      <c r="H49" s="310">
        <f>'Passenger-based Activity'!N49</f>
        <v>472235.647</v>
      </c>
      <c r="I49" s="310">
        <f>'Passenger-based Activity'!U49</f>
        <v>13000</v>
      </c>
      <c r="J49" s="310">
        <f t="shared" si="36"/>
        <v>485235.647</v>
      </c>
      <c r="L49" s="311">
        <f t="shared" si="37"/>
        <v>3992.7125950526865</v>
      </c>
      <c r="M49" s="311">
        <f t="shared" si="38"/>
        <v>10148.892307692307</v>
      </c>
      <c r="N49" s="311">
        <f t="shared" si="39"/>
        <v>4157.6434626818645</v>
      </c>
      <c r="O49" s="308"/>
      <c r="P49" s="312">
        <f t="shared" si="22"/>
        <v>0.93003867364269632</v>
      </c>
      <c r="Q49" s="312">
        <f t="shared" si="23"/>
        <v>0.8675520844136696</v>
      </c>
      <c r="R49" s="312">
        <f t="shared" si="24"/>
        <v>0.91502975365614014</v>
      </c>
      <c r="T49" s="131">
        <f t="shared" si="25"/>
        <v>1.335365167472542</v>
      </c>
      <c r="U49" s="131">
        <f t="shared" si="40"/>
        <v>0.91502975365614014</v>
      </c>
      <c r="V49" s="131">
        <f t="shared" si="41"/>
        <v>0.98834002555159428</v>
      </c>
      <c r="W49" s="131">
        <f t="shared" si="42"/>
        <v>0.92582484772430462</v>
      </c>
      <c r="X49" s="131">
        <f t="shared" si="43"/>
        <v>1.2218988602333904</v>
      </c>
      <c r="Y49" s="131">
        <f t="shared" si="30"/>
        <v>1.2218988602333902</v>
      </c>
      <c r="Z49" s="131"/>
      <c r="AA49" s="131">
        <f t="shared" si="44"/>
        <v>0.91502975365614014</v>
      </c>
      <c r="AB49" s="141"/>
      <c r="AC49" s="134"/>
      <c r="AE49" s="129">
        <f t="shared" si="45"/>
        <v>0.93460236326651769</v>
      </c>
      <c r="AF49" s="129">
        <f t="shared" si="46"/>
        <v>6.539763673348227E-2</v>
      </c>
      <c r="AH49" s="129">
        <f t="shared" si="52"/>
        <v>0.93199681468679862</v>
      </c>
      <c r="AI49" s="129">
        <f t="shared" si="53"/>
        <v>6.796753217284511E-2</v>
      </c>
      <c r="AJ49" s="129">
        <f t="shared" si="54"/>
        <v>0.99996434685964375</v>
      </c>
      <c r="AL49" s="129">
        <f t="shared" si="55"/>
        <v>0.93203004448479088</v>
      </c>
      <c r="AM49" s="129">
        <f t="shared" si="56"/>
        <v>6.7969955515209096E-2</v>
      </c>
      <c r="AP49" s="129">
        <f t="shared" si="57"/>
        <v>1.2183149137904832E-2</v>
      </c>
      <c r="AQ49" s="129">
        <f t="shared" si="58"/>
        <v>-8.4938482095187774E-3</v>
      </c>
      <c r="AS49" s="129">
        <f t="shared" si="47"/>
        <v>0.97320889328644067</v>
      </c>
      <c r="AT49" s="129">
        <f t="shared" si="48"/>
        <v>2.6791106713559318E-2</v>
      </c>
      <c r="AV49" s="129">
        <f t="shared" si="59"/>
        <v>1.6981641572772759E-3</v>
      </c>
      <c r="AW49" s="129">
        <f t="shared" si="60"/>
        <v>-5.9810036905158764E-2</v>
      </c>
      <c r="AZ49" s="129">
        <f t="shared" si="61"/>
        <v>1.0108360235485843</v>
      </c>
      <c r="BA49" s="129">
        <f t="shared" si="62"/>
        <v>0.53651493242790627</v>
      </c>
      <c r="BB49" s="129">
        <f t="shared" si="49"/>
        <v>0.92582484772430462</v>
      </c>
      <c r="BC49" s="129"/>
      <c r="BD49" s="129">
        <f t="shared" si="63"/>
        <v>0.99752053343498448</v>
      </c>
      <c r="BE49" s="129">
        <f t="shared" si="64"/>
        <v>0.95307818170363523</v>
      </c>
      <c r="BF49" s="129">
        <f t="shared" si="50"/>
        <v>0.98834002555159428</v>
      </c>
    </row>
    <row r="50" spans="1:58" x14ac:dyDescent="0.2">
      <c r="A50" s="133" t="s">
        <v>664</v>
      </c>
      <c r="B50" s="133">
        <f t="shared" si="51"/>
        <v>1991</v>
      </c>
      <c r="D50" s="309">
        <f>'Passenger-based Energy Use'!N49</f>
        <v>1706.763013354732</v>
      </c>
      <c r="E50" s="309">
        <f>'Passenger-based Energy Use'!O49</f>
        <v>120.44580000000001</v>
      </c>
      <c r="F50" s="309">
        <f t="shared" si="35"/>
        <v>1827.208813354732</v>
      </c>
      <c r="H50" s="310">
        <f>'Passenger-based Activity'!N50</f>
        <v>463296.38099999999</v>
      </c>
      <c r="I50" s="310">
        <f>'Passenger-based Activity'!U50</f>
        <v>12100</v>
      </c>
      <c r="J50" s="310">
        <f t="shared" si="36"/>
        <v>475396.38099999999</v>
      </c>
      <c r="L50" s="311">
        <f t="shared" si="37"/>
        <v>3683.9549872390048</v>
      </c>
      <c r="M50" s="311">
        <f t="shared" si="38"/>
        <v>9954.19834710744</v>
      </c>
      <c r="N50" s="311">
        <f t="shared" si="39"/>
        <v>3843.5480083192556</v>
      </c>
      <c r="O50" s="308"/>
      <c r="P50" s="312">
        <f t="shared" si="22"/>
        <v>0.85811851680397466</v>
      </c>
      <c r="Q50" s="312">
        <f t="shared" si="23"/>
        <v>0.85090916948194528</v>
      </c>
      <c r="R50" s="312">
        <f t="shared" si="24"/>
        <v>0.84590244901599154</v>
      </c>
      <c r="T50" s="131">
        <f t="shared" si="25"/>
        <v>1.3082875750262126</v>
      </c>
      <c r="U50" s="131">
        <f t="shared" si="40"/>
        <v>0.84590244901599154</v>
      </c>
      <c r="V50" s="131">
        <f t="shared" si="41"/>
        <v>0.98628526532559757</v>
      </c>
      <c r="W50" s="131">
        <f t="shared" si="42"/>
        <v>0.857665098278375</v>
      </c>
      <c r="X50" s="131">
        <f t="shared" si="43"/>
        <v>1.1066836637318664</v>
      </c>
      <c r="Y50" s="131">
        <f t="shared" si="30"/>
        <v>1.106683663731866</v>
      </c>
      <c r="Z50" s="131"/>
      <c r="AA50" s="131">
        <f t="shared" si="44"/>
        <v>0.84590244901599176</v>
      </c>
      <c r="AB50" s="141"/>
      <c r="AC50" s="134"/>
      <c r="AE50" s="129">
        <f t="shared" si="45"/>
        <v>0.93408208239820001</v>
      </c>
      <c r="AF50" s="129">
        <f t="shared" si="46"/>
        <v>6.5917917601800019E-2</v>
      </c>
      <c r="AH50" s="129">
        <f t="shared" si="52"/>
        <v>0.93434219868959734</v>
      </c>
      <c r="AI50" s="129">
        <f t="shared" si="53"/>
        <v>6.5657433601696513E-2</v>
      </c>
      <c r="AJ50" s="129">
        <f t="shared" si="54"/>
        <v>0.99999963229129385</v>
      </c>
      <c r="AL50" s="129">
        <f t="shared" si="55"/>
        <v>0.93434254225548463</v>
      </c>
      <c r="AM50" s="129">
        <f t="shared" si="56"/>
        <v>6.5657457744515355E-2</v>
      </c>
      <c r="AP50" s="129">
        <f t="shared" si="57"/>
        <v>-8.0483948422873999E-2</v>
      </c>
      <c r="AQ50" s="129">
        <f t="shared" si="58"/>
        <v>-1.9370160675485665E-2</v>
      </c>
      <c r="AS50" s="129">
        <f t="shared" si="47"/>
        <v>0.97454755550610728</v>
      </c>
      <c r="AT50" s="129">
        <f t="shared" si="48"/>
        <v>2.5452444493892772E-2</v>
      </c>
      <c r="AV50" s="129">
        <f t="shared" si="59"/>
        <v>1.3745686030440421E-3</v>
      </c>
      <c r="AW50" s="129">
        <f t="shared" si="60"/>
        <v>-5.1258204175231595E-2</v>
      </c>
      <c r="AZ50" s="129">
        <f t="shared" si="61"/>
        <v>0.92637943384921284</v>
      </c>
      <c r="BA50" s="129">
        <f t="shared" si="62"/>
        <v>0.49701639935421249</v>
      </c>
      <c r="BB50" s="129">
        <f t="shared" si="49"/>
        <v>0.857665098278375</v>
      </c>
      <c r="BC50" s="129"/>
      <c r="BD50" s="129">
        <f t="shared" si="63"/>
        <v>0.99792099867163642</v>
      </c>
      <c r="BE50" s="129">
        <f t="shared" si="64"/>
        <v>0.95109673089783897</v>
      </c>
      <c r="BF50" s="129">
        <f t="shared" si="50"/>
        <v>0.98628526532559757</v>
      </c>
    </row>
    <row r="51" spans="1:58" x14ac:dyDescent="0.2">
      <c r="A51" s="133" t="s">
        <v>664</v>
      </c>
      <c r="B51" s="133">
        <f t="shared" si="51"/>
        <v>1992</v>
      </c>
      <c r="D51" s="309">
        <f>'Passenger-based Energy Use'!N50</f>
        <v>1824.4371342141158</v>
      </c>
      <c r="E51" s="309">
        <f>'Passenger-based Energy Use'!O50</f>
        <v>104.4328</v>
      </c>
      <c r="F51" s="309">
        <f t="shared" si="35"/>
        <v>1928.8699342141158</v>
      </c>
      <c r="H51" s="310">
        <f>'Passenger-based Activity'!N51</f>
        <v>493715</v>
      </c>
      <c r="I51" s="310">
        <f>'Passenger-based Activity'!U51</f>
        <v>10800</v>
      </c>
      <c r="J51" s="310">
        <f t="shared" si="36"/>
        <v>504515</v>
      </c>
      <c r="L51" s="311">
        <f t="shared" si="37"/>
        <v>3695.3244973600476</v>
      </c>
      <c r="M51" s="311">
        <f t="shared" si="38"/>
        <v>9669.7037037037026</v>
      </c>
      <c r="N51" s="311">
        <f t="shared" si="39"/>
        <v>3823.2162259082797</v>
      </c>
      <c r="O51" s="308"/>
      <c r="P51" s="312">
        <f t="shared" si="22"/>
        <v>0.86076686272450098</v>
      </c>
      <c r="Q51" s="312">
        <f t="shared" si="23"/>
        <v>0.82658987301031306</v>
      </c>
      <c r="R51" s="312">
        <f t="shared" si="24"/>
        <v>0.84142775415148652</v>
      </c>
      <c r="T51" s="131">
        <f t="shared" si="25"/>
        <v>1.3884218144991509</v>
      </c>
      <c r="U51" s="131">
        <f t="shared" si="40"/>
        <v>0.84142775415148652</v>
      </c>
      <c r="V51" s="131">
        <f t="shared" si="41"/>
        <v>0.97992900479339851</v>
      </c>
      <c r="W51" s="131">
        <f t="shared" si="42"/>
        <v>0.85866195411665303</v>
      </c>
      <c r="X51" s="131">
        <f t="shared" si="43"/>
        <v>1.1682566491889526</v>
      </c>
      <c r="Y51" s="131">
        <f t="shared" si="30"/>
        <v>1.1682566491889523</v>
      </c>
      <c r="Z51" s="131"/>
      <c r="AA51" s="131">
        <f t="shared" si="44"/>
        <v>0.84142775415148663</v>
      </c>
      <c r="AB51" s="141"/>
      <c r="AC51" s="134"/>
      <c r="AE51" s="129">
        <f t="shared" si="45"/>
        <v>0.94585803939001756</v>
      </c>
      <c r="AF51" s="129">
        <f t="shared" si="46"/>
        <v>5.4141960609982401E-2</v>
      </c>
      <c r="AH51" s="129">
        <f t="shared" si="52"/>
        <v>0.93995776665376518</v>
      </c>
      <c r="AI51" s="129">
        <f t="shared" si="53"/>
        <v>5.9836937178113267E-2</v>
      </c>
      <c r="AJ51" s="129">
        <f t="shared" si="54"/>
        <v>0.99979470383187841</v>
      </c>
      <c r="AL51" s="129">
        <f t="shared" si="55"/>
        <v>0.94015077600553565</v>
      </c>
      <c r="AM51" s="129">
        <f t="shared" si="56"/>
        <v>5.9849223994464379E-2</v>
      </c>
      <c r="AP51" s="129">
        <f t="shared" si="57"/>
        <v>3.0814713391289724E-3</v>
      </c>
      <c r="AQ51" s="129">
        <f t="shared" si="58"/>
        <v>-2.8996738389337393E-2</v>
      </c>
      <c r="AS51" s="129">
        <f t="shared" si="47"/>
        <v>0.97859330247861809</v>
      </c>
      <c r="AT51" s="129">
        <f t="shared" si="48"/>
        <v>2.1406697521381923E-2</v>
      </c>
      <c r="AV51" s="129">
        <f t="shared" si="59"/>
        <v>4.142817188403934E-3</v>
      </c>
      <c r="AW51" s="129">
        <f t="shared" si="60"/>
        <v>-0.17310794787220388</v>
      </c>
      <c r="AZ51" s="129">
        <f t="shared" si="61"/>
        <v>1.0011622903162074</v>
      </c>
      <c r="BA51" s="129">
        <f t="shared" si="62"/>
        <v>0.49759407670217815</v>
      </c>
      <c r="BB51" s="129">
        <f t="shared" si="49"/>
        <v>0.85866195411665303</v>
      </c>
      <c r="BC51" s="129"/>
      <c r="BD51" s="129">
        <f t="shared" si="63"/>
        <v>0.99355535284195828</v>
      </c>
      <c r="BE51" s="129">
        <f t="shared" si="64"/>
        <v>0.94496724805403542</v>
      </c>
      <c r="BF51" s="129">
        <f t="shared" si="50"/>
        <v>0.97992900479339851</v>
      </c>
    </row>
    <row r="52" spans="1:58" x14ac:dyDescent="0.2">
      <c r="A52" s="133" t="s">
        <v>664</v>
      </c>
      <c r="B52" s="133">
        <f t="shared" si="51"/>
        <v>1993</v>
      </c>
      <c r="D52" s="309">
        <f>'Passenger-based Energy Use'!N51</f>
        <v>1825.4906871336784</v>
      </c>
      <c r="E52" s="309">
        <f>'Passenger-based Energy Use'!O51</f>
        <v>93.565179999999998</v>
      </c>
      <c r="F52" s="309">
        <f t="shared" si="35"/>
        <v>1919.0558671336785</v>
      </c>
      <c r="H52" s="310">
        <f>'Passenger-based Activity'!N52</f>
        <v>505996</v>
      </c>
      <c r="I52" s="310">
        <f>'Passenger-based Activity'!U52</f>
        <v>9900</v>
      </c>
      <c r="J52" s="310">
        <f t="shared" si="36"/>
        <v>515896</v>
      </c>
      <c r="L52" s="311">
        <f t="shared" si="37"/>
        <v>3607.7176245141827</v>
      </c>
      <c r="M52" s="311">
        <f t="shared" si="38"/>
        <v>9451.0282828282816</v>
      </c>
      <c r="N52" s="311">
        <f t="shared" si="39"/>
        <v>3719.8502549616173</v>
      </c>
      <c r="O52" s="308"/>
      <c r="P52" s="312">
        <f t="shared" si="22"/>
        <v>0.84036023993764919</v>
      </c>
      <c r="Q52" s="312">
        <f t="shared" si="23"/>
        <v>0.80789696432246383</v>
      </c>
      <c r="R52" s="312">
        <f t="shared" si="24"/>
        <v>0.81867858391101045</v>
      </c>
      <c r="T52" s="131">
        <f t="shared" si="25"/>
        <v>1.4197422483233482</v>
      </c>
      <c r="U52" s="131">
        <f t="shared" si="40"/>
        <v>0.81867858391101045</v>
      </c>
      <c r="V52" s="131">
        <f t="shared" si="41"/>
        <v>0.97653153587021357</v>
      </c>
      <c r="W52" s="131">
        <f t="shared" si="42"/>
        <v>0.83835345182320609</v>
      </c>
      <c r="X52" s="131">
        <f t="shared" si="43"/>
        <v>1.1623125733759929</v>
      </c>
      <c r="Y52" s="131">
        <f t="shared" si="30"/>
        <v>1.1623125733759927</v>
      </c>
      <c r="Z52" s="131"/>
      <c r="AA52" s="131">
        <f t="shared" si="44"/>
        <v>0.81867858391101056</v>
      </c>
      <c r="AB52" s="141"/>
      <c r="AC52" s="134"/>
      <c r="AE52" s="129">
        <f t="shared" si="45"/>
        <v>0.95124416042157756</v>
      </c>
      <c r="AF52" s="129">
        <f t="shared" si="46"/>
        <v>4.8755839578422444E-2</v>
      </c>
      <c r="AH52" s="129">
        <f t="shared" si="52"/>
        <v>0.94854855125007109</v>
      </c>
      <c r="AI52" s="129">
        <f t="shared" si="53"/>
        <v>5.140187685604132E-2</v>
      </c>
      <c r="AJ52" s="129">
        <f t="shared" si="54"/>
        <v>0.99995042810611245</v>
      </c>
      <c r="AL52" s="129">
        <f t="shared" si="55"/>
        <v>0.94859557492925373</v>
      </c>
      <c r="AM52" s="129">
        <f t="shared" si="56"/>
        <v>5.140442507074628E-2</v>
      </c>
      <c r="AP52" s="129">
        <f t="shared" si="57"/>
        <v>-2.3993035787901993E-2</v>
      </c>
      <c r="AQ52" s="129">
        <f t="shared" si="58"/>
        <v>-2.2874119636904777E-2</v>
      </c>
      <c r="AS52" s="129">
        <f t="shared" si="47"/>
        <v>0.98081008575371775</v>
      </c>
      <c r="AT52" s="129">
        <f t="shared" si="48"/>
        <v>1.9189914246282195E-2</v>
      </c>
      <c r="AV52" s="129">
        <f t="shared" si="59"/>
        <v>2.2627134710667264E-3</v>
      </c>
      <c r="AW52" s="129">
        <f t="shared" si="60"/>
        <v>-0.10931900000959736</v>
      </c>
      <c r="AZ52" s="129">
        <f t="shared" si="61"/>
        <v>0.97634866410921939</v>
      </c>
      <c r="BA52" s="129">
        <f t="shared" si="62"/>
        <v>0.4858253120568321</v>
      </c>
      <c r="BB52" s="129">
        <f t="shared" si="49"/>
        <v>0.83835345182320609</v>
      </c>
      <c r="BC52" s="129"/>
      <c r="BD52" s="129">
        <f t="shared" si="63"/>
        <v>0.99653294380861668</v>
      </c>
      <c r="BE52" s="129">
        <f t="shared" si="64"/>
        <v>0.94169099350601526</v>
      </c>
      <c r="BF52" s="129">
        <f t="shared" si="50"/>
        <v>0.97653153587021357</v>
      </c>
    </row>
    <row r="53" spans="1:58" x14ac:dyDescent="0.2">
      <c r="A53" s="133" t="s">
        <v>664</v>
      </c>
      <c r="B53" s="133">
        <f t="shared" si="51"/>
        <v>1994</v>
      </c>
      <c r="D53" s="309">
        <f>'Passenger-based Energy Use'!N52</f>
        <v>1884.4749313702637</v>
      </c>
      <c r="E53" s="309">
        <f>'Passenger-based Energy Use'!O52</f>
        <v>94.613200000000006</v>
      </c>
      <c r="F53" s="309">
        <f t="shared" si="35"/>
        <v>1979.0881313702637</v>
      </c>
      <c r="H53" s="310">
        <f>'Passenger-based Activity'!N53</f>
        <v>537506.37800000003</v>
      </c>
      <c r="I53" s="310">
        <f>'Passenger-based Activity'!U53</f>
        <v>9800</v>
      </c>
      <c r="J53" s="310">
        <f t="shared" si="36"/>
        <v>547306.37800000003</v>
      </c>
      <c r="L53" s="311">
        <f t="shared" si="37"/>
        <v>3505.9582704528643</v>
      </c>
      <c r="M53" s="311">
        <f t="shared" si="38"/>
        <v>9654.4081632653069</v>
      </c>
      <c r="N53" s="311">
        <f t="shared" si="39"/>
        <v>3616.051650270123</v>
      </c>
      <c r="O53" s="308"/>
      <c r="P53" s="312">
        <f t="shared" si="22"/>
        <v>0.81665702253121897</v>
      </c>
      <c r="Q53" s="312">
        <f t="shared" si="23"/>
        <v>0.82528237288249073</v>
      </c>
      <c r="R53" s="312">
        <f t="shared" si="24"/>
        <v>0.79583419801471633</v>
      </c>
      <c r="T53" s="131">
        <f t="shared" si="25"/>
        <v>1.5061833928222517</v>
      </c>
      <c r="U53" s="131">
        <f t="shared" si="40"/>
        <v>0.79583419801471633</v>
      </c>
      <c r="V53" s="131">
        <f t="shared" si="41"/>
        <v>0.97448442028519833</v>
      </c>
      <c r="W53" s="131">
        <f t="shared" si="42"/>
        <v>0.81667205903795048</v>
      </c>
      <c r="X53" s="131">
        <f t="shared" si="43"/>
        <v>1.1986722524897813</v>
      </c>
      <c r="Y53" s="131">
        <f t="shared" si="30"/>
        <v>1.1986722524897808</v>
      </c>
      <c r="Z53" s="131"/>
      <c r="AA53" s="131">
        <f t="shared" si="44"/>
        <v>0.79583419801471644</v>
      </c>
      <c r="AB53" s="141"/>
      <c r="AC53" s="134"/>
      <c r="AE53" s="129">
        <f t="shared" si="45"/>
        <v>0.9521935387816749</v>
      </c>
      <c r="AF53" s="129">
        <f t="shared" si="46"/>
        <v>4.7806461218325103E-2</v>
      </c>
      <c r="AH53" s="129">
        <f t="shared" si="52"/>
        <v>0.95171877068130917</v>
      </c>
      <c r="AI53" s="129">
        <f t="shared" si="53"/>
        <v>4.8279594679945179E-2</v>
      </c>
      <c r="AJ53" s="129">
        <f t="shared" si="54"/>
        <v>0.9999983653612543</v>
      </c>
      <c r="AL53" s="129">
        <f t="shared" si="55"/>
        <v>0.95172032640022974</v>
      </c>
      <c r="AM53" s="129">
        <f t="shared" si="56"/>
        <v>4.8279673599770277E-2</v>
      </c>
      <c r="AP53" s="129">
        <f t="shared" si="57"/>
        <v>-2.861145131759146E-2</v>
      </c>
      <c r="AQ53" s="129">
        <f t="shared" si="58"/>
        <v>2.1291066947292832E-2</v>
      </c>
      <c r="AS53" s="129">
        <f t="shared" si="47"/>
        <v>0.98209412425301579</v>
      </c>
      <c r="AT53" s="129">
        <f t="shared" si="48"/>
        <v>1.7905875746984261E-2</v>
      </c>
      <c r="AV53" s="129">
        <f t="shared" si="59"/>
        <v>1.3083049859544712E-3</v>
      </c>
      <c r="AW53" s="129">
        <f t="shared" si="60"/>
        <v>-6.9255928338112283E-2</v>
      </c>
      <c r="AZ53" s="129">
        <f t="shared" si="61"/>
        <v>0.97413812427430935</v>
      </c>
      <c r="BA53" s="129">
        <f t="shared" si="62"/>
        <v>0.47326095821202341</v>
      </c>
      <c r="BB53" s="129">
        <f t="shared" si="49"/>
        <v>0.81667205903795048</v>
      </c>
      <c r="BC53" s="129"/>
      <c r="BD53" s="129">
        <f t="shared" si="63"/>
        <v>0.99790368717258982</v>
      </c>
      <c r="BE53" s="129">
        <f t="shared" si="64"/>
        <v>0.93971691459687201</v>
      </c>
      <c r="BF53" s="129">
        <f t="shared" si="50"/>
        <v>0.97448442028519833</v>
      </c>
    </row>
    <row r="54" spans="1:58" x14ac:dyDescent="0.2">
      <c r="A54" s="133" t="s">
        <v>664</v>
      </c>
      <c r="B54" s="133">
        <f t="shared" si="51"/>
        <v>1995</v>
      </c>
      <c r="D54" s="309">
        <f>'Passenger-based Energy Use'!N53</f>
        <v>1934.0744685960881</v>
      </c>
      <c r="E54" s="309">
        <f>'Passenger-based Energy Use'!O53</f>
        <v>110.09739999999999</v>
      </c>
      <c r="F54" s="309">
        <f t="shared" si="35"/>
        <v>2044.1718685960882</v>
      </c>
      <c r="H54" s="310">
        <f>'Passenger-based Activity'!N54</f>
        <v>558757.05099999998</v>
      </c>
      <c r="I54" s="310">
        <f>'Passenger-based Activity'!U54</f>
        <v>10800</v>
      </c>
      <c r="J54" s="310">
        <f t="shared" si="36"/>
        <v>569557.05099999998</v>
      </c>
      <c r="L54" s="311">
        <f t="shared" si="37"/>
        <v>3461.3871362065161</v>
      </c>
      <c r="M54" s="311">
        <f t="shared" si="38"/>
        <v>10194.203703703704</v>
      </c>
      <c r="N54" s="311">
        <f t="shared" si="39"/>
        <v>3589.0555037586364</v>
      </c>
      <c r="O54" s="308"/>
      <c r="P54" s="312">
        <f t="shared" si="22"/>
        <v>0.80627488818260895</v>
      </c>
      <c r="Q54" s="312">
        <f t="shared" si="23"/>
        <v>0.87142541313424193</v>
      </c>
      <c r="R54" s="312">
        <f t="shared" si="24"/>
        <v>0.78989278492487514</v>
      </c>
      <c r="T54" s="131">
        <f t="shared" si="25"/>
        <v>1.5674170920789381</v>
      </c>
      <c r="U54" s="131">
        <f t="shared" si="40"/>
        <v>0.78989278492487514</v>
      </c>
      <c r="V54" s="131">
        <f t="shared" si="41"/>
        <v>0.97632668912417275</v>
      </c>
      <c r="W54" s="131">
        <f t="shared" si="42"/>
        <v>0.80904557226993279</v>
      </c>
      <c r="X54" s="131">
        <f t="shared" si="43"/>
        <v>1.2380914520010817</v>
      </c>
      <c r="Y54" s="131">
        <f t="shared" si="30"/>
        <v>1.2380914520010817</v>
      </c>
      <c r="Z54" s="131"/>
      <c r="AA54" s="131">
        <f t="shared" si="44"/>
        <v>0.78989278492487514</v>
      </c>
      <c r="AB54" s="141"/>
      <c r="AC54" s="134"/>
      <c r="AE54" s="129">
        <f t="shared" si="45"/>
        <v>0.94614083008802308</v>
      </c>
      <c r="AF54" s="129">
        <f t="shared" si="46"/>
        <v>5.3859169911976881E-2</v>
      </c>
      <c r="AH54" s="129">
        <f t="shared" si="52"/>
        <v>0.94916396798516967</v>
      </c>
      <c r="AI54" s="129">
        <f t="shared" si="53"/>
        <v>5.0772700240810743E-2</v>
      </c>
      <c r="AJ54" s="129">
        <f t="shared" si="54"/>
        <v>0.99993666822598037</v>
      </c>
      <c r="AL54" s="129">
        <f t="shared" si="55"/>
        <v>0.94922408403035341</v>
      </c>
      <c r="AM54" s="129">
        <f t="shared" si="56"/>
        <v>5.0775915969646569E-2</v>
      </c>
      <c r="AP54" s="129">
        <f t="shared" si="57"/>
        <v>-1.2794468958244822E-2</v>
      </c>
      <c r="AQ54" s="129">
        <f t="shared" si="58"/>
        <v>5.4404678893133829E-2</v>
      </c>
      <c r="AS54" s="129">
        <f t="shared" si="47"/>
        <v>0.98103789606144298</v>
      </c>
      <c r="AT54" s="129">
        <f t="shared" si="48"/>
        <v>1.8962103938556983E-2</v>
      </c>
      <c r="AV54" s="129">
        <f t="shared" si="59"/>
        <v>-1.0760644547197985E-3</v>
      </c>
      <c r="AW54" s="129">
        <f t="shared" si="60"/>
        <v>5.7313544889326447E-2</v>
      </c>
      <c r="AZ54" s="129">
        <f t="shared" si="61"/>
        <v>0.99066150643502882</v>
      </c>
      <c r="BA54" s="129">
        <f t="shared" si="62"/>
        <v>0.46884141379920835</v>
      </c>
      <c r="BB54" s="129">
        <f t="shared" si="49"/>
        <v>0.80904557226993279</v>
      </c>
      <c r="BC54" s="129"/>
      <c r="BD54" s="129">
        <f t="shared" si="63"/>
        <v>1.0018905062006382</v>
      </c>
      <c r="BE54" s="129">
        <f t="shared" si="64"/>
        <v>0.941493455250762</v>
      </c>
      <c r="BF54" s="129">
        <f t="shared" si="50"/>
        <v>0.97632668912417275</v>
      </c>
    </row>
    <row r="55" spans="1:58" x14ac:dyDescent="0.2">
      <c r="A55" s="133" t="s">
        <v>664</v>
      </c>
      <c r="B55" s="133">
        <f t="shared" si="51"/>
        <v>1996</v>
      </c>
      <c r="D55" s="309">
        <f>'Passenger-based Energy Use'!N54</f>
        <v>1993.0380916458869</v>
      </c>
      <c r="E55" s="309">
        <f>'Passenger-based Energy Use'!O54</f>
        <v>116.81780000000001</v>
      </c>
      <c r="F55" s="309">
        <f t="shared" si="35"/>
        <v>2109.8558916458869</v>
      </c>
      <c r="H55" s="310">
        <f>'Passenger-based Activity'!N55</f>
        <v>596163.69700000004</v>
      </c>
      <c r="I55" s="310">
        <f>'Passenger-based Activity'!U55</f>
        <v>12000</v>
      </c>
      <c r="J55" s="310">
        <f t="shared" si="36"/>
        <v>608163.69700000004</v>
      </c>
      <c r="L55" s="311">
        <f t="shared" si="37"/>
        <v>3343.1054283835178</v>
      </c>
      <c r="M55" s="311">
        <f t="shared" si="38"/>
        <v>9734.8166666666675</v>
      </c>
      <c r="N55" s="311">
        <f t="shared" si="39"/>
        <v>3469.2236679919529</v>
      </c>
      <c r="O55" s="308"/>
      <c r="P55" s="312">
        <f t="shared" si="22"/>
        <v>0.77872305217112092</v>
      </c>
      <c r="Q55" s="312">
        <f t="shared" si="23"/>
        <v>0.83215588800271334</v>
      </c>
      <c r="R55" s="312">
        <f t="shared" si="24"/>
        <v>0.7635197454504844</v>
      </c>
      <c r="T55" s="131">
        <f t="shared" si="25"/>
        <v>1.6736623166828577</v>
      </c>
      <c r="U55" s="131">
        <f t="shared" si="40"/>
        <v>0.7635197454504844</v>
      </c>
      <c r="V55" s="131">
        <f t="shared" si="41"/>
        <v>0.97772420829675999</v>
      </c>
      <c r="W55" s="131">
        <f t="shared" si="42"/>
        <v>0.78091525091781311</v>
      </c>
      <c r="X55" s="131">
        <f t="shared" si="43"/>
        <v>1.2778742260037637</v>
      </c>
      <c r="Y55" s="131">
        <f t="shared" si="30"/>
        <v>1.2778742260037634</v>
      </c>
      <c r="Z55" s="131"/>
      <c r="AA55" s="131">
        <f t="shared" si="44"/>
        <v>0.76351974545048451</v>
      </c>
      <c r="AB55" s="141"/>
      <c r="AC55" s="134"/>
      <c r="AE55" s="129">
        <f t="shared" si="45"/>
        <v>0.94463233225427967</v>
      </c>
      <c r="AF55" s="129">
        <f t="shared" si="46"/>
        <v>5.5367667745720342E-2</v>
      </c>
      <c r="AH55" s="129">
        <f t="shared" si="52"/>
        <v>0.94538638058603064</v>
      </c>
      <c r="AI55" s="129">
        <f t="shared" si="53"/>
        <v>5.4609946419936044E-2</v>
      </c>
      <c r="AJ55" s="129">
        <f t="shared" si="54"/>
        <v>0.99999632700596663</v>
      </c>
      <c r="AL55" s="129">
        <f t="shared" si="55"/>
        <v>0.94538985299731992</v>
      </c>
      <c r="AM55" s="129">
        <f t="shared" si="56"/>
        <v>5.4610147002680146E-2</v>
      </c>
      <c r="AP55" s="129">
        <f t="shared" si="57"/>
        <v>-3.4769271147928042E-2</v>
      </c>
      <c r="AQ55" s="129">
        <f t="shared" si="58"/>
        <v>-4.6110488168957103E-2</v>
      </c>
      <c r="AS55" s="129">
        <f t="shared" si="47"/>
        <v>0.98026847038191434</v>
      </c>
      <c r="AT55" s="129">
        <f t="shared" si="48"/>
        <v>1.9731529618085702E-2</v>
      </c>
      <c r="AV55" s="129">
        <f t="shared" si="59"/>
        <v>-7.8460533465333766E-4</v>
      </c>
      <c r="AW55" s="129">
        <f t="shared" si="60"/>
        <v>3.977538666136677E-2</v>
      </c>
      <c r="AZ55" s="129">
        <f t="shared" si="61"/>
        <v>0.96523023879459013</v>
      </c>
      <c r="BA55" s="129">
        <f t="shared" si="62"/>
        <v>0.45253990979820313</v>
      </c>
      <c r="BB55" s="129">
        <f t="shared" si="49"/>
        <v>0.78091525091781311</v>
      </c>
      <c r="BC55" s="129"/>
      <c r="BD55" s="129">
        <f t="shared" si="63"/>
        <v>1.0014314052746431</v>
      </c>
      <c r="BE55" s="129">
        <f t="shared" si="64"/>
        <v>0.94284111394864989</v>
      </c>
      <c r="BF55" s="129">
        <f t="shared" si="50"/>
        <v>0.97772420829675999</v>
      </c>
    </row>
    <row r="56" spans="1:58" x14ac:dyDescent="0.2">
      <c r="A56" s="133" t="s">
        <v>664</v>
      </c>
      <c r="B56" s="133">
        <f t="shared" si="51"/>
        <v>1997</v>
      </c>
      <c r="D56" s="309">
        <f>'Passenger-based Energy Use'!N55</f>
        <v>2056.324354247366</v>
      </c>
      <c r="E56" s="309">
        <f>'Passenger-based Energy Use'!O55</f>
        <v>121.40779999999999</v>
      </c>
      <c r="F56" s="309">
        <f t="shared" si="35"/>
        <v>2177.732154247366</v>
      </c>
      <c r="H56" s="310">
        <f>'Passenger-based Activity'!N56</f>
        <v>619968.58200000005</v>
      </c>
      <c r="I56" s="310">
        <f>'Passenger-based Activity'!U56</f>
        <v>12500</v>
      </c>
      <c r="J56" s="310">
        <f t="shared" si="36"/>
        <v>632468.58200000005</v>
      </c>
      <c r="L56" s="311">
        <f t="shared" si="37"/>
        <v>3316.8202614618394</v>
      </c>
      <c r="M56" s="311">
        <f t="shared" si="38"/>
        <v>9712.6239999999998</v>
      </c>
      <c r="N56" s="311">
        <f t="shared" si="39"/>
        <v>3443.2258237411797</v>
      </c>
      <c r="O56" s="308"/>
      <c r="P56" s="312">
        <f t="shared" si="22"/>
        <v>0.77260034205905181</v>
      </c>
      <c r="Q56" s="312">
        <f t="shared" si="23"/>
        <v>0.83025880469138758</v>
      </c>
      <c r="R56" s="312">
        <f t="shared" si="24"/>
        <v>0.75779804246322757</v>
      </c>
      <c r="T56" s="131">
        <f t="shared" si="25"/>
        <v>1.7405491932532138</v>
      </c>
      <c r="U56" s="131">
        <f t="shared" si="40"/>
        <v>0.75779804246322757</v>
      </c>
      <c r="V56" s="131">
        <f t="shared" si="41"/>
        <v>0.97778262866378018</v>
      </c>
      <c r="W56" s="131">
        <f t="shared" si="42"/>
        <v>0.77501688028434335</v>
      </c>
      <c r="X56" s="131">
        <f t="shared" si="43"/>
        <v>1.3189847714582352</v>
      </c>
      <c r="Y56" s="131">
        <f t="shared" si="30"/>
        <v>1.3189847714582352</v>
      </c>
      <c r="Z56" s="131"/>
      <c r="AA56" s="131">
        <f t="shared" si="44"/>
        <v>0.75779804246322746</v>
      </c>
      <c r="AB56" s="141"/>
      <c r="AC56" s="134"/>
      <c r="AE56" s="129">
        <f t="shared" si="45"/>
        <v>0.94425035247644629</v>
      </c>
      <c r="AF56" s="129">
        <f t="shared" si="46"/>
        <v>5.5749647523553728E-2</v>
      </c>
      <c r="AH56" s="129">
        <f t="shared" si="52"/>
        <v>0.94444132949116455</v>
      </c>
      <c r="AI56" s="129">
        <f t="shared" si="53"/>
        <v>5.5558438783341969E-2</v>
      </c>
      <c r="AJ56" s="129">
        <f t="shared" si="54"/>
        <v>0.99999976827450654</v>
      </c>
      <c r="AL56" s="129">
        <f t="shared" si="55"/>
        <v>0.94444154834234839</v>
      </c>
      <c r="AM56" s="129">
        <f t="shared" si="56"/>
        <v>5.5558451657651595E-2</v>
      </c>
      <c r="AP56" s="129">
        <f t="shared" si="57"/>
        <v>-7.8935725796558352E-3</v>
      </c>
      <c r="AQ56" s="129">
        <f t="shared" si="58"/>
        <v>-2.2823235900829406E-3</v>
      </c>
      <c r="AS56" s="129">
        <f t="shared" si="47"/>
        <v>0.98023617242698069</v>
      </c>
      <c r="AT56" s="129">
        <f t="shared" si="48"/>
        <v>1.9763827573019269E-2</v>
      </c>
      <c r="AV56" s="129">
        <f t="shared" si="59"/>
        <v>-3.2948613567419633E-5</v>
      </c>
      <c r="AW56" s="129">
        <f t="shared" si="60"/>
        <v>1.6355320944154217E-3</v>
      </c>
      <c r="AZ56" s="129">
        <f t="shared" si="61"/>
        <v>0.99244684922398763</v>
      </c>
      <c r="BA56" s="129">
        <f t="shared" si="62"/>
        <v>0.44912180762733428</v>
      </c>
      <c r="BB56" s="129">
        <f t="shared" si="49"/>
        <v>0.77501688028434335</v>
      </c>
      <c r="BC56" s="129"/>
      <c r="BD56" s="129">
        <f t="shared" si="63"/>
        <v>1.000059751376231</v>
      </c>
      <c r="BE56" s="129">
        <f t="shared" si="64"/>
        <v>0.94289745000277558</v>
      </c>
      <c r="BF56" s="129">
        <f t="shared" si="50"/>
        <v>0.97778262866378018</v>
      </c>
    </row>
    <row r="57" spans="1:58" x14ac:dyDescent="0.2">
      <c r="A57" s="133" t="s">
        <v>664</v>
      </c>
      <c r="B57" s="133">
        <f t="shared" si="51"/>
        <v>1998</v>
      </c>
      <c r="D57" s="309">
        <f>'Passenger-based Energy Use'!N56</f>
        <v>2108.6747854207574</v>
      </c>
      <c r="E57" s="309">
        <f>'Passenger-based Energy Use'!O56</f>
        <v>147.40719999999999</v>
      </c>
      <c r="F57" s="309">
        <f t="shared" si="35"/>
        <v>2256.0819854207575</v>
      </c>
      <c r="H57" s="310">
        <f>'Passenger-based Activity'!N57</f>
        <v>635517.39500000002</v>
      </c>
      <c r="I57" s="310">
        <f>'Passenger-based Activity'!U57</f>
        <v>13100</v>
      </c>
      <c r="J57" s="310">
        <f t="shared" si="36"/>
        <v>648617.39500000002</v>
      </c>
      <c r="L57" s="311">
        <f t="shared" si="37"/>
        <v>3318.0441668646336</v>
      </c>
      <c r="M57" s="311">
        <f t="shared" si="38"/>
        <v>11252.458015267175</v>
      </c>
      <c r="N57" s="311">
        <f t="shared" si="39"/>
        <v>3478.2939878150469</v>
      </c>
      <c r="O57" s="308"/>
      <c r="P57" s="312">
        <f t="shared" si="22"/>
        <v>0.772885431288587</v>
      </c>
      <c r="Q57" s="312">
        <f t="shared" si="23"/>
        <v>0.96188757452113338</v>
      </c>
      <c r="R57" s="312">
        <f t="shared" si="24"/>
        <v>0.76551597542734595</v>
      </c>
      <c r="T57" s="131">
        <f t="shared" si="25"/>
        <v>1.7849906157034232</v>
      </c>
      <c r="U57" s="131">
        <f t="shared" si="40"/>
        <v>0.76551597542734595</v>
      </c>
      <c r="V57" s="131">
        <f t="shared" si="41"/>
        <v>0.97865751822465352</v>
      </c>
      <c r="W57" s="131">
        <f t="shared" si="42"/>
        <v>0.78221028416155247</v>
      </c>
      <c r="X57" s="131">
        <f t="shared" si="43"/>
        <v>1.3664388323088648</v>
      </c>
      <c r="Y57" s="131">
        <f t="shared" si="30"/>
        <v>1.3664388323088648</v>
      </c>
      <c r="Z57" s="131"/>
      <c r="AA57" s="131">
        <f t="shared" si="44"/>
        <v>0.76551597542734595</v>
      </c>
      <c r="AB57" s="141"/>
      <c r="AC57" s="134"/>
      <c r="AE57" s="129">
        <f t="shared" si="45"/>
        <v>0.93466230351885515</v>
      </c>
      <c r="AF57" s="129">
        <f t="shared" si="46"/>
        <v>6.5337696481144791E-2</v>
      </c>
      <c r="AH57" s="129">
        <f t="shared" si="52"/>
        <v>0.93944817334138675</v>
      </c>
      <c r="AI57" s="129">
        <f t="shared" si="53"/>
        <v>6.0416924795020095E-2</v>
      </c>
      <c r="AJ57" s="129">
        <f t="shared" si="54"/>
        <v>0.99986509813640689</v>
      </c>
      <c r="AL57" s="129">
        <f t="shared" si="55"/>
        <v>0.93957492374958596</v>
      </c>
      <c r="AM57" s="129">
        <f t="shared" si="56"/>
        <v>6.0425076250414031E-2</v>
      </c>
      <c r="AP57" s="129">
        <f t="shared" si="57"/>
        <v>3.6893155237694314E-4</v>
      </c>
      <c r="AQ57" s="129">
        <f t="shared" si="58"/>
        <v>0.14716011236584786</v>
      </c>
      <c r="AS57" s="129">
        <f t="shared" si="47"/>
        <v>0.97980319352983125</v>
      </c>
      <c r="AT57" s="129">
        <f t="shared" si="48"/>
        <v>2.0196806470168749E-2</v>
      </c>
      <c r="AV57" s="129">
        <f t="shared" si="59"/>
        <v>-4.4180633482425344E-4</v>
      </c>
      <c r="AW57" s="129">
        <f t="shared" si="60"/>
        <v>2.1671119722821382E-2</v>
      </c>
      <c r="AZ57" s="129">
        <f t="shared" si="61"/>
        <v>1.0092816092916195</v>
      </c>
      <c r="BA57" s="129">
        <f t="shared" si="62"/>
        <v>0.45329038077007711</v>
      </c>
      <c r="BB57" s="129">
        <f t="shared" si="49"/>
        <v>0.78221028416155247</v>
      </c>
      <c r="BC57" s="129"/>
      <c r="BD57" s="129">
        <f t="shared" si="63"/>
        <v>1.0008947689754613</v>
      </c>
      <c r="BE57" s="129">
        <f t="shared" si="64"/>
        <v>0.94374112538807964</v>
      </c>
      <c r="BF57" s="129">
        <f t="shared" si="50"/>
        <v>0.97865751822465352</v>
      </c>
    </row>
    <row r="58" spans="1:58" x14ac:dyDescent="0.2">
      <c r="A58" s="133" t="s">
        <v>664</v>
      </c>
      <c r="B58" s="133">
        <f t="shared" si="51"/>
        <v>1999</v>
      </c>
      <c r="D58" s="309">
        <f>'Passenger-based Energy Use'!N57</f>
        <v>2233.144483876069</v>
      </c>
      <c r="E58" s="309">
        <f>'Passenger-based Energy Use'!O57</f>
        <v>172.10257999999999</v>
      </c>
      <c r="F58" s="309">
        <f t="shared" si="35"/>
        <v>2405.2470638760688</v>
      </c>
      <c r="H58" s="310">
        <f>'Passenger-based Activity'!N58</f>
        <v>668626</v>
      </c>
      <c r="I58" s="310">
        <f>'Passenger-based Activity'!U58</f>
        <v>14100</v>
      </c>
      <c r="J58" s="310">
        <f t="shared" si="36"/>
        <v>682726</v>
      </c>
      <c r="L58" s="311">
        <f t="shared" si="37"/>
        <v>3339.9007574878465</v>
      </c>
      <c r="M58" s="311">
        <f t="shared" si="38"/>
        <v>12205.856737588651</v>
      </c>
      <c r="N58" s="311">
        <f t="shared" si="39"/>
        <v>3523.0049300540318</v>
      </c>
      <c r="O58" s="308"/>
      <c r="P58" s="312">
        <f t="shared" si="22"/>
        <v>0.77797657523387165</v>
      </c>
      <c r="Q58" s="312">
        <f t="shared" si="23"/>
        <v>1.0433864242232245</v>
      </c>
      <c r="R58" s="312">
        <f t="shared" si="24"/>
        <v>0.77535612714547386</v>
      </c>
      <c r="T58" s="131">
        <f t="shared" si="25"/>
        <v>1.878857262372273</v>
      </c>
      <c r="U58" s="131">
        <f t="shared" si="40"/>
        <v>0.77535612714547386</v>
      </c>
      <c r="V58" s="131">
        <f t="shared" si="41"/>
        <v>0.97972758063345067</v>
      </c>
      <c r="W58" s="131">
        <f t="shared" si="42"/>
        <v>0.79139971403495779</v>
      </c>
      <c r="X58" s="131">
        <f t="shared" si="43"/>
        <v>1.4567834904121131</v>
      </c>
      <c r="Y58" s="131">
        <f t="shared" si="30"/>
        <v>1.4567834904121129</v>
      </c>
      <c r="Z58" s="131"/>
      <c r="AA58" s="131">
        <f t="shared" si="44"/>
        <v>0.77535612714547386</v>
      </c>
      <c r="AB58" s="141"/>
      <c r="AC58" s="134"/>
      <c r="AE58" s="129">
        <f t="shared" si="45"/>
        <v>0.92844702625989051</v>
      </c>
      <c r="AF58" s="129">
        <f t="shared" si="46"/>
        <v>7.1552973740109563E-2</v>
      </c>
      <c r="AH58" s="129">
        <f t="shared" si="52"/>
        <v>0.93155120921580425</v>
      </c>
      <c r="AI58" s="175">
        <f t="shared" si="53"/>
        <v>6.8398276960946802E-2</v>
      </c>
      <c r="AJ58" s="175">
        <f t="shared" si="54"/>
        <v>0.99994948617675106</v>
      </c>
      <c r="AL58" s="129">
        <f t="shared" si="55"/>
        <v>0.93159826780604327</v>
      </c>
      <c r="AM58" s="129">
        <f t="shared" si="56"/>
        <v>6.8401732193956774E-2</v>
      </c>
      <c r="AP58" s="129">
        <f t="shared" si="57"/>
        <v>6.5655902491788525E-3</v>
      </c>
      <c r="AQ58" s="129">
        <f t="shared" si="58"/>
        <v>8.1329301974257112E-2</v>
      </c>
      <c r="AS58" s="129">
        <f t="shared" si="47"/>
        <v>0.97934749811783939</v>
      </c>
      <c r="AT58" s="129">
        <f t="shared" si="48"/>
        <v>2.0652501882160633E-2</v>
      </c>
      <c r="AV58" s="129">
        <f t="shared" si="59"/>
        <v>-4.6519690614161695E-4</v>
      </c>
      <c r="AW58" s="129">
        <f t="shared" si="60"/>
        <v>2.2311972216737402E-2</v>
      </c>
      <c r="AZ58" s="129">
        <f t="shared" si="61"/>
        <v>1.0117480299856392</v>
      </c>
      <c r="BA58" s="129">
        <f t="shared" si="62"/>
        <v>0.45861564975556579</v>
      </c>
      <c r="BB58" s="129">
        <f t="shared" si="49"/>
        <v>0.79139971403495779</v>
      </c>
      <c r="BC58" s="129"/>
      <c r="BD58" s="129">
        <f t="shared" si="63"/>
        <v>1.0010933982408252</v>
      </c>
      <c r="BE58" s="129">
        <f t="shared" si="64"/>
        <v>0.94477301027437333</v>
      </c>
      <c r="BF58" s="129">
        <f t="shared" si="50"/>
        <v>0.97972758063345067</v>
      </c>
    </row>
    <row r="59" spans="1:58" x14ac:dyDescent="0.2">
      <c r="A59" s="133" t="s">
        <v>664</v>
      </c>
      <c r="B59" s="133">
        <f t="shared" si="51"/>
        <v>2000</v>
      </c>
      <c r="D59" s="309">
        <f>'Passenger-based Energy Use'!N58</f>
        <v>2261.1463922598023</v>
      </c>
      <c r="E59" s="309">
        <f>'Passenger-based Energy Use'!O58</f>
        <v>175.16676000000001</v>
      </c>
      <c r="F59" s="309">
        <f t="shared" si="35"/>
        <v>2436.3131522598023</v>
      </c>
      <c r="H59" s="310">
        <f>'Passenger-based Activity'!N59</f>
        <v>708926.27800000005</v>
      </c>
      <c r="I59" s="310">
        <f>'Passenger-based Activity'!U59</f>
        <v>15200</v>
      </c>
      <c r="J59" s="310">
        <f t="shared" si="36"/>
        <v>724126.27800000005</v>
      </c>
      <c r="L59" s="311">
        <f t="shared" si="37"/>
        <v>3189.5367154944174</v>
      </c>
      <c r="M59" s="311">
        <f t="shared" si="38"/>
        <v>11524.128947368421</v>
      </c>
      <c r="N59" s="311">
        <f t="shared" si="39"/>
        <v>3364.4865906382729</v>
      </c>
      <c r="O59" s="308"/>
      <c r="P59" s="312">
        <f t="shared" si="22"/>
        <v>0.7429516715249489</v>
      </c>
      <c r="Q59" s="312">
        <f t="shared" si="23"/>
        <v>0.98511066885236409</v>
      </c>
      <c r="R59" s="312">
        <f t="shared" si="24"/>
        <v>0.7404688169738558</v>
      </c>
      <c r="T59" s="131">
        <f t="shared" si="25"/>
        <v>1.9927905430508046</v>
      </c>
      <c r="U59" s="131">
        <f t="shared" si="40"/>
        <v>0.7404688169738558</v>
      </c>
      <c r="V59" s="131">
        <f t="shared" si="41"/>
        <v>0.98055550943575021</v>
      </c>
      <c r="W59" s="131">
        <f t="shared" si="42"/>
        <v>0.75515237010901137</v>
      </c>
      <c r="X59" s="131">
        <f t="shared" si="43"/>
        <v>1.475599255889517</v>
      </c>
      <c r="Y59" s="131">
        <f t="shared" si="30"/>
        <v>1.4755992558895168</v>
      </c>
      <c r="Z59" s="131"/>
      <c r="AA59" s="131">
        <f t="shared" si="44"/>
        <v>0.7404688169738558</v>
      </c>
      <c r="AB59" s="141"/>
      <c r="AC59" s="134"/>
      <c r="AE59" s="129">
        <f t="shared" si="45"/>
        <v>0.9281017057115486</v>
      </c>
      <c r="AF59" s="129">
        <f t="shared" si="46"/>
        <v>7.1898294288451417E-2</v>
      </c>
      <c r="AH59" s="129">
        <f t="shared" si="52"/>
        <v>0.92827435528065005</v>
      </c>
      <c r="AI59" s="175">
        <f t="shared" si="53"/>
        <v>7.172549546959392E-2</v>
      </c>
      <c r="AJ59" s="175">
        <f t="shared" si="54"/>
        <v>0.999999850750244</v>
      </c>
      <c r="AL59" s="129">
        <f t="shared" si="55"/>
        <v>0.92827449382539173</v>
      </c>
      <c r="AM59" s="129">
        <f t="shared" si="56"/>
        <v>7.1725506174608211E-2</v>
      </c>
      <c r="AP59" s="129">
        <f t="shared" si="57"/>
        <v>-4.6065417222882113E-2</v>
      </c>
      <c r="AQ59" s="129">
        <f t="shared" si="58"/>
        <v>-5.7472890382736209E-2</v>
      </c>
      <c r="AS59" s="129">
        <f t="shared" si="47"/>
        <v>0.97900918601934783</v>
      </c>
      <c r="AT59" s="129">
        <f t="shared" si="48"/>
        <v>2.099081398065214E-2</v>
      </c>
      <c r="AV59" s="129">
        <f t="shared" si="59"/>
        <v>-3.4550611193293496E-4</v>
      </c>
      <c r="AW59" s="129">
        <f t="shared" si="60"/>
        <v>1.6248443941198908E-2</v>
      </c>
      <c r="AZ59" s="129">
        <f t="shared" si="61"/>
        <v>0.95419843691737138</v>
      </c>
      <c r="BA59" s="129">
        <f t="shared" si="62"/>
        <v>0.43761033614260553</v>
      </c>
      <c r="BB59" s="129">
        <f t="shared" si="49"/>
        <v>0.75515237010901137</v>
      </c>
      <c r="BC59" s="129"/>
      <c r="BD59" s="129">
        <f t="shared" si="63"/>
        <v>1.000845060217417</v>
      </c>
      <c r="BE59" s="129">
        <f t="shared" si="64"/>
        <v>0.94557140035984555</v>
      </c>
      <c r="BF59" s="129">
        <f t="shared" si="50"/>
        <v>0.98055550943575021</v>
      </c>
    </row>
    <row r="60" spans="1:58" x14ac:dyDescent="0.2">
      <c r="A60" s="133" t="s">
        <v>664</v>
      </c>
      <c r="B60" s="133">
        <f t="shared" si="51"/>
        <v>2001</v>
      </c>
      <c r="D60" s="309">
        <f>'Passenger-based Energy Use'!N59</f>
        <v>2148.8415604217826</v>
      </c>
      <c r="E60" s="309">
        <f>'Passenger-based Energy Use'!O59</f>
        <v>165.10436000000001</v>
      </c>
      <c r="F60" s="309">
        <f t="shared" ref="F60:F66" si="65">D60+E60</f>
        <v>2313.9459204217824</v>
      </c>
      <c r="H60" s="310">
        <f>'Passenger-based Activity'!N60</f>
        <v>664849.11699999997</v>
      </c>
      <c r="I60" s="310">
        <f>'Passenger-based Activity'!U60</f>
        <v>15900</v>
      </c>
      <c r="J60" s="310">
        <f t="shared" ref="J60:J65" si="66">H60+I60</f>
        <v>680749.11699999997</v>
      </c>
      <c r="L60" s="308">
        <f t="shared" si="37"/>
        <v>3232.0740232280141</v>
      </c>
      <c r="M60" s="308">
        <f t="shared" si="38"/>
        <v>10383.922012578618</v>
      </c>
      <c r="N60" s="308">
        <f t="shared" si="39"/>
        <v>3399.1170353905618</v>
      </c>
      <c r="O60" s="308"/>
      <c r="P60" s="312">
        <f t="shared" si="22"/>
        <v>0.7528600584481413</v>
      </c>
      <c r="Q60" s="312">
        <f t="shared" si="23"/>
        <v>0.88764299721394657</v>
      </c>
      <c r="R60" s="312">
        <f t="shared" si="24"/>
        <v>0.74809041502936813</v>
      </c>
      <c r="T60" s="131">
        <f t="shared" si="25"/>
        <v>1.8734168939354328</v>
      </c>
      <c r="U60" s="131">
        <f t="shared" si="40"/>
        <v>0.74809041502936813</v>
      </c>
      <c r="V60" s="131">
        <f t="shared" si="41"/>
        <v>0.98586783577191517</v>
      </c>
      <c r="W60" s="131">
        <f t="shared" si="42"/>
        <v>0.75881410051645315</v>
      </c>
      <c r="X60" s="131">
        <f t="shared" si="43"/>
        <v>1.4014852217071878</v>
      </c>
      <c r="Y60" s="131">
        <f t="shared" si="30"/>
        <v>1.4014852217071871</v>
      </c>
      <c r="Z60" s="131"/>
      <c r="AA60" s="131">
        <f t="shared" si="44"/>
        <v>0.74809041502936813</v>
      </c>
      <c r="AB60" s="141"/>
      <c r="AC60" s="134"/>
      <c r="AE60" s="129">
        <f t="shared" si="45"/>
        <v>0.92864813367379617</v>
      </c>
      <c r="AF60" s="129">
        <f t="shared" si="46"/>
        <v>7.1351866326203967E-2</v>
      </c>
      <c r="AG60" s="129"/>
      <c r="AH60" s="129">
        <f t="shared" si="52"/>
        <v>0.92837489289099784</v>
      </c>
      <c r="AI60" s="129">
        <f t="shared" si="53"/>
        <v>7.1624732914260247E-2</v>
      </c>
      <c r="AJ60" s="129">
        <f t="shared" si="54"/>
        <v>0.99999962580525814</v>
      </c>
      <c r="AK60" s="129"/>
      <c r="AL60" s="129">
        <f t="shared" si="55"/>
        <v>0.92837524028413121</v>
      </c>
      <c r="AM60" s="129">
        <f t="shared" si="56"/>
        <v>7.1624759715868722E-2</v>
      </c>
      <c r="AN60" s="129"/>
      <c r="AO60" s="129"/>
      <c r="AP60" s="129">
        <f t="shared" si="57"/>
        <v>1.324836762577835E-2</v>
      </c>
      <c r="AQ60" s="129">
        <f t="shared" si="58"/>
        <v>-0.10418435703376648</v>
      </c>
      <c r="AR60" s="129"/>
      <c r="AS60" s="129">
        <f t="shared" si="47"/>
        <v>0.9766433777100294</v>
      </c>
      <c r="AT60" s="129">
        <f t="shared" si="48"/>
        <v>2.3356622289970597E-2</v>
      </c>
      <c r="AU60" s="129"/>
      <c r="AV60" s="129">
        <f t="shared" si="59"/>
        <v>-2.4194578395691792E-3</v>
      </c>
      <c r="AW60" s="129">
        <f t="shared" si="60"/>
        <v>0.1067956412236052</v>
      </c>
      <c r="AX60" s="129"/>
      <c r="AY60" s="129"/>
      <c r="AZ60" s="129">
        <f t="shared" si="61"/>
        <v>1.0048489954509618</v>
      </c>
      <c r="BA60" s="129">
        <f t="shared" si="62"/>
        <v>0.43973230667185492</v>
      </c>
      <c r="BB60" s="129">
        <f t="shared" si="49"/>
        <v>0.75881410051645315</v>
      </c>
      <c r="BC60" s="129"/>
      <c r="BD60" s="129">
        <f t="shared" si="63"/>
        <v>1.0054176701727187</v>
      </c>
      <c r="BE60" s="129">
        <f t="shared" si="64"/>
        <v>0.95069419433175084</v>
      </c>
      <c r="BF60" s="129">
        <f t="shared" si="50"/>
        <v>0.98586783577191517</v>
      </c>
    </row>
    <row r="61" spans="1:58" x14ac:dyDescent="0.2">
      <c r="A61" s="133" t="s">
        <v>664</v>
      </c>
      <c r="B61" s="133">
        <f t="shared" si="51"/>
        <v>2002</v>
      </c>
      <c r="D61" s="309">
        <f>'Passenger-based Energy Use'!N60</f>
        <v>1953.5001129334157</v>
      </c>
      <c r="E61" s="309">
        <f>'Passenger-based Energy Use'!O60</f>
        <v>141.51277999999999</v>
      </c>
      <c r="F61" s="309">
        <f t="shared" si="65"/>
        <v>2095.0128929334155</v>
      </c>
      <c r="H61" s="310">
        <f>'Passenger-based Activity'!N61</f>
        <v>655213.94200000004</v>
      </c>
      <c r="I61" s="310">
        <f>'Passenger-based Activity'!U61</f>
        <v>13628.066527134715</v>
      </c>
      <c r="J61" s="310">
        <f t="shared" si="66"/>
        <v>668842.00852713478</v>
      </c>
      <c r="L61" s="308">
        <f t="shared" ref="L61:N62" si="67">D61/H61*1000000</f>
        <v>2981.4690862201091</v>
      </c>
      <c r="M61" s="308">
        <f t="shared" si="67"/>
        <v>10383.922012578618</v>
      </c>
      <c r="N61" s="308">
        <f t="shared" si="67"/>
        <v>3132.2986089747401</v>
      </c>
      <c r="O61" s="308"/>
      <c r="P61" s="312">
        <f t="shared" si="22"/>
        <v>0.69448563813250419</v>
      </c>
      <c r="Q61" s="312">
        <f t="shared" si="23"/>
        <v>0.88764299721394657</v>
      </c>
      <c r="R61" s="312">
        <f t="shared" si="24"/>
        <v>0.68936801586609242</v>
      </c>
      <c r="T61" s="131">
        <f t="shared" si="25"/>
        <v>1.8406486132077364</v>
      </c>
      <c r="U61" s="131">
        <f>R61</f>
        <v>0.68936801586609242</v>
      </c>
      <c r="V61" s="131">
        <f>BF61</f>
        <v>0.97933890996104445</v>
      </c>
      <c r="W61" s="131">
        <f>BB61</f>
        <v>0.70391159674592485</v>
      </c>
      <c r="X61" s="131">
        <f>T61*V61*W61</f>
        <v>1.2688842823936917</v>
      </c>
      <c r="Y61" s="131">
        <f t="shared" si="30"/>
        <v>1.2688842823936917</v>
      </c>
      <c r="Z61" s="131"/>
      <c r="AA61" s="131">
        <f>V61*W61</f>
        <v>0.68936801586609231</v>
      </c>
      <c r="AB61" s="141"/>
      <c r="AC61" s="134"/>
      <c r="AE61" s="129">
        <f t="shared" ref="AE61:AE66" si="68">D61/F61</f>
        <v>0.93245254934834554</v>
      </c>
      <c r="AF61" s="129">
        <f t="shared" ref="AF61:AF66" si="69">E61/F61</f>
        <v>6.7547450651654586E-2</v>
      </c>
      <c r="AG61" s="129"/>
      <c r="AH61" s="129">
        <f>(AE61-AE60)/LN(AE61/AE60)</f>
        <v>0.93054904536097105</v>
      </c>
      <c r="AI61" s="129">
        <f>(AF61-AF60)/LN(AF61/AF60)</f>
        <v>6.9432288022852659E-2</v>
      </c>
      <c r="AJ61" s="129">
        <f>AH61+AI61</f>
        <v>0.99998133338382367</v>
      </c>
      <c r="AK61" s="129"/>
      <c r="AL61" s="129">
        <f>AH61/AJ61</f>
        <v>0.930566415887083</v>
      </c>
      <c r="AM61" s="129">
        <f>AI61/AJ61</f>
        <v>6.9433584112917043E-2</v>
      </c>
      <c r="AN61" s="129"/>
      <c r="AO61" s="129"/>
      <c r="AP61" s="129">
        <f>LN(P61/P60)</f>
        <v>-8.0707882628374944E-2</v>
      </c>
      <c r="AQ61" s="129">
        <f>LN(Q61/Q60)</f>
        <v>0</v>
      </c>
      <c r="AR61" s="129"/>
      <c r="AS61" s="129">
        <f>H61/J61</f>
        <v>0.97962438609807823</v>
      </c>
      <c r="AT61" s="129">
        <f>I61/J61</f>
        <v>2.0375613901921694E-2</v>
      </c>
      <c r="AU61" s="129"/>
      <c r="AV61" s="129">
        <f>LN(AS61/AS60)</f>
        <v>3.0476509918969412E-3</v>
      </c>
      <c r="AW61" s="129">
        <f>LN(AT61/AT60)</f>
        <v>-0.13654176492539494</v>
      </c>
      <c r="AX61" s="129"/>
      <c r="AY61" s="129"/>
      <c r="AZ61" s="129">
        <f>EXP(SUMPRODUCT($AL61:$AM61,AP61:AQ61))</f>
        <v>0.92764696421276138</v>
      </c>
      <c r="BA61" s="129">
        <f>IF(ISERR(AZ61),BA60,AZ61*BA60)</f>
        <v>0.40791633935042121</v>
      </c>
      <c r="BB61" s="129">
        <f t="shared" si="49"/>
        <v>0.70391159674592485</v>
      </c>
      <c r="BC61" s="129"/>
      <c r="BD61" s="129">
        <f>EXP(SUMPRODUCT($AL61:$AM61,AV61:AW61))</f>
        <v>0.99337748370119128</v>
      </c>
      <c r="BE61" s="129">
        <f>IF(ISERR(BD61),BE60,BD61*BE60)</f>
        <v>0.94439820653460604</v>
      </c>
      <c r="BF61" s="129">
        <f t="shared" si="50"/>
        <v>0.97933890996104445</v>
      </c>
    </row>
    <row r="62" spans="1:58" x14ac:dyDescent="0.2">
      <c r="A62" s="133" t="s">
        <v>664</v>
      </c>
      <c r="B62" s="133">
        <f t="shared" si="51"/>
        <v>2003</v>
      </c>
      <c r="D62" s="309">
        <f>'Passenger-based Energy Use'!N61</f>
        <v>1936.2314202063073</v>
      </c>
      <c r="E62" s="309">
        <f>'Passenger-based Energy Use'!O61</f>
        <v>141.4111</v>
      </c>
      <c r="F62" s="309">
        <f t="shared" si="65"/>
        <v>2077.6425202063074</v>
      </c>
      <c r="H62" s="310">
        <f>'Passenger-based Activity'!N62</f>
        <v>673930.80900000001</v>
      </c>
      <c r="I62" s="310">
        <f>'Passenger-based Activity'!U62</f>
        <v>13618.274465919616</v>
      </c>
      <c r="J62" s="310">
        <f t="shared" si="66"/>
        <v>687549.0834659196</v>
      </c>
      <c r="L62" s="308">
        <f t="shared" si="67"/>
        <v>2873.04185288598</v>
      </c>
      <c r="M62" s="308">
        <f t="shared" si="67"/>
        <v>10383.922012578618</v>
      </c>
      <c r="N62" s="308">
        <f t="shared" si="67"/>
        <v>3021.8097444519276</v>
      </c>
      <c r="O62" s="308"/>
      <c r="P62" s="312">
        <f t="shared" si="22"/>
        <v>0.66922924467163458</v>
      </c>
      <c r="Q62" s="312">
        <f t="shared" si="23"/>
        <v>0.88764299721394657</v>
      </c>
      <c r="R62" s="312">
        <f t="shared" si="24"/>
        <v>0.66505121251498411</v>
      </c>
      <c r="T62" s="131">
        <f t="shared" si="25"/>
        <v>1.8921303549408448</v>
      </c>
      <c r="U62" s="131">
        <f>R62</f>
        <v>0.66505121251498411</v>
      </c>
      <c r="V62" s="131">
        <f>BF62</f>
        <v>0.97799009350899124</v>
      </c>
      <c r="W62" s="131">
        <f>BB62</f>
        <v>0.68001835287390866</v>
      </c>
      <c r="X62" s="131">
        <f>T62*V62*W62</f>
        <v>1.2583635867898162</v>
      </c>
      <c r="Y62" s="131">
        <f t="shared" si="30"/>
        <v>1.258363586789816</v>
      </c>
      <c r="Z62" s="131"/>
      <c r="AA62" s="131">
        <f>V62*W62</f>
        <v>0.66505121251498411</v>
      </c>
      <c r="AB62" s="141"/>
      <c r="AC62" s="134"/>
      <c r="AE62" s="129">
        <f t="shared" si="68"/>
        <v>0.9319367510894232</v>
      </c>
      <c r="AF62" s="129">
        <f t="shared" si="69"/>
        <v>6.8063248910576801E-2</v>
      </c>
      <c r="AG62" s="129"/>
      <c r="AH62" s="129">
        <f>(AE62-AE61)/LN(AE62/AE61)</f>
        <v>0.93219462643562012</v>
      </c>
      <c r="AI62" s="129">
        <f>(AF62-AF61)/LN(AF62/AF61)</f>
        <v>6.780502280486389E-2</v>
      </c>
      <c r="AJ62" s="129">
        <f>AH62+AI62</f>
        <v>0.99999964924048401</v>
      </c>
      <c r="AK62" s="129"/>
      <c r="AL62" s="129">
        <f>AH62/AJ62</f>
        <v>0.93219495341187075</v>
      </c>
      <c r="AM62" s="129">
        <f>AI62/AJ62</f>
        <v>6.780504658812922E-2</v>
      </c>
      <c r="AN62" s="129"/>
      <c r="AO62" s="129"/>
      <c r="AP62" s="129">
        <f>LN(P62/P61)</f>
        <v>-3.7044813444061159E-2</v>
      </c>
      <c r="AQ62" s="129">
        <f>LN(Q62/Q61)</f>
        <v>0</v>
      </c>
      <c r="AR62" s="129"/>
      <c r="AS62" s="129">
        <f>H62/J62</f>
        <v>0.98019301487935939</v>
      </c>
      <c r="AT62" s="129">
        <f>I62/J62</f>
        <v>1.9806985120640695E-2</v>
      </c>
      <c r="AU62" s="129"/>
      <c r="AV62" s="129">
        <f>LN(AS62/AS61)</f>
        <v>5.802875277604075E-4</v>
      </c>
      <c r="AW62" s="129">
        <f>LN(AT62/AT61)</f>
        <v>-2.8304129471054814E-2</v>
      </c>
      <c r="AX62" s="129"/>
      <c r="AY62" s="129"/>
      <c r="AZ62" s="129">
        <f>EXP(SUMPRODUCT($AL62:$AM62,AP62:AQ62))</f>
        <v>0.96605647075219248</v>
      </c>
      <c r="BA62" s="129">
        <f>IF(ISERR(AZ62),BA61,AZ62*BA61)</f>
        <v>0.39407021915502161</v>
      </c>
      <c r="BB62" s="129">
        <f t="shared" si="49"/>
        <v>0.68001835287390866</v>
      </c>
      <c r="BC62" s="129"/>
      <c r="BD62" s="129">
        <f>EXP(SUMPRODUCT($AL62:$AM62,AV62:AW62))</f>
        <v>0.99862272759885862</v>
      </c>
      <c r="BE62" s="129">
        <f>IF(ISERR(BD62),BE61,BD62*BE61)</f>
        <v>0.94309751294905853</v>
      </c>
      <c r="BF62" s="129">
        <f t="shared" si="50"/>
        <v>0.97799009350899124</v>
      </c>
    </row>
    <row r="63" spans="1:58" x14ac:dyDescent="0.2">
      <c r="A63" s="133" t="s">
        <v>664</v>
      </c>
      <c r="B63" s="133">
        <f t="shared" si="51"/>
        <v>2004</v>
      </c>
      <c r="D63" s="309">
        <f>'Passenger-based Energy Use'!N62</f>
        <v>2000.3026966029888</v>
      </c>
      <c r="E63" s="309">
        <f>'Passenger-based Energy Use'!O62</f>
        <v>175.93521999999999</v>
      </c>
      <c r="F63" s="309">
        <f t="shared" si="65"/>
        <v>2176.2379166029887</v>
      </c>
      <c r="H63" s="310">
        <f>'Passenger-based Activity'!N63</f>
        <v>752299.86900000006</v>
      </c>
      <c r="I63" s="310">
        <f>'Passenger-based Activity'!U63</f>
        <v>16943.041346697322</v>
      </c>
      <c r="J63" s="310">
        <f t="shared" si="66"/>
        <v>769242.91034669743</v>
      </c>
      <c r="L63" s="308">
        <f t="shared" ref="L63:N64" si="70">D63/H63*1000000</f>
        <v>2658.9167153011808</v>
      </c>
      <c r="M63" s="308">
        <f t="shared" si="70"/>
        <v>10383.922012578618</v>
      </c>
      <c r="N63" s="308">
        <f t="shared" si="70"/>
        <v>2829.0646391816067</v>
      </c>
      <c r="O63" s="308"/>
      <c r="P63" s="312">
        <f t="shared" si="22"/>
        <v>0.61935221139864527</v>
      </c>
      <c r="Q63" s="312">
        <f t="shared" si="23"/>
        <v>0.88764299721394657</v>
      </c>
      <c r="R63" s="312">
        <f t="shared" si="24"/>
        <v>0.62263114745241532</v>
      </c>
      <c r="T63" s="131">
        <f t="shared" si="25"/>
        <v>2.1169512053639026</v>
      </c>
      <c r="U63" s="131">
        <f>R63</f>
        <v>0.62263114745241532</v>
      </c>
      <c r="V63" s="131">
        <f>BF63</f>
        <v>0.98366832263038451</v>
      </c>
      <c r="W63" s="131">
        <f>BB63</f>
        <v>0.63296858618712526</v>
      </c>
      <c r="X63" s="131">
        <f>T63*V63*W63</f>
        <v>1.3180797580965007</v>
      </c>
      <c r="Y63" s="131">
        <f t="shared" si="30"/>
        <v>1.3180797580965005</v>
      </c>
      <c r="Z63" s="131"/>
      <c r="AA63" s="131">
        <f>V63*W63</f>
        <v>0.62263114745241543</v>
      </c>
      <c r="AB63" s="141"/>
      <c r="AC63" s="134"/>
      <c r="AE63" s="129">
        <f t="shared" si="68"/>
        <v>0.91915625646545718</v>
      </c>
      <c r="AF63" s="129">
        <f t="shared" si="69"/>
        <v>8.0843743534542906E-2</v>
      </c>
      <c r="AH63" s="129">
        <f t="shared" si="52"/>
        <v>0.92553179687016796</v>
      </c>
      <c r="AI63" s="129">
        <f t="shared" si="53"/>
        <v>7.4270313469479279E-2</v>
      </c>
      <c r="AJ63" s="129">
        <f t="shared" si="54"/>
        <v>0.99980211033964728</v>
      </c>
      <c r="AL63" s="129">
        <f t="shared" si="55"/>
        <v>0.9257149862943892</v>
      </c>
      <c r="AM63" s="129">
        <f t="shared" si="56"/>
        <v>7.4285013705610775E-2</v>
      </c>
      <c r="AP63" s="129">
        <f t="shared" si="57"/>
        <v>-7.7452557592550306E-2</v>
      </c>
      <c r="AQ63" s="129">
        <f t="shared" si="58"/>
        <v>0</v>
      </c>
      <c r="AS63" s="129">
        <f t="shared" si="47"/>
        <v>0.9779743938893618</v>
      </c>
      <c r="AT63" s="129">
        <f t="shared" si="48"/>
        <v>2.2025606110638186E-2</v>
      </c>
      <c r="AV63" s="129">
        <f t="shared" si="59"/>
        <v>-2.2660186554202704E-3</v>
      </c>
      <c r="AW63" s="129">
        <f t="shared" si="60"/>
        <v>0.10617103129768544</v>
      </c>
      <c r="AZ63" s="129">
        <f t="shared" si="61"/>
        <v>0.93081103401409593</v>
      </c>
      <c r="BA63" s="129">
        <f t="shared" si="62"/>
        <v>0.36680490816584704</v>
      </c>
      <c r="BB63" s="129">
        <f t="shared" si="49"/>
        <v>0.63296858618712526</v>
      </c>
      <c r="BC63" s="129"/>
      <c r="BD63" s="129">
        <f t="shared" si="63"/>
        <v>1.0058060190579436</v>
      </c>
      <c r="BE63" s="129">
        <f t="shared" si="64"/>
        <v>0.94857315508273998</v>
      </c>
      <c r="BF63" s="129">
        <f t="shared" si="50"/>
        <v>0.98366832263038451</v>
      </c>
    </row>
    <row r="64" spans="1:58" x14ac:dyDescent="0.2">
      <c r="A64" s="133" t="s">
        <v>664</v>
      </c>
      <c r="B64" s="133">
        <f t="shared" si="51"/>
        <v>2005</v>
      </c>
      <c r="D64" s="309">
        <f>'Passenger-based Energy Use'!N63</f>
        <v>2089.2538244621423</v>
      </c>
      <c r="E64" s="309">
        <f>'Passenger-based Energy Use'!O63</f>
        <v>242.39572000000001</v>
      </c>
      <c r="F64" s="309">
        <f t="shared" si="65"/>
        <v>2331.6495444621423</v>
      </c>
      <c r="H64" s="310">
        <f>'Passenger-based Activity'!N64</f>
        <v>795117.31799999997</v>
      </c>
      <c r="I64" s="310">
        <f>'Passenger-based Activity'!U64</f>
        <v>23343.368691172054</v>
      </c>
      <c r="J64" s="310">
        <f t="shared" si="66"/>
        <v>818460.68669117207</v>
      </c>
      <c r="L64" s="308">
        <f t="shared" si="70"/>
        <v>2627.604476930966</v>
      </c>
      <c r="M64" s="308">
        <f t="shared" si="70"/>
        <v>10383.922012578618</v>
      </c>
      <c r="N64" s="308">
        <f t="shared" si="70"/>
        <v>2848.8228969046845</v>
      </c>
      <c r="O64" s="308"/>
      <c r="P64" s="312">
        <f t="shared" si="22"/>
        <v>0.61205852522681736</v>
      </c>
      <c r="Q64" s="312">
        <f t="shared" si="23"/>
        <v>0.88764299721394657</v>
      </c>
      <c r="R64" s="312">
        <f t="shared" si="24"/>
        <v>0.62697961885437636</v>
      </c>
      <c r="T64" s="131">
        <f t="shared" si="25"/>
        <v>2.2523981877882289</v>
      </c>
      <c r="U64" s="131">
        <f>R64</f>
        <v>0.62697961885437636</v>
      </c>
      <c r="V64" s="131">
        <f>BF64</f>
        <v>1.0012507727805269</v>
      </c>
      <c r="W64" s="131">
        <f>BB64</f>
        <v>0.62619638945518163</v>
      </c>
      <c r="X64" s="131">
        <f>T64*V64*W64</f>
        <v>1.4122077572877518</v>
      </c>
      <c r="Y64" s="131">
        <f t="shared" si="30"/>
        <v>1.4122077572877516</v>
      </c>
      <c r="Z64" s="131"/>
      <c r="AA64" s="131">
        <f>V64*W64</f>
        <v>0.62697961885437636</v>
      </c>
      <c r="AB64" s="141"/>
      <c r="AC64" s="134"/>
      <c r="AE64" s="129">
        <f t="shared" si="68"/>
        <v>0.89604110078390231</v>
      </c>
      <c r="AF64" s="129">
        <f t="shared" si="69"/>
        <v>0.10395889921609772</v>
      </c>
      <c r="AH64" s="129">
        <f>(AE64-AE63)/LN(AE64/AE63)</f>
        <v>0.90754961751964103</v>
      </c>
      <c r="AI64" s="129">
        <f>(AF64-AF63)/LN(AF64/AF63)</f>
        <v>9.191741953860752E-2</v>
      </c>
      <c r="AJ64" s="129">
        <f>AH64+AI64</f>
        <v>0.99946703705824858</v>
      </c>
      <c r="AL64" s="129">
        <f>AH64/AJ64</f>
        <v>0.90803356576005756</v>
      </c>
      <c r="AM64" s="129">
        <f>AI64/AJ64</f>
        <v>9.1966434239942427E-2</v>
      </c>
      <c r="AP64" s="129">
        <f>LN(P64/P63)</f>
        <v>-1.1846204113420248E-2</v>
      </c>
      <c r="AQ64" s="129">
        <f>LN(Q64/Q63)</f>
        <v>0</v>
      </c>
      <c r="AS64" s="129">
        <f>H64/J64</f>
        <v>0.97147893714291467</v>
      </c>
      <c r="AT64" s="129">
        <f>I64/J64</f>
        <v>2.8521062857085222E-2</v>
      </c>
      <c r="AV64" s="129">
        <f>LN(AS64/AS63)</f>
        <v>-6.6638997510875281E-3</v>
      </c>
      <c r="AW64" s="129">
        <f>LN(AT64/AT63)</f>
        <v>0.2584371712751003</v>
      </c>
      <c r="AZ64" s="129">
        <f>EXP(SUMPRODUCT($AL64:$AM64,AP64:AQ64))</f>
        <v>0.98930089600064042</v>
      </c>
      <c r="BA64" s="129">
        <f>IF(ISERR(AZ64),BA63,AZ64*BA63)</f>
        <v>0.36288042430590511</v>
      </c>
      <c r="BB64" s="129">
        <f t="shared" si="49"/>
        <v>0.62619638945518163</v>
      </c>
      <c r="BC64" s="129"/>
      <c r="BD64" s="129">
        <f>EXP(SUMPRODUCT($AL64:$AM64,AV64:AW64))</f>
        <v>1.0178743685708267</v>
      </c>
      <c r="BE64" s="129">
        <f>IF(ISERR(BD64),BE63,BD64*BE63)</f>
        <v>0.96552830127308087</v>
      </c>
      <c r="BF64" s="129">
        <f t="shared" si="50"/>
        <v>1.0012507727805269</v>
      </c>
    </row>
    <row r="65" spans="1:58" x14ac:dyDescent="0.2">
      <c r="A65" s="133" t="s">
        <v>664</v>
      </c>
      <c r="B65" s="133">
        <f t="shared" si="51"/>
        <v>2006</v>
      </c>
      <c r="D65" s="309">
        <f>'Passenger-based Energy Use'!N64</f>
        <v>2136.8126542257301</v>
      </c>
      <c r="E65" s="309">
        <f>'Passenger-based Energy Use'!O64</f>
        <v>256.32344000000001</v>
      </c>
      <c r="F65" s="309">
        <f t="shared" si="65"/>
        <v>2393.1360942257302</v>
      </c>
      <c r="H65" s="310">
        <f>'Passenger-based Activity'!N65</f>
        <v>810086.402</v>
      </c>
      <c r="I65" s="310">
        <f>'Passenger-based Activity'!U65</f>
        <v>24684.646098988542</v>
      </c>
      <c r="J65" s="310">
        <f t="shared" si="66"/>
        <v>834771.0480989886</v>
      </c>
      <c r="L65" s="308">
        <f t="shared" ref="L65:N66" si="71">D65/H65*1000000</f>
        <v>2637.7589463916593</v>
      </c>
      <c r="M65" s="308">
        <f t="shared" si="71"/>
        <v>10383.922012578618</v>
      </c>
      <c r="N65" s="308">
        <f t="shared" si="71"/>
        <v>2866.8173143709078</v>
      </c>
      <c r="O65" s="308"/>
      <c r="P65" s="312">
        <f t="shared" si="22"/>
        <v>0.61442384681807605</v>
      </c>
      <c r="Q65" s="312">
        <f t="shared" si="23"/>
        <v>0.88764299721394657</v>
      </c>
      <c r="R65" s="312">
        <f t="shared" si="24"/>
        <v>0.63093989768277858</v>
      </c>
      <c r="T65" s="131">
        <f t="shared" si="25"/>
        <v>2.2972841903470775</v>
      </c>
      <c r="U65" s="131">
        <f>R65</f>
        <v>0.63093989768277858</v>
      </c>
      <c r="V65" s="131">
        <f>BF65</f>
        <v>1.004104905466541</v>
      </c>
      <c r="W65" s="131">
        <f>BB65</f>
        <v>0.62836053707916373</v>
      </c>
      <c r="X65" s="131">
        <f>T65*V65*W65</f>
        <v>1.44944825200585</v>
      </c>
      <c r="Y65" s="131">
        <f t="shared" si="30"/>
        <v>1.4494482520058498</v>
      </c>
      <c r="Z65" s="131"/>
      <c r="AA65" s="131">
        <f>V65*W65</f>
        <v>0.63093989768277858</v>
      </c>
      <c r="AB65" s="141"/>
      <c r="AC65" s="134"/>
      <c r="AE65" s="129">
        <f t="shared" si="68"/>
        <v>0.89289224268587597</v>
      </c>
      <c r="AF65" s="129">
        <f t="shared" si="69"/>
        <v>0.10710775731412396</v>
      </c>
      <c r="AH65" s="129">
        <f>(AE65-AE64)/LN(AE65/AE64)</f>
        <v>0.89446574797068246</v>
      </c>
      <c r="AI65" s="129">
        <f>(AF65-AF64)/LN(AF65/AF64)</f>
        <v>0.10552549827746108</v>
      </c>
      <c r="AJ65" s="129">
        <f>AH65+AI65</f>
        <v>0.99999124624814351</v>
      </c>
      <c r="AL65" s="129">
        <f>AH65/AJ65</f>
        <v>0.89447357797042615</v>
      </c>
      <c r="AM65" s="129">
        <f>AI65/AJ65</f>
        <v>0.10552642202957382</v>
      </c>
      <c r="AP65" s="129">
        <f>LN(P65/P64)</f>
        <v>3.8570868650077E-3</v>
      </c>
      <c r="AQ65" s="129">
        <f>LN(Q65/Q64)</f>
        <v>0</v>
      </c>
      <c r="AS65" s="129">
        <f>H65/J65</f>
        <v>0.97042944151548793</v>
      </c>
      <c r="AT65" s="129">
        <f>I65/J65</f>
        <v>2.9570558484512025E-2</v>
      </c>
      <c r="AV65" s="129">
        <f>LN(AS65/AS64)</f>
        <v>-1.0808910874891095E-3</v>
      </c>
      <c r="AW65" s="129">
        <f>LN(AT65/AT64)</f>
        <v>3.6136358617702743E-2</v>
      </c>
      <c r="AZ65" s="129">
        <f>EXP(SUMPRODUCT($AL65:$AM65,AP65:AQ65))</f>
        <v>1.0034560206037997</v>
      </c>
      <c r="BA65" s="129">
        <f>IF(ISERR(AZ65),BA64,AZ65*BA64)</f>
        <v>0.36413454652902189</v>
      </c>
      <c r="BB65" s="129">
        <f t="shared" si="49"/>
        <v>0.62836053707916373</v>
      </c>
      <c r="BC65" s="129"/>
      <c r="BD65" s="129">
        <f>EXP(SUMPRODUCT($AL65:$AM65,AV65:AW65))</f>
        <v>1.0028505672740586</v>
      </c>
      <c r="BE65" s="129">
        <f>IF(ISERR(BD65),BE64,BD65*BE64)</f>
        <v>0.96828060465086729</v>
      </c>
      <c r="BF65" s="129">
        <f t="shared" si="50"/>
        <v>1.004104905466541</v>
      </c>
    </row>
    <row r="66" spans="1:58" x14ac:dyDescent="0.2">
      <c r="A66" s="133" t="s">
        <v>664</v>
      </c>
      <c r="B66" s="133">
        <f t="shared" si="51"/>
        <v>2007</v>
      </c>
      <c r="D66" s="309">
        <f>'Passenger-based Energy Use'!N65</f>
        <v>2171.0008794254172</v>
      </c>
      <c r="E66" s="309">
        <f>'Passenger-based Energy Use'!O65</f>
        <v>242.53945999999999</v>
      </c>
      <c r="F66" s="309">
        <f t="shared" si="65"/>
        <v>2413.5403394254172</v>
      </c>
      <c r="H66" s="310">
        <f>'Passenger-based Activity'!N66</f>
        <v>842006.75899999996</v>
      </c>
      <c r="I66" s="310">
        <f>'Passenger-based Activity'!U66</f>
        <v>23357.211245057366</v>
      </c>
      <c r="J66" s="310">
        <f>H66+I66</f>
        <v>865363.97024505737</v>
      </c>
      <c r="L66" s="308">
        <f t="shared" si="71"/>
        <v>2578.3651451964383</v>
      </c>
      <c r="M66" s="308">
        <f t="shared" si="71"/>
        <v>10383.922012578618</v>
      </c>
      <c r="N66" s="308">
        <f t="shared" si="71"/>
        <v>2789.0464849627847</v>
      </c>
      <c r="P66" s="312">
        <f t="shared" si="22"/>
        <v>0.60058900877973431</v>
      </c>
      <c r="Q66" s="312">
        <f t="shared" si="23"/>
        <v>0.88764299721394657</v>
      </c>
      <c r="R66" s="312">
        <f t="shared" si="24"/>
        <v>0.61382380210755927</v>
      </c>
      <c r="T66" s="131">
        <f t="shared" si="25"/>
        <v>2.3814757019510457</v>
      </c>
      <c r="U66" s="131">
        <f t="shared" si="40"/>
        <v>0.61382380210755927</v>
      </c>
      <c r="V66" s="131">
        <f t="shared" si="41"/>
        <v>0.99700919968536628</v>
      </c>
      <c r="W66" s="131">
        <f t="shared" si="42"/>
        <v>0.61566513358278774</v>
      </c>
      <c r="X66" s="131">
        <f t="shared" si="43"/>
        <v>1.4618064699983595</v>
      </c>
      <c r="Y66" s="131">
        <f t="shared" si="30"/>
        <v>1.4618064699983595</v>
      </c>
      <c r="Z66" s="131"/>
      <c r="AA66" s="131">
        <f t="shared" si="44"/>
        <v>0.61382380210755927</v>
      </c>
      <c r="AB66" s="141"/>
      <c r="AC66" s="134"/>
      <c r="AE66" s="129">
        <f t="shared" si="68"/>
        <v>0.89950884348685034</v>
      </c>
      <c r="AF66" s="129">
        <f t="shared" si="69"/>
        <v>0.10049115651314967</v>
      </c>
      <c r="AH66" s="129">
        <f t="shared" si="52"/>
        <v>0.89619647223733589</v>
      </c>
      <c r="AI66" s="129">
        <f t="shared" si="53"/>
        <v>0.10376429996046344</v>
      </c>
      <c r="AJ66" s="129">
        <f t="shared" si="54"/>
        <v>0.99996077219779933</v>
      </c>
      <c r="AL66" s="129">
        <f t="shared" si="55"/>
        <v>0.89623162943442136</v>
      </c>
      <c r="AM66" s="129">
        <f t="shared" si="56"/>
        <v>0.10376837056557867</v>
      </c>
      <c r="AP66" s="129">
        <f t="shared" si="57"/>
        <v>-2.2774139278979939E-2</v>
      </c>
      <c r="AQ66" s="129">
        <f t="shared" si="58"/>
        <v>0</v>
      </c>
      <c r="AS66" s="129">
        <f t="shared" si="47"/>
        <v>0.97300880086509378</v>
      </c>
      <c r="AT66" s="129">
        <f t="shared" si="48"/>
        <v>2.6991199134906177E-2</v>
      </c>
      <c r="AV66" s="129">
        <f t="shared" si="59"/>
        <v>2.6544304911488071E-3</v>
      </c>
      <c r="AW66" s="129">
        <f t="shared" si="60"/>
        <v>-9.126836564607585E-2</v>
      </c>
      <c r="AZ66" s="129">
        <f t="shared" si="61"/>
        <v>0.97979598853328931</v>
      </c>
      <c r="BA66" s="129">
        <f t="shared" si="62"/>
        <v>0.35677756797552401</v>
      </c>
      <c r="BB66" s="129">
        <f t="shared" si="49"/>
        <v>0.61566513358278774</v>
      </c>
      <c r="BC66" s="129"/>
      <c r="BD66" s="129">
        <f t="shared" si="63"/>
        <v>0.99293330234466115</v>
      </c>
      <c r="BE66" s="129">
        <f t="shared" si="64"/>
        <v>0.96143805837227092</v>
      </c>
      <c r="BF66" s="129">
        <f t="shared" si="50"/>
        <v>0.99700919968536628</v>
      </c>
    </row>
    <row r="67" spans="1:58" x14ac:dyDescent="0.2">
      <c r="A67" s="133" t="s">
        <v>664</v>
      </c>
      <c r="B67" s="133">
        <f t="shared" si="51"/>
        <v>2008</v>
      </c>
      <c r="D67" s="309">
        <f>'Passenger-based Energy Use'!N66</f>
        <v>2093.7322543329487</v>
      </c>
      <c r="E67" s="309">
        <f>'Passenger-based Energy Use'!O66</f>
        <v>264.77825999999999</v>
      </c>
      <c r="F67" s="309">
        <f>D67+E67</f>
        <v>2358.5105143329488</v>
      </c>
      <c r="H67" s="310">
        <f>'Passenger-based Activity'!N67</f>
        <v>823782.90300000005</v>
      </c>
      <c r="I67" s="310">
        <f>'Passenger-based Activity'!U67</f>
        <v>25498.868315773121</v>
      </c>
      <c r="J67" s="310">
        <f>H67+I67</f>
        <v>849281.77131577313</v>
      </c>
      <c r="L67" s="308">
        <f t="shared" ref="L67:N69" si="72">D67/H67*1000000</f>
        <v>2541.6068319797951</v>
      </c>
      <c r="M67" s="308">
        <f t="shared" si="72"/>
        <v>10383.92201257862</v>
      </c>
      <c r="N67" s="308">
        <f t="shared" si="72"/>
        <v>2777.064802272821</v>
      </c>
      <c r="P67" s="312">
        <f t="shared" si="22"/>
        <v>0.59202674639407948</v>
      </c>
      <c r="Q67" s="312">
        <f t="shared" si="23"/>
        <v>0.88764299721394668</v>
      </c>
      <c r="R67" s="312">
        <f t="shared" si="24"/>
        <v>0.61118682848089068</v>
      </c>
      <c r="T67" s="131">
        <f t="shared" si="25"/>
        <v>2.3372176009658756</v>
      </c>
      <c r="U67" s="131">
        <f t="shared" si="40"/>
        <v>0.61118682848089068</v>
      </c>
      <c r="V67" s="131">
        <f t="shared" si="41"/>
        <v>1.0055477469438912</v>
      </c>
      <c r="W67" s="131">
        <f t="shared" si="42"/>
        <v>0.60781482563949729</v>
      </c>
      <c r="X67" s="131">
        <f t="shared" si="43"/>
        <v>1.4284766130040492</v>
      </c>
      <c r="Y67" s="131">
        <f t="shared" si="30"/>
        <v>1.4284766130040492</v>
      </c>
      <c r="Z67" s="131"/>
      <c r="AA67" s="131">
        <f t="shared" si="44"/>
        <v>0.61118682848089056</v>
      </c>
      <c r="AB67" s="141"/>
      <c r="AC67" s="134"/>
      <c r="AE67" s="129">
        <f>D67/F67</f>
        <v>0.88773496730631007</v>
      </c>
      <c r="AF67" s="129">
        <f>E67/F67</f>
        <v>0.11226503269368995</v>
      </c>
      <c r="AH67" s="129">
        <f t="shared" ref="AH67:AI69" si="73">(AE67-AE66)/LN(AE67/AE66)</f>
        <v>0.89360897806458217</v>
      </c>
      <c r="AI67" s="129">
        <f t="shared" si="73"/>
        <v>0.10626941186496072</v>
      </c>
      <c r="AJ67" s="129">
        <f>AH67+AI67</f>
        <v>0.99987838992954292</v>
      </c>
      <c r="AL67" s="129">
        <f>AH67/AJ67</f>
        <v>0.89371766313256451</v>
      </c>
      <c r="AM67" s="129">
        <f>AI67/AJ67</f>
        <v>0.10628233686743552</v>
      </c>
      <c r="AP67" s="129">
        <f t="shared" ref="AP67:AQ69" si="74">LN(P67/P66)</f>
        <v>-1.4359041398571023E-2</v>
      </c>
      <c r="AQ67" s="129">
        <f t="shared" si="74"/>
        <v>2.2204460492503128E-16</v>
      </c>
      <c r="AS67" s="129">
        <f>H67/J67</f>
        <v>0.96997596183388202</v>
      </c>
      <c r="AT67" s="129">
        <f>I67/J67</f>
        <v>3.002403816611806E-2</v>
      </c>
      <c r="AV67" s="129">
        <f t="shared" ref="AV67:AW69" si="75">LN(AS67/AS66)</f>
        <v>-3.1218376516102234E-3</v>
      </c>
      <c r="AW67" s="129">
        <f t="shared" si="75"/>
        <v>0.10648747811685119</v>
      </c>
      <c r="AZ67" s="129">
        <f>EXP(SUMPRODUCT($AL67:$AM67,AP67:AQ67))</f>
        <v>0.98724906200614848</v>
      </c>
      <c r="BA67" s="129">
        <f>IF(ISERR(AZ67),BA66,AZ67*BA66)</f>
        <v>0.35222831932867094</v>
      </c>
      <c r="BB67" s="129">
        <f t="shared" si="49"/>
        <v>0.60781482563949729</v>
      </c>
      <c r="BC67" s="129"/>
      <c r="BD67" s="129">
        <f>EXP(SUMPRODUCT($AL67:$AM67,AV67:AW67))</f>
        <v>1.0085641609538001</v>
      </c>
      <c r="BE67" s="129">
        <f>IF(ISERR(BD67),BE66,BD67*BE66)</f>
        <v>0.96967196865128014</v>
      </c>
      <c r="BF67" s="129">
        <f t="shared" si="50"/>
        <v>1.0055477469438912</v>
      </c>
    </row>
    <row r="68" spans="1:58" x14ac:dyDescent="0.2">
      <c r="A68" s="133" t="s">
        <v>664</v>
      </c>
      <c r="B68" s="133">
        <f t="shared" si="51"/>
        <v>2009</v>
      </c>
      <c r="D68" s="309">
        <f>'Passenger-based Energy Use'!N67</f>
        <v>1928.401016805461</v>
      </c>
      <c r="E68" s="309">
        <f>'Passenger-based Energy Use'!O67</f>
        <v>209.56832</v>
      </c>
      <c r="F68" s="309">
        <f>D68+E68</f>
        <v>2137.9693368054609</v>
      </c>
      <c r="H68" s="310">
        <f>'Passenger-based Activity'!N68</f>
        <v>779996.82799999998</v>
      </c>
      <c r="I68" s="310">
        <f>'Passenger-based Activity'!U68</f>
        <v>20182.00057224412</v>
      </c>
      <c r="J68" s="310">
        <f>H68+I68</f>
        <v>800178.82857224415</v>
      </c>
      <c r="L68" s="308">
        <f t="shared" si="72"/>
        <v>2472.3190500019073</v>
      </c>
      <c r="M68" s="308">
        <f t="shared" si="72"/>
        <v>10383.92201257862</v>
      </c>
      <c r="N68" s="308">
        <f t="shared" si="72"/>
        <v>2671.8644138838704</v>
      </c>
      <c r="P68" s="312">
        <f t="shared" si="22"/>
        <v>0.57588726344451624</v>
      </c>
      <c r="Q68" s="312">
        <f t="shared" si="23"/>
        <v>0.88764299721394668</v>
      </c>
      <c r="R68" s="312">
        <f t="shared" si="24"/>
        <v>0.58803393277540394</v>
      </c>
      <c r="T68" s="131">
        <f t="shared" si="25"/>
        <v>2.2020866398225629</v>
      </c>
      <c r="U68" s="131">
        <f>R68</f>
        <v>0.58803393277540394</v>
      </c>
      <c r="V68" s="131">
        <f>BF68</f>
        <v>0.99168679490780443</v>
      </c>
      <c r="W68" s="131">
        <f>BB68</f>
        <v>0.59296335878917528</v>
      </c>
      <c r="X68" s="131">
        <f>T68*V68*W68</f>
        <v>1.2949016671270357</v>
      </c>
      <c r="Y68" s="131">
        <f t="shared" si="30"/>
        <v>1.2949016671270359</v>
      </c>
      <c r="Z68" s="131"/>
      <c r="AA68" s="131">
        <f>V68*W68</f>
        <v>0.58803393277540372</v>
      </c>
      <c r="AB68" s="141"/>
      <c r="AC68" s="134"/>
      <c r="AE68" s="129">
        <f>D68/F68</f>
        <v>0.90197786451271778</v>
      </c>
      <c r="AF68" s="129">
        <f>E68/F68</f>
        <v>9.8022135487282308E-2</v>
      </c>
      <c r="AH68" s="129">
        <f t="shared" si="73"/>
        <v>0.89483752428032737</v>
      </c>
      <c r="AI68" s="129">
        <f t="shared" si="73"/>
        <v>0.10498260669671952</v>
      </c>
      <c r="AJ68" s="129">
        <f>AH68+AI68</f>
        <v>0.99982013097704692</v>
      </c>
      <c r="AL68" s="129">
        <f>AH68/AJ68</f>
        <v>0.89499850678728765</v>
      </c>
      <c r="AM68" s="129">
        <f>AI68/AJ68</f>
        <v>0.10500149321271231</v>
      </c>
      <c r="AP68" s="129">
        <f t="shared" si="74"/>
        <v>-2.7639895230156683E-2</v>
      </c>
      <c r="AQ68" s="129">
        <f t="shared" si="74"/>
        <v>0</v>
      </c>
      <c r="AS68" s="129">
        <f>H68/J68</f>
        <v>0.97477813727182105</v>
      </c>
      <c r="AT68" s="129">
        <f>I68/J68</f>
        <v>2.5221862728178876E-2</v>
      </c>
      <c r="AV68" s="129">
        <f t="shared" si="75"/>
        <v>4.9386040121872175E-3</v>
      </c>
      <c r="AW68" s="129">
        <f t="shared" si="75"/>
        <v>-0.17428714604308795</v>
      </c>
      <c r="AZ68" s="129">
        <f>EXP(SUMPRODUCT($AL68:$AM68,AP68:AQ68))</f>
        <v>0.97556580355752864</v>
      </c>
      <c r="BA68" s="129">
        <f>IF(ISERR(AZ68),BA67,AZ68*BA67)</f>
        <v>0.34362190338159265</v>
      </c>
      <c r="BB68" s="129">
        <f t="shared" si="49"/>
        <v>0.59296335878917528</v>
      </c>
      <c r="BC68" s="129"/>
      <c r="BD68" s="129">
        <f>EXP(SUMPRODUCT($AL68:$AM68,AV68:AW68))</f>
        <v>0.98621552076645425</v>
      </c>
      <c r="BE68" s="129">
        <f>IF(ISERR(BD68),BE67,BD68*BE67)</f>
        <v>0.95630554553605518</v>
      </c>
      <c r="BF68" s="129">
        <f t="shared" si="50"/>
        <v>0.99168679490780443</v>
      </c>
    </row>
    <row r="69" spans="1:58" x14ac:dyDescent="0.2">
      <c r="A69" s="133" t="s">
        <v>664</v>
      </c>
      <c r="B69" s="133">
        <f t="shared" si="51"/>
        <v>2010</v>
      </c>
      <c r="D69" s="309">
        <f>'Passenger-based Energy Use'!N68</f>
        <v>1916.3192653847175</v>
      </c>
      <c r="E69" s="309">
        <f>'Passenger-based Energy Use'!O68</f>
        <v>221.23056</v>
      </c>
      <c r="F69" s="309">
        <f>D69+E69</f>
        <v>2137.5498253847177</v>
      </c>
      <c r="G69" s="136"/>
      <c r="H69" s="310">
        <f>'Passenger-based Activity'!N69</f>
        <v>809051.35800000001</v>
      </c>
      <c r="I69" s="310">
        <f>'Passenger-based Activity'!U69</f>
        <v>21305.106079572943</v>
      </c>
      <c r="J69" s="310">
        <f>H69+I69</f>
        <v>830356.46407957294</v>
      </c>
      <c r="K69" s="136"/>
      <c r="L69" s="308">
        <f t="shared" si="72"/>
        <v>2368.6002704722209</v>
      </c>
      <c r="M69" s="308">
        <f t="shared" si="72"/>
        <v>10383.922012578618</v>
      </c>
      <c r="N69" s="308">
        <f t="shared" si="72"/>
        <v>2574.2556574833584</v>
      </c>
      <c r="P69" s="312">
        <f t="shared" si="22"/>
        <v>0.5517276291484855</v>
      </c>
      <c r="Q69" s="312">
        <f t="shared" si="23"/>
        <v>0.88764299721394657</v>
      </c>
      <c r="R69" s="312">
        <f t="shared" si="24"/>
        <v>0.5665518318868803</v>
      </c>
      <c r="T69" s="131">
        <f t="shared" si="25"/>
        <v>2.2851352854493121</v>
      </c>
      <c r="U69" s="131">
        <f>R69</f>
        <v>0.5665518318868803</v>
      </c>
      <c r="V69" s="131">
        <f>BF69</f>
        <v>0.9930006364439925</v>
      </c>
      <c r="W69" s="131">
        <f>BB69</f>
        <v>0.57054528576713048</v>
      </c>
      <c r="X69" s="131">
        <f>T69*V69*W69</f>
        <v>1.2946475820806567</v>
      </c>
      <c r="Y69" s="131">
        <f t="shared" si="30"/>
        <v>1.2946475820806569</v>
      </c>
      <c r="Z69" s="131"/>
      <c r="AA69" s="131">
        <f>V69*W69</f>
        <v>0.56655183188688019</v>
      </c>
      <c r="AB69" s="141"/>
      <c r="AC69" s="134"/>
      <c r="AE69" s="129">
        <f>D69/F69</f>
        <v>0.89650273534083214</v>
      </c>
      <c r="AF69" s="129">
        <f>E69/F69</f>
        <v>0.10349726465916778</v>
      </c>
      <c r="AH69" s="129">
        <f t="shared" si="73"/>
        <v>0.8992375219231743</v>
      </c>
      <c r="AI69" s="129">
        <f t="shared" si="73"/>
        <v>0.10073490267362716</v>
      </c>
      <c r="AJ69" s="129">
        <f>AH69+AI69</f>
        <v>0.99997242459680147</v>
      </c>
      <c r="AL69" s="129">
        <f>AH69/AJ69</f>
        <v>0.8992623194442142</v>
      </c>
      <c r="AM69" s="129">
        <f>AI69/AJ69</f>
        <v>0.10073768055578576</v>
      </c>
      <c r="AP69" s="129">
        <f t="shared" si="74"/>
        <v>-4.2857419305951369E-2</v>
      </c>
      <c r="AQ69" s="129">
        <f t="shared" si="74"/>
        <v>-1.1102230246251565E-16</v>
      </c>
      <c r="AS69" s="129">
        <f>H69/J69</f>
        <v>0.97434221686563371</v>
      </c>
      <c r="AT69" s="129">
        <f>I69/J69</f>
        <v>2.5657783134366348E-2</v>
      </c>
      <c r="AV69" s="129">
        <f t="shared" si="75"/>
        <v>-4.4729963701843628E-4</v>
      </c>
      <c r="AW69" s="129">
        <f t="shared" si="75"/>
        <v>1.7135774651239531E-2</v>
      </c>
      <c r="AZ69" s="129">
        <f>EXP(SUMPRODUCT($AL69:$AM69,AP69:AQ69))</f>
        <v>0.96219315630594393</v>
      </c>
      <c r="BA69" s="129">
        <f>IF(ISERR(AZ69),BA68,AZ69*BA68)</f>
        <v>0.33063064379059076</v>
      </c>
      <c r="BB69" s="129">
        <f t="shared" si="49"/>
        <v>0.57054528576713048</v>
      </c>
      <c r="BC69" s="129"/>
      <c r="BD69" s="129">
        <f>EXP(SUMPRODUCT($AL69:$AM69,AV69:AW69))</f>
        <v>1.0013248553302661</v>
      </c>
      <c r="BE69" s="129">
        <f>IF(ISERR(BD69),BE68,BD69*BE68)</f>
        <v>0.9575725120354216</v>
      </c>
      <c r="BF69" s="129">
        <f t="shared" si="50"/>
        <v>0.9930006364439925</v>
      </c>
    </row>
    <row r="70" spans="1:58" x14ac:dyDescent="0.2">
      <c r="A70" s="133" t="s">
        <v>664</v>
      </c>
      <c r="B70" s="133">
        <f t="shared" si="51"/>
        <v>2011</v>
      </c>
      <c r="D70" s="309">
        <f>'Passenger-based Energy Use'!N69</f>
        <v>1953.0450281966507</v>
      </c>
      <c r="E70" s="309">
        <f>'Passenger-based Energy Use'!O69</f>
        <v>227.14760000000001</v>
      </c>
      <c r="F70" s="309">
        <f>D70+E70</f>
        <v>2180.1926281966507</v>
      </c>
      <c r="G70" s="136"/>
      <c r="H70" s="310">
        <f>'Passenger-based Activity'!N70</f>
        <v>825916</v>
      </c>
      <c r="I70" s="310">
        <f>'Passenger-based Activity'!U70</f>
        <v>21874.933163485206</v>
      </c>
      <c r="J70" s="310">
        <f>H70+I70</f>
        <v>847790.93316348526</v>
      </c>
      <c r="K70" s="136"/>
      <c r="L70" s="597">
        <f t="shared" ref="L70" si="76">D70/H70*1000000</f>
        <v>2364.7017713625246</v>
      </c>
      <c r="M70" s="597">
        <f t="shared" ref="M70" si="77">E70/I70*1000000</f>
        <v>10383.922012578616</v>
      </c>
      <c r="N70" s="597">
        <f t="shared" ref="N70" si="78">F70/J70*1000000</f>
        <v>2571.615881832307</v>
      </c>
      <c r="P70" s="312">
        <f t="shared" si="22"/>
        <v>0.55081953600256972</v>
      </c>
      <c r="Q70" s="312">
        <f t="shared" si="23"/>
        <v>0.88764299721394646</v>
      </c>
      <c r="R70" s="312">
        <f t="shared" si="24"/>
        <v>0.56597086016927878</v>
      </c>
      <c r="T70" s="131">
        <f t="shared" si="25"/>
        <v>2.3331148246113091</v>
      </c>
      <c r="U70" s="131">
        <f>R70</f>
        <v>0.56597086016927878</v>
      </c>
      <c r="V70" s="131">
        <f>BF70</f>
        <v>0.99344781718340391</v>
      </c>
      <c r="W70" s="131">
        <f>BB70</f>
        <v>0.5697036627186961</v>
      </c>
      <c r="X70" s="131">
        <f>T70*V70*W70</f>
        <v>1.3204750041589588</v>
      </c>
      <c r="Y70" s="131">
        <f t="shared" si="30"/>
        <v>1.3204750041589586</v>
      </c>
      <c r="Z70" s="131"/>
      <c r="AA70" s="131">
        <f>V70*W70</f>
        <v>0.56597086016927878</v>
      </c>
      <c r="AB70" s="141"/>
      <c r="AC70" s="134"/>
      <c r="AE70" s="129">
        <f>D70/F70</f>
        <v>0.89581305933141997</v>
      </c>
      <c r="AF70" s="129">
        <f>E70/F70</f>
        <v>0.10418694066858003</v>
      </c>
      <c r="AH70" s="129">
        <f t="shared" ref="AH70" si="79">(AE70-AE69)/LN(AE70/AE69)</f>
        <v>0.89615785310533713</v>
      </c>
      <c r="AI70" s="129">
        <f t="shared" ref="AI70" si="80">(AF70-AF69)/LN(AF70/AF69)</f>
        <v>0.10384172095101084</v>
      </c>
      <c r="AJ70" s="129">
        <f>AH70+AI70</f>
        <v>0.99999957405634798</v>
      </c>
      <c r="AL70" s="129">
        <f>AH70/AJ70</f>
        <v>0.89615823481824841</v>
      </c>
      <c r="AM70" s="129">
        <f>AI70/AJ70</f>
        <v>0.10384176518175153</v>
      </c>
      <c r="AP70" s="129">
        <f t="shared" ref="AP70" si="81">LN(P70/P69)</f>
        <v>-1.6472644072916202E-3</v>
      </c>
      <c r="AQ70" s="129">
        <f t="shared" ref="AQ70" si="82">LN(Q70/Q69)</f>
        <v>-1.1102230246251565E-16</v>
      </c>
      <c r="AS70" s="129">
        <f>H70/J70</f>
        <v>0.97419772693031748</v>
      </c>
      <c r="AT70" s="129">
        <f>I70/J70</f>
        <v>2.5802273069682517E-2</v>
      </c>
      <c r="AV70" s="129">
        <f t="shared" ref="AV70" si="83">LN(AS70/AS69)</f>
        <v>-1.4830584924996028E-4</v>
      </c>
      <c r="AW70" s="129">
        <f t="shared" ref="AW70" si="84">LN(AT70/AT69)</f>
        <v>5.6156298957059239E-3</v>
      </c>
      <c r="AZ70" s="129">
        <f>EXP(SUMPRODUCT($AL70:$AM70,AP70:AQ70))</f>
        <v>0.99852487949786017</v>
      </c>
      <c r="BA70" s="129">
        <f>IF(ISERR(AZ70),BA69,AZ70*BA69)</f>
        <v>0.33014292374929954</v>
      </c>
      <c r="BB70" s="129">
        <f t="shared" si="49"/>
        <v>0.5697036627186961</v>
      </c>
      <c r="BC70" s="129"/>
      <c r="BD70" s="129">
        <f>EXP(SUMPRODUCT($AL70:$AM70,AV70:AW70))</f>
        <v>1.0004503327822758</v>
      </c>
      <c r="BE70" s="129">
        <f>IF(ISERR(BD70),BE69,BD70*BE69)</f>
        <v>0.95800373832899732</v>
      </c>
      <c r="BF70" s="129">
        <f t="shared" si="50"/>
        <v>0.99344781718340391</v>
      </c>
    </row>
    <row r="71" spans="1:58" hidden="1" x14ac:dyDescent="0.2">
      <c r="A71" s="133"/>
      <c r="B71" s="133"/>
      <c r="AC71" s="134"/>
      <c r="BA71" s="129"/>
    </row>
    <row r="72" spans="1:58" hidden="1" x14ac:dyDescent="0.2">
      <c r="A72" s="133" t="s">
        <v>684</v>
      </c>
      <c r="B72" s="133">
        <f>Base_year</f>
        <v>1985</v>
      </c>
      <c r="D72" s="129">
        <f>INDEX(D8:D69,Base_row,0)</f>
        <v>1507.1777428273399</v>
      </c>
      <c r="E72" s="129">
        <f>INDEX(E8:E69,Base_row,0)</f>
        <v>143.88919999999999</v>
      </c>
      <c r="F72" s="129">
        <f>INDEX(F8:F69,Base_row,0)</f>
        <v>1651.06694282734</v>
      </c>
      <c r="H72" s="138">
        <f>INDEX(H8:H69,Base_row,0)</f>
        <v>351073</v>
      </c>
      <c r="I72" s="138">
        <f>INDEX(I8:I69,Base_row,0)</f>
        <v>12300</v>
      </c>
      <c r="J72" s="138">
        <f>INDEX(J8:J69,Base_row,0)</f>
        <v>363373</v>
      </c>
      <c r="L72" s="129">
        <f>INDEX(L8:L69,Base_row,0)</f>
        <v>4293.0608244648256</v>
      </c>
      <c r="M72" s="129">
        <f>INDEX(M8:M69,Base_row,0)</f>
        <v>11698.308943089431</v>
      </c>
      <c r="N72" s="129">
        <f>INDEX(N8:N69,Base_row,0)</f>
        <v>4543.7248855235248</v>
      </c>
      <c r="AC72" s="134"/>
      <c r="BA72" s="129">
        <f>INDEX(BA8:BA69,Base_row,1)</f>
        <v>0.57949938775857046</v>
      </c>
      <c r="BB72" s="129"/>
      <c r="BC72" s="129"/>
      <c r="BE72">
        <f>INDEX(BE8:BE69,Base_row,1)</f>
        <v>0.96432215337198413</v>
      </c>
    </row>
    <row r="73" spans="1:58" hidden="1" x14ac:dyDescent="0.2">
      <c r="A73" s="133" t="s">
        <v>683</v>
      </c>
      <c r="B73" s="133">
        <f>Base_year2</f>
        <v>1996</v>
      </c>
      <c r="J73" s="138">
        <f>INDEX(J8:J69,Base_row2,0)</f>
        <v>608163.69700000004</v>
      </c>
      <c r="L73" s="129">
        <f>INDEX(L8:L69,Base_row2,0)</f>
        <v>3343.1054283835178</v>
      </c>
      <c r="M73" s="129">
        <f>INDEX(M8:M69,Base_row2,0)</f>
        <v>9734.8166666666675</v>
      </c>
      <c r="N73" s="129">
        <f>INDEX(N8:N69,Base_row2,0)</f>
        <v>3469.2236679919529</v>
      </c>
      <c r="AC73" s="134"/>
    </row>
    <row r="74" spans="1:58" x14ac:dyDescent="0.2">
      <c r="A74" s="133"/>
      <c r="B74" s="133"/>
      <c r="AC74" s="134"/>
    </row>
    <row r="75" spans="1:58" x14ac:dyDescent="0.2">
      <c r="A75" s="133"/>
      <c r="B75" s="133"/>
      <c r="AC75" s="134"/>
    </row>
    <row r="76" spans="1:58" x14ac:dyDescent="0.2">
      <c r="A76" s="133"/>
      <c r="B76" s="133"/>
      <c r="AC76" s="134"/>
    </row>
    <row r="77" spans="1:58" x14ac:dyDescent="0.2">
      <c r="A77" s="133"/>
      <c r="B77" s="133"/>
      <c r="AC77" s="134"/>
    </row>
    <row r="78" spans="1:58" x14ac:dyDescent="0.2">
      <c r="A78" s="133"/>
      <c r="B78" s="133"/>
      <c r="AC78" s="134"/>
    </row>
    <row r="79" spans="1:58" x14ac:dyDescent="0.2">
      <c r="A79" s="133"/>
      <c r="B79" s="133"/>
      <c r="AC79" s="134"/>
    </row>
    <row r="80" spans="1:58" x14ac:dyDescent="0.2">
      <c r="A80" s="133"/>
      <c r="B80" s="133"/>
      <c r="AC80" s="134"/>
    </row>
    <row r="81" spans="1:29" x14ac:dyDescent="0.2">
      <c r="A81" s="133"/>
      <c r="B81" s="133"/>
      <c r="AC81" s="134"/>
    </row>
    <row r="82" spans="1:29" x14ac:dyDescent="0.2">
      <c r="A82" s="133"/>
      <c r="B82" s="133"/>
      <c r="AC82" s="134"/>
    </row>
    <row r="83" spans="1:29" x14ac:dyDescent="0.2">
      <c r="A83" s="133"/>
      <c r="B83" s="133"/>
      <c r="AC83" s="134"/>
    </row>
    <row r="84" spans="1:29" x14ac:dyDescent="0.2">
      <c r="A84" s="133"/>
      <c r="B84" s="133"/>
      <c r="AC84" s="134"/>
    </row>
    <row r="85" spans="1:29" x14ac:dyDescent="0.2">
      <c r="A85" s="133"/>
      <c r="B85" s="133"/>
      <c r="AC85" s="134"/>
    </row>
    <row r="86" spans="1:29" x14ac:dyDescent="0.2">
      <c r="A86" s="133"/>
      <c r="B86" s="133"/>
      <c r="AC86" s="134"/>
    </row>
    <row r="87" spans="1:29" x14ac:dyDescent="0.2">
      <c r="A87" s="133"/>
      <c r="B87" s="133"/>
      <c r="AC87" s="134"/>
    </row>
    <row r="88" spans="1:29" x14ac:dyDescent="0.2">
      <c r="A88" s="133"/>
      <c r="B88" s="133"/>
      <c r="AC88" s="134"/>
    </row>
    <row r="89" spans="1:29" x14ac:dyDescent="0.2">
      <c r="A89" s="133"/>
      <c r="B89" s="133"/>
      <c r="AC89" s="134"/>
    </row>
    <row r="90" spans="1:29" x14ac:dyDescent="0.2">
      <c r="A90" s="133"/>
      <c r="B90" s="133"/>
      <c r="AC90" s="134"/>
    </row>
    <row r="91" spans="1:29" x14ac:dyDescent="0.2">
      <c r="A91" s="133"/>
      <c r="B91" s="133"/>
      <c r="AC91" s="134"/>
    </row>
    <row r="92" spans="1:29" x14ac:dyDescent="0.2">
      <c r="A92" s="133"/>
      <c r="B92" s="133"/>
      <c r="AC92" s="134"/>
    </row>
    <row r="93" spans="1:29" x14ac:dyDescent="0.2">
      <c r="A93" s="133"/>
      <c r="B93" s="133"/>
      <c r="AC93" s="134"/>
    </row>
    <row r="94" spans="1:29" x14ac:dyDescent="0.2">
      <c r="A94" s="133"/>
      <c r="B94" s="133"/>
      <c r="AC94" s="134"/>
    </row>
    <row r="95" spans="1:29" x14ac:dyDescent="0.2">
      <c r="A95" s="133"/>
      <c r="B95" s="133"/>
      <c r="AC95" s="134"/>
    </row>
    <row r="96" spans="1:29" x14ac:dyDescent="0.2">
      <c r="A96" s="133"/>
      <c r="B96" s="133"/>
      <c r="AC96" s="134"/>
    </row>
    <row r="97" spans="1:29" x14ac:dyDescent="0.2">
      <c r="A97" s="133"/>
      <c r="B97" s="133"/>
      <c r="AC97" s="134"/>
    </row>
    <row r="98" spans="1:29" x14ac:dyDescent="0.2">
      <c r="A98" s="133"/>
      <c r="B98" s="133"/>
      <c r="AC98" s="134"/>
    </row>
    <row r="99" spans="1:29" x14ac:dyDescent="0.2">
      <c r="A99" s="133"/>
      <c r="B99" s="133"/>
      <c r="AC99" s="134"/>
    </row>
    <row r="100" spans="1:29" x14ac:dyDescent="0.2">
      <c r="A100" s="133"/>
      <c r="B100" s="133"/>
      <c r="AC100" s="134"/>
    </row>
    <row r="101" spans="1:29" x14ac:dyDescent="0.2">
      <c r="A101" s="133"/>
      <c r="B101" s="133"/>
      <c r="AC101" s="134"/>
    </row>
    <row r="102" spans="1:29" x14ac:dyDescent="0.2">
      <c r="A102" s="133"/>
      <c r="B102" s="133"/>
      <c r="AC102" s="134"/>
    </row>
    <row r="103" spans="1:29" x14ac:dyDescent="0.2">
      <c r="A103" s="133"/>
      <c r="B103" s="133"/>
      <c r="AC103" s="134"/>
    </row>
    <row r="104" spans="1:29" x14ac:dyDescent="0.2">
      <c r="A104" s="133"/>
      <c r="B104" s="133"/>
      <c r="AC104" s="134"/>
    </row>
    <row r="105" spans="1:29" x14ac:dyDescent="0.2">
      <c r="A105" s="133"/>
      <c r="B105" s="133"/>
      <c r="AC105" s="134"/>
    </row>
    <row r="106" spans="1:29" x14ac:dyDescent="0.2">
      <c r="A106" s="133"/>
      <c r="B106" s="133"/>
      <c r="AC106" s="134"/>
    </row>
    <row r="107" spans="1:29" x14ac:dyDescent="0.2">
      <c r="A107" s="133"/>
      <c r="B107" s="133"/>
      <c r="AC107" s="134"/>
    </row>
    <row r="108" spans="1:29" x14ac:dyDescent="0.2">
      <c r="A108" s="133"/>
      <c r="B108" s="133"/>
      <c r="AC108" s="134"/>
    </row>
    <row r="109" spans="1:29" x14ac:dyDescent="0.2">
      <c r="A109" s="133"/>
      <c r="B109" s="133"/>
      <c r="AC109" s="134"/>
    </row>
    <row r="110" spans="1:29" x14ac:dyDescent="0.2">
      <c r="A110" s="133"/>
      <c r="B110" s="133"/>
      <c r="AC110" s="134"/>
    </row>
    <row r="111" spans="1:29" x14ac:dyDescent="0.2">
      <c r="A111" s="133"/>
      <c r="B111" s="133"/>
      <c r="AC111" s="134"/>
    </row>
    <row r="112" spans="1:29" x14ac:dyDescent="0.2">
      <c r="A112" s="133"/>
      <c r="B112" s="133"/>
      <c r="AC112" s="134"/>
    </row>
    <row r="113" spans="1:29" x14ac:dyDescent="0.2">
      <c r="A113" s="133"/>
      <c r="B113" s="133"/>
      <c r="AC113" s="134"/>
    </row>
    <row r="114" spans="1:29" x14ac:dyDescent="0.2">
      <c r="A114" s="133"/>
      <c r="B114" s="133"/>
      <c r="AC114" s="134"/>
    </row>
    <row r="115" spans="1:29" x14ac:dyDescent="0.2">
      <c r="A115" s="133"/>
      <c r="B115" s="133"/>
      <c r="AC115" s="134"/>
    </row>
    <row r="116" spans="1:29" x14ac:dyDescent="0.2">
      <c r="A116" s="133"/>
      <c r="B116" s="133"/>
      <c r="AC116" s="134"/>
    </row>
    <row r="117" spans="1:29" x14ac:dyDescent="0.2">
      <c r="A117" s="133"/>
      <c r="B117" s="133"/>
      <c r="AC117" s="134"/>
    </row>
    <row r="118" spans="1:29" x14ac:dyDescent="0.2">
      <c r="A118" s="133"/>
      <c r="B118" s="133"/>
      <c r="AC118" s="134"/>
    </row>
    <row r="119" spans="1:29" x14ac:dyDescent="0.2">
      <c r="A119" s="133"/>
      <c r="B119" s="133"/>
      <c r="AC119" s="134"/>
    </row>
    <row r="120" spans="1:29" x14ac:dyDescent="0.2">
      <c r="A120" s="133"/>
      <c r="B120" s="133"/>
      <c r="AC120" s="134"/>
    </row>
    <row r="121" spans="1:29" x14ac:dyDescent="0.2">
      <c r="A121" s="133"/>
      <c r="B121" s="133"/>
      <c r="AC121" s="134"/>
    </row>
    <row r="122" spans="1:29" x14ac:dyDescent="0.2">
      <c r="A122" s="133"/>
      <c r="B122" s="133"/>
      <c r="AC122" s="134"/>
    </row>
    <row r="123" spans="1:29" x14ac:dyDescent="0.2">
      <c r="A123" s="133"/>
      <c r="B123" s="133"/>
      <c r="AC123" s="134"/>
    </row>
    <row r="124" spans="1:29" x14ac:dyDescent="0.2">
      <c r="A124" s="133"/>
      <c r="B124" s="133"/>
      <c r="AC124" s="134"/>
    </row>
    <row r="125" spans="1:29" x14ac:dyDescent="0.2">
      <c r="A125" s="133"/>
      <c r="B125" s="133"/>
      <c r="AC125" s="134"/>
    </row>
    <row r="126" spans="1:29" x14ac:dyDescent="0.2">
      <c r="A126" s="133"/>
      <c r="B126" s="133"/>
      <c r="AC126" s="134"/>
    </row>
    <row r="127" spans="1:29" x14ac:dyDescent="0.2">
      <c r="A127" s="133"/>
      <c r="B127" s="133"/>
      <c r="AC127" s="134"/>
    </row>
    <row r="128" spans="1:29" x14ac:dyDescent="0.2">
      <c r="A128" s="133"/>
      <c r="B128" s="133"/>
      <c r="AC128" s="134"/>
    </row>
    <row r="129" spans="1:29" x14ac:dyDescent="0.2">
      <c r="A129" s="133"/>
      <c r="B129" s="133"/>
      <c r="AC129" s="134"/>
    </row>
    <row r="130" spans="1:29" x14ac:dyDescent="0.2">
      <c r="A130" s="133"/>
      <c r="B130" s="133"/>
      <c r="AC130" s="134"/>
    </row>
    <row r="131" spans="1:29" x14ac:dyDescent="0.2">
      <c r="A131" s="133"/>
      <c r="B131" s="133"/>
      <c r="AC131" s="134"/>
    </row>
    <row r="132" spans="1:29" x14ac:dyDescent="0.2">
      <c r="A132" s="133"/>
      <c r="B132" s="133"/>
      <c r="AC132" s="134"/>
    </row>
    <row r="133" spans="1:29" x14ac:dyDescent="0.2">
      <c r="A133" s="133"/>
      <c r="B133" s="133"/>
      <c r="AC133" s="134"/>
    </row>
    <row r="134" spans="1:29" x14ac:dyDescent="0.2">
      <c r="A134" s="133"/>
      <c r="B134" s="133"/>
      <c r="AC134" s="134"/>
    </row>
    <row r="135" spans="1:29" x14ac:dyDescent="0.2">
      <c r="A135" s="133"/>
      <c r="B135" s="133"/>
      <c r="AC135" s="134"/>
    </row>
    <row r="136" spans="1:29" x14ac:dyDescent="0.2">
      <c r="A136" s="133"/>
      <c r="B136" s="133"/>
      <c r="AC136" s="134"/>
    </row>
    <row r="137" spans="1:29" x14ac:dyDescent="0.2">
      <c r="A137" s="133"/>
      <c r="B137" s="133"/>
      <c r="AC137" s="134"/>
    </row>
    <row r="138" spans="1:29" x14ac:dyDescent="0.2">
      <c r="A138" s="133"/>
      <c r="B138" s="133"/>
      <c r="AC138" s="134"/>
    </row>
    <row r="139" spans="1:29" x14ac:dyDescent="0.2">
      <c r="A139" s="133"/>
      <c r="B139" s="133"/>
      <c r="AC139" s="134"/>
    </row>
    <row r="140" spans="1:29" x14ac:dyDescent="0.2">
      <c r="A140" s="133"/>
      <c r="B140" s="133"/>
      <c r="AC140" s="134"/>
    </row>
    <row r="141" spans="1:29" x14ac:dyDescent="0.2">
      <c r="A141" s="133"/>
      <c r="B141" s="133"/>
      <c r="AC141" s="134"/>
    </row>
    <row r="142" spans="1:29" x14ac:dyDescent="0.2">
      <c r="A142" s="133"/>
      <c r="B142" s="133"/>
      <c r="AC142" s="134"/>
    </row>
    <row r="143" spans="1:29" x14ac:dyDescent="0.2">
      <c r="A143" s="133"/>
      <c r="B143" s="133"/>
      <c r="AC143" s="134"/>
    </row>
    <row r="144" spans="1:29" x14ac:dyDescent="0.2">
      <c r="A144" s="133"/>
      <c r="B144" s="133"/>
      <c r="AC144" s="134"/>
    </row>
    <row r="145" spans="1:29" x14ac:dyDescent="0.2">
      <c r="A145" s="133"/>
      <c r="B145" s="133"/>
      <c r="AC145" s="134"/>
    </row>
    <row r="146" spans="1:29" x14ac:dyDescent="0.2">
      <c r="A146" s="133"/>
      <c r="B146" s="133"/>
      <c r="AC146" s="134"/>
    </row>
    <row r="147" spans="1:29" x14ac:dyDescent="0.2">
      <c r="A147" s="133"/>
      <c r="B147" s="133"/>
      <c r="AC147" s="134"/>
    </row>
    <row r="148" spans="1:29" x14ac:dyDescent="0.2">
      <c r="A148" s="133"/>
      <c r="B148" s="133"/>
      <c r="AC148" s="134"/>
    </row>
    <row r="149" spans="1:29" x14ac:dyDescent="0.2">
      <c r="A149" s="133"/>
      <c r="B149" s="133"/>
      <c r="AC149" s="134"/>
    </row>
    <row r="150" spans="1:29" x14ac:dyDescent="0.2">
      <c r="A150" s="133"/>
      <c r="B150" s="133"/>
      <c r="AC150" s="134"/>
    </row>
    <row r="151" spans="1:29" x14ac:dyDescent="0.2">
      <c r="A151" s="133"/>
      <c r="B151" s="133"/>
      <c r="AC151" s="134"/>
    </row>
    <row r="152" spans="1:29" x14ac:dyDescent="0.2">
      <c r="A152" s="133"/>
      <c r="B152" s="133"/>
      <c r="AC152" s="134"/>
    </row>
    <row r="153" spans="1:29" x14ac:dyDescent="0.2">
      <c r="A153" s="133"/>
      <c r="B153" s="133"/>
      <c r="AC153" s="134"/>
    </row>
    <row r="154" spans="1:29" x14ac:dyDescent="0.2">
      <c r="A154" s="133"/>
      <c r="B154" s="133"/>
      <c r="AC154" s="134"/>
    </row>
    <row r="155" spans="1:29" x14ac:dyDescent="0.2">
      <c r="A155" s="133"/>
      <c r="B155" s="133"/>
      <c r="AC155" s="134"/>
    </row>
    <row r="156" spans="1:29" x14ac:dyDescent="0.2">
      <c r="A156" s="133"/>
      <c r="B156" s="133"/>
      <c r="AC156" s="134"/>
    </row>
    <row r="157" spans="1:29" x14ac:dyDescent="0.2">
      <c r="A157" s="133"/>
      <c r="B157" s="133"/>
      <c r="AC157" s="134"/>
    </row>
    <row r="158" spans="1:29" x14ac:dyDescent="0.2">
      <c r="A158" s="133"/>
      <c r="B158" s="133"/>
      <c r="AC158" s="134"/>
    </row>
    <row r="159" spans="1:29" x14ac:dyDescent="0.2">
      <c r="A159" s="133"/>
      <c r="B159" s="133"/>
      <c r="AC159" s="134"/>
    </row>
    <row r="160" spans="1:29" x14ac:dyDescent="0.2">
      <c r="A160" s="133"/>
      <c r="B160" s="133"/>
      <c r="AC160" s="134"/>
    </row>
    <row r="161" spans="1:29" x14ac:dyDescent="0.2">
      <c r="A161" s="133"/>
      <c r="B161" s="133"/>
      <c r="AC161" s="134"/>
    </row>
    <row r="162" spans="1:29" x14ac:dyDescent="0.2">
      <c r="A162" s="133"/>
      <c r="B162" s="133"/>
      <c r="AC162" s="134"/>
    </row>
    <row r="163" spans="1:29" x14ac:dyDescent="0.2">
      <c r="A163" s="133"/>
      <c r="B163" s="133"/>
      <c r="AC163" s="134"/>
    </row>
    <row r="164" spans="1:29" x14ac:dyDescent="0.2">
      <c r="A164" s="133"/>
      <c r="B164" s="133"/>
      <c r="AC164" s="134"/>
    </row>
    <row r="165" spans="1:29" x14ac:dyDescent="0.2">
      <c r="A165" s="133"/>
      <c r="B165" s="133"/>
      <c r="AC165" s="134"/>
    </row>
    <row r="166" spans="1:29" x14ac:dyDescent="0.2">
      <c r="A166" s="133"/>
      <c r="B166" s="133"/>
      <c r="AC166" s="134"/>
    </row>
    <row r="167" spans="1:29" x14ac:dyDescent="0.2">
      <c r="A167" s="133"/>
      <c r="B167" s="133"/>
      <c r="AC167" s="134"/>
    </row>
    <row r="168" spans="1:29" x14ac:dyDescent="0.2">
      <c r="A168" s="133"/>
      <c r="B168" s="133"/>
      <c r="AC168" s="134"/>
    </row>
    <row r="169" spans="1:29" x14ac:dyDescent="0.2">
      <c r="A169" s="133"/>
      <c r="B169" s="133"/>
      <c r="AC169" s="134"/>
    </row>
    <row r="170" spans="1:29" x14ac:dyDescent="0.2">
      <c r="A170" s="133"/>
      <c r="B170" s="133"/>
      <c r="AC170" s="134"/>
    </row>
    <row r="171" spans="1:29" x14ac:dyDescent="0.2">
      <c r="A171" s="133"/>
      <c r="B171" s="133"/>
      <c r="AC171" s="134"/>
    </row>
    <row r="172" spans="1:29" x14ac:dyDescent="0.2">
      <c r="A172" s="133"/>
      <c r="B172" s="133"/>
      <c r="AC172" s="134"/>
    </row>
    <row r="173" spans="1:29" x14ac:dyDescent="0.2">
      <c r="A173" s="133"/>
      <c r="B173" s="133"/>
      <c r="AC173" s="134"/>
    </row>
    <row r="174" spans="1:29" x14ac:dyDescent="0.2">
      <c r="A174" s="133"/>
      <c r="B174" s="133"/>
      <c r="AC174" s="134"/>
    </row>
    <row r="175" spans="1:29" x14ac:dyDescent="0.2">
      <c r="A175" s="133"/>
      <c r="B175" s="133"/>
      <c r="AC175" s="134"/>
    </row>
    <row r="176" spans="1:29" x14ac:dyDescent="0.2">
      <c r="A176" s="133"/>
      <c r="B176" s="133"/>
      <c r="AC176" s="134"/>
    </row>
    <row r="177" spans="1:29" x14ac:dyDescent="0.2">
      <c r="A177" s="133"/>
      <c r="B177" s="133"/>
      <c r="AC177" s="134"/>
    </row>
    <row r="178" spans="1:29" x14ac:dyDescent="0.2">
      <c r="A178" s="133"/>
      <c r="B178" s="133"/>
      <c r="AC178" s="134"/>
    </row>
    <row r="179" spans="1:29" x14ac:dyDescent="0.2">
      <c r="A179" s="133"/>
      <c r="B179" s="133"/>
      <c r="AC179" s="134"/>
    </row>
    <row r="180" spans="1:29" x14ac:dyDescent="0.2">
      <c r="A180" s="133"/>
      <c r="B180" s="133"/>
      <c r="AC180" s="134"/>
    </row>
    <row r="181" spans="1:29" x14ac:dyDescent="0.2">
      <c r="A181" s="133"/>
      <c r="B181" s="133"/>
      <c r="AC181" s="134"/>
    </row>
    <row r="182" spans="1:29" x14ac:dyDescent="0.2">
      <c r="A182" s="133"/>
      <c r="B182" s="133"/>
      <c r="AC182" s="134"/>
    </row>
    <row r="183" spans="1:29" x14ac:dyDescent="0.2">
      <c r="A183" s="133"/>
      <c r="B183" s="133"/>
      <c r="AC183" s="134"/>
    </row>
    <row r="184" spans="1:29" x14ac:dyDescent="0.2">
      <c r="A184" s="133"/>
      <c r="B184" s="133"/>
      <c r="AC184" s="134"/>
    </row>
    <row r="185" spans="1:29" x14ac:dyDescent="0.2">
      <c r="A185" s="133"/>
      <c r="B185" s="133"/>
      <c r="AC185" s="134"/>
    </row>
    <row r="186" spans="1:29" x14ac:dyDescent="0.2">
      <c r="A186" s="133"/>
      <c r="B186" s="133"/>
      <c r="AC186" s="134"/>
    </row>
    <row r="187" spans="1:29" x14ac:dyDescent="0.2">
      <c r="A187" s="133"/>
      <c r="B187" s="133"/>
      <c r="AC187" s="134"/>
    </row>
    <row r="188" spans="1:29" x14ac:dyDescent="0.2">
      <c r="A188" s="133"/>
      <c r="B188" s="133"/>
      <c r="AC188" s="134"/>
    </row>
    <row r="189" spans="1:29" x14ac:dyDescent="0.2">
      <c r="A189" s="133"/>
      <c r="B189" s="133"/>
      <c r="AC189" s="134"/>
    </row>
    <row r="190" spans="1:29" x14ac:dyDescent="0.2">
      <c r="A190" s="133"/>
      <c r="B190" s="133"/>
      <c r="AC190" s="134"/>
    </row>
    <row r="191" spans="1:29" x14ac:dyDescent="0.2">
      <c r="A191" s="133"/>
      <c r="B191" s="133"/>
      <c r="AC191" s="134"/>
    </row>
    <row r="192" spans="1:29" x14ac:dyDescent="0.2">
      <c r="A192" s="133"/>
      <c r="B192" s="133"/>
      <c r="AC192" s="134"/>
    </row>
    <row r="193" spans="1:29" x14ac:dyDescent="0.2">
      <c r="A193" s="133"/>
      <c r="B193" s="133"/>
      <c r="AC193" s="134"/>
    </row>
    <row r="194" spans="1:29" x14ac:dyDescent="0.2">
      <c r="A194" s="133"/>
      <c r="B194" s="133"/>
      <c r="AC194" s="134"/>
    </row>
    <row r="195" spans="1:29" x14ac:dyDescent="0.2">
      <c r="A195" s="133"/>
      <c r="B195" s="133"/>
      <c r="AC195" s="134"/>
    </row>
    <row r="196" spans="1:29" x14ac:dyDescent="0.2">
      <c r="A196" s="133"/>
      <c r="B196" s="133"/>
      <c r="AC196" s="134"/>
    </row>
    <row r="197" spans="1:29" x14ac:dyDescent="0.2">
      <c r="A197" s="133"/>
      <c r="B197" s="133"/>
      <c r="AC197" s="134"/>
    </row>
    <row r="198" spans="1:29" x14ac:dyDescent="0.2">
      <c r="A198" s="133"/>
      <c r="B198" s="133"/>
      <c r="AC198" s="134"/>
    </row>
    <row r="199" spans="1:29" x14ac:dyDescent="0.2">
      <c r="A199" s="133"/>
      <c r="B199" s="133"/>
      <c r="AC199" s="134"/>
    </row>
    <row r="200" spans="1:29" x14ac:dyDescent="0.2">
      <c r="A200" s="133"/>
      <c r="B200" s="133"/>
      <c r="AC200" s="134"/>
    </row>
    <row r="201" spans="1:29" x14ac:dyDescent="0.2">
      <c r="A201" s="133"/>
      <c r="B201" s="133"/>
      <c r="AC201" s="134"/>
    </row>
    <row r="202" spans="1:29" x14ac:dyDescent="0.2">
      <c r="A202" s="133"/>
      <c r="B202" s="133"/>
      <c r="AC202" s="134"/>
    </row>
    <row r="203" spans="1:29" x14ac:dyDescent="0.2">
      <c r="A203" s="133"/>
      <c r="B203" s="133"/>
      <c r="AC203" s="134"/>
    </row>
    <row r="204" spans="1:29" x14ac:dyDescent="0.2">
      <c r="A204" s="133"/>
      <c r="B204" s="133"/>
      <c r="AC204" s="134"/>
    </row>
    <row r="205" spans="1:29" x14ac:dyDescent="0.2">
      <c r="A205" s="133"/>
      <c r="B205" s="133"/>
      <c r="AC205" s="134"/>
    </row>
    <row r="206" spans="1:29" x14ac:dyDescent="0.2">
      <c r="A206" s="133"/>
      <c r="B206" s="133"/>
      <c r="AC206" s="134"/>
    </row>
    <row r="207" spans="1:29" x14ac:dyDescent="0.2">
      <c r="A207" s="133"/>
      <c r="B207" s="133"/>
      <c r="AC207" s="134"/>
    </row>
    <row r="208" spans="1:29" x14ac:dyDescent="0.2">
      <c r="A208" s="133"/>
      <c r="B208" s="133"/>
      <c r="AC208" s="134"/>
    </row>
    <row r="209" spans="1:29" x14ac:dyDescent="0.2">
      <c r="A209" s="133"/>
      <c r="B209" s="133"/>
      <c r="AC209" s="134"/>
    </row>
    <row r="210" spans="1:29" x14ac:dyDescent="0.2">
      <c r="A210" s="133"/>
      <c r="B210" s="133"/>
      <c r="AC210" s="134"/>
    </row>
    <row r="211" spans="1:29" x14ac:dyDescent="0.2">
      <c r="A211" s="133"/>
      <c r="B211" s="133"/>
      <c r="AC211" s="134"/>
    </row>
    <row r="212" spans="1:29" x14ac:dyDescent="0.2">
      <c r="A212" s="133"/>
      <c r="B212" s="133"/>
      <c r="AC212" s="134"/>
    </row>
    <row r="213" spans="1:29" x14ac:dyDescent="0.2">
      <c r="A213" s="133"/>
      <c r="B213" s="133"/>
      <c r="AC213" s="134"/>
    </row>
    <row r="214" spans="1:29" x14ac:dyDescent="0.2">
      <c r="A214" s="133"/>
      <c r="B214" s="133"/>
      <c r="AC214" s="134"/>
    </row>
    <row r="215" spans="1:29" x14ac:dyDescent="0.2">
      <c r="A215" s="133"/>
      <c r="B215" s="133"/>
      <c r="AC215" s="134"/>
    </row>
    <row r="216" spans="1:29" x14ac:dyDescent="0.2">
      <c r="A216" s="133"/>
      <c r="B216" s="133"/>
      <c r="AC216" s="134"/>
    </row>
    <row r="217" spans="1:29" x14ac:dyDescent="0.2">
      <c r="A217" s="133"/>
      <c r="B217" s="133"/>
      <c r="AC217" s="134"/>
    </row>
    <row r="218" spans="1:29" x14ac:dyDescent="0.2">
      <c r="A218" s="133"/>
      <c r="B218" s="133"/>
      <c r="AC218" s="134"/>
    </row>
    <row r="219" spans="1:29" x14ac:dyDescent="0.2">
      <c r="A219" s="133"/>
      <c r="B219" s="133"/>
      <c r="AC219" s="134"/>
    </row>
    <row r="220" spans="1:29" x14ac:dyDescent="0.2">
      <c r="A220" s="133"/>
      <c r="B220" s="133"/>
      <c r="AC220" s="134"/>
    </row>
    <row r="221" spans="1:29" x14ac:dyDescent="0.2">
      <c r="A221" s="133"/>
      <c r="B221" s="133"/>
      <c r="AC221" s="134"/>
    </row>
    <row r="222" spans="1:29" x14ac:dyDescent="0.2">
      <c r="A222" s="133"/>
      <c r="B222" s="133"/>
      <c r="AC222" s="134"/>
    </row>
    <row r="223" spans="1:29" x14ac:dyDescent="0.2">
      <c r="A223" s="133"/>
      <c r="B223" s="133"/>
      <c r="AC223" s="134"/>
    </row>
    <row r="224" spans="1:29" x14ac:dyDescent="0.2">
      <c r="A224" s="133"/>
      <c r="B224" s="133"/>
      <c r="AC224" s="134"/>
    </row>
    <row r="225" spans="1:29" x14ac:dyDescent="0.2">
      <c r="A225" s="133"/>
      <c r="B225" s="133"/>
      <c r="AC225" s="134"/>
    </row>
    <row r="226" spans="1:29" x14ac:dyDescent="0.2">
      <c r="A226" s="133"/>
      <c r="B226" s="133"/>
      <c r="AC226" s="134"/>
    </row>
    <row r="227" spans="1:29" x14ac:dyDescent="0.2">
      <c r="A227" s="133"/>
      <c r="B227" s="133"/>
      <c r="AC227" s="134"/>
    </row>
    <row r="228" spans="1:29" x14ac:dyDescent="0.2">
      <c r="A228" s="133"/>
      <c r="B228" s="133"/>
      <c r="AC228" s="134"/>
    </row>
    <row r="229" spans="1:29" x14ac:dyDescent="0.2">
      <c r="A229" s="133"/>
      <c r="B229" s="133"/>
      <c r="AC229" s="134"/>
    </row>
    <row r="230" spans="1:29" x14ac:dyDescent="0.2">
      <c r="A230" s="133"/>
      <c r="B230" s="133"/>
      <c r="AC230" s="134"/>
    </row>
    <row r="231" spans="1:29" x14ac:dyDescent="0.2">
      <c r="A231" s="133"/>
      <c r="B231" s="133"/>
      <c r="AC231" s="134"/>
    </row>
    <row r="232" spans="1:29" x14ac:dyDescent="0.2">
      <c r="A232" s="133"/>
      <c r="B232" s="133"/>
      <c r="AC232" s="134"/>
    </row>
    <row r="233" spans="1:29" x14ac:dyDescent="0.2">
      <c r="A233" s="133"/>
      <c r="B233" s="133"/>
      <c r="AC233" s="134"/>
    </row>
    <row r="234" spans="1:29" x14ac:dyDescent="0.2">
      <c r="A234" s="133"/>
      <c r="B234" s="133"/>
      <c r="AC234" s="134"/>
    </row>
    <row r="235" spans="1:29" x14ac:dyDescent="0.2">
      <c r="A235" s="133"/>
      <c r="B235" s="133"/>
      <c r="AC235" s="134"/>
    </row>
    <row r="236" spans="1:29" x14ac:dyDescent="0.2">
      <c r="A236" s="133"/>
      <c r="B236" s="133"/>
      <c r="AC236" s="134"/>
    </row>
    <row r="237" spans="1:29" x14ac:dyDescent="0.2">
      <c r="A237" s="133"/>
      <c r="B237" s="133"/>
      <c r="AC237" s="134"/>
    </row>
    <row r="238" spans="1:29" x14ac:dyDescent="0.2">
      <c r="A238" s="133"/>
      <c r="B238" s="133"/>
      <c r="AC238" s="134"/>
    </row>
    <row r="239" spans="1:29" x14ac:dyDescent="0.2">
      <c r="A239" s="133"/>
      <c r="B239" s="133"/>
      <c r="AC239" s="134"/>
    </row>
    <row r="240" spans="1:29" x14ac:dyDescent="0.2">
      <c r="A240" s="133"/>
      <c r="B240" s="133"/>
      <c r="AC240" s="134"/>
    </row>
    <row r="241" spans="1:29" x14ac:dyDescent="0.2">
      <c r="A241" s="133"/>
      <c r="B241" s="133"/>
      <c r="AC241" s="134"/>
    </row>
    <row r="242" spans="1:29" x14ac:dyDescent="0.2">
      <c r="A242" s="133"/>
      <c r="B242" s="133"/>
      <c r="AC242" s="134"/>
    </row>
    <row r="243" spans="1:29" x14ac:dyDescent="0.2">
      <c r="A243" s="133"/>
      <c r="B243" s="133"/>
      <c r="AC243" s="134"/>
    </row>
    <row r="244" spans="1:29" x14ac:dyDescent="0.2">
      <c r="A244" s="133"/>
      <c r="B244" s="133"/>
      <c r="AC244" s="134"/>
    </row>
    <row r="245" spans="1:29" x14ac:dyDescent="0.2">
      <c r="A245" s="133"/>
      <c r="B245" s="133"/>
      <c r="AC245" s="134"/>
    </row>
    <row r="246" spans="1:29" x14ac:dyDescent="0.2">
      <c r="A246" s="133"/>
      <c r="B246" s="133"/>
      <c r="AC246" s="134"/>
    </row>
    <row r="247" spans="1:29" x14ac:dyDescent="0.2">
      <c r="A247" s="133"/>
      <c r="B247" s="133"/>
      <c r="AC247" s="134"/>
    </row>
    <row r="248" spans="1:29" x14ac:dyDescent="0.2">
      <c r="A248" s="133"/>
      <c r="B248" s="133"/>
      <c r="AC248" s="134"/>
    </row>
    <row r="249" spans="1:29" x14ac:dyDescent="0.2">
      <c r="A249" s="133"/>
      <c r="B249" s="133"/>
      <c r="AC249" s="134"/>
    </row>
    <row r="250" spans="1:29" x14ac:dyDescent="0.2">
      <c r="A250" s="133"/>
      <c r="B250" s="133"/>
      <c r="AC250" s="134"/>
    </row>
    <row r="251" spans="1:29" x14ac:dyDescent="0.2">
      <c r="A251" s="133"/>
      <c r="B251" s="133"/>
      <c r="AC251" s="134"/>
    </row>
    <row r="252" spans="1:29" x14ac:dyDescent="0.2">
      <c r="A252" s="133"/>
      <c r="B252" s="133"/>
      <c r="AC252" s="134"/>
    </row>
    <row r="253" spans="1:29" x14ac:dyDescent="0.2">
      <c r="A253" s="133"/>
      <c r="B253" s="133"/>
      <c r="AC253" s="134"/>
    </row>
    <row r="254" spans="1:29" x14ac:dyDescent="0.2">
      <c r="A254" s="133"/>
      <c r="B254" s="133"/>
      <c r="AC254" s="134"/>
    </row>
    <row r="255" spans="1:29" x14ac:dyDescent="0.2">
      <c r="A255" s="133"/>
      <c r="B255" s="133"/>
      <c r="AC255" s="134"/>
    </row>
    <row r="256" spans="1:29" x14ac:dyDescent="0.2">
      <c r="AC256" s="134"/>
    </row>
    <row r="257" spans="29:29" x14ac:dyDescent="0.2">
      <c r="AC257" s="134"/>
    </row>
    <row r="258" spans="29:29" x14ac:dyDescent="0.2">
      <c r="AC258" s="134"/>
    </row>
    <row r="259" spans="29:29" x14ac:dyDescent="0.2">
      <c r="AC259" s="134"/>
    </row>
    <row r="260" spans="29:29" x14ac:dyDescent="0.2">
      <c r="AC260" s="134"/>
    </row>
    <row r="261" spans="29:29" x14ac:dyDescent="0.2">
      <c r="AC261" s="134"/>
    </row>
    <row r="262" spans="29:29" x14ac:dyDescent="0.2">
      <c r="AC262" s="134"/>
    </row>
    <row r="263" spans="29:29" x14ac:dyDescent="0.2">
      <c r="AC263" s="134"/>
    </row>
    <row r="264" spans="29:29" x14ac:dyDescent="0.2">
      <c r="AC264" s="134"/>
    </row>
    <row r="265" spans="29:29" x14ac:dyDescent="0.2">
      <c r="AC265" s="134"/>
    </row>
    <row r="266" spans="29:29" x14ac:dyDescent="0.2">
      <c r="AC266" s="134"/>
    </row>
    <row r="267" spans="29:29" x14ac:dyDescent="0.2">
      <c r="AC267" s="134"/>
    </row>
    <row r="268" spans="29:29" x14ac:dyDescent="0.2">
      <c r="AC268" s="134"/>
    </row>
    <row r="269" spans="29:29" x14ac:dyDescent="0.2">
      <c r="AC269" s="134"/>
    </row>
    <row r="270" spans="29:29" x14ac:dyDescent="0.2">
      <c r="AC270" s="134"/>
    </row>
    <row r="271" spans="29:29" x14ac:dyDescent="0.2">
      <c r="AC271" s="134"/>
    </row>
    <row r="272" spans="29:29" x14ac:dyDescent="0.2">
      <c r="AC272" s="134"/>
    </row>
    <row r="273" spans="29:29" x14ac:dyDescent="0.2">
      <c r="AC273" s="134"/>
    </row>
    <row r="274" spans="29:29" x14ac:dyDescent="0.2">
      <c r="AC274" s="134"/>
    </row>
    <row r="275" spans="29:29" x14ac:dyDescent="0.2">
      <c r="AC275" s="134"/>
    </row>
    <row r="276" spans="29:29" x14ac:dyDescent="0.2">
      <c r="AC276" s="134"/>
    </row>
    <row r="277" spans="29:29" x14ac:dyDescent="0.2">
      <c r="AC277" s="134"/>
    </row>
    <row r="278" spans="29:29" x14ac:dyDescent="0.2">
      <c r="AC278" s="134"/>
    </row>
    <row r="279" spans="29:29" x14ac:dyDescent="0.2">
      <c r="AC279" s="134"/>
    </row>
    <row r="280" spans="29:29" x14ac:dyDescent="0.2">
      <c r="AC280" s="134"/>
    </row>
    <row r="281" spans="29:29" x14ac:dyDescent="0.2">
      <c r="AC281" s="134"/>
    </row>
    <row r="282" spans="29:29" x14ac:dyDescent="0.2">
      <c r="AC282" s="134"/>
    </row>
    <row r="283" spans="29:29" x14ac:dyDescent="0.2">
      <c r="AC283" s="134"/>
    </row>
    <row r="284" spans="29:29" x14ac:dyDescent="0.2">
      <c r="AC284" s="134"/>
    </row>
    <row r="285" spans="29:29" x14ac:dyDescent="0.2">
      <c r="AC285" s="134"/>
    </row>
    <row r="286" spans="29:29" x14ac:dyDescent="0.2">
      <c r="AC286" s="134"/>
    </row>
    <row r="287" spans="29:29" x14ac:dyDescent="0.2">
      <c r="AC287" s="134"/>
    </row>
    <row r="288" spans="29:29" x14ac:dyDescent="0.2">
      <c r="AC288" s="134"/>
    </row>
    <row r="289" spans="29:29" x14ac:dyDescent="0.2">
      <c r="AC289" s="134"/>
    </row>
    <row r="290" spans="29:29" x14ac:dyDescent="0.2">
      <c r="AC290" s="134"/>
    </row>
    <row r="291" spans="29:29" x14ac:dyDescent="0.2">
      <c r="AC291" s="134"/>
    </row>
    <row r="292" spans="29:29" x14ac:dyDescent="0.2">
      <c r="AC292" s="134"/>
    </row>
    <row r="293" spans="29:29" x14ac:dyDescent="0.2">
      <c r="AC293" s="134"/>
    </row>
    <row r="294" spans="29:29" x14ac:dyDescent="0.2">
      <c r="AC294" s="134"/>
    </row>
    <row r="295" spans="29:29" x14ac:dyDescent="0.2">
      <c r="AC295" s="134"/>
    </row>
    <row r="296" spans="29:29" x14ac:dyDescent="0.2">
      <c r="AC296" s="134"/>
    </row>
    <row r="297" spans="29:29" x14ac:dyDescent="0.2">
      <c r="AC297" s="134"/>
    </row>
    <row r="298" spans="29:29" x14ac:dyDescent="0.2">
      <c r="AC298" s="134"/>
    </row>
    <row r="299" spans="29:29" x14ac:dyDescent="0.2">
      <c r="AC299" s="134"/>
    </row>
    <row r="300" spans="29:29" x14ac:dyDescent="0.2">
      <c r="AC300" s="134"/>
    </row>
    <row r="301" spans="29:29" x14ac:dyDescent="0.2">
      <c r="AC301" s="134"/>
    </row>
    <row r="302" spans="29:29" x14ac:dyDescent="0.2">
      <c r="AC302" s="134"/>
    </row>
    <row r="303" spans="29:29" x14ac:dyDescent="0.2">
      <c r="AC303" s="134"/>
    </row>
    <row r="304" spans="29:29" x14ac:dyDescent="0.2">
      <c r="AC304" s="134"/>
    </row>
    <row r="305" spans="29:29" x14ac:dyDescent="0.2">
      <c r="AC305" s="134"/>
    </row>
    <row r="306" spans="29:29" x14ac:dyDescent="0.2">
      <c r="AC306" s="134"/>
    </row>
    <row r="307" spans="29:29" x14ac:dyDescent="0.2">
      <c r="AC307" s="134"/>
    </row>
    <row r="308" spans="29:29" x14ac:dyDescent="0.2">
      <c r="AC308" s="134"/>
    </row>
    <row r="309" spans="29:29" x14ac:dyDescent="0.2">
      <c r="AC309" s="134"/>
    </row>
    <row r="310" spans="29:29" x14ac:dyDescent="0.2">
      <c r="AC310" s="134"/>
    </row>
    <row r="311" spans="29:29" x14ac:dyDescent="0.2">
      <c r="AC311" s="134"/>
    </row>
    <row r="312" spans="29:29" x14ac:dyDescent="0.2">
      <c r="AC312" s="134"/>
    </row>
    <row r="313" spans="29:29" x14ac:dyDescent="0.2">
      <c r="AC313" s="134"/>
    </row>
    <row r="314" spans="29:29" x14ac:dyDescent="0.2">
      <c r="AC314" s="134"/>
    </row>
    <row r="315" spans="29:29" x14ac:dyDescent="0.2">
      <c r="AC315" s="134"/>
    </row>
    <row r="316" spans="29:29" x14ac:dyDescent="0.2">
      <c r="AC316" s="134"/>
    </row>
    <row r="317" spans="29:29" x14ac:dyDescent="0.2">
      <c r="AC317" s="134"/>
    </row>
    <row r="318" spans="29:29" x14ac:dyDescent="0.2">
      <c r="AC318" s="134"/>
    </row>
    <row r="319" spans="29:29" x14ac:dyDescent="0.2">
      <c r="AC319" s="134"/>
    </row>
    <row r="320" spans="29:29" x14ac:dyDescent="0.2">
      <c r="AC320" s="134"/>
    </row>
    <row r="321" spans="29:29" x14ac:dyDescent="0.2">
      <c r="AC321" s="134"/>
    </row>
    <row r="322" spans="29:29" x14ac:dyDescent="0.2">
      <c r="AC322" s="134"/>
    </row>
    <row r="323" spans="29:29" x14ac:dyDescent="0.2">
      <c r="AC323" s="134"/>
    </row>
    <row r="324" spans="29:29" x14ac:dyDescent="0.2">
      <c r="AC324" s="134"/>
    </row>
    <row r="325" spans="29:29" x14ac:dyDescent="0.2">
      <c r="AC325" s="134"/>
    </row>
    <row r="326" spans="29:29" x14ac:dyDescent="0.2">
      <c r="AC326" s="134"/>
    </row>
    <row r="327" spans="29:29" x14ac:dyDescent="0.2">
      <c r="AC327" s="134"/>
    </row>
    <row r="328" spans="29:29" x14ac:dyDescent="0.2">
      <c r="AC328" s="134"/>
    </row>
    <row r="329" spans="29:29" x14ac:dyDescent="0.2">
      <c r="AC329" s="134"/>
    </row>
    <row r="330" spans="29:29" x14ac:dyDescent="0.2">
      <c r="AC330" s="134"/>
    </row>
    <row r="331" spans="29:29" x14ac:dyDescent="0.2">
      <c r="AC331" s="134"/>
    </row>
    <row r="332" spans="29:29" x14ac:dyDescent="0.2">
      <c r="AC332" s="134"/>
    </row>
    <row r="333" spans="29:29" x14ac:dyDescent="0.2">
      <c r="AC333" s="134"/>
    </row>
    <row r="334" spans="29:29" x14ac:dyDescent="0.2">
      <c r="AC334" s="134"/>
    </row>
    <row r="335" spans="29:29" x14ac:dyDescent="0.2">
      <c r="AC335" s="134"/>
    </row>
    <row r="336" spans="29:29" x14ac:dyDescent="0.2">
      <c r="AC336" s="134"/>
    </row>
    <row r="337" spans="29:29" x14ac:dyDescent="0.2">
      <c r="AC337" s="134"/>
    </row>
    <row r="338" spans="29:29" x14ac:dyDescent="0.2">
      <c r="AC338" s="134"/>
    </row>
    <row r="339" spans="29:29" x14ac:dyDescent="0.2">
      <c r="AC339" s="134"/>
    </row>
    <row r="340" spans="29:29" x14ac:dyDescent="0.2">
      <c r="AC340" s="134"/>
    </row>
    <row r="341" spans="29:29" x14ac:dyDescent="0.2">
      <c r="AC341" s="134"/>
    </row>
    <row r="342" spans="29:29" x14ac:dyDescent="0.2">
      <c r="AC342" s="134"/>
    </row>
    <row r="343" spans="29:29" x14ac:dyDescent="0.2">
      <c r="AC343" s="134"/>
    </row>
    <row r="344" spans="29:29" x14ac:dyDescent="0.2">
      <c r="AC344" s="134"/>
    </row>
    <row r="345" spans="29:29" x14ac:dyDescent="0.2">
      <c r="AC345" s="134"/>
    </row>
    <row r="346" spans="29:29" x14ac:dyDescent="0.2">
      <c r="AC346" s="134"/>
    </row>
    <row r="347" spans="29:29" x14ac:dyDescent="0.2">
      <c r="AC347" s="134"/>
    </row>
    <row r="348" spans="29:29" x14ac:dyDescent="0.2">
      <c r="AC348" s="134"/>
    </row>
    <row r="349" spans="29:29" x14ac:dyDescent="0.2">
      <c r="AC349" s="134"/>
    </row>
    <row r="350" spans="29:29" x14ac:dyDescent="0.2">
      <c r="AC350" s="134"/>
    </row>
    <row r="351" spans="29:29" x14ac:dyDescent="0.2">
      <c r="AC351" s="134"/>
    </row>
    <row r="352" spans="29:29" x14ac:dyDescent="0.2">
      <c r="AC352" s="134"/>
    </row>
    <row r="353" spans="29:29" x14ac:dyDescent="0.2">
      <c r="AC353" s="134"/>
    </row>
    <row r="354" spans="29:29" x14ac:dyDescent="0.2">
      <c r="AC354" s="134"/>
    </row>
    <row r="355" spans="29:29" x14ac:dyDescent="0.2">
      <c r="AC355" s="134"/>
    </row>
    <row r="356" spans="29:29" x14ac:dyDescent="0.2">
      <c r="AC356" s="134"/>
    </row>
    <row r="357" spans="29:29" x14ac:dyDescent="0.2">
      <c r="AC357" s="134"/>
    </row>
    <row r="358" spans="29:29" x14ac:dyDescent="0.2">
      <c r="AC358" s="134"/>
    </row>
    <row r="359" spans="29:29" x14ac:dyDescent="0.2">
      <c r="AC359" s="134"/>
    </row>
    <row r="360" spans="29:29" x14ac:dyDescent="0.2">
      <c r="AC360" s="134"/>
    </row>
    <row r="361" spans="29:29" x14ac:dyDescent="0.2">
      <c r="AC361" s="134"/>
    </row>
    <row r="362" spans="29:29" x14ac:dyDescent="0.2">
      <c r="AC362" s="134"/>
    </row>
    <row r="363" spans="29:29" x14ac:dyDescent="0.2">
      <c r="AC363" s="134"/>
    </row>
    <row r="364" spans="29:29" x14ac:dyDescent="0.2">
      <c r="AC364" s="134"/>
    </row>
    <row r="365" spans="29:29" x14ac:dyDescent="0.2">
      <c r="AC365" s="134"/>
    </row>
    <row r="366" spans="29:29" x14ac:dyDescent="0.2">
      <c r="AC366" s="134"/>
    </row>
    <row r="367" spans="29:29" x14ac:dyDescent="0.2">
      <c r="AC367" s="134"/>
    </row>
    <row r="368" spans="29:29" x14ac:dyDescent="0.2">
      <c r="AC368" s="134"/>
    </row>
    <row r="369" spans="29:29" x14ac:dyDescent="0.2">
      <c r="AC369" s="134"/>
    </row>
    <row r="370" spans="29:29" x14ac:dyDescent="0.2">
      <c r="AC370" s="134"/>
    </row>
    <row r="371" spans="29:29" x14ac:dyDescent="0.2">
      <c r="AC371" s="134"/>
    </row>
    <row r="372" spans="29:29" x14ac:dyDescent="0.2">
      <c r="AC372" s="134"/>
    </row>
    <row r="373" spans="29:29" x14ac:dyDescent="0.2">
      <c r="AC373" s="134"/>
    </row>
    <row r="374" spans="29:29" x14ac:dyDescent="0.2">
      <c r="AC374" s="134"/>
    </row>
    <row r="375" spans="29:29" x14ac:dyDescent="0.2">
      <c r="AC375" s="134"/>
    </row>
    <row r="376" spans="29:29" x14ac:dyDescent="0.2">
      <c r="AC376" s="134"/>
    </row>
    <row r="377" spans="29:29" x14ac:dyDescent="0.2">
      <c r="AC377" s="134"/>
    </row>
    <row r="378" spans="29:29" x14ac:dyDescent="0.2">
      <c r="AC378" s="134"/>
    </row>
    <row r="379" spans="29:29" x14ac:dyDescent="0.2">
      <c r="AC379" s="134"/>
    </row>
    <row r="380" spans="29:29" x14ac:dyDescent="0.2">
      <c r="AC380" s="134"/>
    </row>
    <row r="381" spans="29:29" x14ac:dyDescent="0.2">
      <c r="AC381" s="134"/>
    </row>
    <row r="382" spans="29:29" x14ac:dyDescent="0.2">
      <c r="AC382" s="134"/>
    </row>
    <row r="383" spans="29:29" x14ac:dyDescent="0.2">
      <c r="AC383" s="134"/>
    </row>
    <row r="384" spans="29:29" x14ac:dyDescent="0.2">
      <c r="AC384" s="134"/>
    </row>
    <row r="385" spans="29:29" x14ac:dyDescent="0.2">
      <c r="AC385" s="134"/>
    </row>
    <row r="386" spans="29:29" x14ac:dyDescent="0.2">
      <c r="AC386" s="134"/>
    </row>
    <row r="387" spans="29:29" x14ac:dyDescent="0.2">
      <c r="AC387" s="134"/>
    </row>
    <row r="388" spans="29:29" x14ac:dyDescent="0.2">
      <c r="AC388" s="134"/>
    </row>
    <row r="389" spans="29:29" x14ac:dyDescent="0.2">
      <c r="AC389" s="134"/>
    </row>
    <row r="390" spans="29:29" x14ac:dyDescent="0.2">
      <c r="AC390" s="134"/>
    </row>
    <row r="391" spans="29:29" x14ac:dyDescent="0.2">
      <c r="AC391" s="134"/>
    </row>
    <row r="392" spans="29:29" x14ac:dyDescent="0.2">
      <c r="AC392" s="134"/>
    </row>
    <row r="393" spans="29:29" x14ac:dyDescent="0.2">
      <c r="AC393" s="134"/>
    </row>
    <row r="394" spans="29:29" x14ac:dyDescent="0.2">
      <c r="AC394" s="134"/>
    </row>
    <row r="395" spans="29:29" x14ac:dyDescent="0.2">
      <c r="AC395" s="134"/>
    </row>
    <row r="396" spans="29:29" x14ac:dyDescent="0.2">
      <c r="AC396" s="134"/>
    </row>
    <row r="397" spans="29:29" x14ac:dyDescent="0.2">
      <c r="AC397" s="134"/>
    </row>
    <row r="398" spans="29:29" x14ac:dyDescent="0.2">
      <c r="AC398" s="134"/>
    </row>
    <row r="399" spans="29:29" x14ac:dyDescent="0.2">
      <c r="AC399" s="134"/>
    </row>
    <row r="400" spans="29:29" x14ac:dyDescent="0.2">
      <c r="AC400" s="134"/>
    </row>
    <row r="401" spans="29:29" x14ac:dyDescent="0.2">
      <c r="AC401" s="134"/>
    </row>
    <row r="402" spans="29:29" x14ac:dyDescent="0.2">
      <c r="AC402" s="134"/>
    </row>
    <row r="403" spans="29:29" x14ac:dyDescent="0.2">
      <c r="AC403" s="134"/>
    </row>
    <row r="404" spans="29:29" x14ac:dyDescent="0.2">
      <c r="AC404" s="134"/>
    </row>
    <row r="405" spans="29:29" x14ac:dyDescent="0.2">
      <c r="AC405" s="134"/>
    </row>
    <row r="406" spans="29:29" x14ac:dyDescent="0.2">
      <c r="AC406" s="134"/>
    </row>
    <row r="407" spans="29:29" x14ac:dyDescent="0.2">
      <c r="AC407" s="134"/>
    </row>
    <row r="408" spans="29:29" x14ac:dyDescent="0.2">
      <c r="AC408" s="134"/>
    </row>
    <row r="409" spans="29:29" x14ac:dyDescent="0.2">
      <c r="AC409" s="134"/>
    </row>
    <row r="410" spans="29:29" x14ac:dyDescent="0.2">
      <c r="AC410" s="134"/>
    </row>
    <row r="411" spans="29:29" x14ac:dyDescent="0.2">
      <c r="AC411" s="134"/>
    </row>
    <row r="412" spans="29:29" x14ac:dyDescent="0.2">
      <c r="AC412" s="134"/>
    </row>
    <row r="413" spans="29:29" x14ac:dyDescent="0.2">
      <c r="AC413" s="134"/>
    </row>
    <row r="414" spans="29:29" x14ac:dyDescent="0.2">
      <c r="AC414" s="134"/>
    </row>
    <row r="415" spans="29:29" x14ac:dyDescent="0.2">
      <c r="AC415" s="134"/>
    </row>
    <row r="416" spans="29:29" x14ac:dyDescent="0.2">
      <c r="AC416" s="134"/>
    </row>
    <row r="417" spans="29:29" x14ac:dyDescent="0.2">
      <c r="AC417" s="134"/>
    </row>
    <row r="418" spans="29:29" x14ac:dyDescent="0.2">
      <c r="AC418" s="134"/>
    </row>
    <row r="419" spans="29:29" x14ac:dyDescent="0.2">
      <c r="AC419" s="134"/>
    </row>
    <row r="420" spans="29:29" x14ac:dyDescent="0.2">
      <c r="AC420" s="134"/>
    </row>
    <row r="421" spans="29:29" x14ac:dyDescent="0.2">
      <c r="AC421" s="134"/>
    </row>
    <row r="422" spans="29:29" x14ac:dyDescent="0.2">
      <c r="AC422" s="134"/>
    </row>
    <row r="423" spans="29:29" x14ac:dyDescent="0.2">
      <c r="AC423" s="134"/>
    </row>
    <row r="424" spans="29:29" x14ac:dyDescent="0.2">
      <c r="AC424" s="134"/>
    </row>
    <row r="425" spans="29:29" x14ac:dyDescent="0.2">
      <c r="AC425" s="134"/>
    </row>
    <row r="426" spans="29:29" x14ac:dyDescent="0.2">
      <c r="AC426" s="134"/>
    </row>
    <row r="427" spans="29:29" x14ac:dyDescent="0.2">
      <c r="AC427" s="134"/>
    </row>
    <row r="428" spans="29:29" x14ac:dyDescent="0.2">
      <c r="AC428" s="134"/>
    </row>
    <row r="429" spans="29:29" x14ac:dyDescent="0.2">
      <c r="AC429" s="134"/>
    </row>
    <row r="430" spans="29:29" x14ac:dyDescent="0.2">
      <c r="AC430" s="134"/>
    </row>
    <row r="431" spans="29:29" x14ac:dyDescent="0.2">
      <c r="AC431" s="134"/>
    </row>
    <row r="432" spans="29:29" x14ac:dyDescent="0.2">
      <c r="AC432" s="134"/>
    </row>
    <row r="433" spans="29:29" x14ac:dyDescent="0.2">
      <c r="AC433" s="134"/>
    </row>
    <row r="434" spans="29:29" x14ac:dyDescent="0.2">
      <c r="AC434" s="134"/>
    </row>
    <row r="435" spans="29:29" x14ac:dyDescent="0.2">
      <c r="AC435" s="134"/>
    </row>
    <row r="436" spans="29:29" x14ac:dyDescent="0.2">
      <c r="AC436" s="134"/>
    </row>
    <row r="437" spans="29:29" x14ac:dyDescent="0.2">
      <c r="AC437" s="134"/>
    </row>
    <row r="438" spans="29:29" x14ac:dyDescent="0.2">
      <c r="AC438" s="134"/>
    </row>
    <row r="439" spans="29:29" x14ac:dyDescent="0.2">
      <c r="AC439" s="134"/>
    </row>
    <row r="440" spans="29:29" x14ac:dyDescent="0.2">
      <c r="AC440" s="134"/>
    </row>
    <row r="441" spans="29:29" x14ac:dyDescent="0.2">
      <c r="AC441" s="134"/>
    </row>
    <row r="442" spans="29:29" x14ac:dyDescent="0.2">
      <c r="AC442" s="134"/>
    </row>
    <row r="443" spans="29:29" x14ac:dyDescent="0.2">
      <c r="AC443" s="134"/>
    </row>
    <row r="444" spans="29:29" x14ac:dyDescent="0.2">
      <c r="AC444" s="134"/>
    </row>
    <row r="445" spans="29:29" x14ac:dyDescent="0.2">
      <c r="AC445" s="134"/>
    </row>
    <row r="446" spans="29:29" x14ac:dyDescent="0.2">
      <c r="AC446" s="134"/>
    </row>
    <row r="447" spans="29:29" x14ac:dyDescent="0.2">
      <c r="AC447" s="134"/>
    </row>
    <row r="448" spans="29:29" x14ac:dyDescent="0.2">
      <c r="AC448" s="134"/>
    </row>
    <row r="449" spans="29:29" x14ac:dyDescent="0.2">
      <c r="AC449" s="134"/>
    </row>
    <row r="450" spans="29:29" x14ac:dyDescent="0.2">
      <c r="AC450" s="134"/>
    </row>
    <row r="451" spans="29:29" x14ac:dyDescent="0.2">
      <c r="AC451" s="134"/>
    </row>
    <row r="452" spans="29:29" x14ac:dyDescent="0.2">
      <c r="AC452" s="134"/>
    </row>
    <row r="453" spans="29:29" x14ac:dyDescent="0.2">
      <c r="AC453" s="134"/>
    </row>
    <row r="454" spans="29:29" x14ac:dyDescent="0.2">
      <c r="AC454" s="134"/>
    </row>
    <row r="455" spans="29:29" x14ac:dyDescent="0.2">
      <c r="AC455" s="134"/>
    </row>
    <row r="456" spans="29:29" x14ac:dyDescent="0.2">
      <c r="AC456" s="134"/>
    </row>
    <row r="457" spans="29:29" x14ac:dyDescent="0.2">
      <c r="AC457" s="134"/>
    </row>
    <row r="458" spans="29:29" x14ac:dyDescent="0.2">
      <c r="AC458" s="134"/>
    </row>
    <row r="459" spans="29:29" x14ac:dyDescent="0.2">
      <c r="AC459" s="134"/>
    </row>
    <row r="460" spans="29:29" x14ac:dyDescent="0.2">
      <c r="AC460" s="134"/>
    </row>
    <row r="461" spans="29:29" x14ac:dyDescent="0.2">
      <c r="AC461" s="134"/>
    </row>
    <row r="462" spans="29:29" x14ac:dyDescent="0.2">
      <c r="AC462" s="134"/>
    </row>
    <row r="463" spans="29:29" x14ac:dyDescent="0.2">
      <c r="AC463" s="134"/>
    </row>
    <row r="464" spans="29:29" x14ac:dyDescent="0.2">
      <c r="AC464" s="134"/>
    </row>
    <row r="465" spans="29:29" x14ac:dyDescent="0.2">
      <c r="AC465" s="134"/>
    </row>
    <row r="466" spans="29:29" x14ac:dyDescent="0.2">
      <c r="AC466" s="134"/>
    </row>
    <row r="467" spans="29:29" x14ac:dyDescent="0.2">
      <c r="AC467" s="134"/>
    </row>
    <row r="468" spans="29:29" x14ac:dyDescent="0.2">
      <c r="AC468" s="134"/>
    </row>
    <row r="469" spans="29:29" x14ac:dyDescent="0.2">
      <c r="AC469" s="134"/>
    </row>
    <row r="470" spans="29:29" x14ac:dyDescent="0.2">
      <c r="AC470" s="134"/>
    </row>
    <row r="471" spans="29:29" x14ac:dyDescent="0.2">
      <c r="AC471" s="134"/>
    </row>
    <row r="472" spans="29:29" x14ac:dyDescent="0.2">
      <c r="AC472" s="134"/>
    </row>
    <row r="473" spans="29:29" x14ac:dyDescent="0.2">
      <c r="AC473" s="134"/>
    </row>
    <row r="474" spans="29:29" x14ac:dyDescent="0.2">
      <c r="AC474" s="134"/>
    </row>
    <row r="475" spans="29:29" x14ac:dyDescent="0.2">
      <c r="AC475" s="134"/>
    </row>
    <row r="476" spans="29:29" x14ac:dyDescent="0.2">
      <c r="AC476" s="134"/>
    </row>
    <row r="477" spans="29:29" x14ac:dyDescent="0.2">
      <c r="AC477" s="134"/>
    </row>
    <row r="478" spans="29:29" x14ac:dyDescent="0.2">
      <c r="AC478" s="134"/>
    </row>
    <row r="479" spans="29:29" x14ac:dyDescent="0.2">
      <c r="AC479" s="134"/>
    </row>
    <row r="480" spans="29:29" x14ac:dyDescent="0.2">
      <c r="AC480" s="134"/>
    </row>
    <row r="481" spans="29:29" x14ac:dyDescent="0.2">
      <c r="AC481" s="134"/>
    </row>
    <row r="482" spans="29:29" x14ac:dyDescent="0.2">
      <c r="AC482" s="134"/>
    </row>
    <row r="483" spans="29:29" x14ac:dyDescent="0.2">
      <c r="AC483" s="134"/>
    </row>
    <row r="484" spans="29:29" x14ac:dyDescent="0.2">
      <c r="AC484" s="134"/>
    </row>
    <row r="485" spans="29:29" x14ac:dyDescent="0.2">
      <c r="AC485" s="134"/>
    </row>
    <row r="486" spans="29:29" x14ac:dyDescent="0.2">
      <c r="AC486" s="134"/>
    </row>
    <row r="487" spans="29:29" x14ac:dyDescent="0.2">
      <c r="AC487" s="134"/>
    </row>
    <row r="488" spans="29:29" x14ac:dyDescent="0.2">
      <c r="AC488" s="134"/>
    </row>
    <row r="489" spans="29:29" x14ac:dyDescent="0.2">
      <c r="AC489" s="134"/>
    </row>
    <row r="490" spans="29:29" x14ac:dyDescent="0.2">
      <c r="AC490" s="134"/>
    </row>
    <row r="491" spans="29:29" x14ac:dyDescent="0.2">
      <c r="AC491" s="134"/>
    </row>
    <row r="492" spans="29:29" x14ac:dyDescent="0.2">
      <c r="AC492" s="134"/>
    </row>
    <row r="493" spans="29:29" x14ac:dyDescent="0.2">
      <c r="AC493" s="134"/>
    </row>
    <row r="494" spans="29:29" x14ac:dyDescent="0.2">
      <c r="AC494" s="134"/>
    </row>
    <row r="495" spans="29:29" x14ac:dyDescent="0.2">
      <c r="AC495" s="134"/>
    </row>
    <row r="496" spans="29:29" x14ac:dyDescent="0.2">
      <c r="AC496" s="134"/>
    </row>
    <row r="497" spans="29:29" x14ac:dyDescent="0.2">
      <c r="AC497" s="134"/>
    </row>
    <row r="498" spans="29:29" x14ac:dyDescent="0.2">
      <c r="AC498" s="134"/>
    </row>
    <row r="499" spans="29:29" x14ac:dyDescent="0.2">
      <c r="AC499" s="134"/>
    </row>
    <row r="500" spans="29:29" x14ac:dyDescent="0.2">
      <c r="AC500" s="134"/>
    </row>
    <row r="501" spans="29:29" x14ac:dyDescent="0.2">
      <c r="AC501" s="134"/>
    </row>
    <row r="502" spans="29:29" x14ac:dyDescent="0.2">
      <c r="AC502" s="134"/>
    </row>
    <row r="503" spans="29:29" x14ac:dyDescent="0.2">
      <c r="AC503" s="134"/>
    </row>
    <row r="504" spans="29:29" x14ac:dyDescent="0.2">
      <c r="AC504" s="134"/>
    </row>
    <row r="505" spans="29:29" x14ac:dyDescent="0.2">
      <c r="AC505" s="134"/>
    </row>
    <row r="506" spans="29:29" x14ac:dyDescent="0.2">
      <c r="AC506" s="134"/>
    </row>
    <row r="507" spans="29:29" x14ac:dyDescent="0.2">
      <c r="AC507" s="134"/>
    </row>
    <row r="508" spans="29:29" x14ac:dyDescent="0.2">
      <c r="AC508" s="134"/>
    </row>
    <row r="509" spans="29:29" x14ac:dyDescent="0.2">
      <c r="AC509" s="134"/>
    </row>
    <row r="510" spans="29:29" x14ac:dyDescent="0.2">
      <c r="AC510" s="134"/>
    </row>
    <row r="511" spans="29:29" x14ac:dyDescent="0.2">
      <c r="AC511" s="134"/>
    </row>
    <row r="512" spans="29:29" x14ac:dyDescent="0.2">
      <c r="AC512" s="134"/>
    </row>
    <row r="513" spans="29:29" x14ac:dyDescent="0.2">
      <c r="AC513" s="134"/>
    </row>
    <row r="514" spans="29:29" x14ac:dyDescent="0.2">
      <c r="AC514" s="134"/>
    </row>
    <row r="515" spans="29:29" x14ac:dyDescent="0.2">
      <c r="AC515" s="134"/>
    </row>
    <row r="516" spans="29:29" x14ac:dyDescent="0.2">
      <c r="AC516" s="134"/>
    </row>
    <row r="517" spans="29:29" x14ac:dyDescent="0.2">
      <c r="AC517" s="134"/>
    </row>
    <row r="518" spans="29:29" x14ac:dyDescent="0.2">
      <c r="AC518" s="134"/>
    </row>
    <row r="519" spans="29:29" x14ac:dyDescent="0.2">
      <c r="AC519" s="134"/>
    </row>
    <row r="520" spans="29:29" x14ac:dyDescent="0.2">
      <c r="AC520" s="134"/>
    </row>
    <row r="521" spans="29:29" x14ac:dyDescent="0.2">
      <c r="AC521" s="134"/>
    </row>
    <row r="522" spans="29:29" x14ac:dyDescent="0.2">
      <c r="AC522" s="134"/>
    </row>
    <row r="523" spans="29:29" x14ac:dyDescent="0.2">
      <c r="AC523" s="134"/>
    </row>
    <row r="524" spans="29:29" x14ac:dyDescent="0.2">
      <c r="AC524" s="134"/>
    </row>
    <row r="525" spans="29:29" x14ac:dyDescent="0.2">
      <c r="AC525" s="134"/>
    </row>
    <row r="526" spans="29:29" x14ac:dyDescent="0.2">
      <c r="AC526" s="134"/>
    </row>
    <row r="527" spans="29:29" x14ac:dyDescent="0.2">
      <c r="AC527" s="134"/>
    </row>
    <row r="528" spans="29:29" x14ac:dyDescent="0.2">
      <c r="AC528" s="134"/>
    </row>
    <row r="529" spans="29:29" x14ac:dyDescent="0.2">
      <c r="AC529" s="134"/>
    </row>
    <row r="530" spans="29:29" x14ac:dyDescent="0.2">
      <c r="AC530" s="134"/>
    </row>
    <row r="531" spans="29:29" x14ac:dyDescent="0.2">
      <c r="AC531" s="134"/>
    </row>
    <row r="532" spans="29:29" x14ac:dyDescent="0.2">
      <c r="AC532" s="134"/>
    </row>
    <row r="533" spans="29:29" x14ac:dyDescent="0.2">
      <c r="AC533" s="134"/>
    </row>
    <row r="534" spans="29:29" x14ac:dyDescent="0.2">
      <c r="AC534" s="134"/>
    </row>
    <row r="535" spans="29:29" x14ac:dyDescent="0.2">
      <c r="AC535" s="134"/>
    </row>
    <row r="536" spans="29:29" x14ac:dyDescent="0.2">
      <c r="AC536" s="134"/>
    </row>
    <row r="537" spans="29:29" x14ac:dyDescent="0.2">
      <c r="AC537" s="134"/>
    </row>
    <row r="538" spans="29:29" x14ac:dyDescent="0.2">
      <c r="AC538" s="134"/>
    </row>
    <row r="539" spans="29:29" x14ac:dyDescent="0.2">
      <c r="AC539" s="134"/>
    </row>
    <row r="540" spans="29:29" x14ac:dyDescent="0.2">
      <c r="AC540" s="134"/>
    </row>
    <row r="541" spans="29:29" x14ac:dyDescent="0.2">
      <c r="AC541" s="134"/>
    </row>
    <row r="542" spans="29:29" x14ac:dyDescent="0.2">
      <c r="AC542" s="134"/>
    </row>
    <row r="543" spans="29:29" x14ac:dyDescent="0.2">
      <c r="AC543" s="134"/>
    </row>
    <row r="544" spans="29:29" x14ac:dyDescent="0.2">
      <c r="AC544" s="134"/>
    </row>
    <row r="545" spans="29:29" x14ac:dyDescent="0.2">
      <c r="AC545" s="134"/>
    </row>
    <row r="546" spans="29:29" x14ac:dyDescent="0.2">
      <c r="AC546" s="134"/>
    </row>
    <row r="547" spans="29:29" x14ac:dyDescent="0.2">
      <c r="AC547" s="134"/>
    </row>
    <row r="548" spans="29:29" x14ac:dyDescent="0.2">
      <c r="AC548" s="134"/>
    </row>
    <row r="549" spans="29:29" x14ac:dyDescent="0.2">
      <c r="AC549" s="134"/>
    </row>
    <row r="550" spans="29:29" x14ac:dyDescent="0.2">
      <c r="AC550" s="134"/>
    </row>
    <row r="551" spans="29:29" x14ac:dyDescent="0.2">
      <c r="AC551" s="134"/>
    </row>
    <row r="552" spans="29:29" x14ac:dyDescent="0.2">
      <c r="AC552" s="134"/>
    </row>
    <row r="553" spans="29:29" x14ac:dyDescent="0.2">
      <c r="AC553" s="134"/>
    </row>
    <row r="554" spans="29:29" x14ac:dyDescent="0.2">
      <c r="AC554" s="134"/>
    </row>
    <row r="555" spans="29:29" x14ac:dyDescent="0.2">
      <c r="AC555" s="134"/>
    </row>
    <row r="556" spans="29:29" x14ac:dyDescent="0.2">
      <c r="AC556" s="134"/>
    </row>
    <row r="557" spans="29:29" x14ac:dyDescent="0.2">
      <c r="AC557" s="134"/>
    </row>
    <row r="558" spans="29:29" x14ac:dyDescent="0.2">
      <c r="AC558" s="134"/>
    </row>
    <row r="559" spans="29:29" x14ac:dyDescent="0.2">
      <c r="AC559" s="134"/>
    </row>
    <row r="560" spans="29:29" x14ac:dyDescent="0.2">
      <c r="AC560" s="134"/>
    </row>
    <row r="561" spans="29:29" x14ac:dyDescent="0.2">
      <c r="AC561" s="134"/>
    </row>
    <row r="562" spans="29:29" x14ac:dyDescent="0.2">
      <c r="AC562" s="134"/>
    </row>
    <row r="563" spans="29:29" x14ac:dyDescent="0.2">
      <c r="AC563" s="134"/>
    </row>
    <row r="564" spans="29:29" x14ac:dyDescent="0.2">
      <c r="AC564" s="134"/>
    </row>
    <row r="565" spans="29:29" x14ac:dyDescent="0.2">
      <c r="AC565" s="134"/>
    </row>
    <row r="566" spans="29:29" x14ac:dyDescent="0.2">
      <c r="AC566" s="134"/>
    </row>
    <row r="567" spans="29:29" x14ac:dyDescent="0.2">
      <c r="AC567" s="134"/>
    </row>
    <row r="568" spans="29:29" x14ac:dyDescent="0.2">
      <c r="AC568" s="134"/>
    </row>
    <row r="569" spans="29:29" x14ac:dyDescent="0.2">
      <c r="AC569" s="134"/>
    </row>
    <row r="570" spans="29:29" x14ac:dyDescent="0.2">
      <c r="AC570" s="134"/>
    </row>
    <row r="571" spans="29:29" x14ac:dyDescent="0.2">
      <c r="AC571" s="134"/>
    </row>
    <row r="572" spans="29:29" x14ac:dyDescent="0.2">
      <c r="AC572" s="134"/>
    </row>
    <row r="573" spans="29:29" x14ac:dyDescent="0.2">
      <c r="AC573" s="134"/>
    </row>
    <row r="574" spans="29:29" x14ac:dyDescent="0.2">
      <c r="AC574" s="134"/>
    </row>
    <row r="575" spans="29:29" x14ac:dyDescent="0.2">
      <c r="AC575" s="134"/>
    </row>
    <row r="576" spans="29:29" x14ac:dyDescent="0.2">
      <c r="AC576" s="134"/>
    </row>
    <row r="577" spans="29:29" x14ac:dyDescent="0.2">
      <c r="AC577" s="134"/>
    </row>
    <row r="578" spans="29:29" x14ac:dyDescent="0.2">
      <c r="AC578" s="134"/>
    </row>
    <row r="579" spans="29:29" x14ac:dyDescent="0.2">
      <c r="AC579" s="134"/>
    </row>
    <row r="580" spans="29:29" x14ac:dyDescent="0.2">
      <c r="AC580" s="134"/>
    </row>
    <row r="581" spans="29:29" x14ac:dyDescent="0.2">
      <c r="AC581" s="134"/>
    </row>
    <row r="582" spans="29:29" x14ac:dyDescent="0.2">
      <c r="AC582" s="134"/>
    </row>
    <row r="583" spans="29:29" x14ac:dyDescent="0.2">
      <c r="AC583" s="134"/>
    </row>
    <row r="584" spans="29:29" x14ac:dyDescent="0.2">
      <c r="AC584" s="134"/>
    </row>
    <row r="585" spans="29:29" x14ac:dyDescent="0.2">
      <c r="AC585" s="134"/>
    </row>
    <row r="586" spans="29:29" x14ac:dyDescent="0.2">
      <c r="AC586" s="134"/>
    </row>
    <row r="587" spans="29:29" x14ac:dyDescent="0.2">
      <c r="AC587" s="134"/>
    </row>
    <row r="588" spans="29:29" x14ac:dyDescent="0.2">
      <c r="AC588" s="134"/>
    </row>
    <row r="589" spans="29:29" x14ac:dyDescent="0.2">
      <c r="AC589" s="134"/>
    </row>
    <row r="590" spans="29:29" x14ac:dyDescent="0.2">
      <c r="AC590" s="134"/>
    </row>
    <row r="591" spans="29:29" x14ac:dyDescent="0.2">
      <c r="AC591" s="134"/>
    </row>
    <row r="592" spans="29:29" x14ac:dyDescent="0.2">
      <c r="AC592" s="134"/>
    </row>
    <row r="593" spans="29:29" x14ac:dyDescent="0.2">
      <c r="AC593" s="134"/>
    </row>
    <row r="594" spans="29:29" x14ac:dyDescent="0.2">
      <c r="AC594" s="134"/>
    </row>
    <row r="595" spans="29:29" x14ac:dyDescent="0.2">
      <c r="AC595" s="134"/>
    </row>
    <row r="596" spans="29:29" x14ac:dyDescent="0.2">
      <c r="AC596" s="134"/>
    </row>
    <row r="597" spans="29:29" x14ac:dyDescent="0.2">
      <c r="AC597" s="134"/>
    </row>
    <row r="598" spans="29:29" x14ac:dyDescent="0.2">
      <c r="AC598" s="134"/>
    </row>
    <row r="599" spans="29:29" x14ac:dyDescent="0.2">
      <c r="AC599" s="134"/>
    </row>
    <row r="600" spans="29:29" x14ac:dyDescent="0.2">
      <c r="AC600" s="134"/>
    </row>
    <row r="601" spans="29:29" x14ac:dyDescent="0.2">
      <c r="AC601" s="134"/>
    </row>
    <row r="602" spans="29:29" x14ac:dyDescent="0.2">
      <c r="AC602" s="134"/>
    </row>
    <row r="603" spans="29:29" x14ac:dyDescent="0.2">
      <c r="AC603" s="134"/>
    </row>
    <row r="604" spans="29:29" x14ac:dyDescent="0.2">
      <c r="AC604" s="134"/>
    </row>
    <row r="605" spans="29:29" x14ac:dyDescent="0.2">
      <c r="AC605" s="134"/>
    </row>
    <row r="606" spans="29:29" x14ac:dyDescent="0.2">
      <c r="AC606" s="134"/>
    </row>
    <row r="607" spans="29:29" x14ac:dyDescent="0.2">
      <c r="AC607" s="134"/>
    </row>
    <row r="608" spans="29:29" x14ac:dyDescent="0.2">
      <c r="AC608" s="134"/>
    </row>
    <row r="609" spans="29:29" x14ac:dyDescent="0.2">
      <c r="AC609" s="134"/>
    </row>
    <row r="610" spans="29:29" x14ac:dyDescent="0.2">
      <c r="AC610" s="134"/>
    </row>
    <row r="611" spans="29:29" x14ac:dyDescent="0.2">
      <c r="AC611" s="134"/>
    </row>
    <row r="612" spans="29:29" x14ac:dyDescent="0.2">
      <c r="AC612" s="134"/>
    </row>
    <row r="613" spans="29:29" x14ac:dyDescent="0.2">
      <c r="AC613" s="134"/>
    </row>
    <row r="614" spans="29:29" x14ac:dyDescent="0.2">
      <c r="AC614" s="134"/>
    </row>
    <row r="615" spans="29:29" x14ac:dyDescent="0.2">
      <c r="AC615" s="134"/>
    </row>
    <row r="616" spans="29:29" x14ac:dyDescent="0.2">
      <c r="AC616" s="134"/>
    </row>
    <row r="617" spans="29:29" x14ac:dyDescent="0.2">
      <c r="AC617" s="134"/>
    </row>
    <row r="618" spans="29:29" x14ac:dyDescent="0.2">
      <c r="AC618" s="134"/>
    </row>
    <row r="619" spans="29:29" x14ac:dyDescent="0.2">
      <c r="AC619" s="134"/>
    </row>
    <row r="620" spans="29:29" x14ac:dyDescent="0.2">
      <c r="AC620" s="134"/>
    </row>
    <row r="621" spans="29:29" x14ac:dyDescent="0.2">
      <c r="AC621" s="134"/>
    </row>
    <row r="622" spans="29:29" x14ac:dyDescent="0.2">
      <c r="AC622" s="134"/>
    </row>
    <row r="623" spans="29:29" x14ac:dyDescent="0.2">
      <c r="AC623" s="134"/>
    </row>
    <row r="624" spans="29:29" x14ac:dyDescent="0.2">
      <c r="AC624" s="134"/>
    </row>
    <row r="625" spans="29:29" x14ac:dyDescent="0.2">
      <c r="AC625" s="134"/>
    </row>
    <row r="626" spans="29:29" x14ac:dyDescent="0.2">
      <c r="AC626" s="134"/>
    </row>
    <row r="627" spans="29:29" x14ac:dyDescent="0.2">
      <c r="AC627" s="134"/>
    </row>
    <row r="628" spans="29:29" x14ac:dyDescent="0.2">
      <c r="AC628" s="134"/>
    </row>
    <row r="629" spans="29:29" x14ac:dyDescent="0.2">
      <c r="AC629" s="134"/>
    </row>
    <row r="630" spans="29:29" x14ac:dyDescent="0.2">
      <c r="AC630" s="134"/>
    </row>
    <row r="631" spans="29:29" x14ac:dyDescent="0.2">
      <c r="AC631" s="134"/>
    </row>
    <row r="632" spans="29:29" x14ac:dyDescent="0.2">
      <c r="AC632" s="134"/>
    </row>
    <row r="633" spans="29:29" x14ac:dyDescent="0.2">
      <c r="AC633" s="134"/>
    </row>
    <row r="634" spans="29:29" x14ac:dyDescent="0.2">
      <c r="AC634" s="134"/>
    </row>
    <row r="635" spans="29:29" x14ac:dyDescent="0.2">
      <c r="AC635" s="134"/>
    </row>
    <row r="636" spans="29:29" x14ac:dyDescent="0.2">
      <c r="AC636" s="134"/>
    </row>
    <row r="637" spans="29:29" x14ac:dyDescent="0.2">
      <c r="AC637" s="134"/>
    </row>
    <row r="638" spans="29:29" x14ac:dyDescent="0.2">
      <c r="AC638" s="134"/>
    </row>
    <row r="639" spans="29:29" x14ac:dyDescent="0.2">
      <c r="AC639" s="134"/>
    </row>
    <row r="640" spans="29:29" x14ac:dyDescent="0.2">
      <c r="AC640" s="134"/>
    </row>
    <row r="641" spans="29:29" x14ac:dyDescent="0.2">
      <c r="AC641" s="134"/>
    </row>
    <row r="642" spans="29:29" x14ac:dyDescent="0.2">
      <c r="AC642" s="134"/>
    </row>
    <row r="643" spans="29:29" x14ac:dyDescent="0.2">
      <c r="AC643" s="134"/>
    </row>
    <row r="644" spans="29:29" x14ac:dyDescent="0.2">
      <c r="AC644" s="134"/>
    </row>
    <row r="645" spans="29:29" x14ac:dyDescent="0.2">
      <c r="AC645" s="134"/>
    </row>
    <row r="646" spans="29:29" x14ac:dyDescent="0.2">
      <c r="AC646" s="134"/>
    </row>
    <row r="647" spans="29:29" x14ac:dyDescent="0.2">
      <c r="AC647" s="134"/>
    </row>
    <row r="648" spans="29:29" x14ac:dyDescent="0.2">
      <c r="AC648" s="134"/>
    </row>
    <row r="649" spans="29:29" x14ac:dyDescent="0.2">
      <c r="AC649" s="134"/>
    </row>
    <row r="650" spans="29:29" x14ac:dyDescent="0.2">
      <c r="AC650" s="134"/>
    </row>
    <row r="651" spans="29:29" x14ac:dyDescent="0.2">
      <c r="AC651" s="134"/>
    </row>
    <row r="652" spans="29:29" x14ac:dyDescent="0.2">
      <c r="AC652" s="134"/>
    </row>
    <row r="653" spans="29:29" x14ac:dyDescent="0.2">
      <c r="AC653" s="134"/>
    </row>
    <row r="654" spans="29:29" x14ac:dyDescent="0.2">
      <c r="AC654" s="134"/>
    </row>
    <row r="655" spans="29:29" x14ac:dyDescent="0.2">
      <c r="AC655" s="134"/>
    </row>
    <row r="656" spans="29:29" x14ac:dyDescent="0.2">
      <c r="AC656" s="134"/>
    </row>
    <row r="657" spans="29:29" x14ac:dyDescent="0.2">
      <c r="AC657" s="134"/>
    </row>
    <row r="658" spans="29:29" x14ac:dyDescent="0.2">
      <c r="AC658" s="134"/>
    </row>
    <row r="659" spans="29:29" x14ac:dyDescent="0.2">
      <c r="AC659" s="134"/>
    </row>
    <row r="660" spans="29:29" x14ac:dyDescent="0.2">
      <c r="AC660" s="134"/>
    </row>
    <row r="661" spans="29:29" x14ac:dyDescent="0.2">
      <c r="AC661" s="134"/>
    </row>
    <row r="662" spans="29:29" x14ac:dyDescent="0.2">
      <c r="AC662" s="134"/>
    </row>
    <row r="663" spans="29:29" x14ac:dyDescent="0.2">
      <c r="AC663" s="134"/>
    </row>
    <row r="664" spans="29:29" x14ac:dyDescent="0.2">
      <c r="AC664" s="134"/>
    </row>
    <row r="665" spans="29:29" x14ac:dyDescent="0.2">
      <c r="AC665" s="134"/>
    </row>
    <row r="666" spans="29:29" x14ac:dyDescent="0.2">
      <c r="AC666" s="134"/>
    </row>
    <row r="667" spans="29:29" x14ac:dyDescent="0.2">
      <c r="AC667" s="134"/>
    </row>
    <row r="668" spans="29:29" x14ac:dyDescent="0.2">
      <c r="AC668" s="134"/>
    </row>
    <row r="669" spans="29:29" x14ac:dyDescent="0.2">
      <c r="AC669" s="134"/>
    </row>
    <row r="670" spans="29:29" x14ac:dyDescent="0.2">
      <c r="AC670" s="134"/>
    </row>
    <row r="671" spans="29:29" x14ac:dyDescent="0.2">
      <c r="AC671" s="134"/>
    </row>
    <row r="672" spans="29:29" x14ac:dyDescent="0.2">
      <c r="AC672" s="134"/>
    </row>
    <row r="673" spans="29:29" x14ac:dyDescent="0.2">
      <c r="AC673" s="134"/>
    </row>
    <row r="674" spans="29:29" x14ac:dyDescent="0.2">
      <c r="AC674" s="134"/>
    </row>
    <row r="675" spans="29:29" x14ac:dyDescent="0.2">
      <c r="AC675" s="134"/>
    </row>
    <row r="676" spans="29:29" x14ac:dyDescent="0.2">
      <c r="AC676" s="134"/>
    </row>
    <row r="677" spans="29:29" x14ac:dyDescent="0.2">
      <c r="AC677" s="134"/>
    </row>
    <row r="678" spans="29:29" x14ac:dyDescent="0.2">
      <c r="AC678" s="134"/>
    </row>
    <row r="679" spans="29:29" x14ac:dyDescent="0.2">
      <c r="AC679" s="134"/>
    </row>
    <row r="680" spans="29:29" x14ac:dyDescent="0.2">
      <c r="AC680" s="134"/>
    </row>
    <row r="681" spans="29:29" x14ac:dyDescent="0.2">
      <c r="AC681" s="134"/>
    </row>
    <row r="682" spans="29:29" x14ac:dyDescent="0.2">
      <c r="AC682" s="134"/>
    </row>
    <row r="683" spans="29:29" x14ac:dyDescent="0.2">
      <c r="AC683" s="134"/>
    </row>
    <row r="684" spans="29:29" x14ac:dyDescent="0.2">
      <c r="AC684" s="134"/>
    </row>
    <row r="685" spans="29:29" x14ac:dyDescent="0.2">
      <c r="AC685" s="134"/>
    </row>
    <row r="686" spans="29:29" x14ac:dyDescent="0.2">
      <c r="AC686" s="134"/>
    </row>
    <row r="687" spans="29:29" x14ac:dyDescent="0.2">
      <c r="AC687" s="134"/>
    </row>
    <row r="688" spans="29:29" x14ac:dyDescent="0.2">
      <c r="AC688" s="134"/>
    </row>
    <row r="689" spans="29:29" x14ac:dyDescent="0.2">
      <c r="AC689" s="134"/>
    </row>
    <row r="690" spans="29:29" x14ac:dyDescent="0.2">
      <c r="AC690" s="134"/>
    </row>
    <row r="691" spans="29:29" x14ac:dyDescent="0.2">
      <c r="AC691" s="134"/>
    </row>
    <row r="692" spans="29:29" x14ac:dyDescent="0.2">
      <c r="AC692" s="134"/>
    </row>
    <row r="693" spans="29:29" x14ac:dyDescent="0.2">
      <c r="AC693" s="134"/>
    </row>
    <row r="694" spans="29:29" x14ac:dyDescent="0.2">
      <c r="AC694" s="134"/>
    </row>
    <row r="695" spans="29:29" x14ac:dyDescent="0.2">
      <c r="AC695" s="134"/>
    </row>
    <row r="696" spans="29:29" x14ac:dyDescent="0.2">
      <c r="AC696" s="134"/>
    </row>
    <row r="697" spans="29:29" x14ac:dyDescent="0.2">
      <c r="AC697" s="134"/>
    </row>
    <row r="698" spans="29:29" x14ac:dyDescent="0.2">
      <c r="AC698" s="134"/>
    </row>
    <row r="699" spans="29:29" x14ac:dyDescent="0.2">
      <c r="AC699" s="134"/>
    </row>
    <row r="700" spans="29:29" x14ac:dyDescent="0.2">
      <c r="AC700" s="134"/>
    </row>
    <row r="701" spans="29:29" x14ac:dyDescent="0.2">
      <c r="AC701" s="134"/>
    </row>
    <row r="702" spans="29:29" x14ac:dyDescent="0.2">
      <c r="AC702" s="134"/>
    </row>
    <row r="703" spans="29:29" x14ac:dyDescent="0.2">
      <c r="AC703" s="134"/>
    </row>
    <row r="704" spans="29:29" x14ac:dyDescent="0.2">
      <c r="AC704" s="134"/>
    </row>
    <row r="705" spans="29:29" x14ac:dyDescent="0.2">
      <c r="AC705" s="134"/>
    </row>
    <row r="706" spans="29:29" x14ac:dyDescent="0.2">
      <c r="AC706" s="134"/>
    </row>
    <row r="707" spans="29:29" x14ac:dyDescent="0.2">
      <c r="AC707" s="134"/>
    </row>
    <row r="708" spans="29:29" x14ac:dyDescent="0.2">
      <c r="AC708" s="134"/>
    </row>
    <row r="709" spans="29:29" x14ac:dyDescent="0.2">
      <c r="AC709" s="134"/>
    </row>
    <row r="710" spans="29:29" x14ac:dyDescent="0.2">
      <c r="AC710" s="134"/>
    </row>
    <row r="711" spans="29:29" x14ac:dyDescent="0.2">
      <c r="AC711" s="134"/>
    </row>
    <row r="712" spans="29:29" x14ac:dyDescent="0.2">
      <c r="AC712" s="134"/>
    </row>
    <row r="713" spans="29:29" x14ac:dyDescent="0.2">
      <c r="AC713" s="134"/>
    </row>
    <row r="714" spans="29:29" x14ac:dyDescent="0.2">
      <c r="AC714" s="134"/>
    </row>
    <row r="715" spans="29:29" x14ac:dyDescent="0.2">
      <c r="AC715" s="134"/>
    </row>
    <row r="716" spans="29:29" x14ac:dyDescent="0.2">
      <c r="AC716" s="134"/>
    </row>
    <row r="717" spans="29:29" x14ac:dyDescent="0.2">
      <c r="AC717" s="134"/>
    </row>
    <row r="718" spans="29:29" x14ac:dyDescent="0.2">
      <c r="AC718" s="134"/>
    </row>
    <row r="719" spans="29:29" x14ac:dyDescent="0.2">
      <c r="AC719" s="134"/>
    </row>
    <row r="720" spans="29:29" x14ac:dyDescent="0.2">
      <c r="AC720" s="134"/>
    </row>
    <row r="721" spans="29:29" x14ac:dyDescent="0.2">
      <c r="AC721" s="134"/>
    </row>
    <row r="722" spans="29:29" x14ac:dyDescent="0.2">
      <c r="AC722" s="134"/>
    </row>
    <row r="723" spans="29:29" x14ac:dyDescent="0.2">
      <c r="AC723" s="134"/>
    </row>
    <row r="724" spans="29:29" x14ac:dyDescent="0.2">
      <c r="AC724" s="134"/>
    </row>
    <row r="725" spans="29:29" x14ac:dyDescent="0.2">
      <c r="AC725" s="134"/>
    </row>
    <row r="726" spans="29:29" x14ac:dyDescent="0.2">
      <c r="AC726" s="134"/>
    </row>
    <row r="727" spans="29:29" x14ac:dyDescent="0.2">
      <c r="AC727" s="134"/>
    </row>
    <row r="728" spans="29:29" x14ac:dyDescent="0.2">
      <c r="AC728" s="134"/>
    </row>
    <row r="729" spans="29:29" x14ac:dyDescent="0.2">
      <c r="AC729" s="134"/>
    </row>
    <row r="730" spans="29:29" x14ac:dyDescent="0.2">
      <c r="AC730" s="134"/>
    </row>
    <row r="731" spans="29:29" x14ac:dyDescent="0.2">
      <c r="AC731" s="134"/>
    </row>
    <row r="732" spans="29:29" x14ac:dyDescent="0.2">
      <c r="AC732" s="134"/>
    </row>
    <row r="733" spans="29:29" x14ac:dyDescent="0.2">
      <c r="AC733" s="134"/>
    </row>
    <row r="734" spans="29:29" x14ac:dyDescent="0.2">
      <c r="AC734" s="134"/>
    </row>
    <row r="735" spans="29:29" x14ac:dyDescent="0.2">
      <c r="AC735" s="134"/>
    </row>
  </sheetData>
  <phoneticPr fontId="0" type="noConversion"/>
  <pageMargins left="0.75" right="0.75" top="1" bottom="1"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737"/>
  <sheetViews>
    <sheetView workbookViewId="0">
      <pane xSplit="2" topLeftCell="C1" activePane="topRight" state="frozen"/>
      <selection pane="topRight" activeCell="A34" sqref="A34"/>
    </sheetView>
  </sheetViews>
  <sheetFormatPr defaultRowHeight="12.75" x14ac:dyDescent="0.2"/>
  <cols>
    <col min="1" max="1" width="5.5703125" customWidth="1"/>
    <col min="2" max="2" width="6.85546875" customWidth="1"/>
    <col min="4" max="4" width="11" customWidth="1"/>
    <col min="5" max="6" width="10.5703125" customWidth="1"/>
    <col min="8" max="8" width="12" customWidth="1"/>
    <col min="9" max="10" width="15.7109375" customWidth="1"/>
    <col min="12" max="12" width="10.7109375" customWidth="1"/>
    <col min="13" max="13" width="9.5703125" customWidth="1"/>
    <col min="14" max="14" width="9.85546875" customWidth="1"/>
    <col min="16" max="16" width="11.7109375" customWidth="1"/>
    <col min="17" max="17" width="11.140625" customWidth="1"/>
    <col min="18" max="19" width="10.140625" customWidth="1"/>
    <col min="20" max="20" width="11.28515625" customWidth="1"/>
    <col min="22" max="22" width="10.42578125" customWidth="1"/>
    <col min="23" max="23" width="9.5703125" customWidth="1"/>
    <col min="26" max="26" width="10.42578125" customWidth="1"/>
    <col min="27" max="27" width="10.85546875" customWidth="1"/>
    <col min="29" max="29" width="5.7109375" customWidth="1"/>
    <col min="32" max="32" width="6.42578125" customWidth="1"/>
    <col min="34" max="34" width="10.7109375" customWidth="1"/>
    <col min="37" max="37" width="11.140625" customWidth="1"/>
    <col min="39" max="39" width="9.5703125" customWidth="1"/>
    <col min="41" max="41" width="11.42578125" customWidth="1"/>
    <col min="45" max="45" width="11.7109375" customWidth="1"/>
    <col min="46" max="46" width="10.85546875" customWidth="1"/>
    <col min="47" max="47" width="7.140625" customWidth="1"/>
    <col min="48" max="48" width="12.85546875" customWidth="1"/>
    <col min="49" max="49" width="11" customWidth="1"/>
    <col min="51" max="51" width="11.140625" customWidth="1"/>
    <col min="52" max="52" width="8.42578125" customWidth="1"/>
    <col min="55" max="55" width="10" customWidth="1"/>
    <col min="56" max="56" width="9.85546875" customWidth="1"/>
  </cols>
  <sheetData>
    <row r="1" spans="1:69" ht="15.75" x14ac:dyDescent="0.25">
      <c r="A1" s="133"/>
      <c r="B1" s="133"/>
      <c r="D1" s="137" t="s">
        <v>737</v>
      </c>
      <c r="AF1" s="134"/>
    </row>
    <row r="2" spans="1:69" x14ac:dyDescent="0.2">
      <c r="A2" s="133"/>
      <c r="B2" s="133"/>
      <c r="AF2" s="134"/>
    </row>
    <row r="3" spans="1:69" x14ac:dyDescent="0.2">
      <c r="A3" s="133"/>
      <c r="B3" s="133"/>
      <c r="P3" s="801" t="s">
        <v>727</v>
      </c>
      <c r="Q3" s="802"/>
      <c r="R3" s="802"/>
      <c r="S3" s="802"/>
      <c r="T3" s="802"/>
      <c r="AF3" s="134"/>
    </row>
    <row r="4" spans="1:69" x14ac:dyDescent="0.2">
      <c r="A4" s="133"/>
      <c r="B4" s="133"/>
      <c r="AF4" s="134"/>
    </row>
    <row r="5" spans="1:69" x14ac:dyDescent="0.2">
      <c r="A5" s="133"/>
      <c r="B5" s="133"/>
      <c r="D5" s="6" t="s">
        <v>760</v>
      </c>
      <c r="H5" s="6" t="s">
        <v>722</v>
      </c>
      <c r="L5" s="6" t="s">
        <v>682</v>
      </c>
      <c r="P5" s="6" t="s">
        <v>726</v>
      </c>
      <c r="S5" s="6" t="s">
        <v>728</v>
      </c>
      <c r="V5" s="6" t="s">
        <v>109</v>
      </c>
      <c r="W5" s="6"/>
      <c r="AF5" s="134"/>
      <c r="AH5" s="6" t="s">
        <v>694</v>
      </c>
      <c r="AK5" s="6" t="s">
        <v>695</v>
      </c>
      <c r="AO5" s="6" t="s">
        <v>696</v>
      </c>
      <c r="AP5" s="6"/>
      <c r="AS5" s="6" t="s">
        <v>698</v>
      </c>
      <c r="AV5" s="6" t="s">
        <v>699</v>
      </c>
      <c r="AY5" s="6" t="s">
        <v>700</v>
      </c>
      <c r="BC5" s="6" t="s">
        <v>729</v>
      </c>
      <c r="BG5" s="6" t="s">
        <v>705</v>
      </c>
      <c r="BK5" s="6" t="s">
        <v>706</v>
      </c>
      <c r="BO5" s="6" t="s">
        <v>706</v>
      </c>
    </row>
    <row r="6" spans="1:69" x14ac:dyDescent="0.2">
      <c r="A6" s="133"/>
      <c r="B6" s="133"/>
      <c r="V6" s="149" t="s">
        <v>711</v>
      </c>
      <c r="W6" s="149" t="s">
        <v>712</v>
      </c>
      <c r="X6" s="149" t="s">
        <v>713</v>
      </c>
      <c r="Y6" s="149" t="s">
        <v>714</v>
      </c>
      <c r="Z6" s="149" t="s">
        <v>715</v>
      </c>
      <c r="AA6" s="149" t="s">
        <v>716</v>
      </c>
      <c r="AB6" s="149" t="s">
        <v>720</v>
      </c>
      <c r="AC6" s="149"/>
      <c r="AD6" s="149" t="s">
        <v>763</v>
      </c>
      <c r="AF6" s="134"/>
      <c r="AO6" s="6" t="s">
        <v>697</v>
      </c>
      <c r="AP6" s="6"/>
      <c r="BK6" t="s">
        <v>730</v>
      </c>
      <c r="BO6" t="s">
        <v>731</v>
      </c>
    </row>
    <row r="7" spans="1:69" ht="51" customHeight="1" x14ac:dyDescent="0.2">
      <c r="A7" s="133"/>
      <c r="B7" s="133"/>
      <c r="D7" s="126" t="s">
        <v>738</v>
      </c>
      <c r="E7" s="273" t="s">
        <v>317</v>
      </c>
      <c r="F7" s="126" t="s">
        <v>690</v>
      </c>
      <c r="G7" s="1"/>
      <c r="H7" s="126" t="str">
        <f>D7</f>
        <v>Urban Rail</v>
      </c>
      <c r="I7" s="126" t="str">
        <f>E7</f>
        <v>Intercity Rail</v>
      </c>
      <c r="J7" s="126" t="s">
        <v>690</v>
      </c>
      <c r="K7" s="1"/>
      <c r="L7" s="126" t="str">
        <f>D7</f>
        <v>Urban Rail</v>
      </c>
      <c r="M7" s="273" t="str">
        <f>E7</f>
        <v>Intercity Rail</v>
      </c>
      <c r="N7" s="126" t="str">
        <f>F7</f>
        <v xml:space="preserve">   Total</v>
      </c>
      <c r="O7" s="1"/>
      <c r="P7" s="126" t="str">
        <f>D7</f>
        <v>Urban Rail</v>
      </c>
      <c r="Q7" s="126" t="str">
        <f>E7</f>
        <v>Intercity Rail</v>
      </c>
      <c r="R7" s="139"/>
      <c r="S7" s="126" t="str">
        <f>D7</f>
        <v>Urban Rail</v>
      </c>
      <c r="T7" s="273" t="str">
        <f>E7</f>
        <v>Intercity Rail</v>
      </c>
      <c r="U7" s="1"/>
      <c r="V7" s="306" t="s">
        <v>721</v>
      </c>
      <c r="W7" s="306" t="s">
        <v>707</v>
      </c>
      <c r="X7" s="150" t="s">
        <v>739</v>
      </c>
      <c r="Y7" s="306" t="s">
        <v>732</v>
      </c>
      <c r="Z7" s="306" t="s">
        <v>708</v>
      </c>
      <c r="AA7" s="150" t="s">
        <v>692</v>
      </c>
      <c r="AB7" s="306" t="s">
        <v>709</v>
      </c>
      <c r="AC7" s="150"/>
      <c r="AD7" s="150" t="s">
        <v>734</v>
      </c>
      <c r="AF7" s="134"/>
      <c r="AH7" s="126" t="str">
        <f>D7</f>
        <v>Urban Rail</v>
      </c>
      <c r="AI7" s="126" t="str">
        <f>E7</f>
        <v>Intercity Rail</v>
      </c>
      <c r="AK7" s="126" t="str">
        <f>D7</f>
        <v>Urban Rail</v>
      </c>
      <c r="AL7" s="126" t="str">
        <f>E7</f>
        <v>Intercity Rail</v>
      </c>
      <c r="AM7" s="126" t="str">
        <f>F7</f>
        <v xml:space="preserve">   Total</v>
      </c>
      <c r="AN7" s="1"/>
      <c r="AO7" s="126" t="str">
        <f>D7</f>
        <v>Urban Rail</v>
      </c>
      <c r="AP7" s="126" t="str">
        <f>E7</f>
        <v>Intercity Rail</v>
      </c>
      <c r="AQ7" s="1"/>
      <c r="AR7" s="1"/>
      <c r="AS7" s="126" t="str">
        <f>D7</f>
        <v>Urban Rail</v>
      </c>
      <c r="AT7" s="126" t="str">
        <f>E7</f>
        <v>Intercity Rail</v>
      </c>
      <c r="AU7" s="1"/>
      <c r="AV7" s="126" t="str">
        <f>D7</f>
        <v>Urban Rail</v>
      </c>
      <c r="AW7" s="126" t="str">
        <f>E7</f>
        <v>Intercity Rail</v>
      </c>
      <c r="AX7" s="1"/>
      <c r="AY7" s="126" t="str">
        <f>D7</f>
        <v>Urban Rail</v>
      </c>
      <c r="AZ7" s="126" t="str">
        <f>E7</f>
        <v>Intercity Rail</v>
      </c>
      <c r="BA7" s="1"/>
      <c r="BB7" s="1"/>
      <c r="BC7" s="126" t="str">
        <f>D7</f>
        <v>Urban Rail</v>
      </c>
      <c r="BD7" s="126" t="str">
        <f>E7</f>
        <v>Intercity Rail</v>
      </c>
      <c r="BE7" s="1"/>
      <c r="BF7" s="1"/>
      <c r="BG7" s="148" t="s">
        <v>701</v>
      </c>
      <c r="BH7" s="148" t="s">
        <v>702</v>
      </c>
      <c r="BI7" s="148" t="s">
        <v>702</v>
      </c>
      <c r="BJ7" s="173"/>
      <c r="BK7" s="148" t="s">
        <v>701</v>
      </c>
      <c r="BL7" s="148" t="s">
        <v>702</v>
      </c>
      <c r="BM7" s="148" t="s">
        <v>702</v>
      </c>
      <c r="BO7" s="148" t="s">
        <v>701</v>
      </c>
      <c r="BP7" s="148" t="s">
        <v>702</v>
      </c>
      <c r="BQ7" s="148" t="s">
        <v>702</v>
      </c>
    </row>
    <row r="8" spans="1:69" ht="28.5" customHeight="1" x14ac:dyDescent="0.2">
      <c r="A8" s="133"/>
      <c r="B8" s="133"/>
      <c r="D8" s="135" t="s">
        <v>663</v>
      </c>
      <c r="E8" s="135" t="s">
        <v>663</v>
      </c>
      <c r="F8" s="135" t="s">
        <v>691</v>
      </c>
      <c r="G8" s="1"/>
      <c r="H8" s="135"/>
      <c r="I8" s="135"/>
      <c r="J8" s="135"/>
      <c r="K8" s="1"/>
      <c r="L8" s="135"/>
      <c r="M8" s="135"/>
      <c r="N8" s="135"/>
      <c r="O8" s="1"/>
      <c r="P8" s="135"/>
      <c r="Q8" s="135"/>
      <c r="R8" s="139"/>
      <c r="S8" s="135"/>
      <c r="T8" s="135"/>
      <c r="U8" s="1"/>
      <c r="V8" s="151"/>
      <c r="W8" s="151"/>
      <c r="X8" s="151"/>
      <c r="Y8" s="151"/>
      <c r="Z8" s="151"/>
      <c r="AA8" s="154" t="s">
        <v>733</v>
      </c>
      <c r="AB8" s="152" t="s">
        <v>719</v>
      </c>
      <c r="AC8" s="151"/>
      <c r="AD8" s="152" t="s">
        <v>735</v>
      </c>
      <c r="AF8" s="134"/>
      <c r="BG8" t="s">
        <v>703</v>
      </c>
      <c r="BH8" t="s">
        <v>703</v>
      </c>
      <c r="BI8" t="s">
        <v>704</v>
      </c>
      <c r="BK8" t="s">
        <v>703</v>
      </c>
      <c r="BL8" t="s">
        <v>703</v>
      </c>
      <c r="BM8" t="s">
        <v>704</v>
      </c>
      <c r="BO8" t="s">
        <v>703</v>
      </c>
      <c r="BP8" t="s">
        <v>703</v>
      </c>
      <c r="BQ8" t="s">
        <v>704</v>
      </c>
    </row>
    <row r="9" spans="1:69" ht="22.5" customHeight="1" thickBot="1" x14ac:dyDescent="0.25">
      <c r="A9" s="133"/>
      <c r="B9" s="133"/>
      <c r="D9" s="135" t="s">
        <v>761</v>
      </c>
      <c r="E9" s="135" t="s">
        <v>762</v>
      </c>
      <c r="F9" s="135"/>
      <c r="G9" s="1"/>
      <c r="H9" s="135" t="s">
        <v>688</v>
      </c>
      <c r="I9" s="135" t="s">
        <v>687</v>
      </c>
      <c r="J9" s="135" t="s">
        <v>687</v>
      </c>
      <c r="K9" s="1"/>
      <c r="L9" s="135" t="s">
        <v>686</v>
      </c>
      <c r="M9" s="135" t="s">
        <v>686</v>
      </c>
      <c r="N9" s="135" t="s">
        <v>686</v>
      </c>
      <c r="O9" s="1"/>
      <c r="P9" s="135" t="s">
        <v>689</v>
      </c>
      <c r="Q9" s="135" t="s">
        <v>689</v>
      </c>
      <c r="R9" s="139"/>
      <c r="S9" s="135" t="s">
        <v>689</v>
      </c>
      <c r="T9" s="135" t="s">
        <v>689</v>
      </c>
      <c r="U9" s="1"/>
      <c r="V9" s="153"/>
      <c r="W9" s="153"/>
      <c r="X9" s="153"/>
      <c r="Y9" s="153"/>
      <c r="Z9" s="153"/>
      <c r="AA9" s="153"/>
      <c r="AB9" s="153"/>
      <c r="AC9" s="153"/>
      <c r="AD9" s="153"/>
      <c r="AF9" s="134"/>
      <c r="BG9" s="130"/>
      <c r="BH9" s="130"/>
      <c r="BI9" s="130"/>
      <c r="BJ9" s="36"/>
      <c r="BK9" s="130"/>
      <c r="BL9" s="130"/>
      <c r="BM9" s="130"/>
      <c r="BO9" s="130"/>
      <c r="BP9" s="130"/>
      <c r="BQ9" s="130"/>
    </row>
    <row r="10" spans="1:69" x14ac:dyDescent="0.2">
      <c r="A10" s="133" t="s">
        <v>664</v>
      </c>
      <c r="B10" s="133">
        <v>1949</v>
      </c>
      <c r="H10" s="4"/>
      <c r="I10" s="4"/>
      <c r="P10" s="129"/>
      <c r="Q10" s="129"/>
      <c r="R10" s="141"/>
      <c r="S10" s="142"/>
      <c r="T10" s="141"/>
      <c r="V10" s="131"/>
      <c r="W10" s="131"/>
      <c r="X10" s="131"/>
      <c r="Y10" s="131"/>
      <c r="Z10" s="131"/>
      <c r="AA10" s="131"/>
      <c r="AB10" s="131"/>
      <c r="AC10" s="131"/>
      <c r="AD10" s="131"/>
      <c r="AF10" s="134"/>
      <c r="AH10" t="e">
        <f t="shared" ref="AH10:AH41" si="0">D10/F10</f>
        <v>#DIV/0!</v>
      </c>
      <c r="AI10" t="e">
        <f t="shared" ref="AI10:AI41" si="1">E10/F10</f>
        <v>#DIV/0!</v>
      </c>
      <c r="AV10" t="e">
        <f t="shared" ref="AV10:AV41" si="2">H10/J10</f>
        <v>#DIV/0!</v>
      </c>
      <c r="AW10" t="e">
        <f t="shared" ref="AW10:AW41" si="3">I10/J10</f>
        <v>#DIV/0!</v>
      </c>
      <c r="BG10" s="129"/>
      <c r="BH10" s="129">
        <v>1</v>
      </c>
      <c r="BI10" s="129">
        <f t="shared" ref="BI10:BI41" si="4">BH10/BH$74</f>
        <v>1.171071581231947</v>
      </c>
      <c r="BJ10" s="129"/>
      <c r="BK10" s="129"/>
      <c r="BL10" s="129">
        <v>1</v>
      </c>
      <c r="BM10" s="129">
        <f t="shared" ref="BM10:BM41" si="5">BL10/BL$74</f>
        <v>1.0120497122961685</v>
      </c>
      <c r="BP10">
        <v>1</v>
      </c>
      <c r="BQ10" s="129">
        <f t="shared" ref="BQ10:BQ41" si="6">BP10/BP$74</f>
        <v>1.0035428791781835</v>
      </c>
    </row>
    <row r="11" spans="1:69" x14ac:dyDescent="0.2">
      <c r="A11" s="133" t="s">
        <v>664</v>
      </c>
      <c r="B11" s="133">
        <f t="shared" ref="B11:B42" si="7">B10+1</f>
        <v>1950</v>
      </c>
      <c r="H11" s="4"/>
      <c r="I11" s="4"/>
      <c r="P11" s="129"/>
      <c r="Q11" s="129"/>
      <c r="R11" s="129"/>
      <c r="S11" s="142"/>
      <c r="T11" s="141"/>
      <c r="V11" s="131"/>
      <c r="W11" s="131"/>
      <c r="X11" s="131"/>
      <c r="Y11" s="131"/>
      <c r="Z11" s="131"/>
      <c r="AA11" s="131"/>
      <c r="AB11" s="131"/>
      <c r="AC11" s="131"/>
      <c r="AD11" s="131"/>
      <c r="AF11" s="134"/>
      <c r="AH11" t="e">
        <f t="shared" si="0"/>
        <v>#DIV/0!</v>
      </c>
      <c r="AI11" t="e">
        <f t="shared" si="1"/>
        <v>#DIV/0!</v>
      </c>
      <c r="AK11" t="e">
        <f t="shared" ref="AK11:AK42" si="8">(AH11-AH10)/LN(AH11/AH10)</f>
        <v>#DIV/0!</v>
      </c>
      <c r="AL11" t="e">
        <f t="shared" ref="AL11:AL42" si="9">(AI11-AI10)/LN(AI11/AI10)</f>
        <v>#DIV/0!</v>
      </c>
      <c r="AM11" t="e">
        <f t="shared" ref="AM11:AM42" si="10">AK11+AL11</f>
        <v>#DIV/0!</v>
      </c>
      <c r="AO11" t="e">
        <f t="shared" ref="AO11:AO42" si="11">AK11/AM11</f>
        <v>#DIV/0!</v>
      </c>
      <c r="AP11" t="e">
        <f t="shared" ref="AP11:AP42" si="12">AL11/AM11</f>
        <v>#DIV/0!</v>
      </c>
      <c r="AS11" t="e">
        <f>LN(P11/P10)</f>
        <v>#DIV/0!</v>
      </c>
      <c r="AT11" t="e">
        <f>LN(Q11/Q10)</f>
        <v>#DIV/0!</v>
      </c>
      <c r="AV11" t="e">
        <f t="shared" si="2"/>
        <v>#DIV/0!</v>
      </c>
      <c r="AW11" t="e">
        <f t="shared" si="3"/>
        <v>#DIV/0!</v>
      </c>
      <c r="AY11" t="e">
        <f t="shared" ref="AY11:AY42" si="13">LN(AV11/AV10)</f>
        <v>#DIV/0!</v>
      </c>
      <c r="AZ11" t="e">
        <f t="shared" ref="AZ11:AZ42" si="14">LN(AW11/AW10)</f>
        <v>#DIV/0!</v>
      </c>
      <c r="BC11" s="129" t="e">
        <f t="shared" ref="BC11:BC42" si="15">LN(S11/S10)</f>
        <v>#DIV/0!</v>
      </c>
      <c r="BD11" s="129" t="e">
        <f t="shared" ref="BD11:BD42" si="16">LN(T11/T10)</f>
        <v>#DIV/0!</v>
      </c>
      <c r="BG11" s="129" t="e">
        <f t="shared" ref="BG11:BG69" si="17">EXP(SUMPRODUCT($AO11:$AP11,AS11:AT11))</f>
        <v>#DIV/0!</v>
      </c>
      <c r="BH11" s="129">
        <f t="shared" ref="BH11:BH42" si="18">IF(ISERR(BG11),BH10,BG11*BH10)</f>
        <v>1</v>
      </c>
      <c r="BI11" s="129">
        <f t="shared" si="4"/>
        <v>1.171071581231947</v>
      </c>
      <c r="BJ11" s="129"/>
      <c r="BK11" s="129" t="e">
        <f t="shared" ref="BK11:BK42" si="19">EXP(SUMPRODUCT($AO11:$AP11,AY11:AZ11))</f>
        <v>#DIV/0!</v>
      </c>
      <c r="BL11" s="129">
        <f t="shared" ref="BL11:BL42" si="20">IF(ISERR(BK11),BL10,BK11*BL10)</f>
        <v>1</v>
      </c>
      <c r="BM11" s="129">
        <f t="shared" si="5"/>
        <v>1.0120497122961685</v>
      </c>
      <c r="BO11" t="e">
        <f t="shared" ref="BO11:BO42" si="21">EXP(SUMPRODUCT($AO11:$AP11,BC11:BD11))</f>
        <v>#DIV/0!</v>
      </c>
      <c r="BP11">
        <f t="shared" ref="BP11:BP42" si="22">IF(ISERR(BO11),BP10,BO11*BP10)</f>
        <v>1</v>
      </c>
      <c r="BQ11" s="129">
        <f t="shared" si="6"/>
        <v>1.0035428791781835</v>
      </c>
    </row>
    <row r="12" spans="1:69" x14ac:dyDescent="0.2">
      <c r="A12" s="133" t="s">
        <v>664</v>
      </c>
      <c r="B12" s="133">
        <f t="shared" si="7"/>
        <v>1951</v>
      </c>
      <c r="H12" s="4"/>
      <c r="I12" s="4"/>
      <c r="P12" s="129"/>
      <c r="Q12" s="129"/>
      <c r="R12" s="129"/>
      <c r="S12" s="141"/>
      <c r="T12" s="141"/>
      <c r="V12" s="131"/>
      <c r="W12" s="131"/>
      <c r="X12" s="131"/>
      <c r="Y12" s="131"/>
      <c r="Z12" s="131"/>
      <c r="AA12" s="131"/>
      <c r="AB12" s="131"/>
      <c r="AC12" s="131"/>
      <c r="AD12" s="131"/>
      <c r="AF12" s="134"/>
      <c r="AH12" t="e">
        <f t="shared" si="0"/>
        <v>#DIV/0!</v>
      </c>
      <c r="AI12" t="e">
        <f t="shared" si="1"/>
        <v>#DIV/0!</v>
      </c>
      <c r="AK12" t="e">
        <f t="shared" si="8"/>
        <v>#DIV/0!</v>
      </c>
      <c r="AL12" t="e">
        <f t="shared" si="9"/>
        <v>#DIV/0!</v>
      </c>
      <c r="AM12" t="e">
        <f t="shared" si="10"/>
        <v>#DIV/0!</v>
      </c>
      <c r="AO12" t="e">
        <f t="shared" si="11"/>
        <v>#DIV/0!</v>
      </c>
      <c r="AP12" t="e">
        <f t="shared" si="12"/>
        <v>#DIV/0!</v>
      </c>
      <c r="AS12" t="e">
        <f t="shared" ref="AS12:AS68" si="23">LN(P12/P11)</f>
        <v>#DIV/0!</v>
      </c>
      <c r="AT12" t="e">
        <f t="shared" ref="AT12:AT68" si="24">LN(Q12/Q11)</f>
        <v>#DIV/0!</v>
      </c>
      <c r="AV12" t="e">
        <f t="shared" si="2"/>
        <v>#DIV/0!</v>
      </c>
      <c r="AW12" t="e">
        <f t="shared" si="3"/>
        <v>#DIV/0!</v>
      </c>
      <c r="AY12" t="e">
        <f t="shared" si="13"/>
        <v>#DIV/0!</v>
      </c>
      <c r="AZ12" t="e">
        <f t="shared" si="14"/>
        <v>#DIV/0!</v>
      </c>
      <c r="BC12" s="129" t="e">
        <f t="shared" si="15"/>
        <v>#DIV/0!</v>
      </c>
      <c r="BD12" s="129" t="e">
        <f t="shared" si="16"/>
        <v>#DIV/0!</v>
      </c>
      <c r="BG12" s="129" t="e">
        <f t="shared" si="17"/>
        <v>#DIV/0!</v>
      </c>
      <c r="BH12" s="129">
        <f t="shared" si="18"/>
        <v>1</v>
      </c>
      <c r="BI12" s="129">
        <f t="shared" si="4"/>
        <v>1.171071581231947</v>
      </c>
      <c r="BJ12" s="129"/>
      <c r="BK12" s="129" t="e">
        <f t="shared" si="19"/>
        <v>#DIV/0!</v>
      </c>
      <c r="BL12" s="129">
        <f t="shared" si="20"/>
        <v>1</v>
      </c>
      <c r="BM12" s="129">
        <f t="shared" si="5"/>
        <v>1.0120497122961685</v>
      </c>
      <c r="BO12" t="e">
        <f t="shared" si="21"/>
        <v>#DIV/0!</v>
      </c>
      <c r="BP12">
        <f t="shared" si="22"/>
        <v>1</v>
      </c>
      <c r="BQ12" s="129">
        <f t="shared" si="6"/>
        <v>1.0035428791781835</v>
      </c>
    </row>
    <row r="13" spans="1:69" x14ac:dyDescent="0.2">
      <c r="A13" s="133" t="s">
        <v>664</v>
      </c>
      <c r="B13" s="133">
        <f t="shared" si="7"/>
        <v>1952</v>
      </c>
      <c r="H13" s="4"/>
      <c r="I13" s="4"/>
      <c r="P13" s="129"/>
      <c r="Q13" s="129"/>
      <c r="R13" s="129"/>
      <c r="S13" s="129"/>
      <c r="T13" s="141"/>
      <c r="V13" s="131"/>
      <c r="W13" s="131"/>
      <c r="X13" s="131"/>
      <c r="Y13" s="131"/>
      <c r="Z13" s="131"/>
      <c r="AA13" s="147"/>
      <c r="AB13" s="131"/>
      <c r="AC13" s="131"/>
      <c r="AD13" s="131"/>
      <c r="AF13" s="134"/>
      <c r="AH13" t="e">
        <f t="shared" si="0"/>
        <v>#DIV/0!</v>
      </c>
      <c r="AI13" t="e">
        <f t="shared" si="1"/>
        <v>#DIV/0!</v>
      </c>
      <c r="AK13" t="e">
        <f t="shared" si="8"/>
        <v>#DIV/0!</v>
      </c>
      <c r="AL13" t="e">
        <f t="shared" si="9"/>
        <v>#DIV/0!</v>
      </c>
      <c r="AM13" t="e">
        <f t="shared" si="10"/>
        <v>#DIV/0!</v>
      </c>
      <c r="AO13" t="e">
        <f t="shared" si="11"/>
        <v>#DIV/0!</v>
      </c>
      <c r="AP13" t="e">
        <f t="shared" si="12"/>
        <v>#DIV/0!</v>
      </c>
      <c r="AS13" t="e">
        <f t="shared" si="23"/>
        <v>#DIV/0!</v>
      </c>
      <c r="AT13" t="e">
        <f t="shared" si="24"/>
        <v>#DIV/0!</v>
      </c>
      <c r="AV13" t="e">
        <f t="shared" si="2"/>
        <v>#DIV/0!</v>
      </c>
      <c r="AW13" t="e">
        <f t="shared" si="3"/>
        <v>#DIV/0!</v>
      </c>
      <c r="AY13" t="e">
        <f t="shared" si="13"/>
        <v>#DIV/0!</v>
      </c>
      <c r="AZ13" t="e">
        <f t="shared" si="14"/>
        <v>#DIV/0!</v>
      </c>
      <c r="BC13" s="129" t="e">
        <f t="shared" si="15"/>
        <v>#DIV/0!</v>
      </c>
      <c r="BD13" s="129" t="e">
        <f t="shared" si="16"/>
        <v>#DIV/0!</v>
      </c>
      <c r="BG13" s="129" t="e">
        <f t="shared" si="17"/>
        <v>#DIV/0!</v>
      </c>
      <c r="BH13" s="129">
        <f t="shared" si="18"/>
        <v>1</v>
      </c>
      <c r="BI13" s="129">
        <f t="shared" si="4"/>
        <v>1.171071581231947</v>
      </c>
      <c r="BJ13" s="129"/>
      <c r="BK13" s="129" t="e">
        <f t="shared" si="19"/>
        <v>#DIV/0!</v>
      </c>
      <c r="BL13" s="129">
        <f t="shared" si="20"/>
        <v>1</v>
      </c>
      <c r="BM13" s="129">
        <f t="shared" si="5"/>
        <v>1.0120497122961685</v>
      </c>
      <c r="BO13" t="e">
        <f t="shared" si="21"/>
        <v>#DIV/0!</v>
      </c>
      <c r="BP13">
        <f t="shared" si="22"/>
        <v>1</v>
      </c>
      <c r="BQ13" s="129">
        <f t="shared" si="6"/>
        <v>1.0035428791781835</v>
      </c>
    </row>
    <row r="14" spans="1:69" x14ac:dyDescent="0.2">
      <c r="A14" s="133" t="s">
        <v>664</v>
      </c>
      <c r="B14" s="133">
        <f t="shared" si="7"/>
        <v>1953</v>
      </c>
      <c r="H14" s="4"/>
      <c r="I14" s="4"/>
      <c r="P14" s="129"/>
      <c r="Q14" s="129"/>
      <c r="R14" s="129"/>
      <c r="S14" s="129"/>
      <c r="T14" s="141"/>
      <c r="V14" s="131"/>
      <c r="W14" s="131"/>
      <c r="X14" s="131"/>
      <c r="Y14" s="131"/>
      <c r="Z14" s="131"/>
      <c r="AA14" s="131"/>
      <c r="AB14" s="131"/>
      <c r="AC14" s="131"/>
      <c r="AD14" s="131"/>
      <c r="AF14" s="134"/>
      <c r="AH14" t="e">
        <f t="shared" si="0"/>
        <v>#DIV/0!</v>
      </c>
      <c r="AI14" t="e">
        <f t="shared" si="1"/>
        <v>#DIV/0!</v>
      </c>
      <c r="AK14" t="e">
        <f t="shared" si="8"/>
        <v>#DIV/0!</v>
      </c>
      <c r="AL14" t="e">
        <f t="shared" si="9"/>
        <v>#DIV/0!</v>
      </c>
      <c r="AM14" t="e">
        <f t="shared" si="10"/>
        <v>#DIV/0!</v>
      </c>
      <c r="AO14" t="e">
        <f t="shared" si="11"/>
        <v>#DIV/0!</v>
      </c>
      <c r="AP14" t="e">
        <f t="shared" si="12"/>
        <v>#DIV/0!</v>
      </c>
      <c r="AS14" t="e">
        <f t="shared" si="23"/>
        <v>#DIV/0!</v>
      </c>
      <c r="AT14" t="e">
        <f t="shared" si="24"/>
        <v>#DIV/0!</v>
      </c>
      <c r="AV14" t="e">
        <f t="shared" si="2"/>
        <v>#DIV/0!</v>
      </c>
      <c r="AW14" t="e">
        <f t="shared" si="3"/>
        <v>#DIV/0!</v>
      </c>
      <c r="AY14" t="e">
        <f t="shared" si="13"/>
        <v>#DIV/0!</v>
      </c>
      <c r="AZ14" t="e">
        <f t="shared" si="14"/>
        <v>#DIV/0!</v>
      </c>
      <c r="BC14" s="129" t="e">
        <f t="shared" si="15"/>
        <v>#DIV/0!</v>
      </c>
      <c r="BD14" s="129" t="e">
        <f t="shared" si="16"/>
        <v>#DIV/0!</v>
      </c>
      <c r="BG14" s="129" t="e">
        <f t="shared" si="17"/>
        <v>#DIV/0!</v>
      </c>
      <c r="BH14" s="129">
        <f t="shared" si="18"/>
        <v>1</v>
      </c>
      <c r="BI14" s="129">
        <f t="shared" si="4"/>
        <v>1.171071581231947</v>
      </c>
      <c r="BJ14" s="129"/>
      <c r="BK14" s="129" t="e">
        <f t="shared" si="19"/>
        <v>#DIV/0!</v>
      </c>
      <c r="BL14" s="129">
        <f t="shared" si="20"/>
        <v>1</v>
      </c>
      <c r="BM14" s="129">
        <f t="shared" si="5"/>
        <v>1.0120497122961685</v>
      </c>
      <c r="BO14" t="e">
        <f t="shared" si="21"/>
        <v>#DIV/0!</v>
      </c>
      <c r="BP14">
        <f t="shared" si="22"/>
        <v>1</v>
      </c>
      <c r="BQ14" s="129">
        <f t="shared" si="6"/>
        <v>1.0035428791781835</v>
      </c>
    </row>
    <row r="15" spans="1:69" x14ac:dyDescent="0.2">
      <c r="A15" s="133" t="s">
        <v>664</v>
      </c>
      <c r="B15" s="133">
        <f t="shared" si="7"/>
        <v>1954</v>
      </c>
      <c r="H15" s="4"/>
      <c r="I15" s="4"/>
      <c r="P15" s="129"/>
      <c r="Q15" s="129"/>
      <c r="R15" s="129"/>
      <c r="S15" s="129"/>
      <c r="T15" s="141"/>
      <c r="V15" s="131"/>
      <c r="W15" s="131"/>
      <c r="X15" s="131"/>
      <c r="Y15" s="131"/>
      <c r="Z15" s="131"/>
      <c r="AA15" s="131"/>
      <c r="AB15" s="131"/>
      <c r="AC15" s="131"/>
      <c r="AD15" s="131"/>
      <c r="AF15" s="134"/>
      <c r="AH15" t="e">
        <f t="shared" si="0"/>
        <v>#DIV/0!</v>
      </c>
      <c r="AI15" t="e">
        <f t="shared" si="1"/>
        <v>#DIV/0!</v>
      </c>
      <c r="AK15" t="e">
        <f t="shared" si="8"/>
        <v>#DIV/0!</v>
      </c>
      <c r="AL15" t="e">
        <f t="shared" si="9"/>
        <v>#DIV/0!</v>
      </c>
      <c r="AM15" t="e">
        <f t="shared" si="10"/>
        <v>#DIV/0!</v>
      </c>
      <c r="AO15" t="e">
        <f t="shared" si="11"/>
        <v>#DIV/0!</v>
      </c>
      <c r="AP15" t="e">
        <f t="shared" si="12"/>
        <v>#DIV/0!</v>
      </c>
      <c r="AS15" t="e">
        <f t="shared" si="23"/>
        <v>#DIV/0!</v>
      </c>
      <c r="AT15" t="e">
        <f t="shared" si="24"/>
        <v>#DIV/0!</v>
      </c>
      <c r="AV15" t="e">
        <f t="shared" si="2"/>
        <v>#DIV/0!</v>
      </c>
      <c r="AW15" t="e">
        <f t="shared" si="3"/>
        <v>#DIV/0!</v>
      </c>
      <c r="AY15" t="e">
        <f t="shared" si="13"/>
        <v>#DIV/0!</v>
      </c>
      <c r="AZ15" t="e">
        <f t="shared" si="14"/>
        <v>#DIV/0!</v>
      </c>
      <c r="BC15" s="129" t="e">
        <f t="shared" si="15"/>
        <v>#DIV/0!</v>
      </c>
      <c r="BD15" s="129" t="e">
        <f t="shared" si="16"/>
        <v>#DIV/0!</v>
      </c>
      <c r="BG15" s="129" t="e">
        <f t="shared" si="17"/>
        <v>#DIV/0!</v>
      </c>
      <c r="BH15" s="129">
        <f t="shared" si="18"/>
        <v>1</v>
      </c>
      <c r="BI15" s="129">
        <f t="shared" si="4"/>
        <v>1.171071581231947</v>
      </c>
      <c r="BJ15" s="129"/>
      <c r="BK15" s="129" t="e">
        <f t="shared" si="19"/>
        <v>#DIV/0!</v>
      </c>
      <c r="BL15" s="129">
        <f t="shared" si="20"/>
        <v>1</v>
      </c>
      <c r="BM15" s="129">
        <f t="shared" si="5"/>
        <v>1.0120497122961685</v>
      </c>
      <c r="BO15" t="e">
        <f t="shared" si="21"/>
        <v>#DIV/0!</v>
      </c>
      <c r="BP15">
        <f t="shared" si="22"/>
        <v>1</v>
      </c>
      <c r="BQ15" s="129">
        <f t="shared" si="6"/>
        <v>1.0035428791781835</v>
      </c>
    </row>
    <row r="16" spans="1:69" x14ac:dyDescent="0.2">
      <c r="A16" s="133" t="s">
        <v>664</v>
      </c>
      <c r="B16" s="133">
        <f t="shared" si="7"/>
        <v>1955</v>
      </c>
      <c r="H16" s="4"/>
      <c r="I16" s="4"/>
      <c r="P16" s="129"/>
      <c r="Q16" s="129"/>
      <c r="R16" s="129"/>
      <c r="S16" s="129"/>
      <c r="T16" s="141"/>
      <c r="V16" s="131"/>
      <c r="W16" s="131"/>
      <c r="X16" s="131"/>
      <c r="Y16" s="131"/>
      <c r="Z16" s="131"/>
      <c r="AA16" s="131"/>
      <c r="AB16" s="131"/>
      <c r="AC16" s="131"/>
      <c r="AD16" s="131"/>
      <c r="AF16" s="134"/>
      <c r="AH16" t="e">
        <f t="shared" si="0"/>
        <v>#DIV/0!</v>
      </c>
      <c r="AI16" t="e">
        <f t="shared" si="1"/>
        <v>#DIV/0!</v>
      </c>
      <c r="AK16" t="e">
        <f t="shared" si="8"/>
        <v>#DIV/0!</v>
      </c>
      <c r="AL16" t="e">
        <f t="shared" si="9"/>
        <v>#DIV/0!</v>
      </c>
      <c r="AM16" t="e">
        <f t="shared" si="10"/>
        <v>#DIV/0!</v>
      </c>
      <c r="AO16" t="e">
        <f t="shared" si="11"/>
        <v>#DIV/0!</v>
      </c>
      <c r="AP16" t="e">
        <f t="shared" si="12"/>
        <v>#DIV/0!</v>
      </c>
      <c r="AS16" t="e">
        <f t="shared" si="23"/>
        <v>#DIV/0!</v>
      </c>
      <c r="AT16" t="e">
        <f t="shared" si="24"/>
        <v>#DIV/0!</v>
      </c>
      <c r="AV16" t="e">
        <f t="shared" si="2"/>
        <v>#DIV/0!</v>
      </c>
      <c r="AW16" t="e">
        <f t="shared" si="3"/>
        <v>#DIV/0!</v>
      </c>
      <c r="AY16" t="e">
        <f t="shared" si="13"/>
        <v>#DIV/0!</v>
      </c>
      <c r="AZ16" t="e">
        <f t="shared" si="14"/>
        <v>#DIV/0!</v>
      </c>
      <c r="BC16" s="129" t="e">
        <f t="shared" si="15"/>
        <v>#DIV/0!</v>
      </c>
      <c r="BD16" s="129" t="e">
        <f t="shared" si="16"/>
        <v>#DIV/0!</v>
      </c>
      <c r="BG16" s="129" t="e">
        <f t="shared" si="17"/>
        <v>#DIV/0!</v>
      </c>
      <c r="BH16" s="129">
        <f t="shared" si="18"/>
        <v>1</v>
      </c>
      <c r="BI16" s="129">
        <f t="shared" si="4"/>
        <v>1.171071581231947</v>
      </c>
      <c r="BJ16" s="129"/>
      <c r="BK16" s="129" t="e">
        <f t="shared" si="19"/>
        <v>#DIV/0!</v>
      </c>
      <c r="BL16" s="129">
        <f t="shared" si="20"/>
        <v>1</v>
      </c>
      <c r="BM16" s="129">
        <f t="shared" si="5"/>
        <v>1.0120497122961685</v>
      </c>
      <c r="BO16" t="e">
        <f t="shared" si="21"/>
        <v>#DIV/0!</v>
      </c>
      <c r="BP16">
        <f t="shared" si="22"/>
        <v>1</v>
      </c>
      <c r="BQ16" s="129">
        <f t="shared" si="6"/>
        <v>1.0035428791781835</v>
      </c>
    </row>
    <row r="17" spans="1:69" x14ac:dyDescent="0.2">
      <c r="A17" s="133" t="s">
        <v>664</v>
      </c>
      <c r="B17" s="133">
        <f t="shared" si="7"/>
        <v>1956</v>
      </c>
      <c r="H17" s="4"/>
      <c r="I17" s="4"/>
      <c r="P17" s="129"/>
      <c r="Q17" s="129"/>
      <c r="R17" s="129"/>
      <c r="S17" s="129"/>
      <c r="T17" s="141"/>
      <c r="V17" s="131"/>
      <c r="W17" s="131"/>
      <c r="X17" s="131"/>
      <c r="Y17" s="131"/>
      <c r="Z17" s="131"/>
      <c r="AA17" s="131"/>
      <c r="AB17" s="131"/>
      <c r="AC17" s="131"/>
      <c r="AD17" s="131"/>
      <c r="AF17" s="134"/>
      <c r="AH17" t="e">
        <f t="shared" si="0"/>
        <v>#DIV/0!</v>
      </c>
      <c r="AI17" t="e">
        <f t="shared" si="1"/>
        <v>#DIV/0!</v>
      </c>
      <c r="AK17" t="e">
        <f t="shared" si="8"/>
        <v>#DIV/0!</v>
      </c>
      <c r="AL17" t="e">
        <f t="shared" si="9"/>
        <v>#DIV/0!</v>
      </c>
      <c r="AM17" t="e">
        <f t="shared" si="10"/>
        <v>#DIV/0!</v>
      </c>
      <c r="AO17" t="e">
        <f t="shared" si="11"/>
        <v>#DIV/0!</v>
      </c>
      <c r="AP17" t="e">
        <f t="shared" si="12"/>
        <v>#DIV/0!</v>
      </c>
      <c r="AS17" t="e">
        <f t="shared" si="23"/>
        <v>#DIV/0!</v>
      </c>
      <c r="AT17" t="e">
        <f t="shared" si="24"/>
        <v>#DIV/0!</v>
      </c>
      <c r="AV17" t="e">
        <f t="shared" si="2"/>
        <v>#DIV/0!</v>
      </c>
      <c r="AW17" t="e">
        <f t="shared" si="3"/>
        <v>#DIV/0!</v>
      </c>
      <c r="AY17" t="e">
        <f t="shared" si="13"/>
        <v>#DIV/0!</v>
      </c>
      <c r="AZ17" t="e">
        <f t="shared" si="14"/>
        <v>#DIV/0!</v>
      </c>
      <c r="BC17" s="129" t="e">
        <f t="shared" si="15"/>
        <v>#DIV/0!</v>
      </c>
      <c r="BD17" s="129" t="e">
        <f t="shared" si="16"/>
        <v>#DIV/0!</v>
      </c>
      <c r="BG17" s="129" t="e">
        <f t="shared" si="17"/>
        <v>#DIV/0!</v>
      </c>
      <c r="BH17" s="129">
        <f t="shared" si="18"/>
        <v>1</v>
      </c>
      <c r="BI17" s="129">
        <f t="shared" si="4"/>
        <v>1.171071581231947</v>
      </c>
      <c r="BJ17" s="129"/>
      <c r="BK17" s="129" t="e">
        <f t="shared" si="19"/>
        <v>#DIV/0!</v>
      </c>
      <c r="BL17" s="129">
        <f t="shared" si="20"/>
        <v>1</v>
      </c>
      <c r="BM17" s="129">
        <f t="shared" si="5"/>
        <v>1.0120497122961685</v>
      </c>
      <c r="BO17" t="e">
        <f t="shared" si="21"/>
        <v>#DIV/0!</v>
      </c>
      <c r="BP17">
        <f t="shared" si="22"/>
        <v>1</v>
      </c>
      <c r="BQ17" s="129">
        <f t="shared" si="6"/>
        <v>1.0035428791781835</v>
      </c>
    </row>
    <row r="18" spans="1:69" x14ac:dyDescent="0.2">
      <c r="A18" s="133" t="s">
        <v>664</v>
      </c>
      <c r="B18" s="133">
        <f t="shared" si="7"/>
        <v>1957</v>
      </c>
      <c r="H18" s="4"/>
      <c r="I18" s="4"/>
      <c r="P18" s="129"/>
      <c r="Q18" s="129"/>
      <c r="R18" s="129"/>
      <c r="S18" s="129"/>
      <c r="T18" s="141"/>
      <c r="V18" s="131"/>
      <c r="W18" s="131"/>
      <c r="X18" s="131"/>
      <c r="Y18" s="131"/>
      <c r="Z18" s="131"/>
      <c r="AA18" s="131"/>
      <c r="AB18" s="131"/>
      <c r="AC18" s="131"/>
      <c r="AD18" s="131"/>
      <c r="AF18" s="134"/>
      <c r="AH18" t="e">
        <f t="shared" si="0"/>
        <v>#DIV/0!</v>
      </c>
      <c r="AI18" t="e">
        <f t="shared" si="1"/>
        <v>#DIV/0!</v>
      </c>
      <c r="AK18" t="e">
        <f t="shared" si="8"/>
        <v>#DIV/0!</v>
      </c>
      <c r="AL18" t="e">
        <f t="shared" si="9"/>
        <v>#DIV/0!</v>
      </c>
      <c r="AM18" t="e">
        <f t="shared" si="10"/>
        <v>#DIV/0!</v>
      </c>
      <c r="AO18" t="e">
        <f t="shared" si="11"/>
        <v>#DIV/0!</v>
      </c>
      <c r="AP18" t="e">
        <f t="shared" si="12"/>
        <v>#DIV/0!</v>
      </c>
      <c r="AS18" t="e">
        <f t="shared" si="23"/>
        <v>#DIV/0!</v>
      </c>
      <c r="AT18" t="e">
        <f t="shared" si="24"/>
        <v>#DIV/0!</v>
      </c>
      <c r="AV18" t="e">
        <f t="shared" si="2"/>
        <v>#DIV/0!</v>
      </c>
      <c r="AW18" t="e">
        <f t="shared" si="3"/>
        <v>#DIV/0!</v>
      </c>
      <c r="AY18" t="e">
        <f t="shared" si="13"/>
        <v>#DIV/0!</v>
      </c>
      <c r="AZ18" t="e">
        <f t="shared" si="14"/>
        <v>#DIV/0!</v>
      </c>
      <c r="BC18" s="129" t="e">
        <f t="shared" si="15"/>
        <v>#DIV/0!</v>
      </c>
      <c r="BD18" s="129" t="e">
        <f t="shared" si="16"/>
        <v>#DIV/0!</v>
      </c>
      <c r="BG18" s="129" t="e">
        <f t="shared" si="17"/>
        <v>#DIV/0!</v>
      </c>
      <c r="BH18" s="129">
        <f t="shared" si="18"/>
        <v>1</v>
      </c>
      <c r="BI18" s="129">
        <f t="shared" si="4"/>
        <v>1.171071581231947</v>
      </c>
      <c r="BJ18" s="129"/>
      <c r="BK18" s="129" t="e">
        <f t="shared" si="19"/>
        <v>#DIV/0!</v>
      </c>
      <c r="BL18" s="129">
        <f t="shared" si="20"/>
        <v>1</v>
      </c>
      <c r="BM18" s="129">
        <f t="shared" si="5"/>
        <v>1.0120497122961685</v>
      </c>
      <c r="BO18" t="e">
        <f t="shared" si="21"/>
        <v>#DIV/0!</v>
      </c>
      <c r="BP18">
        <f t="shared" si="22"/>
        <v>1</v>
      </c>
      <c r="BQ18" s="129">
        <f t="shared" si="6"/>
        <v>1.0035428791781835</v>
      </c>
    </row>
    <row r="19" spans="1:69" x14ac:dyDescent="0.2">
      <c r="A19" s="133" t="s">
        <v>664</v>
      </c>
      <c r="B19" s="133">
        <f t="shared" si="7"/>
        <v>1958</v>
      </c>
      <c r="H19" s="4"/>
      <c r="I19" s="4"/>
      <c r="P19" s="129"/>
      <c r="Q19" s="129"/>
      <c r="R19" s="129"/>
      <c r="S19" s="129"/>
      <c r="T19" s="141"/>
      <c r="V19" s="131"/>
      <c r="W19" s="131"/>
      <c r="X19" s="131"/>
      <c r="Y19" s="131"/>
      <c r="Z19" s="131"/>
      <c r="AA19" s="131"/>
      <c r="AB19" s="131"/>
      <c r="AC19" s="131"/>
      <c r="AD19" s="131"/>
      <c r="AF19" s="134"/>
      <c r="AH19" t="e">
        <f t="shared" si="0"/>
        <v>#DIV/0!</v>
      </c>
      <c r="AI19" t="e">
        <f t="shared" si="1"/>
        <v>#DIV/0!</v>
      </c>
      <c r="AK19" t="e">
        <f t="shared" si="8"/>
        <v>#DIV/0!</v>
      </c>
      <c r="AL19" t="e">
        <f t="shared" si="9"/>
        <v>#DIV/0!</v>
      </c>
      <c r="AM19" t="e">
        <f t="shared" si="10"/>
        <v>#DIV/0!</v>
      </c>
      <c r="AO19" t="e">
        <f t="shared" si="11"/>
        <v>#DIV/0!</v>
      </c>
      <c r="AP19" t="e">
        <f t="shared" si="12"/>
        <v>#DIV/0!</v>
      </c>
      <c r="AS19" t="e">
        <f t="shared" si="23"/>
        <v>#DIV/0!</v>
      </c>
      <c r="AT19" t="e">
        <f t="shared" si="24"/>
        <v>#DIV/0!</v>
      </c>
      <c r="AV19" t="e">
        <f t="shared" si="2"/>
        <v>#DIV/0!</v>
      </c>
      <c r="AW19" t="e">
        <f t="shared" si="3"/>
        <v>#DIV/0!</v>
      </c>
      <c r="AY19" t="e">
        <f t="shared" si="13"/>
        <v>#DIV/0!</v>
      </c>
      <c r="AZ19" t="e">
        <f t="shared" si="14"/>
        <v>#DIV/0!</v>
      </c>
      <c r="BC19" s="129" t="e">
        <f t="shared" si="15"/>
        <v>#DIV/0!</v>
      </c>
      <c r="BD19" s="129" t="e">
        <f t="shared" si="16"/>
        <v>#DIV/0!</v>
      </c>
      <c r="BG19" s="129" t="e">
        <f t="shared" si="17"/>
        <v>#DIV/0!</v>
      </c>
      <c r="BH19" s="129">
        <f t="shared" si="18"/>
        <v>1</v>
      </c>
      <c r="BI19" s="129">
        <f t="shared" si="4"/>
        <v>1.171071581231947</v>
      </c>
      <c r="BJ19" s="129"/>
      <c r="BK19" s="129" t="e">
        <f t="shared" si="19"/>
        <v>#DIV/0!</v>
      </c>
      <c r="BL19" s="129">
        <f t="shared" si="20"/>
        <v>1</v>
      </c>
      <c r="BM19" s="129">
        <f t="shared" si="5"/>
        <v>1.0120497122961685</v>
      </c>
      <c r="BO19" t="e">
        <f t="shared" si="21"/>
        <v>#DIV/0!</v>
      </c>
      <c r="BP19">
        <f t="shared" si="22"/>
        <v>1</v>
      </c>
      <c r="BQ19" s="129">
        <f t="shared" si="6"/>
        <v>1.0035428791781835</v>
      </c>
    </row>
    <row r="20" spans="1:69" x14ac:dyDescent="0.2">
      <c r="A20" s="133" t="s">
        <v>664</v>
      </c>
      <c r="B20" s="133">
        <f t="shared" si="7"/>
        <v>1959</v>
      </c>
      <c r="H20" s="4"/>
      <c r="I20" s="4"/>
      <c r="P20" s="129"/>
      <c r="Q20" s="129"/>
      <c r="R20" s="129"/>
      <c r="S20" s="129"/>
      <c r="T20" s="141"/>
      <c r="V20" s="131"/>
      <c r="W20" s="131"/>
      <c r="X20" s="131"/>
      <c r="Y20" s="131"/>
      <c r="Z20" s="131"/>
      <c r="AA20" s="131"/>
      <c r="AB20" s="131"/>
      <c r="AC20" s="131"/>
      <c r="AD20" s="131"/>
      <c r="AF20" s="134"/>
      <c r="AH20" t="e">
        <f t="shared" si="0"/>
        <v>#DIV/0!</v>
      </c>
      <c r="AI20" t="e">
        <f t="shared" si="1"/>
        <v>#DIV/0!</v>
      </c>
      <c r="AK20" t="e">
        <f t="shared" si="8"/>
        <v>#DIV/0!</v>
      </c>
      <c r="AL20" t="e">
        <f t="shared" si="9"/>
        <v>#DIV/0!</v>
      </c>
      <c r="AM20" t="e">
        <f t="shared" si="10"/>
        <v>#DIV/0!</v>
      </c>
      <c r="AO20" t="e">
        <f t="shared" si="11"/>
        <v>#DIV/0!</v>
      </c>
      <c r="AP20" t="e">
        <f t="shared" si="12"/>
        <v>#DIV/0!</v>
      </c>
      <c r="AS20" t="e">
        <f t="shared" si="23"/>
        <v>#DIV/0!</v>
      </c>
      <c r="AT20" t="e">
        <f t="shared" si="24"/>
        <v>#DIV/0!</v>
      </c>
      <c r="AV20" t="e">
        <f t="shared" si="2"/>
        <v>#DIV/0!</v>
      </c>
      <c r="AW20" t="e">
        <f t="shared" si="3"/>
        <v>#DIV/0!</v>
      </c>
      <c r="AY20" t="e">
        <f t="shared" si="13"/>
        <v>#DIV/0!</v>
      </c>
      <c r="AZ20" t="e">
        <f t="shared" si="14"/>
        <v>#DIV/0!</v>
      </c>
      <c r="BC20" s="129" t="e">
        <f t="shared" si="15"/>
        <v>#DIV/0!</v>
      </c>
      <c r="BD20" s="129" t="e">
        <f t="shared" si="16"/>
        <v>#DIV/0!</v>
      </c>
      <c r="BG20" s="129" t="e">
        <f t="shared" si="17"/>
        <v>#DIV/0!</v>
      </c>
      <c r="BH20" s="129">
        <f t="shared" si="18"/>
        <v>1</v>
      </c>
      <c r="BI20" s="129">
        <f t="shared" si="4"/>
        <v>1.171071581231947</v>
      </c>
      <c r="BJ20" s="129"/>
      <c r="BK20" s="129" t="e">
        <f t="shared" si="19"/>
        <v>#DIV/0!</v>
      </c>
      <c r="BL20" s="129">
        <f t="shared" si="20"/>
        <v>1</v>
      </c>
      <c r="BM20" s="129">
        <f t="shared" si="5"/>
        <v>1.0120497122961685</v>
      </c>
      <c r="BO20" t="e">
        <f t="shared" si="21"/>
        <v>#DIV/0!</v>
      </c>
      <c r="BP20">
        <f t="shared" si="22"/>
        <v>1</v>
      </c>
      <c r="BQ20" s="129">
        <f t="shared" si="6"/>
        <v>1.0035428791781835</v>
      </c>
    </row>
    <row r="21" spans="1:69" x14ac:dyDescent="0.2">
      <c r="A21" s="133" t="s">
        <v>664</v>
      </c>
      <c r="B21" s="133">
        <f t="shared" si="7"/>
        <v>1960</v>
      </c>
      <c r="H21" s="4"/>
      <c r="I21" s="4"/>
      <c r="P21" s="129"/>
      <c r="Q21" s="129"/>
      <c r="R21" s="129"/>
      <c r="S21" s="129"/>
      <c r="T21" s="141"/>
      <c r="V21" s="131"/>
      <c r="W21" s="131"/>
      <c r="X21" s="131"/>
      <c r="Y21" s="131"/>
      <c r="Z21" s="131"/>
      <c r="AA21" s="131"/>
      <c r="AB21" s="131"/>
      <c r="AC21" s="131"/>
      <c r="AD21" s="131"/>
      <c r="AF21" s="134"/>
      <c r="AH21" t="e">
        <f t="shared" si="0"/>
        <v>#DIV/0!</v>
      </c>
      <c r="AI21" t="e">
        <f t="shared" si="1"/>
        <v>#DIV/0!</v>
      </c>
      <c r="AK21" t="e">
        <f t="shared" si="8"/>
        <v>#DIV/0!</v>
      </c>
      <c r="AL21" t="e">
        <f t="shared" si="9"/>
        <v>#DIV/0!</v>
      </c>
      <c r="AM21" t="e">
        <f t="shared" si="10"/>
        <v>#DIV/0!</v>
      </c>
      <c r="AO21" t="e">
        <f t="shared" si="11"/>
        <v>#DIV/0!</v>
      </c>
      <c r="AP21" t="e">
        <f t="shared" si="12"/>
        <v>#DIV/0!</v>
      </c>
      <c r="AS21" t="e">
        <f t="shared" si="23"/>
        <v>#DIV/0!</v>
      </c>
      <c r="AT21" t="e">
        <f t="shared" si="24"/>
        <v>#DIV/0!</v>
      </c>
      <c r="AV21" t="e">
        <f t="shared" si="2"/>
        <v>#DIV/0!</v>
      </c>
      <c r="AW21" t="e">
        <f t="shared" si="3"/>
        <v>#DIV/0!</v>
      </c>
      <c r="AY21" t="e">
        <f t="shared" si="13"/>
        <v>#DIV/0!</v>
      </c>
      <c r="AZ21" t="e">
        <f t="shared" si="14"/>
        <v>#DIV/0!</v>
      </c>
      <c r="BC21" s="129" t="e">
        <f t="shared" si="15"/>
        <v>#DIV/0!</v>
      </c>
      <c r="BD21" s="129" t="e">
        <f t="shared" si="16"/>
        <v>#DIV/0!</v>
      </c>
      <c r="BG21" s="129" t="e">
        <f t="shared" si="17"/>
        <v>#DIV/0!</v>
      </c>
      <c r="BH21" s="129">
        <f t="shared" si="18"/>
        <v>1</v>
      </c>
      <c r="BI21" s="129">
        <f t="shared" si="4"/>
        <v>1.171071581231947</v>
      </c>
      <c r="BJ21" s="129"/>
      <c r="BK21" s="129" t="e">
        <f t="shared" si="19"/>
        <v>#DIV/0!</v>
      </c>
      <c r="BL21" s="129">
        <f t="shared" si="20"/>
        <v>1</v>
      </c>
      <c r="BM21" s="129">
        <f t="shared" si="5"/>
        <v>1.0120497122961685</v>
      </c>
      <c r="BO21" t="e">
        <f t="shared" si="21"/>
        <v>#DIV/0!</v>
      </c>
      <c r="BP21">
        <f t="shared" si="22"/>
        <v>1</v>
      </c>
      <c r="BQ21" s="129">
        <f t="shared" si="6"/>
        <v>1.0035428791781835</v>
      </c>
    </row>
    <row r="22" spans="1:69" x14ac:dyDescent="0.2">
      <c r="A22" s="133" t="s">
        <v>664</v>
      </c>
      <c r="B22" s="133">
        <f t="shared" si="7"/>
        <v>1961</v>
      </c>
      <c r="H22" s="4"/>
      <c r="I22" s="4"/>
      <c r="P22" s="129"/>
      <c r="Q22" s="129"/>
      <c r="R22" s="129"/>
      <c r="S22" s="129"/>
      <c r="T22" s="141"/>
      <c r="V22" s="131"/>
      <c r="W22" s="131"/>
      <c r="X22" s="131"/>
      <c r="Y22" s="131"/>
      <c r="Z22" s="131"/>
      <c r="AA22" s="131"/>
      <c r="AB22" s="131"/>
      <c r="AC22" s="131"/>
      <c r="AD22" s="131"/>
      <c r="AF22" s="134"/>
      <c r="AH22" t="e">
        <f t="shared" si="0"/>
        <v>#DIV/0!</v>
      </c>
      <c r="AI22" t="e">
        <f t="shared" si="1"/>
        <v>#DIV/0!</v>
      </c>
      <c r="AK22" t="e">
        <f t="shared" si="8"/>
        <v>#DIV/0!</v>
      </c>
      <c r="AL22" t="e">
        <f t="shared" si="9"/>
        <v>#DIV/0!</v>
      </c>
      <c r="AM22" t="e">
        <f t="shared" si="10"/>
        <v>#DIV/0!</v>
      </c>
      <c r="AO22" t="e">
        <f t="shared" si="11"/>
        <v>#DIV/0!</v>
      </c>
      <c r="AP22" t="e">
        <f t="shared" si="12"/>
        <v>#DIV/0!</v>
      </c>
      <c r="AS22" t="e">
        <f t="shared" si="23"/>
        <v>#DIV/0!</v>
      </c>
      <c r="AT22" t="e">
        <f t="shared" si="24"/>
        <v>#DIV/0!</v>
      </c>
      <c r="AV22" t="e">
        <f t="shared" si="2"/>
        <v>#DIV/0!</v>
      </c>
      <c r="AW22" t="e">
        <f t="shared" si="3"/>
        <v>#DIV/0!</v>
      </c>
      <c r="AY22" t="e">
        <f t="shared" si="13"/>
        <v>#DIV/0!</v>
      </c>
      <c r="AZ22" t="e">
        <f t="shared" si="14"/>
        <v>#DIV/0!</v>
      </c>
      <c r="BC22" s="129" t="e">
        <f t="shared" si="15"/>
        <v>#DIV/0!</v>
      </c>
      <c r="BD22" s="129" t="e">
        <f t="shared" si="16"/>
        <v>#DIV/0!</v>
      </c>
      <c r="BG22" s="129" t="e">
        <f t="shared" si="17"/>
        <v>#DIV/0!</v>
      </c>
      <c r="BH22" s="129">
        <f t="shared" si="18"/>
        <v>1</v>
      </c>
      <c r="BI22" s="129">
        <f t="shared" si="4"/>
        <v>1.171071581231947</v>
      </c>
      <c r="BJ22" s="129"/>
      <c r="BK22" s="129" t="e">
        <f t="shared" si="19"/>
        <v>#DIV/0!</v>
      </c>
      <c r="BL22" s="129">
        <f t="shared" si="20"/>
        <v>1</v>
      </c>
      <c r="BM22" s="129">
        <f t="shared" si="5"/>
        <v>1.0120497122961685</v>
      </c>
      <c r="BO22" t="e">
        <f t="shared" si="21"/>
        <v>#DIV/0!</v>
      </c>
      <c r="BP22">
        <f t="shared" si="22"/>
        <v>1</v>
      </c>
      <c r="BQ22" s="129">
        <f t="shared" si="6"/>
        <v>1.0035428791781835</v>
      </c>
    </row>
    <row r="23" spans="1:69" x14ac:dyDescent="0.2">
      <c r="A23" s="133" t="s">
        <v>664</v>
      </c>
      <c r="B23" s="133">
        <f t="shared" si="7"/>
        <v>1962</v>
      </c>
      <c r="H23" s="4"/>
      <c r="I23" s="4"/>
      <c r="P23" s="129"/>
      <c r="Q23" s="129"/>
      <c r="R23" s="129"/>
      <c r="S23" s="129"/>
      <c r="T23" s="141"/>
      <c r="V23" s="131"/>
      <c r="W23" s="131"/>
      <c r="X23" s="131"/>
      <c r="Y23" s="131"/>
      <c r="Z23" s="131"/>
      <c r="AA23" s="131"/>
      <c r="AB23" s="131"/>
      <c r="AC23" s="131"/>
      <c r="AD23" s="131"/>
      <c r="AF23" s="134"/>
      <c r="AH23" t="e">
        <f t="shared" si="0"/>
        <v>#DIV/0!</v>
      </c>
      <c r="AI23" t="e">
        <f t="shared" si="1"/>
        <v>#DIV/0!</v>
      </c>
      <c r="AK23" t="e">
        <f t="shared" si="8"/>
        <v>#DIV/0!</v>
      </c>
      <c r="AL23" t="e">
        <f t="shared" si="9"/>
        <v>#DIV/0!</v>
      </c>
      <c r="AM23" t="e">
        <f t="shared" si="10"/>
        <v>#DIV/0!</v>
      </c>
      <c r="AO23" t="e">
        <f t="shared" si="11"/>
        <v>#DIV/0!</v>
      </c>
      <c r="AP23" t="e">
        <f t="shared" si="12"/>
        <v>#DIV/0!</v>
      </c>
      <c r="AS23" t="e">
        <f t="shared" si="23"/>
        <v>#DIV/0!</v>
      </c>
      <c r="AT23" t="e">
        <f t="shared" si="24"/>
        <v>#DIV/0!</v>
      </c>
      <c r="AV23" t="e">
        <f t="shared" si="2"/>
        <v>#DIV/0!</v>
      </c>
      <c r="AW23" t="e">
        <f t="shared" si="3"/>
        <v>#DIV/0!</v>
      </c>
      <c r="AY23" t="e">
        <f t="shared" si="13"/>
        <v>#DIV/0!</v>
      </c>
      <c r="AZ23" t="e">
        <f t="shared" si="14"/>
        <v>#DIV/0!</v>
      </c>
      <c r="BC23" s="129" t="e">
        <f t="shared" si="15"/>
        <v>#DIV/0!</v>
      </c>
      <c r="BD23" s="129" t="e">
        <f t="shared" si="16"/>
        <v>#DIV/0!</v>
      </c>
      <c r="BG23" s="129" t="e">
        <f t="shared" si="17"/>
        <v>#DIV/0!</v>
      </c>
      <c r="BH23" s="129">
        <f t="shared" si="18"/>
        <v>1</v>
      </c>
      <c r="BI23" s="129">
        <f t="shared" si="4"/>
        <v>1.171071581231947</v>
      </c>
      <c r="BJ23" s="129"/>
      <c r="BK23" s="129" t="e">
        <f t="shared" si="19"/>
        <v>#DIV/0!</v>
      </c>
      <c r="BL23" s="129">
        <f t="shared" si="20"/>
        <v>1</v>
      </c>
      <c r="BM23" s="129">
        <f t="shared" si="5"/>
        <v>1.0120497122961685</v>
      </c>
      <c r="BO23" t="e">
        <f t="shared" si="21"/>
        <v>#DIV/0!</v>
      </c>
      <c r="BP23">
        <f t="shared" si="22"/>
        <v>1</v>
      </c>
      <c r="BQ23" s="129">
        <f t="shared" si="6"/>
        <v>1.0035428791781835</v>
      </c>
    </row>
    <row r="24" spans="1:69" x14ac:dyDescent="0.2">
      <c r="A24" s="133" t="s">
        <v>664</v>
      </c>
      <c r="B24" s="133">
        <f t="shared" si="7"/>
        <v>1963</v>
      </c>
      <c r="H24" s="4"/>
      <c r="I24" s="4"/>
      <c r="P24" s="129"/>
      <c r="Q24" s="129"/>
      <c r="R24" s="129"/>
      <c r="S24" s="129"/>
      <c r="T24" s="141"/>
      <c r="V24" s="131"/>
      <c r="W24" s="131"/>
      <c r="X24" s="131"/>
      <c r="Y24" s="131"/>
      <c r="Z24" s="131"/>
      <c r="AA24" s="131"/>
      <c r="AB24" s="131"/>
      <c r="AC24" s="131"/>
      <c r="AD24" s="131"/>
      <c r="AF24" s="134"/>
      <c r="AH24" t="e">
        <f t="shared" si="0"/>
        <v>#DIV/0!</v>
      </c>
      <c r="AI24" t="e">
        <f t="shared" si="1"/>
        <v>#DIV/0!</v>
      </c>
      <c r="AK24" t="e">
        <f t="shared" si="8"/>
        <v>#DIV/0!</v>
      </c>
      <c r="AL24" t="e">
        <f t="shared" si="9"/>
        <v>#DIV/0!</v>
      </c>
      <c r="AM24" t="e">
        <f t="shared" si="10"/>
        <v>#DIV/0!</v>
      </c>
      <c r="AO24" t="e">
        <f t="shared" si="11"/>
        <v>#DIV/0!</v>
      </c>
      <c r="AP24" t="e">
        <f t="shared" si="12"/>
        <v>#DIV/0!</v>
      </c>
      <c r="AS24" t="e">
        <f t="shared" si="23"/>
        <v>#DIV/0!</v>
      </c>
      <c r="AT24" t="e">
        <f t="shared" si="24"/>
        <v>#DIV/0!</v>
      </c>
      <c r="AV24" t="e">
        <f t="shared" si="2"/>
        <v>#DIV/0!</v>
      </c>
      <c r="AW24" t="e">
        <f t="shared" si="3"/>
        <v>#DIV/0!</v>
      </c>
      <c r="AY24" t="e">
        <f t="shared" si="13"/>
        <v>#DIV/0!</v>
      </c>
      <c r="AZ24" t="e">
        <f t="shared" si="14"/>
        <v>#DIV/0!</v>
      </c>
      <c r="BC24" s="129" t="e">
        <f t="shared" si="15"/>
        <v>#DIV/0!</v>
      </c>
      <c r="BD24" s="129" t="e">
        <f t="shared" si="16"/>
        <v>#DIV/0!</v>
      </c>
      <c r="BG24" s="129" t="e">
        <f t="shared" si="17"/>
        <v>#DIV/0!</v>
      </c>
      <c r="BH24" s="129">
        <f t="shared" si="18"/>
        <v>1</v>
      </c>
      <c r="BI24" s="129">
        <f t="shared" si="4"/>
        <v>1.171071581231947</v>
      </c>
      <c r="BJ24" s="129"/>
      <c r="BK24" s="129" t="e">
        <f t="shared" si="19"/>
        <v>#DIV/0!</v>
      </c>
      <c r="BL24" s="129">
        <f t="shared" si="20"/>
        <v>1</v>
      </c>
      <c r="BM24" s="129">
        <f t="shared" si="5"/>
        <v>1.0120497122961685</v>
      </c>
      <c r="BO24" t="e">
        <f t="shared" si="21"/>
        <v>#DIV/0!</v>
      </c>
      <c r="BP24">
        <f t="shared" si="22"/>
        <v>1</v>
      </c>
      <c r="BQ24" s="129">
        <f t="shared" si="6"/>
        <v>1.0035428791781835</v>
      </c>
    </row>
    <row r="25" spans="1:69" x14ac:dyDescent="0.2">
      <c r="A25" s="133" t="s">
        <v>664</v>
      </c>
      <c r="B25" s="133">
        <f t="shared" si="7"/>
        <v>1964</v>
      </c>
      <c r="H25" s="4"/>
      <c r="I25" s="4"/>
      <c r="P25" s="129"/>
      <c r="Q25" s="129"/>
      <c r="R25" s="129"/>
      <c r="S25" s="129"/>
      <c r="T25" s="141"/>
      <c r="V25" s="131"/>
      <c r="W25" s="131"/>
      <c r="X25" s="131"/>
      <c r="Y25" s="131"/>
      <c r="Z25" s="131"/>
      <c r="AA25" s="131"/>
      <c r="AB25" s="131"/>
      <c r="AC25" s="131"/>
      <c r="AD25" s="131"/>
      <c r="AF25" s="134"/>
      <c r="AH25" t="e">
        <f t="shared" si="0"/>
        <v>#DIV/0!</v>
      </c>
      <c r="AI25" t="e">
        <f t="shared" si="1"/>
        <v>#DIV/0!</v>
      </c>
      <c r="AK25" t="e">
        <f t="shared" si="8"/>
        <v>#DIV/0!</v>
      </c>
      <c r="AL25" t="e">
        <f t="shared" si="9"/>
        <v>#DIV/0!</v>
      </c>
      <c r="AM25" t="e">
        <f t="shared" si="10"/>
        <v>#DIV/0!</v>
      </c>
      <c r="AO25" t="e">
        <f t="shared" si="11"/>
        <v>#DIV/0!</v>
      </c>
      <c r="AP25" t="e">
        <f t="shared" si="12"/>
        <v>#DIV/0!</v>
      </c>
      <c r="AS25" t="e">
        <f t="shared" si="23"/>
        <v>#DIV/0!</v>
      </c>
      <c r="AT25" t="e">
        <f t="shared" si="24"/>
        <v>#DIV/0!</v>
      </c>
      <c r="AV25" t="e">
        <f t="shared" si="2"/>
        <v>#DIV/0!</v>
      </c>
      <c r="AW25" t="e">
        <f t="shared" si="3"/>
        <v>#DIV/0!</v>
      </c>
      <c r="AY25" t="e">
        <f t="shared" si="13"/>
        <v>#DIV/0!</v>
      </c>
      <c r="AZ25" t="e">
        <f t="shared" si="14"/>
        <v>#DIV/0!</v>
      </c>
      <c r="BC25" s="129" t="e">
        <f t="shared" si="15"/>
        <v>#DIV/0!</v>
      </c>
      <c r="BD25" s="129" t="e">
        <f t="shared" si="16"/>
        <v>#DIV/0!</v>
      </c>
      <c r="BG25" s="129" t="e">
        <f t="shared" si="17"/>
        <v>#DIV/0!</v>
      </c>
      <c r="BH25" s="129">
        <f t="shared" si="18"/>
        <v>1</v>
      </c>
      <c r="BI25" s="129">
        <f t="shared" si="4"/>
        <v>1.171071581231947</v>
      </c>
      <c r="BJ25" s="129"/>
      <c r="BK25" s="129" t="e">
        <f t="shared" si="19"/>
        <v>#DIV/0!</v>
      </c>
      <c r="BL25" s="129">
        <f t="shared" si="20"/>
        <v>1</v>
      </c>
      <c r="BM25" s="129">
        <f t="shared" si="5"/>
        <v>1.0120497122961685</v>
      </c>
      <c r="BO25" t="e">
        <f t="shared" si="21"/>
        <v>#DIV/0!</v>
      </c>
      <c r="BP25">
        <f t="shared" si="22"/>
        <v>1</v>
      </c>
      <c r="BQ25" s="129">
        <f t="shared" si="6"/>
        <v>1.0035428791781835</v>
      </c>
    </row>
    <row r="26" spans="1:69" x14ac:dyDescent="0.2">
      <c r="A26" s="133" t="s">
        <v>664</v>
      </c>
      <c r="B26" s="133">
        <f t="shared" si="7"/>
        <v>1965</v>
      </c>
      <c r="H26" s="4"/>
      <c r="I26" s="4"/>
      <c r="P26" s="129"/>
      <c r="Q26" s="129"/>
      <c r="R26" s="129"/>
      <c r="S26" s="129"/>
      <c r="T26" s="141"/>
      <c r="V26" s="131"/>
      <c r="W26" s="131"/>
      <c r="X26" s="131"/>
      <c r="Y26" s="131"/>
      <c r="Z26" s="131"/>
      <c r="AA26" s="131"/>
      <c r="AB26" s="131"/>
      <c r="AC26" s="131"/>
      <c r="AD26" s="131"/>
      <c r="AF26" s="134"/>
      <c r="AH26" t="e">
        <f t="shared" si="0"/>
        <v>#DIV/0!</v>
      </c>
      <c r="AI26" t="e">
        <f t="shared" si="1"/>
        <v>#DIV/0!</v>
      </c>
      <c r="AK26" t="e">
        <f t="shared" si="8"/>
        <v>#DIV/0!</v>
      </c>
      <c r="AL26" t="e">
        <f t="shared" si="9"/>
        <v>#DIV/0!</v>
      </c>
      <c r="AM26" t="e">
        <f t="shared" si="10"/>
        <v>#DIV/0!</v>
      </c>
      <c r="AO26" t="e">
        <f t="shared" si="11"/>
        <v>#DIV/0!</v>
      </c>
      <c r="AP26" t="e">
        <f t="shared" si="12"/>
        <v>#DIV/0!</v>
      </c>
      <c r="AS26" t="e">
        <f t="shared" si="23"/>
        <v>#DIV/0!</v>
      </c>
      <c r="AT26" t="e">
        <f t="shared" si="24"/>
        <v>#DIV/0!</v>
      </c>
      <c r="AV26" t="e">
        <f t="shared" si="2"/>
        <v>#DIV/0!</v>
      </c>
      <c r="AW26" t="e">
        <f t="shared" si="3"/>
        <v>#DIV/0!</v>
      </c>
      <c r="AY26" t="e">
        <f t="shared" si="13"/>
        <v>#DIV/0!</v>
      </c>
      <c r="AZ26" t="e">
        <f t="shared" si="14"/>
        <v>#DIV/0!</v>
      </c>
      <c r="BC26" s="129" t="e">
        <f t="shared" si="15"/>
        <v>#DIV/0!</v>
      </c>
      <c r="BD26" s="129" t="e">
        <f t="shared" si="16"/>
        <v>#DIV/0!</v>
      </c>
      <c r="BG26" s="129" t="e">
        <f t="shared" si="17"/>
        <v>#DIV/0!</v>
      </c>
      <c r="BH26" s="129">
        <f t="shared" si="18"/>
        <v>1</v>
      </c>
      <c r="BI26" s="129">
        <f t="shared" si="4"/>
        <v>1.171071581231947</v>
      </c>
      <c r="BJ26" s="129"/>
      <c r="BK26" s="129" t="e">
        <f t="shared" si="19"/>
        <v>#DIV/0!</v>
      </c>
      <c r="BL26" s="129">
        <f t="shared" si="20"/>
        <v>1</v>
      </c>
      <c r="BM26" s="129">
        <f t="shared" si="5"/>
        <v>1.0120497122961685</v>
      </c>
      <c r="BO26" t="e">
        <f t="shared" si="21"/>
        <v>#DIV/0!</v>
      </c>
      <c r="BP26">
        <f t="shared" si="22"/>
        <v>1</v>
      </c>
      <c r="BQ26" s="129">
        <f t="shared" si="6"/>
        <v>1.0035428791781835</v>
      </c>
    </row>
    <row r="27" spans="1:69" x14ac:dyDescent="0.2">
      <c r="A27" s="133" t="s">
        <v>664</v>
      </c>
      <c r="B27" s="133">
        <f t="shared" si="7"/>
        <v>1966</v>
      </c>
      <c r="H27" s="4"/>
      <c r="I27" s="4"/>
      <c r="P27" s="129"/>
      <c r="Q27" s="129"/>
      <c r="R27" s="129"/>
      <c r="S27" s="129"/>
      <c r="T27" s="141"/>
      <c r="V27" s="131"/>
      <c r="W27" s="131"/>
      <c r="X27" s="131"/>
      <c r="Y27" s="131"/>
      <c r="Z27" s="131"/>
      <c r="AA27" s="131"/>
      <c r="AB27" s="131"/>
      <c r="AC27" s="131"/>
      <c r="AD27" s="131"/>
      <c r="AF27" s="134"/>
      <c r="AH27" t="e">
        <f t="shared" si="0"/>
        <v>#DIV/0!</v>
      </c>
      <c r="AI27" t="e">
        <f t="shared" si="1"/>
        <v>#DIV/0!</v>
      </c>
      <c r="AK27" t="e">
        <f t="shared" si="8"/>
        <v>#DIV/0!</v>
      </c>
      <c r="AL27" t="e">
        <f t="shared" si="9"/>
        <v>#DIV/0!</v>
      </c>
      <c r="AM27" t="e">
        <f t="shared" si="10"/>
        <v>#DIV/0!</v>
      </c>
      <c r="AO27" t="e">
        <f t="shared" si="11"/>
        <v>#DIV/0!</v>
      </c>
      <c r="AP27" t="e">
        <f t="shared" si="12"/>
        <v>#DIV/0!</v>
      </c>
      <c r="AS27" t="e">
        <f t="shared" si="23"/>
        <v>#DIV/0!</v>
      </c>
      <c r="AT27" t="e">
        <f t="shared" si="24"/>
        <v>#DIV/0!</v>
      </c>
      <c r="AV27" t="e">
        <f t="shared" si="2"/>
        <v>#DIV/0!</v>
      </c>
      <c r="AW27" t="e">
        <f t="shared" si="3"/>
        <v>#DIV/0!</v>
      </c>
      <c r="AY27" t="e">
        <f t="shared" si="13"/>
        <v>#DIV/0!</v>
      </c>
      <c r="AZ27" t="e">
        <f t="shared" si="14"/>
        <v>#DIV/0!</v>
      </c>
      <c r="BC27" s="129" t="e">
        <f t="shared" si="15"/>
        <v>#DIV/0!</v>
      </c>
      <c r="BD27" s="129" t="e">
        <f t="shared" si="16"/>
        <v>#DIV/0!</v>
      </c>
      <c r="BG27" s="129" t="e">
        <f t="shared" si="17"/>
        <v>#DIV/0!</v>
      </c>
      <c r="BH27" s="129">
        <f t="shared" si="18"/>
        <v>1</v>
      </c>
      <c r="BI27" s="129">
        <f t="shared" si="4"/>
        <v>1.171071581231947</v>
      </c>
      <c r="BJ27" s="129"/>
      <c r="BK27" s="129" t="e">
        <f t="shared" si="19"/>
        <v>#DIV/0!</v>
      </c>
      <c r="BL27" s="129">
        <f t="shared" si="20"/>
        <v>1</v>
      </c>
      <c r="BM27" s="129">
        <f t="shared" si="5"/>
        <v>1.0120497122961685</v>
      </c>
      <c r="BO27" t="e">
        <f t="shared" si="21"/>
        <v>#DIV/0!</v>
      </c>
      <c r="BP27">
        <f t="shared" si="22"/>
        <v>1</v>
      </c>
      <c r="BQ27" s="129">
        <f t="shared" si="6"/>
        <v>1.0035428791781835</v>
      </c>
    </row>
    <row r="28" spans="1:69" x14ac:dyDescent="0.2">
      <c r="A28" s="133" t="s">
        <v>664</v>
      </c>
      <c r="B28" s="133">
        <f t="shared" si="7"/>
        <v>1967</v>
      </c>
      <c r="H28" s="4"/>
      <c r="I28" s="4"/>
      <c r="P28" s="129"/>
      <c r="Q28" s="129"/>
      <c r="R28" s="129"/>
      <c r="S28" s="129"/>
      <c r="T28" s="141"/>
      <c r="V28" s="131"/>
      <c r="W28" s="131"/>
      <c r="X28" s="131"/>
      <c r="Y28" s="131"/>
      <c r="Z28" s="131"/>
      <c r="AA28" s="131"/>
      <c r="AB28" s="131"/>
      <c r="AC28" s="131"/>
      <c r="AD28" s="131"/>
      <c r="AF28" s="134"/>
      <c r="AH28" t="e">
        <f t="shared" si="0"/>
        <v>#DIV/0!</v>
      </c>
      <c r="AI28" t="e">
        <f t="shared" si="1"/>
        <v>#DIV/0!</v>
      </c>
      <c r="AK28" t="e">
        <f t="shared" si="8"/>
        <v>#DIV/0!</v>
      </c>
      <c r="AL28" t="e">
        <f t="shared" si="9"/>
        <v>#DIV/0!</v>
      </c>
      <c r="AM28" t="e">
        <f t="shared" si="10"/>
        <v>#DIV/0!</v>
      </c>
      <c r="AO28" t="e">
        <f t="shared" si="11"/>
        <v>#DIV/0!</v>
      </c>
      <c r="AP28" t="e">
        <f t="shared" si="12"/>
        <v>#DIV/0!</v>
      </c>
      <c r="AS28" t="e">
        <f t="shared" si="23"/>
        <v>#DIV/0!</v>
      </c>
      <c r="AT28" t="e">
        <f t="shared" si="24"/>
        <v>#DIV/0!</v>
      </c>
      <c r="AV28" t="e">
        <f t="shared" si="2"/>
        <v>#DIV/0!</v>
      </c>
      <c r="AW28" t="e">
        <f t="shared" si="3"/>
        <v>#DIV/0!</v>
      </c>
      <c r="AY28" t="e">
        <f t="shared" si="13"/>
        <v>#DIV/0!</v>
      </c>
      <c r="AZ28" t="e">
        <f t="shared" si="14"/>
        <v>#DIV/0!</v>
      </c>
      <c r="BC28" s="129" t="e">
        <f t="shared" si="15"/>
        <v>#DIV/0!</v>
      </c>
      <c r="BD28" s="129" t="e">
        <f t="shared" si="16"/>
        <v>#DIV/0!</v>
      </c>
      <c r="BG28" s="129" t="e">
        <f t="shared" si="17"/>
        <v>#DIV/0!</v>
      </c>
      <c r="BH28" s="129">
        <f t="shared" si="18"/>
        <v>1</v>
      </c>
      <c r="BI28" s="129">
        <f t="shared" si="4"/>
        <v>1.171071581231947</v>
      </c>
      <c r="BJ28" s="129"/>
      <c r="BK28" s="129" t="e">
        <f t="shared" si="19"/>
        <v>#DIV/0!</v>
      </c>
      <c r="BL28" s="129">
        <f t="shared" si="20"/>
        <v>1</v>
      </c>
      <c r="BM28" s="129">
        <f t="shared" si="5"/>
        <v>1.0120497122961685</v>
      </c>
      <c r="BO28" t="e">
        <f t="shared" si="21"/>
        <v>#DIV/0!</v>
      </c>
      <c r="BP28">
        <f t="shared" si="22"/>
        <v>1</v>
      </c>
      <c r="BQ28" s="129">
        <f t="shared" si="6"/>
        <v>1.0035428791781835</v>
      </c>
    </row>
    <row r="29" spans="1:69" x14ac:dyDescent="0.2">
      <c r="A29" s="133" t="s">
        <v>664</v>
      </c>
      <c r="B29" s="133">
        <f t="shared" si="7"/>
        <v>1968</v>
      </c>
      <c r="H29" s="4"/>
      <c r="I29" s="4"/>
      <c r="P29" s="129"/>
      <c r="Q29" s="129"/>
      <c r="R29" s="129"/>
      <c r="S29" s="129"/>
      <c r="T29" s="141"/>
      <c r="V29" s="131"/>
      <c r="W29" s="131"/>
      <c r="X29" s="131"/>
      <c r="Y29" s="131"/>
      <c r="Z29" s="131"/>
      <c r="AA29" s="131"/>
      <c r="AB29" s="131"/>
      <c r="AC29" s="131"/>
      <c r="AD29" s="131"/>
      <c r="AF29" s="134"/>
      <c r="AH29" t="e">
        <f t="shared" si="0"/>
        <v>#DIV/0!</v>
      </c>
      <c r="AI29" t="e">
        <f t="shared" si="1"/>
        <v>#DIV/0!</v>
      </c>
      <c r="AK29" t="e">
        <f t="shared" si="8"/>
        <v>#DIV/0!</v>
      </c>
      <c r="AL29" t="e">
        <f t="shared" si="9"/>
        <v>#DIV/0!</v>
      </c>
      <c r="AM29" t="e">
        <f t="shared" si="10"/>
        <v>#DIV/0!</v>
      </c>
      <c r="AO29" t="e">
        <f t="shared" si="11"/>
        <v>#DIV/0!</v>
      </c>
      <c r="AP29" t="e">
        <f t="shared" si="12"/>
        <v>#DIV/0!</v>
      </c>
      <c r="AS29" t="e">
        <f t="shared" si="23"/>
        <v>#DIV/0!</v>
      </c>
      <c r="AT29" t="e">
        <f t="shared" si="24"/>
        <v>#DIV/0!</v>
      </c>
      <c r="AV29" t="e">
        <f t="shared" si="2"/>
        <v>#DIV/0!</v>
      </c>
      <c r="AW29" t="e">
        <f t="shared" si="3"/>
        <v>#DIV/0!</v>
      </c>
      <c r="AY29" t="e">
        <f t="shared" si="13"/>
        <v>#DIV/0!</v>
      </c>
      <c r="AZ29" t="e">
        <f t="shared" si="14"/>
        <v>#DIV/0!</v>
      </c>
      <c r="BC29" s="129" t="e">
        <f t="shared" si="15"/>
        <v>#DIV/0!</v>
      </c>
      <c r="BD29" s="129" t="e">
        <f t="shared" si="16"/>
        <v>#DIV/0!</v>
      </c>
      <c r="BG29" s="129" t="e">
        <f t="shared" si="17"/>
        <v>#DIV/0!</v>
      </c>
      <c r="BH29" s="129">
        <f t="shared" si="18"/>
        <v>1</v>
      </c>
      <c r="BI29" s="129">
        <f t="shared" si="4"/>
        <v>1.171071581231947</v>
      </c>
      <c r="BJ29" s="129"/>
      <c r="BK29" s="129" t="e">
        <f t="shared" si="19"/>
        <v>#DIV/0!</v>
      </c>
      <c r="BL29" s="129">
        <f t="shared" si="20"/>
        <v>1</v>
      </c>
      <c r="BM29" s="129">
        <f t="shared" si="5"/>
        <v>1.0120497122961685</v>
      </c>
      <c r="BO29" t="e">
        <f t="shared" si="21"/>
        <v>#DIV/0!</v>
      </c>
      <c r="BP29">
        <f t="shared" si="22"/>
        <v>1</v>
      </c>
      <c r="BQ29" s="129">
        <f t="shared" si="6"/>
        <v>1.0035428791781835</v>
      </c>
    </row>
    <row r="30" spans="1:69" x14ac:dyDescent="0.2">
      <c r="A30" s="133" t="s">
        <v>664</v>
      </c>
      <c r="B30" s="133">
        <f t="shared" si="7"/>
        <v>1969</v>
      </c>
      <c r="H30" s="4"/>
      <c r="I30" s="4"/>
      <c r="P30" s="129"/>
      <c r="Q30" s="129"/>
      <c r="R30" s="129"/>
      <c r="S30" s="129"/>
      <c r="T30" s="141"/>
      <c r="V30" s="131"/>
      <c r="W30" s="131"/>
      <c r="X30" s="131"/>
      <c r="Y30" s="131"/>
      <c r="Z30" s="131"/>
      <c r="AA30" s="131"/>
      <c r="AB30" s="131"/>
      <c r="AC30" s="131"/>
      <c r="AD30" s="131"/>
      <c r="AF30" s="134"/>
      <c r="AH30" t="e">
        <f t="shared" si="0"/>
        <v>#DIV/0!</v>
      </c>
      <c r="AI30" t="e">
        <f t="shared" si="1"/>
        <v>#DIV/0!</v>
      </c>
      <c r="AK30" t="e">
        <f t="shared" si="8"/>
        <v>#DIV/0!</v>
      </c>
      <c r="AL30" t="e">
        <f t="shared" si="9"/>
        <v>#DIV/0!</v>
      </c>
      <c r="AM30" t="e">
        <f t="shared" si="10"/>
        <v>#DIV/0!</v>
      </c>
      <c r="AO30" t="e">
        <f t="shared" si="11"/>
        <v>#DIV/0!</v>
      </c>
      <c r="AP30" t="e">
        <f t="shared" si="12"/>
        <v>#DIV/0!</v>
      </c>
      <c r="AS30" t="e">
        <f t="shared" si="23"/>
        <v>#DIV/0!</v>
      </c>
      <c r="AT30" t="e">
        <f t="shared" si="24"/>
        <v>#DIV/0!</v>
      </c>
      <c r="AV30" t="e">
        <f t="shared" si="2"/>
        <v>#DIV/0!</v>
      </c>
      <c r="AW30" t="e">
        <f t="shared" si="3"/>
        <v>#DIV/0!</v>
      </c>
      <c r="AY30" t="e">
        <f t="shared" si="13"/>
        <v>#DIV/0!</v>
      </c>
      <c r="AZ30" t="e">
        <f t="shared" si="14"/>
        <v>#DIV/0!</v>
      </c>
      <c r="BC30" s="129" t="e">
        <f t="shared" si="15"/>
        <v>#DIV/0!</v>
      </c>
      <c r="BD30" s="129" t="e">
        <f t="shared" si="16"/>
        <v>#DIV/0!</v>
      </c>
      <c r="BG30" s="129" t="e">
        <f t="shared" si="17"/>
        <v>#DIV/0!</v>
      </c>
      <c r="BH30" s="129">
        <f t="shared" si="18"/>
        <v>1</v>
      </c>
      <c r="BI30" s="129">
        <f t="shared" si="4"/>
        <v>1.171071581231947</v>
      </c>
      <c r="BJ30" s="129"/>
      <c r="BK30" s="129" t="e">
        <f t="shared" si="19"/>
        <v>#DIV/0!</v>
      </c>
      <c r="BL30" s="129">
        <f t="shared" si="20"/>
        <v>1</v>
      </c>
      <c r="BM30" s="129">
        <f t="shared" si="5"/>
        <v>1.0120497122961685</v>
      </c>
      <c r="BO30" t="e">
        <f t="shared" si="21"/>
        <v>#DIV/0!</v>
      </c>
      <c r="BP30">
        <f t="shared" si="22"/>
        <v>1</v>
      </c>
      <c r="BQ30" s="129">
        <f t="shared" si="6"/>
        <v>1.0035428791781835</v>
      </c>
    </row>
    <row r="31" spans="1:69" x14ac:dyDescent="0.2">
      <c r="A31" s="133" t="s">
        <v>664</v>
      </c>
      <c r="B31" s="133">
        <f t="shared" si="7"/>
        <v>1970</v>
      </c>
      <c r="D31" s="279">
        <f>Urban_Rail!G31</f>
        <v>42.199118849999998</v>
      </c>
      <c r="E31" s="279">
        <f>'Passenger-based Energy Use'!M28</f>
        <v>6.0882916259852333</v>
      </c>
      <c r="F31" s="279">
        <f t="shared" ref="F31:F41" si="25">D31+E31</f>
        <v>48.287410475985233</v>
      </c>
      <c r="H31" s="4">
        <f>Urban_Rail!L31</f>
        <v>13056.5</v>
      </c>
      <c r="I31" s="4">
        <f>'Passenger-based Activity'!M29</f>
        <v>1993</v>
      </c>
      <c r="J31" s="4">
        <f t="shared" ref="J31:J41" si="26">H31+I31</f>
        <v>15049.5</v>
      </c>
      <c r="L31" s="138">
        <f>D31/H31*1000000</f>
        <v>3232.0391261057707</v>
      </c>
      <c r="M31" s="138">
        <f>E31/I31*1000000</f>
        <v>3054.8377451004681</v>
      </c>
      <c r="N31" s="138">
        <f>F31/J31*1000000</f>
        <v>3208.5724094478378</v>
      </c>
      <c r="P31" s="129">
        <f>Urban_Rail!AA31</f>
        <v>1.1425710180886028</v>
      </c>
      <c r="Q31" s="129">
        <f t="shared" ref="Q31:Q72" si="27">M31/M$74</f>
        <v>1.3445368385043464</v>
      </c>
      <c r="R31" s="129"/>
      <c r="S31" s="129">
        <f>Urban_Rail!Z31</f>
        <v>1.00476226326081</v>
      </c>
      <c r="T31" s="141">
        <v>1</v>
      </c>
      <c r="V31" s="131">
        <f t="shared" ref="V31:V72" si="28">J31/J$74</f>
        <v>0.68109612599565528</v>
      </c>
      <c r="W31" s="131">
        <f t="shared" ref="W31:W72" si="29">N31/N$74</f>
        <v>1.1893816158213593</v>
      </c>
      <c r="X31" s="131">
        <f t="shared" ref="X31:X41" si="30">BM31</f>
        <v>1.0120497122961685</v>
      </c>
      <c r="Y31" s="131">
        <f t="shared" ref="Y31:Y41" si="31">BQ31</f>
        <v>1.0035428791781835</v>
      </c>
      <c r="Z31" s="131">
        <f t="shared" ref="Z31:Z41" si="32">BI31</f>
        <v>1.171071581231947</v>
      </c>
      <c r="AA31" s="131">
        <f t="shared" ref="AA31:AA41" si="33">V31*X31*Y31*Z31</f>
        <v>0.81008321086638024</v>
      </c>
      <c r="AB31" s="131">
        <f t="shared" ref="AB31:AB72" si="34">F31/F$74</f>
        <v>0.81008321086638058</v>
      </c>
      <c r="AC31" s="131"/>
      <c r="AD31" s="131">
        <f t="shared" ref="AD31:AD41" si="35">X31*Y31</f>
        <v>1.0156352821491492</v>
      </c>
      <c r="AF31" s="134"/>
      <c r="AH31" s="129">
        <f t="shared" si="0"/>
        <v>0.87391554929181547</v>
      </c>
      <c r="AI31" s="129">
        <f t="shared" si="1"/>
        <v>0.12608445070818453</v>
      </c>
      <c r="AK31" t="e">
        <f t="shared" si="8"/>
        <v>#DIV/0!</v>
      </c>
      <c r="AL31" t="e">
        <f t="shared" si="9"/>
        <v>#DIV/0!</v>
      </c>
      <c r="AM31" t="e">
        <f t="shared" si="10"/>
        <v>#DIV/0!</v>
      </c>
      <c r="AO31" t="e">
        <f t="shared" si="11"/>
        <v>#DIV/0!</v>
      </c>
      <c r="AP31" t="e">
        <f t="shared" si="12"/>
        <v>#DIV/0!</v>
      </c>
      <c r="AS31" t="e">
        <f t="shared" si="23"/>
        <v>#DIV/0!</v>
      </c>
      <c r="AT31" t="e">
        <f t="shared" si="24"/>
        <v>#DIV/0!</v>
      </c>
      <c r="AV31" s="129">
        <f t="shared" si="2"/>
        <v>0.86757035117445758</v>
      </c>
      <c r="AW31" s="129">
        <f t="shared" si="3"/>
        <v>0.13242964882554237</v>
      </c>
      <c r="AX31" s="129"/>
      <c r="AY31" s="129" t="e">
        <f t="shared" si="13"/>
        <v>#DIV/0!</v>
      </c>
      <c r="AZ31" s="129" t="e">
        <f t="shared" si="14"/>
        <v>#DIV/0!</v>
      </c>
      <c r="BC31" s="129" t="e">
        <f t="shared" si="15"/>
        <v>#DIV/0!</v>
      </c>
      <c r="BD31" s="129" t="e">
        <f t="shared" si="16"/>
        <v>#DIV/0!</v>
      </c>
      <c r="BG31" s="129" t="e">
        <f t="shared" si="17"/>
        <v>#DIV/0!</v>
      </c>
      <c r="BH31" s="129">
        <f t="shared" si="18"/>
        <v>1</v>
      </c>
      <c r="BI31" s="129">
        <f t="shared" si="4"/>
        <v>1.171071581231947</v>
      </c>
      <c r="BJ31" s="129"/>
      <c r="BK31" s="129" t="e">
        <f t="shared" si="19"/>
        <v>#DIV/0!</v>
      </c>
      <c r="BL31" s="129">
        <f t="shared" si="20"/>
        <v>1</v>
      </c>
      <c r="BM31" s="129">
        <f t="shared" si="5"/>
        <v>1.0120497122961685</v>
      </c>
      <c r="BO31" t="e">
        <f t="shared" si="21"/>
        <v>#DIV/0!</v>
      </c>
      <c r="BP31">
        <f t="shared" si="22"/>
        <v>1</v>
      </c>
      <c r="BQ31" s="129">
        <f t="shared" si="6"/>
        <v>1.0035428791781835</v>
      </c>
    </row>
    <row r="32" spans="1:69" x14ac:dyDescent="0.2">
      <c r="A32" s="133" t="s">
        <v>664</v>
      </c>
      <c r="B32" s="133">
        <f t="shared" si="7"/>
        <v>1971</v>
      </c>
      <c r="D32" s="279">
        <f>Urban_Rail!G32</f>
        <v>41.482797195000003</v>
      </c>
      <c r="E32" s="279">
        <f>'Passenger-based Energy Use'!M29</f>
        <v>6.0882916259852333</v>
      </c>
      <c r="F32" s="279">
        <f t="shared" si="25"/>
        <v>47.571088820985238</v>
      </c>
      <c r="H32" s="4">
        <f>Urban_Rail!L32</f>
        <v>12577.2</v>
      </c>
      <c r="I32" s="4">
        <f>'Passenger-based Activity'!M30</f>
        <v>1993</v>
      </c>
      <c r="J32" s="4">
        <f t="shared" si="26"/>
        <v>14570.2</v>
      </c>
      <c r="L32" s="138">
        <f t="shared" ref="L32:L41" si="36">D32/H32*1000000</f>
        <v>3298.2537603759188</v>
      </c>
      <c r="M32" s="138">
        <f t="shared" ref="M32:M41" si="37">E32/I32*1000000</f>
        <v>3054.8377451004681</v>
      </c>
      <c r="N32" s="138">
        <f t="shared" ref="N32:N41" si="38">F32/J32*1000000</f>
        <v>3264.9578469056869</v>
      </c>
      <c r="P32" s="129">
        <f>Urban_Rail!AA32</f>
        <v>1.1632038300343057</v>
      </c>
      <c r="Q32" s="129">
        <f t="shared" si="27"/>
        <v>1.3445368385043464</v>
      </c>
      <c r="R32" s="129"/>
      <c r="S32" s="129">
        <f>Urban_Rail!Z32</f>
        <v>1.0071592655399171</v>
      </c>
      <c r="T32" s="141">
        <v>1</v>
      </c>
      <c r="V32" s="131">
        <f t="shared" si="28"/>
        <v>0.65940441708906594</v>
      </c>
      <c r="W32" s="131">
        <f t="shared" si="29"/>
        <v>1.2102830617463249</v>
      </c>
      <c r="X32" s="131">
        <f t="shared" si="30"/>
        <v>1.0117633634440482</v>
      </c>
      <c r="Y32" s="131">
        <f t="shared" si="31"/>
        <v>1.0056325302698665</v>
      </c>
      <c r="Z32" s="131">
        <f t="shared" si="32"/>
        <v>1.1895116297953265</v>
      </c>
      <c r="AA32" s="131">
        <f t="shared" si="33"/>
        <v>0.79806599684360502</v>
      </c>
      <c r="AB32" s="131">
        <f t="shared" si="34"/>
        <v>0.79806599684360535</v>
      </c>
      <c r="AC32" s="131"/>
      <c r="AD32" s="131">
        <f t="shared" si="35"/>
        <v>1.0174621512145887</v>
      </c>
      <c r="AF32" s="134"/>
      <c r="AH32" s="129">
        <f t="shared" si="0"/>
        <v>0.87201697970597047</v>
      </c>
      <c r="AI32" s="129">
        <f t="shared" si="1"/>
        <v>0.1279830202940295</v>
      </c>
      <c r="AK32" s="129">
        <f t="shared" si="8"/>
        <v>0.8729659204069663</v>
      </c>
      <c r="AL32" s="129">
        <f t="shared" si="9"/>
        <v>0.12703137089290853</v>
      </c>
      <c r="AM32" s="129">
        <f t="shared" si="10"/>
        <v>0.9999972912998748</v>
      </c>
      <c r="AO32" s="129">
        <f t="shared" si="11"/>
        <v>0.87296828501626922</v>
      </c>
      <c r="AP32" s="129">
        <f t="shared" si="12"/>
        <v>0.12703171498373081</v>
      </c>
      <c r="AS32" s="136">
        <f t="shared" si="23"/>
        <v>1.7897118355219233E-2</v>
      </c>
      <c r="AT32" s="136">
        <f t="shared" si="24"/>
        <v>0</v>
      </c>
      <c r="AV32" s="129">
        <f t="shared" si="2"/>
        <v>0.86321395725521954</v>
      </c>
      <c r="AW32" s="129">
        <f t="shared" si="3"/>
        <v>0.13678604274478043</v>
      </c>
      <c r="AX32" s="129"/>
      <c r="AY32" s="129">
        <f t="shared" si="13"/>
        <v>-5.0340219723143953E-3</v>
      </c>
      <c r="AZ32" s="129">
        <f t="shared" si="14"/>
        <v>3.236642110277442E-2</v>
      </c>
      <c r="BC32" s="129">
        <f t="shared" si="15"/>
        <v>2.3828001032076057E-3</v>
      </c>
      <c r="BD32" s="129">
        <f t="shared" si="16"/>
        <v>0</v>
      </c>
      <c r="BG32" s="129">
        <f t="shared" si="17"/>
        <v>1.0157463035214134</v>
      </c>
      <c r="BH32" s="129">
        <f t="shared" si="18"/>
        <v>1.0157463035214134</v>
      </c>
      <c r="BI32" s="129">
        <f t="shared" si="4"/>
        <v>1.1895116297953265</v>
      </c>
      <c r="BJ32" s="129"/>
      <c r="BK32" s="129">
        <f t="shared" si="19"/>
        <v>0.99971706048760123</v>
      </c>
      <c r="BL32" s="129">
        <f t="shared" si="20"/>
        <v>0.99971706048760123</v>
      </c>
      <c r="BM32" s="129">
        <f t="shared" si="5"/>
        <v>1.0117633634440482</v>
      </c>
      <c r="BO32" s="129">
        <f t="shared" si="21"/>
        <v>1.0020822738470272</v>
      </c>
      <c r="BP32">
        <f t="shared" si="22"/>
        <v>1.0020822738470272</v>
      </c>
      <c r="BQ32" s="129">
        <f t="shared" si="6"/>
        <v>1.0056325302698665</v>
      </c>
    </row>
    <row r="33" spans="1:69" x14ac:dyDescent="0.2">
      <c r="A33" s="133" t="s">
        <v>664</v>
      </c>
      <c r="B33" s="133">
        <f t="shared" si="7"/>
        <v>1972</v>
      </c>
      <c r="D33" s="279">
        <f>Urban_Rail!G33</f>
        <v>39.556812539999996</v>
      </c>
      <c r="E33" s="279">
        <f>'Passenger-based Energy Use'!M30</f>
        <v>9.2836519073603228</v>
      </c>
      <c r="F33" s="279">
        <f t="shared" si="25"/>
        <v>48.840464447360318</v>
      </c>
      <c r="H33" s="4">
        <f>Urban_Rail!L33</f>
        <v>12349.899999999998</v>
      </c>
      <c r="I33" s="4">
        <f>'Passenger-based Activity'!M31</f>
        <v>3039</v>
      </c>
      <c r="J33" s="4">
        <f t="shared" si="26"/>
        <v>15388.899999999998</v>
      </c>
      <c r="L33" s="138">
        <f t="shared" si="36"/>
        <v>3203.0067077466219</v>
      </c>
      <c r="M33" s="138">
        <f t="shared" si="37"/>
        <v>3054.8377451004681</v>
      </c>
      <c r="N33" s="138">
        <f t="shared" si="38"/>
        <v>3173.7463007336669</v>
      </c>
      <c r="P33" s="129">
        <f>Urban_Rail!AA33</f>
        <v>1.1287547461725487</v>
      </c>
      <c r="Q33" s="129">
        <f t="shared" si="27"/>
        <v>1.3445368385043464</v>
      </c>
      <c r="R33" s="129"/>
      <c r="S33" s="129">
        <f>Urban_Rail!Z33</f>
        <v>1.0079248865068464</v>
      </c>
      <c r="T33" s="141">
        <v>1</v>
      </c>
      <c r="V33" s="131">
        <f t="shared" si="28"/>
        <v>0.6964563721940622</v>
      </c>
      <c r="W33" s="131">
        <f t="shared" si="29"/>
        <v>1.1764719699822122</v>
      </c>
      <c r="X33" s="131">
        <f t="shared" si="30"/>
        <v>1.0080847549025937</v>
      </c>
      <c r="Y33" s="131">
        <f t="shared" si="31"/>
        <v>1.0062766475242624</v>
      </c>
      <c r="Z33" s="131">
        <f t="shared" si="32"/>
        <v>1.1597573755248634</v>
      </c>
      <c r="AA33" s="131">
        <f t="shared" si="33"/>
        <v>0.81936140020181303</v>
      </c>
      <c r="AB33" s="131">
        <f t="shared" si="34"/>
        <v>0.81936140020181303</v>
      </c>
      <c r="AC33" s="131"/>
      <c r="AD33" s="131">
        <f t="shared" si="35"/>
        <v>1.0144121475836998</v>
      </c>
      <c r="AF33" s="134"/>
      <c r="AH33" s="129">
        <f t="shared" si="0"/>
        <v>0.80991884470373676</v>
      </c>
      <c r="AI33" s="129">
        <f t="shared" si="1"/>
        <v>0.19008115529626329</v>
      </c>
      <c r="AK33" s="129">
        <f t="shared" si="8"/>
        <v>0.8405856561316507</v>
      </c>
      <c r="AL33" s="129">
        <f t="shared" si="9"/>
        <v>0.15699047782769845</v>
      </c>
      <c r="AM33" s="129">
        <f t="shared" si="10"/>
        <v>0.99757613395934919</v>
      </c>
      <c r="AO33" s="129">
        <f t="shared" si="11"/>
        <v>0.84262807370440185</v>
      </c>
      <c r="AP33" s="129">
        <f t="shared" si="12"/>
        <v>0.15737192629559815</v>
      </c>
      <c r="AS33" s="136">
        <f t="shared" si="23"/>
        <v>-3.006308991793212E-2</v>
      </c>
      <c r="AT33" s="136">
        <f t="shared" si="24"/>
        <v>0</v>
      </c>
      <c r="AV33" s="129">
        <f t="shared" si="2"/>
        <v>0.80251999818050668</v>
      </c>
      <c r="AW33" s="129">
        <f t="shared" si="3"/>
        <v>0.19748000181949329</v>
      </c>
      <c r="AX33" s="129"/>
      <c r="AY33" s="129">
        <f t="shared" si="13"/>
        <v>-7.2905808470491065E-2</v>
      </c>
      <c r="AZ33" s="129">
        <f t="shared" si="14"/>
        <v>0.36721934934029044</v>
      </c>
      <c r="BC33" s="129">
        <f t="shared" si="15"/>
        <v>7.5988985670183385E-4</v>
      </c>
      <c r="BD33" s="129">
        <f t="shared" si="16"/>
        <v>0</v>
      </c>
      <c r="BG33" s="129">
        <f t="shared" si="17"/>
        <v>0.97498615942444966</v>
      </c>
      <c r="BH33" s="129">
        <f t="shared" si="18"/>
        <v>0.9903385874199242</v>
      </c>
      <c r="BI33" s="129">
        <f t="shared" si="4"/>
        <v>1.1597573755248634</v>
      </c>
      <c r="BJ33" s="129"/>
      <c r="BK33" s="129">
        <f t="shared" si="19"/>
        <v>0.99636416115233462</v>
      </c>
      <c r="BL33" s="129">
        <f t="shared" si="20"/>
        <v>0.99608225036240661</v>
      </c>
      <c r="BM33" s="129">
        <f t="shared" si="5"/>
        <v>1.0080847549025937</v>
      </c>
      <c r="BO33" s="129">
        <f t="shared" si="21"/>
        <v>1.0006405095648834</v>
      </c>
      <c r="BP33">
        <f t="shared" si="22"/>
        <v>1.0027241171282264</v>
      </c>
      <c r="BQ33" s="129">
        <f t="shared" si="6"/>
        <v>1.0062766475242624</v>
      </c>
    </row>
    <row r="34" spans="1:69" x14ac:dyDescent="0.2">
      <c r="A34" s="133" t="s">
        <v>664</v>
      </c>
      <c r="B34" s="133">
        <f t="shared" si="7"/>
        <v>1973</v>
      </c>
      <c r="D34" s="279">
        <f>Urban_Rail!G34</f>
        <v>38.282184884999999</v>
      </c>
      <c r="E34" s="279">
        <f>'Passenger-based Energy Use'!M31</f>
        <v>11.629767295597482</v>
      </c>
      <c r="F34" s="279">
        <f t="shared" si="25"/>
        <v>49.911952180597481</v>
      </c>
      <c r="H34" s="4">
        <f>Urban_Rail!L34</f>
        <v>12379.1</v>
      </c>
      <c r="I34" s="4">
        <f>'Passenger-based Activity'!M32</f>
        <v>3807</v>
      </c>
      <c r="J34" s="4">
        <f t="shared" si="26"/>
        <v>16186.1</v>
      </c>
      <c r="L34" s="138">
        <f t="shared" si="36"/>
        <v>3092.4853087058027</v>
      </c>
      <c r="M34" s="138">
        <f t="shared" si="37"/>
        <v>3054.8377451004681</v>
      </c>
      <c r="N34" s="138">
        <f t="shared" si="38"/>
        <v>3083.6305336429086</v>
      </c>
      <c r="P34" s="129">
        <f>Urban_Rail!AA34</f>
        <v>1.0901050189385053</v>
      </c>
      <c r="Q34" s="129">
        <f t="shared" si="27"/>
        <v>1.3445368385043464</v>
      </c>
      <c r="R34" s="129"/>
      <c r="S34" s="129">
        <f>Urban_Rail!Z34</f>
        <v>1.0076488548080016</v>
      </c>
      <c r="T34" s="141">
        <v>1</v>
      </c>
      <c r="V34" s="131">
        <f t="shared" si="28"/>
        <v>0.73253530050687909</v>
      </c>
      <c r="W34" s="131">
        <f t="shared" si="29"/>
        <v>1.1430670711687139</v>
      </c>
      <c r="X34" s="131">
        <f t="shared" si="30"/>
        <v>1.006976720155462</v>
      </c>
      <c r="Y34" s="131">
        <f t="shared" si="31"/>
        <v>1.0060592112043987</v>
      </c>
      <c r="Z34" s="131">
        <f t="shared" si="32"/>
        <v>1.128310791580047</v>
      </c>
      <c r="AA34" s="131">
        <f t="shared" si="33"/>
        <v>0.83733698047809169</v>
      </c>
      <c r="AB34" s="131">
        <f t="shared" si="34"/>
        <v>0.8373369804780918</v>
      </c>
      <c r="AC34" s="131"/>
      <c r="AD34" s="131">
        <f t="shared" si="35"/>
        <v>1.0130782047807967</v>
      </c>
      <c r="AF34" s="134"/>
      <c r="AH34" s="129">
        <f t="shared" si="0"/>
        <v>0.76699434128488408</v>
      </c>
      <c r="AI34" s="129">
        <f t="shared" si="1"/>
        <v>0.23300565871511592</v>
      </c>
      <c r="AK34" s="129">
        <f t="shared" si="8"/>
        <v>0.7882618161339866</v>
      </c>
      <c r="AL34" s="129">
        <f t="shared" si="9"/>
        <v>0.21081558242941101</v>
      </c>
      <c r="AM34" s="129">
        <f t="shared" si="10"/>
        <v>0.99907739856339761</v>
      </c>
      <c r="AO34" s="129">
        <f t="shared" si="11"/>
        <v>0.78898973920083781</v>
      </c>
      <c r="AP34" s="129">
        <f t="shared" si="12"/>
        <v>0.21101026079916216</v>
      </c>
      <c r="AS34" s="136">
        <f t="shared" si="23"/>
        <v>-3.4840991294327259E-2</v>
      </c>
      <c r="AT34" s="136">
        <f t="shared" si="24"/>
        <v>0</v>
      </c>
      <c r="AV34" s="129">
        <f t="shared" si="2"/>
        <v>0.76479819104046065</v>
      </c>
      <c r="AW34" s="129">
        <f t="shared" si="3"/>
        <v>0.23520180895953935</v>
      </c>
      <c r="AX34" s="129"/>
      <c r="AY34" s="129">
        <f t="shared" si="13"/>
        <v>-4.8144778081745186E-2</v>
      </c>
      <c r="AZ34" s="129">
        <f t="shared" si="14"/>
        <v>0.17480658454517981</v>
      </c>
      <c r="BC34" s="129">
        <f t="shared" si="15"/>
        <v>-2.7389888537686873E-4</v>
      </c>
      <c r="BD34" s="129">
        <f t="shared" si="16"/>
        <v>0</v>
      </c>
      <c r="BG34" s="129">
        <f t="shared" si="17"/>
        <v>0.97288520460532979</v>
      </c>
      <c r="BH34" s="129">
        <f t="shared" si="18"/>
        <v>0.96348575925058622</v>
      </c>
      <c r="BI34" s="129">
        <f t="shared" si="4"/>
        <v>1.128310791580047</v>
      </c>
      <c r="BJ34" s="129"/>
      <c r="BK34" s="129">
        <f t="shared" si="19"/>
        <v>0.99890085159829756</v>
      </c>
      <c r="BL34" s="129">
        <f t="shared" si="20"/>
        <v>0.99498740814895659</v>
      </c>
      <c r="BM34" s="129">
        <f t="shared" si="5"/>
        <v>1.006976720155462</v>
      </c>
      <c r="BO34" s="129">
        <f t="shared" si="21"/>
        <v>0.99978391993851912</v>
      </c>
      <c r="BP34">
        <f t="shared" si="22"/>
        <v>1.002507448439349</v>
      </c>
      <c r="BQ34" s="129">
        <f t="shared" si="6"/>
        <v>1.0060592112043987</v>
      </c>
    </row>
    <row r="35" spans="1:69" x14ac:dyDescent="0.2">
      <c r="A35" s="133" t="s">
        <v>664</v>
      </c>
      <c r="B35" s="133">
        <f t="shared" si="7"/>
        <v>1974</v>
      </c>
      <c r="D35" s="279">
        <f>Urban_Rail!G35</f>
        <v>41.649768230000006</v>
      </c>
      <c r="E35" s="279">
        <f>'Passenger-based Energy Use'!M32</f>
        <v>11.223132075471696</v>
      </c>
      <c r="F35" s="279">
        <f t="shared" si="25"/>
        <v>52.872900305471703</v>
      </c>
      <c r="H35" s="4">
        <f>Urban_Rail!L35</f>
        <v>12295.799999999997</v>
      </c>
      <c r="I35" s="4">
        <f>'Passenger-based Activity'!M33</f>
        <v>4259</v>
      </c>
      <c r="J35" s="4">
        <f t="shared" si="26"/>
        <v>16554.799999999996</v>
      </c>
      <c r="L35" s="138">
        <f t="shared" si="36"/>
        <v>3387.3166634135246</v>
      </c>
      <c r="M35" s="138">
        <f t="shared" si="37"/>
        <v>2635.1566272532746</v>
      </c>
      <c r="N35" s="138">
        <f t="shared" si="38"/>
        <v>3193.8108769342862</v>
      </c>
      <c r="P35" s="129">
        <f>Urban_Rail!AA35</f>
        <v>1.1940121757807758</v>
      </c>
      <c r="Q35" s="129">
        <f t="shared" si="27"/>
        <v>1.1598210629201091</v>
      </c>
      <c r="R35" s="129"/>
      <c r="S35" s="129">
        <f>Urban_Rail!Z35</f>
        <v>1.0076668066828789</v>
      </c>
      <c r="T35" s="141">
        <v>1</v>
      </c>
      <c r="V35" s="131">
        <f t="shared" si="28"/>
        <v>0.74922157856625615</v>
      </c>
      <c r="W35" s="131">
        <f t="shared" si="29"/>
        <v>1.1839096821535169</v>
      </c>
      <c r="X35" s="131">
        <f t="shared" si="30"/>
        <v>1.0041537303156074</v>
      </c>
      <c r="Y35" s="131">
        <f t="shared" si="31"/>
        <v>1.0060731463644881</v>
      </c>
      <c r="Z35" s="131">
        <f t="shared" si="32"/>
        <v>1.1718952910507086</v>
      </c>
      <c r="AA35" s="131">
        <f t="shared" si="33"/>
        <v>0.88701068094293212</v>
      </c>
      <c r="AB35" s="131">
        <f t="shared" si="34"/>
        <v>0.88701068094293245</v>
      </c>
      <c r="AC35" s="131"/>
      <c r="AD35" s="131">
        <f t="shared" si="35"/>
        <v>1.0102521028922609</v>
      </c>
      <c r="AF35" s="134"/>
      <c r="AH35" s="129">
        <f t="shared" si="0"/>
        <v>0.78773375376364141</v>
      </c>
      <c r="AI35" s="129">
        <f t="shared" si="1"/>
        <v>0.21226624623635859</v>
      </c>
      <c r="AK35" s="129">
        <f t="shared" si="8"/>
        <v>0.77731793617705758</v>
      </c>
      <c r="AL35" s="129">
        <f t="shared" si="9"/>
        <v>0.22247486276140518</v>
      </c>
      <c r="AM35" s="129">
        <f t="shared" si="10"/>
        <v>0.99979279893846273</v>
      </c>
      <c r="AO35" s="129">
        <f t="shared" si="11"/>
        <v>0.77747903065753277</v>
      </c>
      <c r="AP35" s="129">
        <f t="shared" si="12"/>
        <v>0.22252096934246723</v>
      </c>
      <c r="AS35" s="136">
        <f t="shared" si="23"/>
        <v>9.1045173139832514E-2</v>
      </c>
      <c r="AT35" s="136">
        <f t="shared" si="24"/>
        <v>-0.14778385864341859</v>
      </c>
      <c r="AV35" s="129">
        <f t="shared" si="2"/>
        <v>0.74273322540894493</v>
      </c>
      <c r="AW35" s="129">
        <f t="shared" si="3"/>
        <v>0.25726677459105524</v>
      </c>
      <c r="AX35" s="129"/>
      <c r="AY35" s="129">
        <f t="shared" si="13"/>
        <v>-2.9275066812982597E-2</v>
      </c>
      <c r="AZ35" s="129">
        <f t="shared" si="14"/>
        <v>8.9669672789893781E-2</v>
      </c>
      <c r="BC35" s="129">
        <f t="shared" si="15"/>
        <v>1.7815447198511496E-5</v>
      </c>
      <c r="BD35" s="129">
        <f t="shared" si="16"/>
        <v>0</v>
      </c>
      <c r="BG35" s="129">
        <f t="shared" si="17"/>
        <v>1.038628097680097</v>
      </c>
      <c r="BH35" s="129">
        <f t="shared" si="18"/>
        <v>1.0007033812723003</v>
      </c>
      <c r="BI35" s="129">
        <f t="shared" si="4"/>
        <v>1.1718952910507086</v>
      </c>
      <c r="BJ35" s="129"/>
      <c r="BK35" s="129">
        <f t="shared" si="19"/>
        <v>0.99719656891430553</v>
      </c>
      <c r="BL35" s="129">
        <f t="shared" si="20"/>
        <v>0.99219802951907721</v>
      </c>
      <c r="BM35" s="129">
        <f t="shared" si="5"/>
        <v>1.0041537303156074</v>
      </c>
      <c r="BO35" s="129">
        <f t="shared" si="21"/>
        <v>1.000013851232546</v>
      </c>
      <c r="BP35">
        <f t="shared" si="22"/>
        <v>1.0025213344031465</v>
      </c>
      <c r="BQ35" s="129">
        <f t="shared" si="6"/>
        <v>1.0060731463644881</v>
      </c>
    </row>
    <row r="36" spans="1:69" x14ac:dyDescent="0.2">
      <c r="A36" s="133" t="s">
        <v>664</v>
      </c>
      <c r="B36" s="133">
        <f t="shared" si="7"/>
        <v>1975</v>
      </c>
      <c r="D36" s="279">
        <f>Urban_Rail!G36</f>
        <v>41.685352240000007</v>
      </c>
      <c r="E36" s="279">
        <f>'Passenger-based Energy Use'!M33</f>
        <v>11.20880503144654</v>
      </c>
      <c r="F36" s="279">
        <f t="shared" si="25"/>
        <v>52.894157271446545</v>
      </c>
      <c r="H36" s="4">
        <f>Urban_Rail!L36</f>
        <v>12041.5</v>
      </c>
      <c r="I36" s="4">
        <f>'Passenger-based Activity'!M34</f>
        <v>3753</v>
      </c>
      <c r="J36" s="4">
        <f t="shared" si="26"/>
        <v>15794.5</v>
      </c>
      <c r="L36" s="138">
        <f t="shared" si="36"/>
        <v>3461.8072698584069</v>
      </c>
      <c r="M36" s="138">
        <f t="shared" si="37"/>
        <v>2986.6253747526084</v>
      </c>
      <c r="N36" s="138">
        <f t="shared" si="38"/>
        <v>3348.8972282406248</v>
      </c>
      <c r="P36" s="129">
        <f>Urban_Rail!AA36</f>
        <v>1.2211527210565343</v>
      </c>
      <c r="Q36" s="129">
        <f t="shared" si="27"/>
        <v>1.3145142800488292</v>
      </c>
      <c r="R36" s="129"/>
      <c r="S36" s="129">
        <f>Urban_Rail!Z36</f>
        <v>1.0069381927878338</v>
      </c>
      <c r="T36" s="141">
        <v>1</v>
      </c>
      <c r="V36" s="131">
        <f t="shared" si="28"/>
        <v>0.71481263577118026</v>
      </c>
      <c r="W36" s="131">
        <f t="shared" si="29"/>
        <v>1.2413984439983261</v>
      </c>
      <c r="X36" s="131">
        <f t="shared" si="30"/>
        <v>1.0078994572439808</v>
      </c>
      <c r="Y36" s="131">
        <f t="shared" si="31"/>
        <v>1.0054999267958606</v>
      </c>
      <c r="Z36" s="131">
        <f t="shared" si="32"/>
        <v>1.2249318922259829</v>
      </c>
      <c r="AA36" s="131">
        <f t="shared" si="33"/>
        <v>0.88736729379668478</v>
      </c>
      <c r="AB36" s="131">
        <f t="shared" si="34"/>
        <v>0.88736729379668533</v>
      </c>
      <c r="AC36" s="131"/>
      <c r="AD36" s="131">
        <f t="shared" si="35"/>
        <v>1.0134428304764103</v>
      </c>
      <c r="AF36" s="134"/>
      <c r="AH36" s="129">
        <f t="shared" si="0"/>
        <v>0.78808992127572275</v>
      </c>
      <c r="AI36" s="129">
        <f t="shared" si="1"/>
        <v>0.21191007872427725</v>
      </c>
      <c r="AK36" s="129">
        <f t="shared" si="8"/>
        <v>0.78791182410284977</v>
      </c>
      <c r="AL36" s="129">
        <f t="shared" si="9"/>
        <v>0.21208811263653415</v>
      </c>
      <c r="AM36" s="129">
        <f t="shared" si="10"/>
        <v>0.99999993673938392</v>
      </c>
      <c r="AO36" s="129">
        <f t="shared" si="11"/>
        <v>0.78791187394664031</v>
      </c>
      <c r="AP36" s="129">
        <f t="shared" si="12"/>
        <v>0.21208812605335967</v>
      </c>
      <c r="AS36" s="136">
        <f t="shared" si="23"/>
        <v>2.2476053587510186E-2</v>
      </c>
      <c r="AT36" s="136">
        <f t="shared" si="24"/>
        <v>0.12520149149589271</v>
      </c>
      <c r="AV36" s="129">
        <f t="shared" si="2"/>
        <v>0.76238564057108482</v>
      </c>
      <c r="AW36" s="129">
        <f t="shared" si="3"/>
        <v>0.23761435942891512</v>
      </c>
      <c r="AX36" s="129"/>
      <c r="AY36" s="129">
        <f t="shared" si="13"/>
        <v>2.6115588004552381E-2</v>
      </c>
      <c r="AZ36" s="129">
        <f t="shared" si="14"/>
        <v>-7.9464558970060772E-2</v>
      </c>
      <c r="BC36" s="129">
        <f t="shared" si="15"/>
        <v>-7.2333179656023803E-4</v>
      </c>
      <c r="BD36" s="129">
        <f t="shared" si="16"/>
        <v>0</v>
      </c>
      <c r="BG36" s="129">
        <f t="shared" si="17"/>
        <v>1.0452571160412483</v>
      </c>
      <c r="BH36" s="129">
        <f t="shared" si="18"/>
        <v>1.0459923303214103</v>
      </c>
      <c r="BI36" s="129">
        <f t="shared" si="4"/>
        <v>1.2249318922259829</v>
      </c>
      <c r="BJ36" s="129"/>
      <c r="BK36" s="129">
        <f t="shared" si="19"/>
        <v>1.003730232548353</v>
      </c>
      <c r="BL36" s="129">
        <f t="shared" si="20"/>
        <v>0.99589915890320102</v>
      </c>
      <c r="BM36" s="129">
        <f t="shared" si="5"/>
        <v>1.0078994572439808</v>
      </c>
      <c r="BO36" s="129">
        <f t="shared" si="21"/>
        <v>0.99943024066321717</v>
      </c>
      <c r="BP36">
        <f t="shared" si="22"/>
        <v>1.0019501385125464</v>
      </c>
      <c r="BQ36" s="129">
        <f t="shared" si="6"/>
        <v>1.0054999267958606</v>
      </c>
    </row>
    <row r="37" spans="1:69" x14ac:dyDescent="0.2">
      <c r="A37" s="133" t="s">
        <v>664</v>
      </c>
      <c r="B37" s="133">
        <f t="shared" si="7"/>
        <v>1976</v>
      </c>
      <c r="D37" s="279">
        <f>Urban_Rail!G37</f>
        <v>40.111180269999998</v>
      </c>
      <c r="E37" s="279">
        <f>'Passenger-based Energy Use'!M34</f>
        <v>11.792421383647797</v>
      </c>
      <c r="F37" s="279">
        <f t="shared" si="25"/>
        <v>51.903601653647797</v>
      </c>
      <c r="H37" s="4">
        <f>Urban_Rail!L37</f>
        <v>12684</v>
      </c>
      <c r="I37" s="4">
        <f>'Passenger-based Activity'!M35</f>
        <v>4268</v>
      </c>
      <c r="J37" s="4">
        <f t="shared" si="26"/>
        <v>16952</v>
      </c>
      <c r="L37" s="138">
        <f t="shared" si="36"/>
        <v>3162.3447075055187</v>
      </c>
      <c r="M37" s="138">
        <f t="shared" si="37"/>
        <v>2762.9853288771783</v>
      </c>
      <c r="N37" s="138">
        <f t="shared" si="38"/>
        <v>3061.798115481819</v>
      </c>
      <c r="P37" s="129">
        <f>Urban_Rail!AA37</f>
        <v>1.1280528518463206</v>
      </c>
      <c r="Q37" s="129">
        <f t="shared" si="27"/>
        <v>1.2160827739151283</v>
      </c>
      <c r="R37" s="129"/>
      <c r="S37" s="129">
        <f>Urban_Rail!Z37</f>
        <v>0.995748520516332</v>
      </c>
      <c r="T37" s="141">
        <v>1</v>
      </c>
      <c r="V37" s="131">
        <f t="shared" si="28"/>
        <v>0.76719768283852285</v>
      </c>
      <c r="W37" s="131">
        <f t="shared" si="29"/>
        <v>1.1349740399149191</v>
      </c>
      <c r="X37" s="131">
        <f t="shared" si="30"/>
        <v>1.0059590150619353</v>
      </c>
      <c r="Y37" s="131">
        <f t="shared" si="31"/>
        <v>0.99676807189005578</v>
      </c>
      <c r="Z37" s="131">
        <f t="shared" si="32"/>
        <v>1.1319090251401038</v>
      </c>
      <c r="AA37" s="131">
        <f t="shared" si="33"/>
        <v>0.87074945350460298</v>
      </c>
      <c r="AB37" s="131">
        <f t="shared" si="34"/>
        <v>0.87074945350460309</v>
      </c>
      <c r="AC37" s="131"/>
      <c r="AD37" s="131">
        <f t="shared" si="35"/>
        <v>1.0027078278437049</v>
      </c>
      <c r="AF37" s="134"/>
      <c r="AH37" s="129">
        <f t="shared" si="0"/>
        <v>0.77280148182512443</v>
      </c>
      <c r="AI37" s="129">
        <f t="shared" si="1"/>
        <v>0.22719851817487549</v>
      </c>
      <c r="AK37" s="129">
        <f t="shared" si="8"/>
        <v>0.78042074333740741</v>
      </c>
      <c r="AL37" s="129">
        <f t="shared" si="9"/>
        <v>0.21946555351344002</v>
      </c>
      <c r="AM37" s="129">
        <f t="shared" si="10"/>
        <v>0.9998862968508474</v>
      </c>
      <c r="AO37" s="129">
        <f t="shared" si="11"/>
        <v>0.78050948972433254</v>
      </c>
      <c r="AP37" s="129">
        <f t="shared" si="12"/>
        <v>0.21949051027566749</v>
      </c>
      <c r="AS37" s="136">
        <f t="shared" si="23"/>
        <v>-7.9302259525344088E-2</v>
      </c>
      <c r="AT37" s="136">
        <f t="shared" si="24"/>
        <v>-7.7832376730953598E-2</v>
      </c>
      <c r="AV37" s="129">
        <f t="shared" si="2"/>
        <v>0.74823029731005186</v>
      </c>
      <c r="AW37" s="129">
        <f t="shared" si="3"/>
        <v>0.25176970268994808</v>
      </c>
      <c r="AX37" s="129"/>
      <c r="AY37" s="129">
        <f t="shared" si="13"/>
        <v>-1.8741702962359847E-2</v>
      </c>
      <c r="AZ37" s="129">
        <f t="shared" si="14"/>
        <v>5.7865770486413906E-2</v>
      </c>
      <c r="BC37" s="129">
        <f t="shared" si="15"/>
        <v>-1.1174777003361317E-2</v>
      </c>
      <c r="BD37" s="129">
        <f t="shared" si="16"/>
        <v>0</v>
      </c>
      <c r="BG37" s="129">
        <f t="shared" si="17"/>
        <v>0.92405874344831107</v>
      </c>
      <c r="BH37" s="129">
        <f t="shared" si="18"/>
        <v>0.96655835841337312</v>
      </c>
      <c r="BI37" s="129">
        <f t="shared" si="4"/>
        <v>1.1319090251401038</v>
      </c>
      <c r="BJ37" s="129"/>
      <c r="BK37" s="129">
        <f t="shared" si="19"/>
        <v>0.99807476612066892</v>
      </c>
      <c r="BL37" s="129">
        <f t="shared" si="20"/>
        <v>0.99398182010208325</v>
      </c>
      <c r="BM37" s="129">
        <f t="shared" si="5"/>
        <v>1.0059590150619353</v>
      </c>
      <c r="BO37" s="129">
        <f t="shared" si="21"/>
        <v>0.99131590697014782</v>
      </c>
      <c r="BP37">
        <f t="shared" si="22"/>
        <v>0.99324911029843022</v>
      </c>
      <c r="BQ37" s="129">
        <f t="shared" si="6"/>
        <v>0.99676807189005578</v>
      </c>
    </row>
    <row r="38" spans="1:69" x14ac:dyDescent="0.2">
      <c r="A38" s="133" t="s">
        <v>664</v>
      </c>
      <c r="B38" s="133">
        <f t="shared" si="7"/>
        <v>1977</v>
      </c>
      <c r="D38" s="279">
        <f>Urban_Rail!G38</f>
        <v>38.697628900000005</v>
      </c>
      <c r="E38" s="279">
        <f>'Passenger-based Energy Use'!M35</f>
        <v>12.199056603773583</v>
      </c>
      <c r="F38" s="279">
        <f t="shared" si="25"/>
        <v>50.89668550377359</v>
      </c>
      <c r="H38" s="4">
        <f>Urban_Rail!L38</f>
        <v>16238</v>
      </c>
      <c r="I38" s="4">
        <f>'Passenger-based Activity'!M36</f>
        <v>4204</v>
      </c>
      <c r="J38" s="4">
        <f t="shared" si="26"/>
        <v>20442</v>
      </c>
      <c r="L38" s="138">
        <f t="shared" si="36"/>
        <v>2383.1524140904057</v>
      </c>
      <c r="M38" s="138">
        <f t="shared" si="37"/>
        <v>2901.7736926197863</v>
      </c>
      <c r="N38" s="138">
        <f t="shared" si="38"/>
        <v>2489.8094855578506</v>
      </c>
      <c r="P38" s="129">
        <f>Urban_Rail!AA38</f>
        <v>0.84343387253794422</v>
      </c>
      <c r="Q38" s="129">
        <f t="shared" si="27"/>
        <v>1.2771682008275618</v>
      </c>
      <c r="R38" s="129"/>
      <c r="S38" s="129">
        <f>Urban_Rail!Z38</f>
        <v>1.0036231947596355</v>
      </c>
      <c r="T38" s="141">
        <v>1</v>
      </c>
      <c r="V38" s="131">
        <f t="shared" si="28"/>
        <v>0.92514482259232445</v>
      </c>
      <c r="W38" s="131">
        <f t="shared" si="29"/>
        <v>0.92294430392168048</v>
      </c>
      <c r="X38" s="131">
        <f t="shared" si="30"/>
        <v>1.0045791057504134</v>
      </c>
      <c r="Y38" s="131">
        <f t="shared" si="31"/>
        <v>1.0028054040943088</v>
      </c>
      <c r="Z38" s="131">
        <f t="shared" si="32"/>
        <v>0.91616708972403671</v>
      </c>
      <c r="AA38" s="131">
        <f t="shared" si="33"/>
        <v>0.85385714431421922</v>
      </c>
      <c r="AB38" s="131">
        <f t="shared" si="34"/>
        <v>0.85385714431421944</v>
      </c>
      <c r="AC38" s="131"/>
      <c r="AD38" s="131">
        <f t="shared" si="35"/>
        <v>1.0073973560867429</v>
      </c>
      <c r="AF38" s="134"/>
      <c r="AH38" s="129">
        <f t="shared" si="0"/>
        <v>0.76031726854061799</v>
      </c>
      <c r="AI38" s="129">
        <f t="shared" si="1"/>
        <v>0.23968273145938193</v>
      </c>
      <c r="AK38" s="129">
        <f t="shared" si="8"/>
        <v>0.76654243168808744</v>
      </c>
      <c r="AL38" s="129">
        <f t="shared" si="9"/>
        <v>0.23338497708040365</v>
      </c>
      <c r="AM38" s="129">
        <f t="shared" si="10"/>
        <v>0.99992740876849107</v>
      </c>
      <c r="AO38" s="129">
        <f t="shared" si="11"/>
        <v>0.76659807998678609</v>
      </c>
      <c r="AP38" s="129">
        <f t="shared" si="12"/>
        <v>0.23340192001321397</v>
      </c>
      <c r="AS38" s="136">
        <f t="shared" si="23"/>
        <v>-0.29076678303816073</v>
      </c>
      <c r="AT38" s="136">
        <f t="shared" si="24"/>
        <v>4.9010432100483545E-2</v>
      </c>
      <c r="AV38" s="129">
        <f t="shared" si="2"/>
        <v>0.79434497602974263</v>
      </c>
      <c r="AW38" s="129">
        <f t="shared" si="3"/>
        <v>0.20565502397025731</v>
      </c>
      <c r="AX38" s="129"/>
      <c r="AY38" s="129">
        <f t="shared" si="13"/>
        <v>5.980703082326732E-2</v>
      </c>
      <c r="AZ38" s="129">
        <f t="shared" si="14"/>
        <v>-0.20231466736568876</v>
      </c>
      <c r="BC38" s="129">
        <f t="shared" si="15"/>
        <v>7.877189520886967E-3</v>
      </c>
      <c r="BD38" s="129">
        <f t="shared" si="16"/>
        <v>0</v>
      </c>
      <c r="BG38" s="129">
        <f t="shared" si="17"/>
        <v>0.80939993354204132</v>
      </c>
      <c r="BH38" s="129">
        <f t="shared" si="18"/>
        <v>0.78233227106428871</v>
      </c>
      <c r="BI38" s="129">
        <f t="shared" si="4"/>
        <v>0.91616708972403671</v>
      </c>
      <c r="BJ38" s="129"/>
      <c r="BK38" s="129">
        <f t="shared" si="19"/>
        <v>0.9986282648787268</v>
      </c>
      <c r="BL38" s="129">
        <f t="shared" si="20"/>
        <v>0.99261834032954221</v>
      </c>
      <c r="BM38" s="129">
        <f t="shared" si="5"/>
        <v>1.0045791057504134</v>
      </c>
      <c r="BO38" s="129">
        <f t="shared" si="21"/>
        <v>1.0060569076944903</v>
      </c>
      <c r="BP38">
        <f t="shared" si="22"/>
        <v>0.99926512847714244</v>
      </c>
      <c r="BQ38" s="129">
        <f t="shared" si="6"/>
        <v>1.0028054040943088</v>
      </c>
    </row>
    <row r="39" spans="1:69" x14ac:dyDescent="0.2">
      <c r="A39" s="133" t="s">
        <v>664</v>
      </c>
      <c r="B39" s="133">
        <f t="shared" si="7"/>
        <v>1978</v>
      </c>
      <c r="D39" s="279">
        <f>Urban_Rail!G39</f>
        <v>38.357512199999995</v>
      </c>
      <c r="E39" s="279">
        <f>'Passenger-based Energy Use'!M36</f>
        <v>12.443037735849055</v>
      </c>
      <c r="F39" s="279">
        <f t="shared" si="25"/>
        <v>50.800549935849048</v>
      </c>
      <c r="H39" s="4">
        <f>Urban_Rail!L39</f>
        <v>16935</v>
      </c>
      <c r="I39" s="4">
        <f>'Passenger-based Activity'!M37</f>
        <v>4154</v>
      </c>
      <c r="J39" s="4">
        <f t="shared" si="26"/>
        <v>21089</v>
      </c>
      <c r="L39" s="138">
        <f t="shared" si="36"/>
        <v>2264.984481842338</v>
      </c>
      <c r="M39" s="138">
        <f t="shared" si="37"/>
        <v>2995.4351795496036</v>
      </c>
      <c r="N39" s="138">
        <f t="shared" si="38"/>
        <v>2408.8648079970149</v>
      </c>
      <c r="P39" s="129">
        <f>Urban_Rail!AA39</f>
        <v>0.80328912421415644</v>
      </c>
      <c r="Q39" s="129">
        <f t="shared" si="27"/>
        <v>1.3183917714503253</v>
      </c>
      <c r="R39" s="129"/>
      <c r="S39" s="129">
        <f>Urban_Rail!Z39</f>
        <v>1.0015283643966335</v>
      </c>
      <c r="T39" s="141">
        <v>1</v>
      </c>
      <c r="V39" s="131">
        <f t="shared" si="28"/>
        <v>0.95442614047791452</v>
      </c>
      <c r="W39" s="131">
        <f t="shared" si="29"/>
        <v>0.89293902459372732</v>
      </c>
      <c r="X39" s="131">
        <f t="shared" si="30"/>
        <v>1.0023570170421003</v>
      </c>
      <c r="Y39" s="131">
        <f t="shared" si="31"/>
        <v>1.0012190523376425</v>
      </c>
      <c r="Z39" s="131">
        <f t="shared" si="32"/>
        <v>0.88975464370074397</v>
      </c>
      <c r="AA39" s="131">
        <f t="shared" si="33"/>
        <v>0.85224434692510487</v>
      </c>
      <c r="AB39" s="131">
        <f t="shared" si="34"/>
        <v>0.85224434692510487</v>
      </c>
      <c r="AC39" s="131"/>
      <c r="AD39" s="131">
        <f t="shared" si="35"/>
        <v>1.003578942706878</v>
      </c>
      <c r="AF39" s="134"/>
      <c r="AH39" s="129">
        <f t="shared" si="0"/>
        <v>0.75506096387613664</v>
      </c>
      <c r="AI39" s="129">
        <f t="shared" si="1"/>
        <v>0.24493903612386336</v>
      </c>
      <c r="AK39" s="129">
        <f t="shared" si="8"/>
        <v>0.75768607749206562</v>
      </c>
      <c r="AL39" s="129">
        <f t="shared" si="9"/>
        <v>0.24230138167149443</v>
      </c>
      <c r="AM39" s="129">
        <f t="shared" si="10"/>
        <v>0.99998745916356002</v>
      </c>
      <c r="AO39" s="129">
        <f t="shared" si="11"/>
        <v>0.75769557962840106</v>
      </c>
      <c r="AP39" s="129">
        <f t="shared" si="12"/>
        <v>0.24230442037159899</v>
      </c>
      <c r="AS39" s="136">
        <f t="shared" si="23"/>
        <v>-4.8766798192186385E-2</v>
      </c>
      <c r="AT39" s="136">
        <f t="shared" si="24"/>
        <v>3.1767354856963768E-2</v>
      </c>
      <c r="AV39" s="129">
        <f t="shared" si="2"/>
        <v>0.80302527383944233</v>
      </c>
      <c r="AW39" s="129">
        <f t="shared" si="3"/>
        <v>0.19697472616055764</v>
      </c>
      <c r="AX39" s="129"/>
      <c r="AY39" s="129">
        <f t="shared" si="13"/>
        <v>1.0868342206737528E-2</v>
      </c>
      <c r="AZ39" s="129">
        <f t="shared" si="14"/>
        <v>-4.3124697183526982E-2</v>
      </c>
      <c r="BC39" s="129">
        <f t="shared" si="15"/>
        <v>-2.089449164647897E-3</v>
      </c>
      <c r="BD39" s="129">
        <f t="shared" si="16"/>
        <v>0</v>
      </c>
      <c r="BG39" s="129">
        <f t="shared" si="17"/>
        <v>0.97117071075839612</v>
      </c>
      <c r="BH39" s="129">
        <f t="shared" si="18"/>
        <v>0.75977818773873551</v>
      </c>
      <c r="BI39" s="129">
        <f t="shared" si="4"/>
        <v>0.88975464370074397</v>
      </c>
      <c r="BJ39" s="129"/>
      <c r="BK39" s="129">
        <f t="shared" si="19"/>
        <v>0.99778804009003019</v>
      </c>
      <c r="BL39" s="129">
        <f t="shared" si="20"/>
        <v>0.99042270835483248</v>
      </c>
      <c r="BM39" s="129">
        <f t="shared" si="5"/>
        <v>1.0023570170421003</v>
      </c>
      <c r="BO39" s="129">
        <f t="shared" si="21"/>
        <v>0.99841808615092276</v>
      </c>
      <c r="BP39" s="129">
        <f t="shared" si="22"/>
        <v>0.99768437713150449</v>
      </c>
      <c r="BQ39" s="129">
        <f t="shared" si="6"/>
        <v>1.0012190523376425</v>
      </c>
    </row>
    <row r="40" spans="1:69" x14ac:dyDescent="0.2">
      <c r="A40" s="133" t="s">
        <v>664</v>
      </c>
      <c r="B40" s="133">
        <f t="shared" si="7"/>
        <v>1979</v>
      </c>
      <c r="D40" s="279">
        <f>Urban_Rail!G40</f>
        <v>41.35530459999999</v>
      </c>
      <c r="E40" s="279">
        <f>'Passenger-based Energy Use'!M37</f>
        <v>13.744270440251569</v>
      </c>
      <c r="F40" s="279">
        <f t="shared" si="25"/>
        <v>55.099575040251558</v>
      </c>
      <c r="H40" s="4">
        <f>Urban_Rail!L40</f>
        <v>17659</v>
      </c>
      <c r="I40" s="4">
        <f>'Passenger-based Activity'!M38</f>
        <v>4867</v>
      </c>
      <c r="J40" s="4">
        <f t="shared" si="26"/>
        <v>22526</v>
      </c>
      <c r="L40" s="138">
        <f t="shared" si="36"/>
        <v>2341.8825867829428</v>
      </c>
      <c r="M40" s="138">
        <f t="shared" si="37"/>
        <v>2823.9717362341421</v>
      </c>
      <c r="N40" s="138">
        <f t="shared" si="38"/>
        <v>2446.0434626765318</v>
      </c>
      <c r="P40" s="129">
        <f>Urban_Rail!AA40</f>
        <v>0.83054409688304542</v>
      </c>
      <c r="Q40" s="129">
        <f t="shared" si="27"/>
        <v>1.2429249430191942</v>
      </c>
      <c r="R40" s="129"/>
      <c r="S40" s="129">
        <f>Urban_Rail!Z40</f>
        <v>1.0015492988848567</v>
      </c>
      <c r="T40" s="141">
        <v>1</v>
      </c>
      <c r="V40" s="131">
        <f t="shared" si="28"/>
        <v>1.0194605358435915</v>
      </c>
      <c r="W40" s="131">
        <f t="shared" si="29"/>
        <v>0.90672073269748743</v>
      </c>
      <c r="X40" s="131">
        <f t="shared" si="30"/>
        <v>1.0071319167848043</v>
      </c>
      <c r="Y40" s="131">
        <f t="shared" si="31"/>
        <v>1.0012348071839208</v>
      </c>
      <c r="Z40" s="131">
        <f t="shared" si="32"/>
        <v>0.89918954324305744</v>
      </c>
      <c r="AA40" s="131">
        <f t="shared" si="33"/>
        <v>0.92436600401627433</v>
      </c>
      <c r="AB40" s="131">
        <f t="shared" si="34"/>
        <v>0.92436600401627456</v>
      </c>
      <c r="AC40" s="131"/>
      <c r="AD40" s="131">
        <f t="shared" si="35"/>
        <v>1.008375530510806</v>
      </c>
      <c r="AF40" s="134"/>
      <c r="AH40" s="129">
        <f t="shared" si="0"/>
        <v>0.75055578141553636</v>
      </c>
      <c r="AI40" s="129">
        <f t="shared" si="1"/>
        <v>0.24944421858446367</v>
      </c>
      <c r="AK40" s="129">
        <f t="shared" si="8"/>
        <v>0.75280612586806406</v>
      </c>
      <c r="AL40" s="129">
        <f t="shared" si="9"/>
        <v>0.24718478478203448</v>
      </c>
      <c r="AM40" s="129">
        <f t="shared" si="10"/>
        <v>0.9999909106500986</v>
      </c>
      <c r="AO40" s="129">
        <f t="shared" si="11"/>
        <v>0.75281296844854462</v>
      </c>
      <c r="AP40" s="129">
        <f t="shared" si="12"/>
        <v>0.24718703155145536</v>
      </c>
      <c r="AS40" s="136">
        <f t="shared" si="23"/>
        <v>3.3366320228792136E-2</v>
      </c>
      <c r="AT40" s="136">
        <f t="shared" si="24"/>
        <v>-5.8945211866758794E-2</v>
      </c>
      <c r="AV40" s="129">
        <f t="shared" si="2"/>
        <v>0.78393855988635353</v>
      </c>
      <c r="AW40" s="129">
        <f t="shared" si="3"/>
        <v>0.21606144011364645</v>
      </c>
      <c r="AX40" s="129"/>
      <c r="AY40" s="129">
        <f t="shared" si="13"/>
        <v>-2.4055537934625157E-2</v>
      </c>
      <c r="AZ40" s="129">
        <f t="shared" si="14"/>
        <v>9.248738530151919E-2</v>
      </c>
      <c r="BC40" s="129">
        <f t="shared" si="15"/>
        <v>2.0902323067905545E-5</v>
      </c>
      <c r="BD40" s="129">
        <f t="shared" si="16"/>
        <v>0</v>
      </c>
      <c r="BG40" s="129">
        <f t="shared" si="17"/>
        <v>1.0106039340273303</v>
      </c>
      <c r="BH40" s="129">
        <f t="shared" si="18"/>
        <v>0.76783482551692162</v>
      </c>
      <c r="BI40" s="129">
        <f t="shared" si="4"/>
        <v>0.89918954324305744</v>
      </c>
      <c r="BJ40" s="129"/>
      <c r="BK40" s="129">
        <f t="shared" si="19"/>
        <v>1.004763671687354</v>
      </c>
      <c r="BL40" s="129">
        <f t="shared" si="20"/>
        <v>0.99514075696913484</v>
      </c>
      <c r="BM40" s="129">
        <f t="shared" si="5"/>
        <v>1.0071319167848043</v>
      </c>
      <c r="BO40" s="129">
        <f t="shared" si="21"/>
        <v>1.0000157356636805</v>
      </c>
      <c r="BP40" s="129">
        <f t="shared" si="22"/>
        <v>0.99770007635732239</v>
      </c>
      <c r="BQ40" s="129">
        <f t="shared" si="6"/>
        <v>1.0012348071839208</v>
      </c>
    </row>
    <row r="41" spans="1:69" x14ac:dyDescent="0.2">
      <c r="A41" s="133" t="s">
        <v>664</v>
      </c>
      <c r="B41" s="133">
        <f t="shared" si="7"/>
        <v>1980</v>
      </c>
      <c r="D41" s="279">
        <f>Urban_Rail!G41</f>
        <v>41.489193999999991</v>
      </c>
      <c r="E41" s="279">
        <f>'Passenger-based Energy Use'!M38</f>
        <v>11.630188679245281</v>
      </c>
      <c r="F41" s="279">
        <f t="shared" si="25"/>
        <v>53.11938267924527</v>
      </c>
      <c r="H41" s="4">
        <f>Urban_Rail!L41</f>
        <v>17455</v>
      </c>
      <c r="I41" s="4">
        <f>'Passenger-based Activity'!M39</f>
        <v>4053</v>
      </c>
      <c r="J41" s="4">
        <f t="shared" si="26"/>
        <v>21508</v>
      </c>
      <c r="L41" s="138">
        <f t="shared" si="36"/>
        <v>2376.9231738756798</v>
      </c>
      <c r="M41" s="138">
        <f t="shared" si="37"/>
        <v>2869.525950961086</v>
      </c>
      <c r="N41" s="138">
        <f t="shared" si="38"/>
        <v>2469.7499850867243</v>
      </c>
      <c r="P41" s="129">
        <f>Urban_Rail!AA41</f>
        <v>0.84333266816498653</v>
      </c>
      <c r="Q41" s="129">
        <f t="shared" si="27"/>
        <v>1.2629748850980325</v>
      </c>
      <c r="R41" s="129"/>
      <c r="S41" s="129">
        <f>Urban_Rail!Z41</f>
        <v>1.0011199838416731</v>
      </c>
      <c r="T41" s="141">
        <v>1</v>
      </c>
      <c r="V41" s="131">
        <f t="shared" si="28"/>
        <v>0.97338884866039099</v>
      </c>
      <c r="W41" s="131">
        <f t="shared" si="29"/>
        <v>0.91550847326607021</v>
      </c>
      <c r="X41" s="131">
        <f t="shared" si="30"/>
        <v>1.0016320726820831</v>
      </c>
      <c r="Y41" s="131">
        <f t="shared" si="31"/>
        <v>1.0009060232347808</v>
      </c>
      <c r="Z41" s="131">
        <f t="shared" si="32"/>
        <v>0.91318936074898394</v>
      </c>
      <c r="AA41" s="131">
        <f t="shared" si="33"/>
        <v>0.89114573873129255</v>
      </c>
      <c r="AB41" s="131">
        <f t="shared" si="34"/>
        <v>0.89114573873129244</v>
      </c>
      <c r="AC41" s="131"/>
      <c r="AD41" s="131">
        <f t="shared" si="35"/>
        <v>1.0025395746126347</v>
      </c>
      <c r="AF41" s="134"/>
      <c r="AH41" s="129">
        <f t="shared" si="0"/>
        <v>0.78105565063749494</v>
      </c>
      <c r="AI41" s="129">
        <f t="shared" si="1"/>
        <v>0.21894434936250515</v>
      </c>
      <c r="AK41" s="129">
        <f t="shared" si="8"/>
        <v>0.76570447838080313</v>
      </c>
      <c r="AL41" s="129">
        <f t="shared" si="9"/>
        <v>0.23386290092068285</v>
      </c>
      <c r="AM41" s="129">
        <f t="shared" si="10"/>
        <v>0.99956737930148598</v>
      </c>
      <c r="AO41" s="129">
        <f t="shared" si="11"/>
        <v>0.76603588135888345</v>
      </c>
      <c r="AP41" s="129">
        <f t="shared" si="12"/>
        <v>0.23396411864111658</v>
      </c>
      <c r="AS41" s="136">
        <f t="shared" si="23"/>
        <v>1.5280479883473863E-2</v>
      </c>
      <c r="AT41" s="136">
        <f t="shared" si="24"/>
        <v>1.6002531082428124E-2</v>
      </c>
      <c r="AV41" s="129">
        <f t="shared" si="2"/>
        <v>0.81155848986423651</v>
      </c>
      <c r="AW41" s="129">
        <f t="shared" si="3"/>
        <v>0.18844151013576343</v>
      </c>
      <c r="AX41" s="129"/>
      <c r="AY41" s="129">
        <f t="shared" si="13"/>
        <v>3.4625810804085222E-2</v>
      </c>
      <c r="AZ41" s="129">
        <f t="shared" si="14"/>
        <v>-0.13677514452707265</v>
      </c>
      <c r="BC41" s="129">
        <f t="shared" si="15"/>
        <v>-4.2874283184234812E-4</v>
      </c>
      <c r="BD41" s="129">
        <f t="shared" si="16"/>
        <v>0</v>
      </c>
      <c r="BG41" s="129">
        <f t="shared" si="17"/>
        <v>1.0155693731217492</v>
      </c>
      <c r="BH41" s="129">
        <f t="shared" si="18"/>
        <v>0.77978953241126781</v>
      </c>
      <c r="BI41" s="129">
        <f t="shared" si="4"/>
        <v>0.91318936074898394</v>
      </c>
      <c r="BJ41" s="129"/>
      <c r="BK41" s="129">
        <f t="shared" si="19"/>
        <v>0.99453910256336731</v>
      </c>
      <c r="BL41" s="129">
        <f t="shared" si="20"/>
        <v>0.98970639536031335</v>
      </c>
      <c r="BM41" s="129">
        <f t="shared" si="5"/>
        <v>1.0016320726820831</v>
      </c>
      <c r="BO41" s="129">
        <f t="shared" si="21"/>
        <v>0.99967162153494771</v>
      </c>
      <c r="BP41" s="129">
        <f t="shared" si="22"/>
        <v>0.99737245313766565</v>
      </c>
      <c r="BQ41" s="129">
        <f t="shared" si="6"/>
        <v>1.0009060232347808</v>
      </c>
    </row>
    <row r="42" spans="1:69" x14ac:dyDescent="0.2">
      <c r="A42" s="133" t="s">
        <v>664</v>
      </c>
      <c r="B42" s="133">
        <f t="shared" si="7"/>
        <v>1981</v>
      </c>
      <c r="D42" s="279">
        <f>Urban_Rail!G42</f>
        <v>43.050044999999997</v>
      </c>
      <c r="E42" s="279">
        <f>'Passenger-based Energy Use'!M39</f>
        <v>10.703144654088048</v>
      </c>
      <c r="F42" s="279">
        <f t="shared" ref="F42:F61" si="39">D42+E42</f>
        <v>53.753189654088047</v>
      </c>
      <c r="H42" s="4">
        <f>Urban_Rail!L42</f>
        <v>16826</v>
      </c>
      <c r="I42" s="4">
        <f>'Passenger-based Activity'!M40</f>
        <v>4397</v>
      </c>
      <c r="J42" s="4">
        <f t="shared" ref="J42:J68" si="40">H42+I42</f>
        <v>21223</v>
      </c>
      <c r="L42" s="138">
        <f t="shared" ref="L42:L68" si="41">D42/H42*1000000</f>
        <v>2558.5430286461428</v>
      </c>
      <c r="M42" s="138">
        <f t="shared" ref="M42:M68" si="42">E42/I42*1000000</f>
        <v>2434.1925526695582</v>
      </c>
      <c r="N42" s="138">
        <f t="shared" ref="N42:N68" si="43">F42/J42*1000000</f>
        <v>2532.7799865282027</v>
      </c>
      <c r="P42" s="129">
        <f>Urban_Rail!AA42</f>
        <v>0.9088917099445567</v>
      </c>
      <c r="Q42" s="129">
        <f t="shared" si="27"/>
        <v>1.0713700144390201</v>
      </c>
      <c r="R42" s="129"/>
      <c r="S42" s="129">
        <f>Urban_Rail!Z42</f>
        <v>0.99988601164352775</v>
      </c>
      <c r="T42" s="141">
        <v>1</v>
      </c>
      <c r="V42" s="131">
        <f t="shared" si="28"/>
        <v>0.96049058653149888</v>
      </c>
      <c r="W42" s="131">
        <f t="shared" si="29"/>
        <v>0.93887298414291498</v>
      </c>
      <c r="X42" s="131">
        <f t="shared" ref="X42:X68" si="44">BM42</f>
        <v>1.0029603874481294</v>
      </c>
      <c r="Y42" s="131">
        <f t="shared" ref="Y42:Y68" si="45">BQ42</f>
        <v>0.99992992923714108</v>
      </c>
      <c r="Z42" s="131">
        <f t="shared" ref="Z42:Z68" si="46">BI42</f>
        <v>0.93616735820267649</v>
      </c>
      <c r="AA42" s="131">
        <f t="shared" ref="AA42:AA68" si="47">V42*X42*Y42*Z42</f>
        <v>0.90177866321800726</v>
      </c>
      <c r="AB42" s="131">
        <f t="shared" si="34"/>
        <v>0.90177866321800704</v>
      </c>
      <c r="AC42" s="131"/>
      <c r="AD42" s="131">
        <f t="shared" ref="AD42:AD68" si="48">X42*Y42</f>
        <v>1.0028901092486637</v>
      </c>
      <c r="AF42" s="134"/>
      <c r="AH42" s="129">
        <f t="shared" ref="AH42:AH68" si="49">D42/F42</f>
        <v>0.80088354341454315</v>
      </c>
      <c r="AI42" s="129">
        <f t="shared" ref="AI42:AI68" si="50">E42/F42</f>
        <v>0.19911645658545679</v>
      </c>
      <c r="AK42" s="129">
        <f t="shared" si="8"/>
        <v>0.79092817510065383</v>
      </c>
      <c r="AL42" s="129">
        <f t="shared" si="9"/>
        <v>0.20887357513417032</v>
      </c>
      <c r="AM42" s="129">
        <f t="shared" si="10"/>
        <v>0.9998017502348242</v>
      </c>
      <c r="AO42" s="129">
        <f t="shared" si="11"/>
        <v>0.79108500751762834</v>
      </c>
      <c r="AP42" s="129">
        <f t="shared" si="12"/>
        <v>0.20891499248237166</v>
      </c>
      <c r="AS42" s="136">
        <f t="shared" si="23"/>
        <v>7.4864451790760636E-2</v>
      </c>
      <c r="AT42" s="136">
        <f t="shared" si="24"/>
        <v>-0.16453174125111508</v>
      </c>
      <c r="AV42" s="129">
        <f t="shared" ref="AV42:AV68" si="51">H42/J42</f>
        <v>0.79281911134146921</v>
      </c>
      <c r="AW42" s="129">
        <f t="shared" ref="AW42:AW68" si="52">I42/J42</f>
        <v>0.20718088865853085</v>
      </c>
      <c r="AX42" s="129"/>
      <c r="AY42" s="129">
        <f t="shared" si="13"/>
        <v>-2.3361371734449889E-2</v>
      </c>
      <c r="AZ42" s="129">
        <f t="shared" si="14"/>
        <v>9.4804602246429115E-2</v>
      </c>
      <c r="BC42" s="129">
        <f t="shared" si="15"/>
        <v>-1.2333519813051087E-3</v>
      </c>
      <c r="BD42" s="129">
        <f t="shared" si="16"/>
        <v>0</v>
      </c>
      <c r="BG42" s="129">
        <f t="shared" si="17"/>
        <v>1.025162357821215</v>
      </c>
      <c r="BH42" s="129">
        <f t="shared" si="18"/>
        <v>0.79941087565103808</v>
      </c>
      <c r="BI42" s="129">
        <f t="shared" ref="BI42:BI72" si="53">BH42/BH$74</f>
        <v>0.93616735820267649</v>
      </c>
      <c r="BJ42" s="129"/>
      <c r="BK42" s="129">
        <f t="shared" si="19"/>
        <v>1.0013261503922188</v>
      </c>
      <c r="BL42" s="129">
        <f t="shared" si="20"/>
        <v>0.99101889488470196</v>
      </c>
      <c r="BM42" s="129">
        <f t="shared" ref="BM42:BM72" si="54">BL42/BL$74</f>
        <v>1.0029603874481294</v>
      </c>
      <c r="BO42" s="129">
        <f t="shared" si="21"/>
        <v>0.99902478956567253</v>
      </c>
      <c r="BP42" s="129">
        <f t="shared" si="22"/>
        <v>0.99639980511445503</v>
      </c>
      <c r="BQ42" s="129">
        <f t="shared" ref="BQ42:BQ69" si="55">BP42/BP$74</f>
        <v>0.99992992923714108</v>
      </c>
    </row>
    <row r="43" spans="1:69" x14ac:dyDescent="0.2">
      <c r="A43" s="133" t="s">
        <v>664</v>
      </c>
      <c r="B43" s="133">
        <f t="shared" ref="B43:B72" si="56">B42+1</f>
        <v>1982</v>
      </c>
      <c r="D43" s="279">
        <f>Urban_Rail!G43</f>
        <v>43.442758000000005</v>
      </c>
      <c r="E43" s="279">
        <f>'Passenger-based Energy Use'!M40</f>
        <v>10.281761006289306</v>
      </c>
      <c r="F43" s="279">
        <f t="shared" si="39"/>
        <v>53.724519006289313</v>
      </c>
      <c r="H43" s="4">
        <f>Urban_Rail!L43</f>
        <v>16455</v>
      </c>
      <c r="I43" s="4">
        <f>'Passenger-based Activity'!M41</f>
        <v>3993</v>
      </c>
      <c r="J43" s="4">
        <f t="shared" si="40"/>
        <v>20448</v>
      </c>
      <c r="L43" s="138">
        <f t="shared" si="41"/>
        <v>2640.0946824673356</v>
      </c>
      <c r="M43" s="138">
        <f t="shared" si="42"/>
        <v>2574.946407785952</v>
      </c>
      <c r="N43" s="138">
        <f t="shared" si="43"/>
        <v>2627.3727996033508</v>
      </c>
      <c r="P43" s="129">
        <f>Urban_Rail!AA43</f>
        <v>0.93596417730740411</v>
      </c>
      <c r="Q43" s="129">
        <f t="shared" si="27"/>
        <v>1.1333205202126979</v>
      </c>
      <c r="R43" s="129"/>
      <c r="S43" s="129">
        <f>Urban_Rail!Z43</f>
        <v>1.0019133998785474</v>
      </c>
      <c r="T43" s="141">
        <v>1</v>
      </c>
      <c r="V43" s="131">
        <f t="shared" si="28"/>
        <v>0.92541636495293267</v>
      </c>
      <c r="W43" s="131">
        <f t="shared" si="29"/>
        <v>0.97393747342454184</v>
      </c>
      <c r="X43" s="131">
        <f t="shared" si="44"/>
        <v>1.0034030272039716</v>
      </c>
      <c r="Y43" s="131">
        <f t="shared" si="45"/>
        <v>1.0015612624350223</v>
      </c>
      <c r="Z43" s="131">
        <f t="shared" si="46"/>
        <v>0.96912132550981667</v>
      </c>
      <c r="AA43" s="131">
        <f t="shared" si="47"/>
        <v>0.90129767634798308</v>
      </c>
      <c r="AB43" s="131">
        <f t="shared" si="34"/>
        <v>0.90129767634798286</v>
      </c>
      <c r="AC43" s="131"/>
      <c r="AD43" s="131">
        <f t="shared" si="48"/>
        <v>1.0049696026575328</v>
      </c>
      <c r="AF43" s="134"/>
      <c r="AH43" s="129">
        <f t="shared" si="49"/>
        <v>0.80862069690962401</v>
      </c>
      <c r="AI43" s="129">
        <f t="shared" si="50"/>
        <v>0.19137930309037596</v>
      </c>
      <c r="AK43" s="129">
        <f t="shared" ref="AK43:AK68" si="57">(AH43-AH42)/LN(AH43/AH42)</f>
        <v>0.80474592116080013</v>
      </c>
      <c r="AL43" s="129">
        <f t="shared" ref="AL43:AL68" si="58">(AI43-AI42)/LN(AI43/AI42)</f>
        <v>0.19522232693026406</v>
      </c>
      <c r="AM43" s="129">
        <f t="shared" ref="AM43:AM68" si="59">AK43+AL43</f>
        <v>0.99996824809106422</v>
      </c>
      <c r="AO43" s="129">
        <f t="shared" ref="AO43:AO68" si="60">AK43/AM43</f>
        <v>0.80477147419136275</v>
      </c>
      <c r="AP43" s="129">
        <f t="shared" ref="AP43:AP69" si="61">AL43/AM43</f>
        <v>0.1952285258086372</v>
      </c>
      <c r="AS43" s="136">
        <f t="shared" si="23"/>
        <v>2.9351247530986238E-2</v>
      </c>
      <c r="AT43" s="136">
        <f t="shared" si="24"/>
        <v>5.6213620392254346E-2</v>
      </c>
      <c r="AV43" s="129">
        <f t="shared" si="51"/>
        <v>0.80472417840375587</v>
      </c>
      <c r="AW43" s="129">
        <f t="shared" si="52"/>
        <v>0.19527582159624413</v>
      </c>
      <c r="AX43" s="129"/>
      <c r="AY43" s="129">
        <f t="shared" ref="AY43:AY68" si="62">LN(AV43/AV42)</f>
        <v>1.4904494325061177E-2</v>
      </c>
      <c r="AZ43" s="129">
        <f t="shared" ref="AZ43:AZ68" si="63">LN(AW43/AW42)</f>
        <v>-5.9179241059209055E-2</v>
      </c>
      <c r="BC43" s="129">
        <f t="shared" ref="BC43:BC69" si="64">LN(S43/S42)</f>
        <v>2.0255665143416586E-3</v>
      </c>
      <c r="BD43" s="129">
        <f t="shared" ref="BD43:BD69" si="65">LN(T43/T42)</f>
        <v>0</v>
      </c>
      <c r="BG43" s="129">
        <f t="shared" si="17"/>
        <v>1.0352009360488788</v>
      </c>
      <c r="BH43" s="129">
        <f t="shared" ref="BH43:BH69" si="66">IF(ISERR(BG43),BH42,BG43*BH42)</f>
        <v>0.82755088676160848</v>
      </c>
      <c r="BI43" s="129">
        <f t="shared" si="53"/>
        <v>0.96912132550981667</v>
      </c>
      <c r="BJ43" s="129"/>
      <c r="BK43" s="129">
        <f t="shared" ref="BK43:BK69" si="67">EXP(SUMPRODUCT($AO43:$AP43,AY43:AZ43))</f>
        <v>1.0004413332384625</v>
      </c>
      <c r="BL43" s="129">
        <f t="shared" ref="BL43:BL69" si="68">IF(ISERR(BK43),BL42,BK43*BL42)</f>
        <v>0.99145626446295898</v>
      </c>
      <c r="BM43" s="129">
        <f t="shared" si="54"/>
        <v>1.0034030272039716</v>
      </c>
      <c r="BO43" s="129">
        <f t="shared" ref="BO43:BO68" si="69">EXP(SUMPRODUCT($AO43:$AP43,BC43:BD43))</f>
        <v>1.0016314475146531</v>
      </c>
      <c r="BP43" s="129">
        <f t="shared" ref="BP43:BP68" si="70">IF(ISERR(BO43),BP42,BO43*BP42)</f>
        <v>0.9980253791001098</v>
      </c>
      <c r="BQ43" s="129">
        <f t="shared" si="55"/>
        <v>1.0015612624350223</v>
      </c>
    </row>
    <row r="44" spans="1:69" x14ac:dyDescent="0.2">
      <c r="A44" s="133" t="s">
        <v>664</v>
      </c>
      <c r="B44" s="133">
        <f t="shared" si="56"/>
        <v>1983</v>
      </c>
      <c r="D44" s="279">
        <f>Urban_Rail!G44</f>
        <v>49.150989500000009</v>
      </c>
      <c r="E44" s="279">
        <f>'Passenger-based Energy Use'!M41</f>
        <v>10.281761006289306</v>
      </c>
      <c r="F44" s="279">
        <f t="shared" si="39"/>
        <v>59.432750506289317</v>
      </c>
      <c r="H44" s="4">
        <f>Urban_Rail!L44</f>
        <v>16838</v>
      </c>
      <c r="I44" s="4">
        <f>'Passenger-based Activity'!M42</f>
        <v>4227</v>
      </c>
      <c r="J44" s="4">
        <f t="shared" si="40"/>
        <v>21065</v>
      </c>
      <c r="L44" s="138">
        <f t="shared" si="41"/>
        <v>2919.0515203705909</v>
      </c>
      <c r="M44" s="138">
        <f t="shared" si="42"/>
        <v>2432.4014682491852</v>
      </c>
      <c r="N44" s="138">
        <f t="shared" si="43"/>
        <v>2821.3980776781068</v>
      </c>
      <c r="P44" s="129">
        <f>Urban_Rail!AA44</f>
        <v>1.0349043160599929</v>
      </c>
      <c r="Q44" s="129">
        <f t="shared" si="27"/>
        <v>1.0705816979440033</v>
      </c>
      <c r="R44" s="129"/>
      <c r="S44" s="129">
        <f>Urban_Rail!Z44</f>
        <v>1.0018702294626172</v>
      </c>
      <c r="T44" s="141">
        <v>1</v>
      </c>
      <c r="V44" s="131">
        <f t="shared" si="28"/>
        <v>0.95333997103548151</v>
      </c>
      <c r="W44" s="131">
        <f t="shared" si="29"/>
        <v>1.0458604563895593</v>
      </c>
      <c r="X44" s="131">
        <f t="shared" si="44"/>
        <v>1.0028619341590939</v>
      </c>
      <c r="Y44" s="131">
        <f t="shared" si="45"/>
        <v>1.0015259642660332</v>
      </c>
      <c r="Z44" s="131">
        <f t="shared" si="46"/>
        <v>1.0412868479517632</v>
      </c>
      <c r="AA44" s="131">
        <f t="shared" si="47"/>
        <v>0.99706057720157804</v>
      </c>
      <c r="AB44" s="131">
        <f t="shared" si="34"/>
        <v>0.99706057720157792</v>
      </c>
      <c r="AC44" s="131"/>
      <c r="AD44" s="131">
        <f t="shared" si="48"/>
        <v>1.0043922656343856</v>
      </c>
      <c r="AF44" s="134"/>
      <c r="AH44" s="129">
        <f t="shared" si="49"/>
        <v>0.82700176386416324</v>
      </c>
      <c r="AI44" s="129">
        <f t="shared" si="50"/>
        <v>0.17299823613583667</v>
      </c>
      <c r="AK44" s="129">
        <f t="shared" si="57"/>
        <v>0.81777680159808674</v>
      </c>
      <c r="AL44" s="129">
        <f t="shared" si="58"/>
        <v>0.18203412543103356</v>
      </c>
      <c r="AM44" s="129">
        <f t="shared" si="59"/>
        <v>0.99981092702912033</v>
      </c>
      <c r="AO44" s="129">
        <f t="shared" si="60"/>
        <v>0.81793145032737602</v>
      </c>
      <c r="AP44" s="129">
        <f t="shared" si="61"/>
        <v>0.18206854967262392</v>
      </c>
      <c r="AS44" s="136">
        <f t="shared" si="23"/>
        <v>0.1004870495369298</v>
      </c>
      <c r="AT44" s="136">
        <f t="shared" si="24"/>
        <v>-5.6949693503568821E-2</v>
      </c>
      <c r="AV44" s="129">
        <f t="shared" si="51"/>
        <v>0.79933539045810587</v>
      </c>
      <c r="AW44" s="129">
        <f t="shared" si="52"/>
        <v>0.20066460954189413</v>
      </c>
      <c r="AX44" s="129"/>
      <c r="AY44" s="129">
        <f t="shared" si="62"/>
        <v>-6.7189627156865233E-3</v>
      </c>
      <c r="AZ44" s="129">
        <f t="shared" si="63"/>
        <v>2.7221876267712983E-2</v>
      </c>
      <c r="BC44" s="129">
        <f t="shared" si="64"/>
        <v>-4.3088899724366257E-5</v>
      </c>
      <c r="BD44" s="129">
        <f t="shared" si="65"/>
        <v>0</v>
      </c>
      <c r="BG44" s="129">
        <f t="shared" si="17"/>
        <v>1.0744648998452109</v>
      </c>
      <c r="BH44" s="129">
        <f t="shared" si="66"/>
        <v>0.88917438066112708</v>
      </c>
      <c r="BI44" s="129">
        <f t="shared" si="53"/>
        <v>1.0412868479517632</v>
      </c>
      <c r="BJ44" s="129"/>
      <c r="BK44" s="129">
        <f t="shared" si="67"/>
        <v>0.9994607420645466</v>
      </c>
      <c r="BL44" s="129">
        <f t="shared" si="68"/>
        <v>0.99092161380469235</v>
      </c>
      <c r="BM44" s="129">
        <f t="shared" si="54"/>
        <v>1.0028619341590939</v>
      </c>
      <c r="BO44" s="129">
        <f t="shared" si="69"/>
        <v>0.99996475685480968</v>
      </c>
      <c r="BP44" s="129">
        <f t="shared" si="70"/>
        <v>0.99799020554677054</v>
      </c>
      <c r="BQ44" s="129">
        <f t="shared" si="55"/>
        <v>1.0015259642660332</v>
      </c>
    </row>
    <row r="45" spans="1:69" x14ac:dyDescent="0.2">
      <c r="A45" s="133" t="s">
        <v>664</v>
      </c>
      <c r="B45" s="133">
        <f t="shared" si="56"/>
        <v>1984</v>
      </c>
      <c r="D45" s="279">
        <f>Urban_Rail!G45</f>
        <v>49.372610999999999</v>
      </c>
      <c r="E45" s="279">
        <f>'Passenger-based Energy Use'!M42</f>
        <v>10.871698113207547</v>
      </c>
      <c r="F45" s="279">
        <f t="shared" si="39"/>
        <v>60.244309113207549</v>
      </c>
      <c r="H45" s="4">
        <f>Urban_Rail!L45</f>
        <v>16734</v>
      </c>
      <c r="I45" s="4">
        <f>'Passenger-based Activity'!M43</f>
        <v>4427</v>
      </c>
      <c r="J45" s="4">
        <f t="shared" si="40"/>
        <v>21161</v>
      </c>
      <c r="L45" s="138">
        <f t="shared" si="41"/>
        <v>2950.4368949444242</v>
      </c>
      <c r="M45" s="138">
        <f t="shared" si="42"/>
        <v>2455.7709765546751</v>
      </c>
      <c r="N45" s="138">
        <f t="shared" si="43"/>
        <v>2846.9500077126577</v>
      </c>
      <c r="P45" s="129">
        <f>Urban_Rail!AA45</f>
        <v>1.0449895446331454</v>
      </c>
      <c r="Q45" s="129">
        <f t="shared" si="27"/>
        <v>1.0808674045629096</v>
      </c>
      <c r="R45" s="129"/>
      <c r="S45" s="129">
        <f>Urban_Rail!Z45</f>
        <v>1.0028692026719024</v>
      </c>
      <c r="T45" s="141">
        <v>1</v>
      </c>
      <c r="V45" s="131">
        <f t="shared" si="28"/>
        <v>0.95768464880521365</v>
      </c>
      <c r="W45" s="131">
        <f t="shared" si="29"/>
        <v>1.0553322687576892</v>
      </c>
      <c r="X45" s="131">
        <f t="shared" si="44"/>
        <v>1.00138016846214</v>
      </c>
      <c r="Y45" s="131">
        <f t="shared" si="45"/>
        <v>1.0023480553240949</v>
      </c>
      <c r="Z45" s="131">
        <f t="shared" si="46"/>
        <v>1.0514089735000474</v>
      </c>
      <c r="AA45" s="131">
        <f t="shared" si="47"/>
        <v>1.0106755131780167</v>
      </c>
      <c r="AB45" s="131">
        <f t="shared" si="34"/>
        <v>1.010675513178017</v>
      </c>
      <c r="AC45" s="131"/>
      <c r="AD45" s="131">
        <f t="shared" si="48"/>
        <v>1.0037314644981405</v>
      </c>
      <c r="AF45" s="134"/>
      <c r="AH45" s="129">
        <f t="shared" si="49"/>
        <v>0.81953983250470852</v>
      </c>
      <c r="AI45" s="129">
        <f t="shared" si="50"/>
        <v>0.18046016749529145</v>
      </c>
      <c r="AK45" s="129">
        <f t="shared" si="57"/>
        <v>0.82326516205548361</v>
      </c>
      <c r="AL45" s="129">
        <f t="shared" si="58"/>
        <v>0.1767029436391491</v>
      </c>
      <c r="AM45" s="129">
        <f t="shared" si="59"/>
        <v>0.99996810569463268</v>
      </c>
      <c r="AO45" s="129">
        <f t="shared" si="60"/>
        <v>0.82329142036345093</v>
      </c>
      <c r="AP45" s="129">
        <f t="shared" si="61"/>
        <v>0.17670857963654904</v>
      </c>
      <c r="AS45" s="136">
        <f t="shared" si="23"/>
        <v>9.6979060384618544E-3</v>
      </c>
      <c r="AT45" s="136">
        <f t="shared" si="24"/>
        <v>9.5617274630647887E-3</v>
      </c>
      <c r="AV45" s="129">
        <f t="shared" si="51"/>
        <v>0.79079438589858697</v>
      </c>
      <c r="AW45" s="129">
        <f t="shared" si="52"/>
        <v>0.20920561410141297</v>
      </c>
      <c r="AX45" s="129"/>
      <c r="AY45" s="129">
        <f t="shared" si="62"/>
        <v>-1.0742628463719857E-2</v>
      </c>
      <c r="AZ45" s="129">
        <f t="shared" si="63"/>
        <v>4.1682662743696766E-2</v>
      </c>
      <c r="BC45" s="129">
        <f t="shared" si="64"/>
        <v>9.9661160543551043E-4</v>
      </c>
      <c r="BD45" s="129">
        <f t="shared" si="65"/>
        <v>0</v>
      </c>
      <c r="BG45" s="129">
        <f t="shared" si="17"/>
        <v>1.0097207849769683</v>
      </c>
      <c r="BH45" s="129">
        <f t="shared" si="66"/>
        <v>0.89781785362256283</v>
      </c>
      <c r="BI45" s="129">
        <f t="shared" si="53"/>
        <v>1.0514089735000474</v>
      </c>
      <c r="BJ45" s="129"/>
      <c r="BK45" s="129">
        <f t="shared" si="67"/>
        <v>0.99852246291689561</v>
      </c>
      <c r="BL45" s="129">
        <f t="shared" si="68"/>
        <v>0.98945749037384623</v>
      </c>
      <c r="BM45" s="129">
        <f t="shared" si="54"/>
        <v>1.00138016846214</v>
      </c>
      <c r="BO45" s="129">
        <f t="shared" si="69"/>
        <v>1.000820838487861</v>
      </c>
      <c r="BP45" s="129">
        <f t="shared" si="70"/>
        <v>0.99880939431799165</v>
      </c>
      <c r="BQ45" s="129">
        <f t="shared" si="55"/>
        <v>1.0023480553240949</v>
      </c>
    </row>
    <row r="46" spans="1:69" x14ac:dyDescent="0.2">
      <c r="A46" s="133" t="s">
        <v>664</v>
      </c>
      <c r="B46" s="133">
        <f t="shared" si="56"/>
        <v>1985</v>
      </c>
      <c r="D46" s="279">
        <f>Urban_Rail!G46</f>
        <v>48.736265400000001</v>
      </c>
      <c r="E46" s="279">
        <f>'Passenger-based Energy Use'!M43</f>
        <v>10.871698113207547</v>
      </c>
      <c r="F46" s="279">
        <f t="shared" si="39"/>
        <v>59.607963513207551</v>
      </c>
      <c r="H46" s="4">
        <f>Urban_Rail!L46</f>
        <v>17311</v>
      </c>
      <c r="I46" s="4">
        <f>'Passenger-based Activity'!M44</f>
        <v>4785</v>
      </c>
      <c r="J46" s="4">
        <f t="shared" si="40"/>
        <v>22096</v>
      </c>
      <c r="L46" s="138">
        <f t="shared" si="41"/>
        <v>2815.3350701865866</v>
      </c>
      <c r="M46" s="138">
        <f t="shared" si="42"/>
        <v>2272.0372232408663</v>
      </c>
      <c r="N46" s="138">
        <f t="shared" si="43"/>
        <v>2697.6811872378507</v>
      </c>
      <c r="P46" s="129">
        <f>Urban_Rail!AA46</f>
        <v>1</v>
      </c>
      <c r="Q46" s="129">
        <f t="shared" si="27"/>
        <v>1</v>
      </c>
      <c r="R46" s="129"/>
      <c r="S46" s="129">
        <f>Urban_Rail!Z46</f>
        <v>1</v>
      </c>
      <c r="T46" s="141">
        <v>1</v>
      </c>
      <c r="V46" s="131">
        <f t="shared" si="28"/>
        <v>1</v>
      </c>
      <c r="W46" s="131">
        <f t="shared" si="29"/>
        <v>1</v>
      </c>
      <c r="X46" s="131">
        <f t="shared" si="44"/>
        <v>1</v>
      </c>
      <c r="Y46" s="131">
        <f t="shared" si="45"/>
        <v>1</v>
      </c>
      <c r="Z46" s="131">
        <f t="shared" si="46"/>
        <v>1</v>
      </c>
      <c r="AA46" s="131">
        <f t="shared" si="47"/>
        <v>1</v>
      </c>
      <c r="AB46" s="131">
        <f t="shared" si="34"/>
        <v>1</v>
      </c>
      <c r="AC46" s="131"/>
      <c r="AD46" s="131">
        <f t="shared" si="48"/>
        <v>1</v>
      </c>
      <c r="AF46" s="134"/>
      <c r="AH46" s="129">
        <f t="shared" si="49"/>
        <v>0.81761332760850536</v>
      </c>
      <c r="AI46" s="129">
        <f t="shared" si="50"/>
        <v>0.18238667239149456</v>
      </c>
      <c r="AK46" s="129">
        <f t="shared" si="57"/>
        <v>0.81857620222365801</v>
      </c>
      <c r="AL46" s="129">
        <f t="shared" si="58"/>
        <v>0.18142171516118913</v>
      </c>
      <c r="AM46" s="129">
        <f t="shared" si="59"/>
        <v>0.99999791738484711</v>
      </c>
      <c r="AO46" s="129">
        <f t="shared" si="60"/>
        <v>0.81857790700641098</v>
      </c>
      <c r="AP46" s="129">
        <f t="shared" si="61"/>
        <v>0.18142209299358908</v>
      </c>
      <c r="AS46" s="136">
        <f t="shared" si="23"/>
        <v>-4.4006880230976569E-2</v>
      </c>
      <c r="AT46" s="136">
        <f t="shared" si="24"/>
        <v>-7.7763871154913816E-2</v>
      </c>
      <c r="AV46" s="129">
        <f t="shared" si="51"/>
        <v>0.78344496741491676</v>
      </c>
      <c r="AW46" s="129">
        <f t="shared" si="52"/>
        <v>0.21655503258508327</v>
      </c>
      <c r="AX46" s="129"/>
      <c r="AY46" s="129">
        <f t="shared" si="62"/>
        <v>-9.3371720931163821E-3</v>
      </c>
      <c r="AZ46" s="129">
        <f t="shared" si="63"/>
        <v>3.4527139340611558E-2</v>
      </c>
      <c r="BC46" s="129">
        <f t="shared" si="64"/>
        <v>-2.8650943664141463E-3</v>
      </c>
      <c r="BD46" s="129">
        <f t="shared" si="65"/>
        <v>0</v>
      </c>
      <c r="BG46" s="129">
        <f t="shared" si="17"/>
        <v>0.95110468447980678</v>
      </c>
      <c r="BH46" s="129">
        <f t="shared" si="66"/>
        <v>0.85391876639002495</v>
      </c>
      <c r="BI46" s="129">
        <f t="shared" si="53"/>
        <v>1</v>
      </c>
      <c r="BJ46" s="129"/>
      <c r="BK46" s="129">
        <f t="shared" si="67"/>
        <v>0.9986217337774328</v>
      </c>
      <c r="BL46" s="129">
        <f t="shared" si="68"/>
        <v>0.98809375453619785</v>
      </c>
      <c r="BM46" s="129">
        <f t="shared" si="54"/>
        <v>1</v>
      </c>
      <c r="BO46" s="129">
        <f t="shared" si="69"/>
        <v>0.99765744512435284</v>
      </c>
      <c r="BP46" s="129">
        <f t="shared" si="70"/>
        <v>0.9964696285014899</v>
      </c>
      <c r="BQ46" s="129">
        <f t="shared" si="55"/>
        <v>1</v>
      </c>
    </row>
    <row r="47" spans="1:69" x14ac:dyDescent="0.2">
      <c r="A47" s="133" t="s">
        <v>664</v>
      </c>
      <c r="B47" s="133">
        <f t="shared" si="56"/>
        <v>1986</v>
      </c>
      <c r="D47" s="279">
        <f>Urban_Rail!G47</f>
        <v>53.1587806</v>
      </c>
      <c r="E47" s="279">
        <f>'Passenger-based Energy Use'!M44</f>
        <v>10.450314465408805</v>
      </c>
      <c r="F47" s="279">
        <f t="shared" si="39"/>
        <v>63.609095065408809</v>
      </c>
      <c r="H47" s="4">
        <f>Urban_Rail!L47</f>
        <v>17733</v>
      </c>
      <c r="I47" s="4">
        <f>'Passenger-based Activity'!M45</f>
        <v>5011</v>
      </c>
      <c r="J47" s="4">
        <f t="shared" si="40"/>
        <v>22744</v>
      </c>
      <c r="L47" s="138">
        <f t="shared" si="41"/>
        <v>2997.7319460892122</v>
      </c>
      <c r="M47" s="138">
        <f t="shared" si="42"/>
        <v>2085.4748484152478</v>
      </c>
      <c r="N47" s="138">
        <f t="shared" si="43"/>
        <v>2796.7417809272251</v>
      </c>
      <c r="P47" s="129">
        <f>Urban_Rail!AA47</f>
        <v>1.0646637915287738</v>
      </c>
      <c r="Q47" s="129">
        <f t="shared" si="27"/>
        <v>0.91788762397144918</v>
      </c>
      <c r="R47" s="129"/>
      <c r="S47" s="129">
        <f>Urban_Rail!Z47</f>
        <v>1.0001156460730123</v>
      </c>
      <c r="T47" s="141">
        <v>1</v>
      </c>
      <c r="V47" s="131">
        <f t="shared" si="28"/>
        <v>1.0293265749456915</v>
      </c>
      <c r="W47" s="131">
        <f t="shared" si="29"/>
        <v>1.0367206451815021</v>
      </c>
      <c r="X47" s="131">
        <f t="shared" si="44"/>
        <v>0.99900272928228684</v>
      </c>
      <c r="Y47" s="131">
        <f t="shared" si="45"/>
        <v>1.0000956136431514</v>
      </c>
      <c r="Z47" s="131">
        <f t="shared" si="46"/>
        <v>1.0376563543176578</v>
      </c>
      <c r="AA47" s="131">
        <f t="shared" si="47"/>
        <v>1.067124110880163</v>
      </c>
      <c r="AB47" s="131">
        <f t="shared" si="34"/>
        <v>1.067124110880163</v>
      </c>
      <c r="AC47" s="131"/>
      <c r="AD47" s="131">
        <f t="shared" si="48"/>
        <v>0.99909824757275167</v>
      </c>
      <c r="AF47" s="134"/>
      <c r="AH47" s="129">
        <f t="shared" si="49"/>
        <v>0.83571037357687894</v>
      </c>
      <c r="AI47" s="129">
        <f t="shared" si="50"/>
        <v>0.16428962642312103</v>
      </c>
      <c r="AK47" s="129">
        <f t="shared" si="57"/>
        <v>0.82662883492281203</v>
      </c>
      <c r="AL47" s="129">
        <f t="shared" si="58"/>
        <v>0.17318058580495058</v>
      </c>
      <c r="AM47" s="129">
        <f t="shared" si="59"/>
        <v>0.99980942072776258</v>
      </c>
      <c r="AO47" s="129">
        <f t="shared" si="60"/>
        <v>0.82678640327384378</v>
      </c>
      <c r="AP47" s="129">
        <f t="shared" si="61"/>
        <v>0.17321359672615627</v>
      </c>
      <c r="AQ47" s="129"/>
      <c r="AR47" s="129"/>
      <c r="AS47" s="129">
        <f t="shared" si="23"/>
        <v>6.2659060615842754E-2</v>
      </c>
      <c r="AT47" s="129">
        <f t="shared" si="24"/>
        <v>-8.5680309829304913E-2</v>
      </c>
      <c r="AV47" s="129">
        <f t="shared" si="51"/>
        <v>0.77967815687653885</v>
      </c>
      <c r="AW47" s="129">
        <f t="shared" si="52"/>
        <v>0.22032184312346112</v>
      </c>
      <c r="AX47" s="129"/>
      <c r="AY47" s="129">
        <f t="shared" si="62"/>
        <v>-4.8196047660127635E-3</v>
      </c>
      <c r="AZ47" s="129">
        <f t="shared" si="63"/>
        <v>1.7244693390907596E-2</v>
      </c>
      <c r="BC47" s="129">
        <f t="shared" si="64"/>
        <v>1.1563938652069213E-4</v>
      </c>
      <c r="BD47" s="129">
        <f t="shared" si="65"/>
        <v>0</v>
      </c>
      <c r="BG47" s="129">
        <f t="shared" si="17"/>
        <v>1.0376563543176578</v>
      </c>
      <c r="BH47" s="129">
        <f t="shared" si="66"/>
        <v>0.88607423401570495</v>
      </c>
      <c r="BI47" s="129">
        <f t="shared" si="53"/>
        <v>1.0376563543176578</v>
      </c>
      <c r="BJ47" s="129"/>
      <c r="BK47" s="129">
        <f t="shared" si="67"/>
        <v>0.99900272928228684</v>
      </c>
      <c r="BL47" s="129">
        <f t="shared" si="68"/>
        <v>0.98710835756844362</v>
      </c>
      <c r="BM47" s="129">
        <f t="shared" si="54"/>
        <v>0.99900272928228684</v>
      </c>
      <c r="BO47" s="129">
        <f t="shared" si="69"/>
        <v>1.0000956136431514</v>
      </c>
      <c r="BP47" s="129">
        <f t="shared" si="70"/>
        <v>0.99656490459296065</v>
      </c>
      <c r="BQ47" s="129">
        <f t="shared" si="55"/>
        <v>1.0000956136431514</v>
      </c>
    </row>
    <row r="48" spans="1:69" x14ac:dyDescent="0.2">
      <c r="A48" s="133" t="s">
        <v>664</v>
      </c>
      <c r="B48" s="133">
        <f t="shared" si="56"/>
        <v>1987</v>
      </c>
      <c r="D48" s="279">
        <f>Urban_Rail!G48</f>
        <v>54.353622800000004</v>
      </c>
      <c r="E48" s="279">
        <f>'Passenger-based Energy Use'!M45</f>
        <v>11.040251572327044</v>
      </c>
      <c r="F48" s="279">
        <f t="shared" si="39"/>
        <v>65.393874372327048</v>
      </c>
      <c r="H48" s="4">
        <f>Urban_Rail!L48</f>
        <v>18421</v>
      </c>
      <c r="I48" s="4">
        <f>'Passenger-based Activity'!M46</f>
        <v>5361</v>
      </c>
      <c r="J48" s="4">
        <f t="shared" si="40"/>
        <v>23782</v>
      </c>
      <c r="L48" s="138">
        <f t="shared" si="41"/>
        <v>2950.6336680961949</v>
      </c>
      <c r="M48" s="138">
        <f t="shared" si="42"/>
        <v>2059.3642179308044</v>
      </c>
      <c r="N48" s="138">
        <f t="shared" si="43"/>
        <v>2749.72140157796</v>
      </c>
      <c r="P48" s="129">
        <f>Urban_Rail!AA48</f>
        <v>1.0464704899419734</v>
      </c>
      <c r="Q48" s="129">
        <f t="shared" si="27"/>
        <v>0.90639545728625781</v>
      </c>
      <c r="R48" s="129"/>
      <c r="S48" s="129">
        <f>Urban_Rail!Z48</f>
        <v>1.0015167506710141</v>
      </c>
      <c r="T48" s="141">
        <v>1</v>
      </c>
      <c r="V48" s="131">
        <f t="shared" si="28"/>
        <v>1.0763034033309196</v>
      </c>
      <c r="W48" s="131">
        <f t="shared" si="29"/>
        <v>1.0192907207072135</v>
      </c>
      <c r="X48" s="131">
        <f t="shared" si="44"/>
        <v>0.99734721618557931</v>
      </c>
      <c r="Y48" s="131">
        <f t="shared" si="45"/>
        <v>1.001263204624808</v>
      </c>
      <c r="Z48" s="131">
        <f t="shared" si="46"/>
        <v>1.0207125019750947</v>
      </c>
      <c r="AA48" s="131">
        <f t="shared" si="47"/>
        <v>1.0970660716807998</v>
      </c>
      <c r="AB48" s="131">
        <f t="shared" si="34"/>
        <v>1.0970660716807996</v>
      </c>
      <c r="AC48" s="131"/>
      <c r="AD48" s="131">
        <f t="shared" si="48"/>
        <v>0.9986070698016043</v>
      </c>
      <c r="AF48" s="134"/>
      <c r="AH48" s="129">
        <f t="shared" si="49"/>
        <v>0.83117300086139279</v>
      </c>
      <c r="AI48" s="129">
        <f t="shared" si="50"/>
        <v>0.16882699913860716</v>
      </c>
      <c r="AK48" s="129">
        <f t="shared" si="57"/>
        <v>0.83343962870761323</v>
      </c>
      <c r="AL48" s="129">
        <f t="shared" si="58"/>
        <v>0.16654801169897279</v>
      </c>
      <c r="AM48" s="129">
        <f t="shared" si="59"/>
        <v>0.99998764040658605</v>
      </c>
      <c r="AO48" s="129">
        <f t="shared" si="60"/>
        <v>0.83344992980987653</v>
      </c>
      <c r="AP48" s="129">
        <f t="shared" si="61"/>
        <v>0.16655007019012341</v>
      </c>
      <c r="AQ48" s="129"/>
      <c r="AR48" s="129"/>
      <c r="AS48" s="129">
        <f t="shared" si="23"/>
        <v>-1.7235996922731613E-2</v>
      </c>
      <c r="AT48" s="129">
        <f t="shared" si="24"/>
        <v>-1.2599271271698714E-2</v>
      </c>
      <c r="AV48" s="129">
        <f t="shared" si="51"/>
        <v>0.77457741148767978</v>
      </c>
      <c r="AW48" s="129">
        <f t="shared" si="52"/>
        <v>0.22542258851232025</v>
      </c>
      <c r="AX48" s="129"/>
      <c r="AY48" s="129">
        <f t="shared" si="62"/>
        <v>-6.5636100069503761E-3</v>
      </c>
      <c r="AZ48" s="129">
        <f t="shared" si="63"/>
        <v>2.2887411201124724E-2</v>
      </c>
      <c r="BC48" s="129">
        <f t="shared" si="64"/>
        <v>1.399962179984356E-3</v>
      </c>
      <c r="BD48" s="129">
        <f t="shared" si="65"/>
        <v>0</v>
      </c>
      <c r="BG48" s="129">
        <f t="shared" si="17"/>
        <v>0.98367103687838442</v>
      </c>
      <c r="BH48" s="129">
        <f t="shared" si="66"/>
        <v>0.87160556052544869</v>
      </c>
      <c r="BI48" s="129">
        <f t="shared" si="53"/>
        <v>1.0207125019750947</v>
      </c>
      <c r="BJ48" s="129"/>
      <c r="BK48" s="129">
        <f t="shared" si="67"/>
        <v>0.99834283426042603</v>
      </c>
      <c r="BL48" s="129">
        <f t="shared" si="68"/>
        <v>0.98547255541703405</v>
      </c>
      <c r="BM48" s="129">
        <f t="shared" si="54"/>
        <v>0.99734721618557931</v>
      </c>
      <c r="BO48" s="129">
        <f t="shared" si="69"/>
        <v>1.0011674793547023</v>
      </c>
      <c r="BP48" s="129">
        <f t="shared" si="70"/>
        <v>0.99772837354469379</v>
      </c>
      <c r="BQ48" s="129">
        <f t="shared" si="55"/>
        <v>1.001263204624808</v>
      </c>
    </row>
    <row r="49" spans="1:69" x14ac:dyDescent="0.2">
      <c r="A49" s="133" t="s">
        <v>664</v>
      </c>
      <c r="B49" s="133">
        <f t="shared" si="56"/>
        <v>1988</v>
      </c>
      <c r="D49" s="279">
        <f>Urban_Rail!G49</f>
        <v>55.889855800000007</v>
      </c>
      <c r="E49" s="279">
        <f>'Passenger-based Energy Use'!M46</f>
        <v>11.377358490566039</v>
      </c>
      <c r="F49" s="279">
        <f t="shared" si="39"/>
        <v>67.267214290566045</v>
      </c>
      <c r="H49" s="4">
        <f>Urban_Rail!L49</f>
        <v>18741</v>
      </c>
      <c r="I49" s="4">
        <f>'Passenger-based Activity'!M47</f>
        <v>5686</v>
      </c>
      <c r="J49" s="4">
        <f t="shared" si="40"/>
        <v>24427</v>
      </c>
      <c r="L49" s="138">
        <f t="shared" si="41"/>
        <v>2982.2237767461716</v>
      </c>
      <c r="M49" s="138">
        <f t="shared" si="42"/>
        <v>2000.9424007326834</v>
      </c>
      <c r="N49" s="138">
        <f t="shared" si="43"/>
        <v>2753.8058005717462</v>
      </c>
      <c r="P49" s="129">
        <f>Urban_Rail!AA49</f>
        <v>1.0551685145443912</v>
      </c>
      <c r="Q49" s="129">
        <f t="shared" si="27"/>
        <v>0.88068205056892102</v>
      </c>
      <c r="R49" s="129"/>
      <c r="S49" s="129">
        <f>Urban_Rail!Z49</f>
        <v>1.0038950537436944</v>
      </c>
      <c r="T49" s="141">
        <v>1</v>
      </c>
      <c r="V49" s="131">
        <f t="shared" si="28"/>
        <v>1.105494207096307</v>
      </c>
      <c r="W49" s="131">
        <f t="shared" si="29"/>
        <v>1.0208047613629843</v>
      </c>
      <c r="X49" s="131">
        <f t="shared" si="44"/>
        <v>0.99485462603891517</v>
      </c>
      <c r="Y49" s="131">
        <f t="shared" si="45"/>
        <v>1.0032387212321496</v>
      </c>
      <c r="Z49" s="131">
        <f t="shared" si="46"/>
        <v>1.0227718760638318</v>
      </c>
      <c r="AA49" s="131">
        <f t="shared" si="47"/>
        <v>1.1284937502631065</v>
      </c>
      <c r="AB49" s="131">
        <f t="shared" si="34"/>
        <v>1.1284937502631072</v>
      </c>
      <c r="AC49" s="131"/>
      <c r="AD49" s="131">
        <f t="shared" si="48"/>
        <v>0.99807668283916973</v>
      </c>
      <c r="AF49" s="134"/>
      <c r="AH49" s="129">
        <f t="shared" si="49"/>
        <v>0.83086324280621104</v>
      </c>
      <c r="AI49" s="129">
        <f t="shared" si="50"/>
        <v>0.16913675719378893</v>
      </c>
      <c r="AK49" s="129">
        <f t="shared" si="57"/>
        <v>0.83101811221197208</v>
      </c>
      <c r="AL49" s="129">
        <f t="shared" si="58"/>
        <v>0.16898183084847013</v>
      </c>
      <c r="AM49" s="129">
        <f t="shared" si="59"/>
        <v>0.99999994306044226</v>
      </c>
      <c r="AO49" s="129">
        <f t="shared" si="60"/>
        <v>0.83101815952977853</v>
      </c>
      <c r="AP49" s="129">
        <f t="shared" si="61"/>
        <v>0.16898184047022138</v>
      </c>
      <c r="AQ49" s="129"/>
      <c r="AR49" s="129"/>
      <c r="AS49" s="129">
        <f t="shared" si="23"/>
        <v>8.2774199054952528E-3</v>
      </c>
      <c r="AT49" s="129">
        <f t="shared" si="24"/>
        <v>-2.8779033146129274E-2</v>
      </c>
      <c r="AV49" s="129">
        <f t="shared" si="51"/>
        <v>0.76722479223809714</v>
      </c>
      <c r="AW49" s="129">
        <f t="shared" si="52"/>
        <v>0.2327752077619028</v>
      </c>
      <c r="AX49" s="129"/>
      <c r="AY49" s="129">
        <f t="shared" si="62"/>
        <v>-9.5377668680155427E-3</v>
      </c>
      <c r="AZ49" s="129">
        <f t="shared" si="63"/>
        <v>3.2096402505929447E-2</v>
      </c>
      <c r="BC49" s="129">
        <f t="shared" si="64"/>
        <v>2.3718860958544942E-3</v>
      </c>
      <c r="BD49" s="129">
        <f t="shared" si="65"/>
        <v>0</v>
      </c>
      <c r="BG49" s="129">
        <f t="shared" si="17"/>
        <v>1.0020175848583732</v>
      </c>
      <c r="BH49" s="129">
        <f t="shared" si="66"/>
        <v>0.87336409870683873</v>
      </c>
      <c r="BI49" s="129">
        <f t="shared" si="53"/>
        <v>1.0227718760638318</v>
      </c>
      <c r="BJ49" s="129"/>
      <c r="BK49" s="129">
        <f t="shared" si="67"/>
        <v>0.99750077996287267</v>
      </c>
      <c r="BL49" s="129">
        <f t="shared" si="68"/>
        <v>0.98300964266049673</v>
      </c>
      <c r="BM49" s="129">
        <f t="shared" si="54"/>
        <v>0.99485462603891517</v>
      </c>
      <c r="BO49" s="129">
        <f t="shared" si="69"/>
        <v>1.001973024273954</v>
      </c>
      <c r="BP49" s="129">
        <f t="shared" si="70"/>
        <v>0.99969691584451004</v>
      </c>
      <c r="BQ49" s="129">
        <f t="shared" si="55"/>
        <v>1.0032387212321496</v>
      </c>
    </row>
    <row r="50" spans="1:69" x14ac:dyDescent="0.2">
      <c r="A50" s="133" t="s">
        <v>664</v>
      </c>
      <c r="B50" s="133">
        <f t="shared" si="56"/>
        <v>1989</v>
      </c>
      <c r="D50" s="279">
        <f>Urban_Rail!G50</f>
        <v>57.1282882</v>
      </c>
      <c r="E50" s="279">
        <f>'Passenger-based Energy Use'!M47</f>
        <v>12.89433962264151</v>
      </c>
      <c r="F50" s="279">
        <f t="shared" si="39"/>
        <v>70.02262782264151</v>
      </c>
      <c r="H50" s="4">
        <f>Urban_Rail!L50</f>
        <v>19750</v>
      </c>
      <c r="I50" s="4">
        <f>'Passenger-based Activity'!M48</f>
        <v>5859</v>
      </c>
      <c r="J50" s="4">
        <f t="shared" si="40"/>
        <v>25609</v>
      </c>
      <c r="L50" s="138">
        <f t="shared" si="41"/>
        <v>2892.5715544303798</v>
      </c>
      <c r="M50" s="138">
        <f t="shared" si="42"/>
        <v>2200.7748118521099</v>
      </c>
      <c r="N50" s="138">
        <f t="shared" si="43"/>
        <v>2734.2976228139132</v>
      </c>
      <c r="P50" s="129">
        <f>Urban_Rail!AA50</f>
        <v>1.0230839165787895</v>
      </c>
      <c r="Q50" s="129">
        <f t="shared" si="27"/>
        <v>0.96863501589683176</v>
      </c>
      <c r="R50" s="129"/>
      <c r="S50" s="129">
        <f>Urban_Rail!Z50</f>
        <v>1.0042521342093205</v>
      </c>
      <c r="T50" s="141">
        <v>1</v>
      </c>
      <c r="V50" s="131">
        <f t="shared" si="28"/>
        <v>1.1589880521361333</v>
      </c>
      <c r="W50" s="131">
        <f t="shared" si="29"/>
        <v>1.0135732998210785</v>
      </c>
      <c r="X50" s="131">
        <f t="shared" si="44"/>
        <v>0.99606729488829904</v>
      </c>
      <c r="Y50" s="131">
        <f t="shared" si="45"/>
        <v>1.0035325549952667</v>
      </c>
      <c r="Z50" s="131">
        <f t="shared" si="46"/>
        <v>1.0139931361892791</v>
      </c>
      <c r="AA50" s="131">
        <f t="shared" si="47"/>
        <v>1.1747193444568247</v>
      </c>
      <c r="AB50" s="131">
        <f t="shared" si="34"/>
        <v>1.1747193444568249</v>
      </c>
      <c r="AC50" s="131"/>
      <c r="AD50" s="131">
        <f t="shared" si="48"/>
        <v>0.99958595738647849</v>
      </c>
      <c r="AF50" s="134"/>
      <c r="AH50" s="129">
        <f t="shared" si="49"/>
        <v>0.81585467407334034</v>
      </c>
      <c r="AI50" s="129">
        <f t="shared" si="50"/>
        <v>0.18414532592665969</v>
      </c>
      <c r="AK50" s="129">
        <f t="shared" si="57"/>
        <v>0.82333615933909565</v>
      </c>
      <c r="AL50" s="129">
        <f t="shared" si="58"/>
        <v>0.17653472158623215</v>
      </c>
      <c r="AM50" s="129">
        <f t="shared" si="59"/>
        <v>0.99987088092532783</v>
      </c>
      <c r="AO50" s="129">
        <f t="shared" si="60"/>
        <v>0.82344248147034882</v>
      </c>
      <c r="AP50" s="129">
        <f t="shared" si="61"/>
        <v>0.17655751852965113</v>
      </c>
      <c r="AQ50" s="129"/>
      <c r="AR50" s="129"/>
      <c r="AS50" s="129">
        <f t="shared" si="23"/>
        <v>-3.0878970102094807E-2</v>
      </c>
      <c r="AT50" s="129">
        <f t="shared" si="24"/>
        <v>9.5191215620162709E-2</v>
      </c>
      <c r="AV50" s="129">
        <f t="shared" si="51"/>
        <v>0.77121324534343394</v>
      </c>
      <c r="AW50" s="129">
        <f t="shared" si="52"/>
        <v>0.22878675465656606</v>
      </c>
      <c r="AX50" s="129"/>
      <c r="AY50" s="129">
        <f t="shared" si="62"/>
        <v>5.1850798585520797E-3</v>
      </c>
      <c r="AZ50" s="129">
        <f t="shared" si="63"/>
        <v>-1.7282846975192615E-2</v>
      </c>
      <c r="BC50" s="129">
        <f t="shared" si="64"/>
        <v>3.5563176995363251E-4</v>
      </c>
      <c r="BD50" s="129">
        <f t="shared" si="65"/>
        <v>0</v>
      </c>
      <c r="BG50" s="129">
        <f t="shared" si="17"/>
        <v>0.9914167175691827</v>
      </c>
      <c r="BH50" s="129">
        <f t="shared" si="66"/>
        <v>0.86586776798270171</v>
      </c>
      <c r="BI50" s="129">
        <f t="shared" si="53"/>
        <v>1.0139931361892791</v>
      </c>
      <c r="BJ50" s="129"/>
      <c r="BK50" s="129">
        <f t="shared" si="67"/>
        <v>1.0012189407554068</v>
      </c>
      <c r="BL50" s="129">
        <f t="shared" si="68"/>
        <v>0.98420787317689351</v>
      </c>
      <c r="BM50" s="129">
        <f t="shared" si="54"/>
        <v>0.99606729488829904</v>
      </c>
      <c r="BO50" s="129">
        <f t="shared" si="69"/>
        <v>1.0002928851896347</v>
      </c>
      <c r="BP50" s="129">
        <f t="shared" si="70"/>
        <v>0.99998971226528433</v>
      </c>
      <c r="BQ50" s="129">
        <f t="shared" si="55"/>
        <v>1.0035325549952667</v>
      </c>
    </row>
    <row r="51" spans="1:69" x14ac:dyDescent="0.2">
      <c r="A51" s="133" t="s">
        <v>664</v>
      </c>
      <c r="B51" s="133">
        <f t="shared" si="56"/>
        <v>1990</v>
      </c>
      <c r="D51" s="279">
        <f>Urban_Rail!G51</f>
        <v>56.406765700000001</v>
      </c>
      <c r="E51" s="279">
        <f>'Passenger-based Energy Use'!M48</f>
        <v>12.81006289308176</v>
      </c>
      <c r="F51" s="279">
        <f t="shared" si="39"/>
        <v>69.216828593081758</v>
      </c>
      <c r="H51" s="4">
        <f>Urban_Rail!L51</f>
        <v>19128</v>
      </c>
      <c r="I51" s="4">
        <f>'Passenger-based Activity'!M49</f>
        <v>6057</v>
      </c>
      <c r="J51" s="4">
        <f t="shared" si="40"/>
        <v>25185</v>
      </c>
      <c r="L51" s="138">
        <f t="shared" si="41"/>
        <v>2948.9107956921794</v>
      </c>
      <c r="M51" s="138">
        <f t="shared" si="42"/>
        <v>2114.9187540171306</v>
      </c>
      <c r="N51" s="138">
        <f t="shared" si="43"/>
        <v>2748.3354613095794</v>
      </c>
      <c r="P51" s="129">
        <f>Urban_Rail!AA51</f>
        <v>1.0405994378677381</v>
      </c>
      <c r="Q51" s="129">
        <f t="shared" si="27"/>
        <v>0.93084687714771697</v>
      </c>
      <c r="R51" s="129"/>
      <c r="S51" s="129">
        <f>Urban_Rail!Z51</f>
        <v>1.0065792144979953</v>
      </c>
      <c r="T51" s="141">
        <v>1</v>
      </c>
      <c r="V51" s="131">
        <f t="shared" si="28"/>
        <v>1.1397990586531499</v>
      </c>
      <c r="W51" s="131">
        <f t="shared" si="29"/>
        <v>1.0187769682760748</v>
      </c>
      <c r="X51" s="131">
        <f t="shared" si="44"/>
        <v>0.99282351381241041</v>
      </c>
      <c r="Y51" s="131">
        <f t="shared" si="45"/>
        <v>1.0054282725742936</v>
      </c>
      <c r="Z51" s="131">
        <f t="shared" si="46"/>
        <v>1.0206009552120987</v>
      </c>
      <c r="AA51" s="131">
        <f t="shared" si="47"/>
        <v>1.1612010294185791</v>
      </c>
      <c r="AB51" s="131">
        <f t="shared" si="34"/>
        <v>1.1612010294185799</v>
      </c>
      <c r="AC51" s="131"/>
      <c r="AD51" s="131">
        <f t="shared" si="48"/>
        <v>0.99821283046355214</v>
      </c>
      <c r="AF51" s="134"/>
      <c r="AH51" s="129">
        <f t="shared" si="49"/>
        <v>0.8149284913298942</v>
      </c>
      <c r="AI51" s="129">
        <f t="shared" si="50"/>
        <v>0.18507150867010583</v>
      </c>
      <c r="AK51" s="129">
        <f t="shared" si="57"/>
        <v>0.81539149503266828</v>
      </c>
      <c r="AL51" s="129">
        <f t="shared" si="58"/>
        <v>0.18460803007519472</v>
      </c>
      <c r="AM51" s="129">
        <f t="shared" si="59"/>
        <v>0.99999952510786305</v>
      </c>
      <c r="AO51" s="129">
        <f t="shared" si="60"/>
        <v>0.81539188225586168</v>
      </c>
      <c r="AP51" s="129">
        <f t="shared" si="61"/>
        <v>0.18460811774413824</v>
      </c>
      <c r="AQ51" s="129"/>
      <c r="AR51" s="129"/>
      <c r="AS51" s="129">
        <f t="shared" si="23"/>
        <v>1.6975416177272142E-2</v>
      </c>
      <c r="AT51" s="129">
        <f t="shared" si="24"/>
        <v>-3.9793087982317954E-2</v>
      </c>
      <c r="AV51" s="129">
        <f t="shared" si="51"/>
        <v>0.75949970220369267</v>
      </c>
      <c r="AW51" s="129">
        <f t="shared" si="52"/>
        <v>0.24050029779630733</v>
      </c>
      <c r="AX51" s="129"/>
      <c r="AY51" s="129">
        <f t="shared" si="62"/>
        <v>-1.5304988186819865E-2</v>
      </c>
      <c r="AZ51" s="129">
        <f t="shared" si="63"/>
        <v>4.9930960440445919E-2</v>
      </c>
      <c r="BC51" s="129">
        <f t="shared" si="64"/>
        <v>2.3145464974398374E-3</v>
      </c>
      <c r="BD51" s="129">
        <f t="shared" si="65"/>
        <v>0</v>
      </c>
      <c r="BG51" s="129">
        <f t="shared" si="17"/>
        <v>1.0065166309188767</v>
      </c>
      <c r="BH51" s="129">
        <f t="shared" si="66"/>
        <v>0.8715103086511965</v>
      </c>
      <c r="BI51" s="129">
        <f t="shared" si="53"/>
        <v>1.0206009552120987</v>
      </c>
      <c r="BJ51" s="129"/>
      <c r="BK51" s="129">
        <f t="shared" si="67"/>
        <v>0.99674341172274683</v>
      </c>
      <c r="BL51" s="129">
        <f t="shared" si="68"/>
        <v>0.98100271335472533</v>
      </c>
      <c r="BM51" s="129">
        <f t="shared" si="54"/>
        <v>0.99282351381241041</v>
      </c>
      <c r="BO51" s="129">
        <f t="shared" si="69"/>
        <v>1.0018890444257047</v>
      </c>
      <c r="BP51" s="129">
        <f t="shared" si="70"/>
        <v>1.0018787372570011</v>
      </c>
      <c r="BQ51" s="129">
        <f t="shared" si="55"/>
        <v>1.0054282725742936</v>
      </c>
    </row>
    <row r="52" spans="1:69" x14ac:dyDescent="0.2">
      <c r="A52" s="133" t="s">
        <v>664</v>
      </c>
      <c r="B52" s="133">
        <f t="shared" si="56"/>
        <v>1991</v>
      </c>
      <c r="D52" s="279">
        <f>Urban_Rail!G52</f>
        <v>56.757469499999999</v>
      </c>
      <c r="E52" s="279">
        <f>'Passenger-based Energy Use'!M49</f>
        <v>12.81006289308176</v>
      </c>
      <c r="F52" s="279">
        <f t="shared" si="39"/>
        <v>69.567532393081763</v>
      </c>
      <c r="H52" s="4">
        <f>Urban_Rail!L52</f>
        <v>18534</v>
      </c>
      <c r="I52" s="4">
        <f>'Passenger-based Activity'!M50</f>
        <v>6273</v>
      </c>
      <c r="J52" s="4">
        <f t="shared" si="40"/>
        <v>24807</v>
      </c>
      <c r="L52" s="138">
        <f t="shared" si="41"/>
        <v>3062.343234056329</v>
      </c>
      <c r="M52" s="138">
        <f t="shared" si="42"/>
        <v>2042.0951527310312</v>
      </c>
      <c r="N52" s="138">
        <f t="shared" si="43"/>
        <v>2804.3508845520123</v>
      </c>
      <c r="P52" s="129">
        <f>Urban_Rail!AA52</f>
        <v>1.0806207730142166</v>
      </c>
      <c r="Q52" s="129">
        <f t="shared" si="27"/>
        <v>0.89879476086142529</v>
      </c>
      <c r="R52" s="129"/>
      <c r="S52" s="129">
        <f>Urban_Rail!Z52</f>
        <v>1.0065850216170398</v>
      </c>
      <c r="T52" s="141">
        <v>1</v>
      </c>
      <c r="V52" s="131">
        <f t="shared" si="28"/>
        <v>1.1226918899348299</v>
      </c>
      <c r="W52" s="131">
        <f t="shared" si="29"/>
        <v>1.039541254103262</v>
      </c>
      <c r="X52" s="131">
        <f t="shared" si="44"/>
        <v>0.98873015415742149</v>
      </c>
      <c r="Y52" s="131">
        <f t="shared" si="45"/>
        <v>1.0054330022550708</v>
      </c>
      <c r="Z52" s="131">
        <f t="shared" si="46"/>
        <v>1.0457089213290149</v>
      </c>
      <c r="AA52" s="131">
        <f t="shared" si="47"/>
        <v>1.1670845352344135</v>
      </c>
      <c r="AB52" s="131">
        <f t="shared" si="34"/>
        <v>1.1670845352344144</v>
      </c>
      <c r="AC52" s="131"/>
      <c r="AD52" s="131">
        <f t="shared" si="48"/>
        <v>0.99410192731461533</v>
      </c>
      <c r="AF52" s="134"/>
      <c r="AH52" s="129">
        <f t="shared" si="49"/>
        <v>0.81586147370154993</v>
      </c>
      <c r="AI52" s="129">
        <f t="shared" si="50"/>
        <v>0.18413852629845001</v>
      </c>
      <c r="AK52" s="129">
        <f t="shared" si="57"/>
        <v>0.81539489355512307</v>
      </c>
      <c r="AL52" s="129">
        <f t="shared" si="58"/>
        <v>0.18460462454733065</v>
      </c>
      <c r="AM52" s="129">
        <f t="shared" si="59"/>
        <v>0.99999951810245369</v>
      </c>
      <c r="AO52" s="129">
        <f t="shared" si="60"/>
        <v>0.8153952864921109</v>
      </c>
      <c r="AP52" s="129">
        <f t="shared" si="61"/>
        <v>0.18460471350788912</v>
      </c>
      <c r="AQ52" s="129"/>
      <c r="AR52" s="129"/>
      <c r="AS52" s="129">
        <f t="shared" si="23"/>
        <v>3.7738736161922609E-2</v>
      </c>
      <c r="AT52" s="129">
        <f t="shared" si="24"/>
        <v>-3.5040081115796186E-2</v>
      </c>
      <c r="AV52" s="129">
        <f t="shared" si="51"/>
        <v>0.7471278268230741</v>
      </c>
      <c r="AW52" s="129">
        <f t="shared" si="52"/>
        <v>0.25287217317692584</v>
      </c>
      <c r="AX52" s="129"/>
      <c r="AY52" s="129">
        <f t="shared" si="62"/>
        <v>-1.6423639202049478E-2</v>
      </c>
      <c r="AZ52" s="129">
        <f t="shared" si="63"/>
        <v>5.016278890527056E-2</v>
      </c>
      <c r="BC52" s="129">
        <f t="shared" si="64"/>
        <v>5.7691458455142622E-6</v>
      </c>
      <c r="BD52" s="129">
        <f t="shared" si="65"/>
        <v>0</v>
      </c>
      <c r="BG52" s="129">
        <f t="shared" si="17"/>
        <v>1.0246011587473953</v>
      </c>
      <c r="BH52" s="129">
        <f t="shared" si="66"/>
        <v>0.89295047210431611</v>
      </c>
      <c r="BI52" s="129">
        <f t="shared" si="53"/>
        <v>1.0457089213290149</v>
      </c>
      <c r="BJ52" s="129"/>
      <c r="BK52" s="129">
        <f t="shared" si="67"/>
        <v>0.99587705206611132</v>
      </c>
      <c r="BL52" s="129">
        <f t="shared" si="68"/>
        <v>0.97695809024456026</v>
      </c>
      <c r="BM52" s="129">
        <f t="shared" si="54"/>
        <v>0.98873015415742149</v>
      </c>
      <c r="BO52" s="129">
        <f t="shared" si="69"/>
        <v>1.0000047041453939</v>
      </c>
      <c r="BP52" s="129">
        <f t="shared" si="70"/>
        <v>1.0018834502402481</v>
      </c>
      <c r="BQ52" s="129">
        <f t="shared" si="55"/>
        <v>1.0054330022550708</v>
      </c>
    </row>
    <row r="53" spans="1:69" x14ac:dyDescent="0.2">
      <c r="A53" s="133" t="s">
        <v>664</v>
      </c>
      <c r="B53" s="133">
        <f t="shared" si="56"/>
        <v>1992</v>
      </c>
      <c r="D53" s="279">
        <f>Urban_Rail!G53</f>
        <v>55.325849700000006</v>
      </c>
      <c r="E53" s="279">
        <f>'Passenger-based Energy Use'!M50</f>
        <v>12.978616352201259</v>
      </c>
      <c r="F53" s="279">
        <f t="shared" si="39"/>
        <v>68.304466052201263</v>
      </c>
      <c r="H53" s="4">
        <f>Urban_Rail!L53</f>
        <v>18758</v>
      </c>
      <c r="I53" s="4">
        <f>'Passenger-based Activity'!M51</f>
        <v>6091</v>
      </c>
      <c r="J53" s="4">
        <f t="shared" si="40"/>
        <v>24849</v>
      </c>
      <c r="L53" s="138">
        <f t="shared" si="41"/>
        <v>2949.4535504851265</v>
      </c>
      <c r="M53" s="138">
        <f t="shared" si="42"/>
        <v>2130.7858072896502</v>
      </c>
      <c r="N53" s="138">
        <f t="shared" si="43"/>
        <v>2748.7812810254445</v>
      </c>
      <c r="P53" s="129">
        <f>Urban_Rail!AA53</f>
        <v>1.0391980135258452</v>
      </c>
      <c r="Q53" s="129">
        <f t="shared" si="27"/>
        <v>0.9378305009678789</v>
      </c>
      <c r="R53" s="129"/>
      <c r="S53" s="129">
        <f>Urban_Rail!Z53</f>
        <v>1.0081221637165911</v>
      </c>
      <c r="T53" s="141">
        <v>1</v>
      </c>
      <c r="V53" s="131">
        <f t="shared" si="28"/>
        <v>1.1245926864590876</v>
      </c>
      <c r="W53" s="131">
        <f t="shared" si="29"/>
        <v>1.0189422286181693</v>
      </c>
      <c r="X53" s="131">
        <f t="shared" si="44"/>
        <v>0.99127142745554253</v>
      </c>
      <c r="Y53" s="131">
        <f t="shared" si="45"/>
        <v>1.0066809935430838</v>
      </c>
      <c r="Z53" s="131">
        <f t="shared" si="46"/>
        <v>1.0210925418249774</v>
      </c>
      <c r="AA53" s="131">
        <f t="shared" si="47"/>
        <v>1.1458949782283159</v>
      </c>
      <c r="AB53" s="131">
        <f t="shared" si="34"/>
        <v>1.1458949782283168</v>
      </c>
      <c r="AC53" s="131"/>
      <c r="AD53" s="131">
        <f t="shared" si="48"/>
        <v>0.99789410546181645</v>
      </c>
      <c r="AF53" s="134"/>
      <c r="AH53" s="129">
        <f t="shared" si="49"/>
        <v>0.80998875912034174</v>
      </c>
      <c r="AI53" s="129">
        <f t="shared" si="50"/>
        <v>0.19001124087965832</v>
      </c>
      <c r="AK53" s="129">
        <f t="shared" si="57"/>
        <v>0.81292158093804978</v>
      </c>
      <c r="AL53" s="129">
        <f t="shared" si="58"/>
        <v>0.18705951940171053</v>
      </c>
      <c r="AM53" s="129">
        <f t="shared" si="59"/>
        <v>0.99998110033976029</v>
      </c>
      <c r="AO53" s="129">
        <f t="shared" si="60"/>
        <v>0.81293694517010984</v>
      </c>
      <c r="AP53" s="129">
        <f t="shared" si="61"/>
        <v>0.18706305482989022</v>
      </c>
      <c r="AQ53" s="129"/>
      <c r="AR53" s="129"/>
      <c r="AS53" s="129">
        <f t="shared" si="23"/>
        <v>-3.9086391005000234E-2</v>
      </c>
      <c r="AT53" s="129">
        <f t="shared" si="24"/>
        <v>4.2514518827611598E-2</v>
      </c>
      <c r="AV53" s="129">
        <f t="shared" si="51"/>
        <v>0.75487947201094607</v>
      </c>
      <c r="AW53" s="129">
        <f t="shared" si="52"/>
        <v>0.2451205279890539</v>
      </c>
      <c r="AX53" s="129"/>
      <c r="AY53" s="129">
        <f t="shared" si="62"/>
        <v>1.0321806046149741E-2</v>
      </c>
      <c r="AZ53" s="129">
        <f t="shared" si="63"/>
        <v>-3.1134076136355944E-2</v>
      </c>
      <c r="BC53" s="129">
        <f t="shared" si="64"/>
        <v>1.5259213934437762E-3</v>
      </c>
      <c r="BD53" s="129">
        <f t="shared" si="65"/>
        <v>0</v>
      </c>
      <c r="BG53" s="129">
        <f t="shared" si="17"/>
        <v>0.97645962561670407</v>
      </c>
      <c r="BH53" s="129">
        <f t="shared" si="66"/>
        <v>0.87193008368523961</v>
      </c>
      <c r="BI53" s="129">
        <f t="shared" si="53"/>
        <v>1.0210925418249774</v>
      </c>
      <c r="BJ53" s="129"/>
      <c r="BK53" s="129">
        <f t="shared" si="67"/>
        <v>1.0025702395010767</v>
      </c>
      <c r="BL53" s="129">
        <f t="shared" si="68"/>
        <v>0.97946910651900332</v>
      </c>
      <c r="BM53" s="129">
        <f t="shared" si="54"/>
        <v>0.99127142745554253</v>
      </c>
      <c r="BO53" s="129">
        <f t="shared" si="69"/>
        <v>1.0012412475870733</v>
      </c>
      <c r="BP53" s="129">
        <f t="shared" si="70"/>
        <v>1.0031270356553874</v>
      </c>
      <c r="BQ53" s="129">
        <f t="shared" si="55"/>
        <v>1.0066809935430838</v>
      </c>
    </row>
    <row r="54" spans="1:69" x14ac:dyDescent="0.2">
      <c r="A54" s="133" t="s">
        <v>664</v>
      </c>
      <c r="B54" s="133">
        <f t="shared" si="56"/>
        <v>1993</v>
      </c>
      <c r="D54" s="279">
        <f>Urban_Rail!G54</f>
        <v>57.5445402</v>
      </c>
      <c r="E54" s="279">
        <f>'Passenger-based Energy Use'!M51</f>
        <v>13.4</v>
      </c>
      <c r="F54" s="279">
        <f t="shared" si="39"/>
        <v>70.944540200000006</v>
      </c>
      <c r="H54" s="4">
        <f>Urban_Rail!L54</f>
        <v>17876</v>
      </c>
      <c r="I54" s="4">
        <f>'Passenger-based Activity'!M52</f>
        <v>6199</v>
      </c>
      <c r="J54" s="4">
        <f t="shared" si="40"/>
        <v>24075</v>
      </c>
      <c r="L54" s="138">
        <f t="shared" si="41"/>
        <v>3219.0948869993285</v>
      </c>
      <c r="M54" s="138">
        <f t="shared" si="42"/>
        <v>2161.6389740280692</v>
      </c>
      <c r="N54" s="138">
        <f t="shared" si="43"/>
        <v>2946.8137154724818</v>
      </c>
      <c r="P54" s="129">
        <f>Urban_Rail!AA54</f>
        <v>1.1331066714330396</v>
      </c>
      <c r="Q54" s="129">
        <f t="shared" si="27"/>
        <v>0.95141001736964348</v>
      </c>
      <c r="R54" s="129"/>
      <c r="S54" s="129">
        <f>Urban_Rail!Z54</f>
        <v>1.0090969450884968</v>
      </c>
      <c r="T54" s="141">
        <v>1</v>
      </c>
      <c r="V54" s="131">
        <f t="shared" si="28"/>
        <v>1.0895637219406227</v>
      </c>
      <c r="W54" s="131">
        <f t="shared" si="29"/>
        <v>1.0923506192700692</v>
      </c>
      <c r="X54" s="131">
        <f t="shared" si="44"/>
        <v>0.9872508920334413</v>
      </c>
      <c r="Y54" s="131">
        <f t="shared" si="45"/>
        <v>1.0074699055567859</v>
      </c>
      <c r="Z54" s="131">
        <f t="shared" si="46"/>
        <v>1.0982531114741041</v>
      </c>
      <c r="AA54" s="131">
        <f t="shared" si="47"/>
        <v>1.1901856063960397</v>
      </c>
      <c r="AB54" s="131">
        <f t="shared" si="34"/>
        <v>1.1901856063960408</v>
      </c>
      <c r="AC54" s="131"/>
      <c r="AD54" s="131">
        <f t="shared" si="48"/>
        <v>0.99462556295778382</v>
      </c>
      <c r="AF54" s="134"/>
      <c r="AH54" s="129">
        <f t="shared" si="49"/>
        <v>0.81112006699565575</v>
      </c>
      <c r="AI54" s="129">
        <f t="shared" si="50"/>
        <v>0.18887993300434414</v>
      </c>
      <c r="AK54" s="129">
        <f t="shared" si="57"/>
        <v>0.81055428147549025</v>
      </c>
      <c r="AL54" s="129">
        <f t="shared" si="58"/>
        <v>0.1894450239568839</v>
      </c>
      <c r="AM54" s="129">
        <f t="shared" si="59"/>
        <v>0.99999930543237414</v>
      </c>
      <c r="AO54" s="129">
        <f t="shared" si="60"/>
        <v>0.81055484446064419</v>
      </c>
      <c r="AP54" s="129">
        <f t="shared" si="61"/>
        <v>0.18944515553935581</v>
      </c>
      <c r="AQ54" s="129"/>
      <c r="AR54" s="129"/>
      <c r="AS54" s="129">
        <f t="shared" si="23"/>
        <v>8.6513852327097004E-2</v>
      </c>
      <c r="AT54" s="129">
        <f t="shared" si="24"/>
        <v>1.4375882941167619E-2</v>
      </c>
      <c r="AV54" s="129">
        <f t="shared" si="51"/>
        <v>0.74251298026998958</v>
      </c>
      <c r="AW54" s="129">
        <f t="shared" si="52"/>
        <v>0.25748701973001037</v>
      </c>
      <c r="AX54" s="129"/>
      <c r="AY54" s="129">
        <f t="shared" si="62"/>
        <v>-1.6517744415494164E-2</v>
      </c>
      <c r="AZ54" s="129">
        <f t="shared" si="63"/>
        <v>4.9219269465482253E-2</v>
      </c>
      <c r="BC54" s="129">
        <f t="shared" si="64"/>
        <v>9.6646065221678366E-4</v>
      </c>
      <c r="BD54" s="129">
        <f t="shared" si="65"/>
        <v>0</v>
      </c>
      <c r="BG54" s="129">
        <f t="shared" si="17"/>
        <v>1.0755666763672753</v>
      </c>
      <c r="BH54" s="129">
        <f t="shared" si="66"/>
        <v>0.93781894213397343</v>
      </c>
      <c r="BI54" s="129">
        <f t="shared" si="53"/>
        <v>1.0982531114741041</v>
      </c>
      <c r="BJ54" s="129"/>
      <c r="BK54" s="129">
        <f t="shared" si="67"/>
        <v>0.9959440620290837</v>
      </c>
      <c r="BL54" s="129">
        <f t="shared" si="68"/>
        <v>0.97549644057853346</v>
      </c>
      <c r="BM54" s="129">
        <f t="shared" si="54"/>
        <v>0.9872508920334413</v>
      </c>
      <c r="BO54" s="129">
        <f t="shared" si="69"/>
        <v>1.0007836762775519</v>
      </c>
      <c r="BP54" s="129">
        <f t="shared" si="70"/>
        <v>1.0039131625166016</v>
      </c>
      <c r="BQ54" s="129">
        <f t="shared" si="55"/>
        <v>1.0074699055567859</v>
      </c>
    </row>
    <row r="55" spans="1:69" x14ac:dyDescent="0.2">
      <c r="A55" s="133" t="s">
        <v>664</v>
      </c>
      <c r="B55" s="133">
        <f t="shared" si="56"/>
        <v>1994</v>
      </c>
      <c r="D55" s="279">
        <f>Urban_Rail!G55</f>
        <v>59.835953000000003</v>
      </c>
      <c r="E55" s="279">
        <f>'Passenger-based Energy Use'!M52</f>
        <v>13.4</v>
      </c>
      <c r="F55" s="279">
        <f t="shared" si="39"/>
        <v>73.235953000000009</v>
      </c>
      <c r="H55" s="4">
        <f>Urban_Rail!L55</f>
        <v>19497</v>
      </c>
      <c r="I55" s="4">
        <f>'Passenger-based Activity'!M53</f>
        <v>5921</v>
      </c>
      <c r="J55" s="4">
        <f t="shared" si="40"/>
        <v>25418</v>
      </c>
      <c r="L55" s="138">
        <f t="shared" si="41"/>
        <v>3068.9825614197057</v>
      </c>
      <c r="M55" s="138">
        <f t="shared" si="42"/>
        <v>2263.1312278331361</v>
      </c>
      <c r="N55" s="138">
        <f t="shared" si="43"/>
        <v>2881.2633960185699</v>
      </c>
      <c r="P55" s="129">
        <f>Urban_Rail!AA55</f>
        <v>1.0834838623881875</v>
      </c>
      <c r="Q55" s="129">
        <f t="shared" si="27"/>
        <v>0.99608017187542963</v>
      </c>
      <c r="R55" s="129"/>
      <c r="S55" s="129">
        <f>Urban_Rail!Z55</f>
        <v>1.0061017007611126</v>
      </c>
      <c r="T55" s="141">
        <v>1</v>
      </c>
      <c r="V55" s="131">
        <f t="shared" si="28"/>
        <v>1.1503439536567706</v>
      </c>
      <c r="W55" s="131">
        <f t="shared" si="29"/>
        <v>1.0680518549223708</v>
      </c>
      <c r="X55" s="131">
        <f t="shared" si="44"/>
        <v>0.99503153744726991</v>
      </c>
      <c r="Y55" s="131">
        <f t="shared" si="45"/>
        <v>1.0050347752029178</v>
      </c>
      <c r="Z55" s="131">
        <f t="shared" si="46"/>
        <v>1.0680077488102793</v>
      </c>
      <c r="AA55" s="131">
        <f t="shared" si="47"/>
        <v>1.2286269935018463</v>
      </c>
      <c r="AB55" s="131">
        <f t="shared" si="34"/>
        <v>1.2286269935018475</v>
      </c>
      <c r="AC55" s="131"/>
      <c r="AD55" s="131">
        <f t="shared" si="48"/>
        <v>1.0000412975581305</v>
      </c>
      <c r="AF55" s="134"/>
      <c r="AH55" s="129">
        <f t="shared" si="49"/>
        <v>0.81702975859411564</v>
      </c>
      <c r="AI55" s="129">
        <f t="shared" si="50"/>
        <v>0.18297024140588433</v>
      </c>
      <c r="AK55" s="129">
        <f t="shared" si="57"/>
        <v>0.81407133771670226</v>
      </c>
      <c r="AL55" s="129">
        <f t="shared" si="58"/>
        <v>0.18590943268894963</v>
      </c>
      <c r="AM55" s="129">
        <f t="shared" si="59"/>
        <v>0.99998077040565192</v>
      </c>
      <c r="AO55" s="129">
        <f t="shared" si="60"/>
        <v>0.81408699227932779</v>
      </c>
      <c r="AP55" s="129">
        <f t="shared" si="61"/>
        <v>0.18591300772067212</v>
      </c>
      <c r="AQ55" s="129"/>
      <c r="AR55" s="129"/>
      <c r="AS55" s="129">
        <f t="shared" si="23"/>
        <v>-4.4781479240121283E-2</v>
      </c>
      <c r="AT55" s="129">
        <f t="shared" si="24"/>
        <v>4.5882635170143175E-2</v>
      </c>
      <c r="AV55" s="129">
        <f t="shared" si="51"/>
        <v>0.76705484302462823</v>
      </c>
      <c r="AW55" s="129">
        <f t="shared" si="52"/>
        <v>0.23294515697537177</v>
      </c>
      <c r="AX55" s="129"/>
      <c r="AY55" s="129">
        <f t="shared" si="62"/>
        <v>3.2517949733427094E-2</v>
      </c>
      <c r="AZ55" s="129">
        <f t="shared" si="63"/>
        <v>-0.1001662619458327</v>
      </c>
      <c r="BC55" s="129">
        <f t="shared" si="64"/>
        <v>-2.9726563574486069E-3</v>
      </c>
      <c r="BD55" s="129">
        <f t="shared" si="65"/>
        <v>0</v>
      </c>
      <c r="BG55" s="129">
        <f t="shared" si="17"/>
        <v>0.97246048078732183</v>
      </c>
      <c r="BH55" s="129">
        <f t="shared" si="66"/>
        <v>0.91199185935906135</v>
      </c>
      <c r="BI55" s="129">
        <f t="shared" si="53"/>
        <v>1.0680077488102793</v>
      </c>
      <c r="BJ55" s="129"/>
      <c r="BK55" s="129">
        <f t="shared" si="67"/>
        <v>1.0078811226980031</v>
      </c>
      <c r="BL55" s="129">
        <f t="shared" si="68"/>
        <v>0.98318444771819824</v>
      </c>
      <c r="BM55" s="129">
        <f t="shared" si="54"/>
        <v>0.99503153744726991</v>
      </c>
      <c r="BO55" s="129">
        <f t="shared" si="69"/>
        <v>0.99758292496834211</v>
      </c>
      <c r="BP55" s="129">
        <f t="shared" si="70"/>
        <v>1.0014866290775299</v>
      </c>
      <c r="BQ55" s="129">
        <f t="shared" si="55"/>
        <v>1.0050347752029178</v>
      </c>
    </row>
    <row r="56" spans="1:69" x14ac:dyDescent="0.2">
      <c r="A56" s="133" t="s">
        <v>664</v>
      </c>
      <c r="B56" s="133">
        <f t="shared" si="56"/>
        <v>1995</v>
      </c>
      <c r="D56" s="279">
        <f>Urban_Rail!G56</f>
        <v>59.842314799999997</v>
      </c>
      <c r="E56" s="279">
        <f>'Passenger-based Energy Use'!M53</f>
        <v>13.509880001999999</v>
      </c>
      <c r="F56" s="279">
        <f t="shared" si="39"/>
        <v>73.352194802</v>
      </c>
      <c r="H56" s="4">
        <f>Urban_Rail!L56</f>
        <v>19663</v>
      </c>
      <c r="I56" s="4">
        <f>'Passenger-based Activity'!M54</f>
        <v>5545</v>
      </c>
      <c r="J56" s="4">
        <f t="shared" si="40"/>
        <v>25208</v>
      </c>
      <c r="L56" s="138">
        <f t="shared" si="41"/>
        <v>3043.3969790977981</v>
      </c>
      <c r="M56" s="138">
        <f t="shared" si="42"/>
        <v>2436.4075747520287</v>
      </c>
      <c r="N56" s="138">
        <f t="shared" si="43"/>
        <v>2909.8776103617897</v>
      </c>
      <c r="P56" s="129">
        <f>Urban_Rail!AA56</f>
        <v>1.0765552368022189</v>
      </c>
      <c r="Q56" s="129">
        <f t="shared" si="27"/>
        <v>1.0723449201579112</v>
      </c>
      <c r="R56" s="129"/>
      <c r="S56" s="129">
        <f>Urban_Rail!Z56</f>
        <v>1.0041352126395711</v>
      </c>
      <c r="T56" s="141">
        <v>1</v>
      </c>
      <c r="V56" s="131">
        <f t="shared" si="28"/>
        <v>1.1408399710354815</v>
      </c>
      <c r="W56" s="131">
        <f t="shared" si="29"/>
        <v>1.0786588215567483</v>
      </c>
      <c r="X56" s="131">
        <f t="shared" si="44"/>
        <v>0.99819465973885979</v>
      </c>
      <c r="Y56" s="131">
        <f t="shared" si="45"/>
        <v>1.0034306972658293</v>
      </c>
      <c r="Z56" s="131">
        <f t="shared" si="46"/>
        <v>1.0769151199785658</v>
      </c>
      <c r="AA56" s="131">
        <f t="shared" si="47"/>
        <v>1.2305770987419664</v>
      </c>
      <c r="AB56" s="131">
        <f t="shared" si="34"/>
        <v>1.2305770987419675</v>
      </c>
      <c r="AC56" s="131"/>
      <c r="AD56" s="131">
        <f t="shared" si="48"/>
        <v>1.0016191634287914</v>
      </c>
      <c r="AF56" s="134"/>
      <c r="AH56" s="129">
        <f t="shared" si="49"/>
        <v>0.81582173459884466</v>
      </c>
      <c r="AI56" s="129">
        <f t="shared" si="50"/>
        <v>0.18417826540115528</v>
      </c>
      <c r="AK56" s="129">
        <f t="shared" si="57"/>
        <v>0.81642559764210065</v>
      </c>
      <c r="AL56" s="129">
        <f t="shared" si="58"/>
        <v>0.18357359094397838</v>
      </c>
      <c r="AM56" s="129">
        <f t="shared" si="59"/>
        <v>0.99999918858607906</v>
      </c>
      <c r="AO56" s="129">
        <f t="shared" si="60"/>
        <v>0.81642626010173347</v>
      </c>
      <c r="AP56" s="129">
        <f t="shared" si="61"/>
        <v>0.18357373989826645</v>
      </c>
      <c r="AQ56" s="129"/>
      <c r="AR56" s="129"/>
      <c r="AS56" s="129">
        <f t="shared" si="23"/>
        <v>-6.4152999373647979E-3</v>
      </c>
      <c r="AT56" s="129">
        <f t="shared" si="24"/>
        <v>7.3775295561742102E-2</v>
      </c>
      <c r="AV56" s="129">
        <f t="shared" si="51"/>
        <v>0.78003014915899715</v>
      </c>
      <c r="AW56" s="129">
        <f t="shared" si="52"/>
        <v>0.21996985084100285</v>
      </c>
      <c r="AX56" s="129"/>
      <c r="AY56" s="129">
        <f t="shared" si="62"/>
        <v>1.6774269602003546E-2</v>
      </c>
      <c r="AZ56" s="129">
        <f t="shared" si="63"/>
        <v>-5.7312552742403544E-2</v>
      </c>
      <c r="BC56" s="129">
        <f t="shared" si="64"/>
        <v>-1.9564746181986985E-3</v>
      </c>
      <c r="BD56" s="129">
        <f t="shared" si="65"/>
        <v>0</v>
      </c>
      <c r="BG56" s="129">
        <f t="shared" si="17"/>
        <v>1.0083401746646585</v>
      </c>
      <c r="BH56" s="129">
        <f t="shared" si="66"/>
        <v>0.91959803075886259</v>
      </c>
      <c r="BI56" s="129">
        <f t="shared" si="53"/>
        <v>1.0769151199785658</v>
      </c>
      <c r="BJ56" s="129"/>
      <c r="BK56" s="129">
        <f t="shared" si="67"/>
        <v>1.0031789166197735</v>
      </c>
      <c r="BL56" s="129">
        <f t="shared" si="68"/>
        <v>0.98630990909935246</v>
      </c>
      <c r="BM56" s="129">
        <f t="shared" si="54"/>
        <v>0.99819465973885979</v>
      </c>
      <c r="BO56" s="129">
        <f t="shared" si="69"/>
        <v>0.99840395777672009</v>
      </c>
      <c r="BP56" s="129">
        <f t="shared" si="70"/>
        <v>0.99988821413147189</v>
      </c>
      <c r="BQ56" s="129">
        <f t="shared" si="55"/>
        <v>1.0034306972658293</v>
      </c>
    </row>
    <row r="57" spans="1:69" x14ac:dyDescent="0.2">
      <c r="A57" s="133" t="s">
        <v>664</v>
      </c>
      <c r="B57" s="133">
        <f t="shared" si="56"/>
        <v>1996</v>
      </c>
      <c r="D57" s="279">
        <f>Urban_Rail!G57</f>
        <v>59.327677599999994</v>
      </c>
      <c r="E57" s="279">
        <f>'Passenger-based Energy Use'!M54</f>
        <v>13.630748791</v>
      </c>
      <c r="F57" s="279">
        <f t="shared" si="39"/>
        <v>72.958426390999989</v>
      </c>
      <c r="H57" s="4">
        <f>Urban_Rail!L57</f>
        <v>20838</v>
      </c>
      <c r="I57" s="4">
        <f>'Passenger-based Activity'!M55</f>
        <v>5050</v>
      </c>
      <c r="J57" s="4">
        <f t="shared" si="40"/>
        <v>25888</v>
      </c>
      <c r="L57" s="138">
        <f t="shared" si="41"/>
        <v>2847.090776466071</v>
      </c>
      <c r="M57" s="138">
        <f t="shared" si="42"/>
        <v>2699.1581764356433</v>
      </c>
      <c r="N57" s="138">
        <f t="shared" si="43"/>
        <v>2818.2334050911613</v>
      </c>
      <c r="P57" s="129">
        <f>Urban_Rail!AA57</f>
        <v>1.0034204997948497</v>
      </c>
      <c r="Q57" s="129">
        <f t="shared" si="27"/>
        <v>1.1879902973532825</v>
      </c>
      <c r="R57" s="129"/>
      <c r="S57" s="129">
        <f>Urban_Rail!Z57</f>
        <v>1.0078322576919947</v>
      </c>
      <c r="T57" s="141">
        <v>1</v>
      </c>
      <c r="V57" s="131">
        <f t="shared" si="28"/>
        <v>1.171614771904417</v>
      </c>
      <c r="W57" s="131">
        <f t="shared" si="29"/>
        <v>1.044687347942973</v>
      </c>
      <c r="X57" s="131">
        <f t="shared" si="44"/>
        <v>1.0015032464817386</v>
      </c>
      <c r="Y57" s="131">
        <f t="shared" si="45"/>
        <v>1.0064387972444784</v>
      </c>
      <c r="Z57" s="131">
        <f t="shared" si="46"/>
        <v>1.0364458180739773</v>
      </c>
      <c r="AA57" s="131">
        <f t="shared" si="47"/>
        <v>1.2239711288716357</v>
      </c>
      <c r="AB57" s="131">
        <f t="shared" si="34"/>
        <v>1.2239711288716368</v>
      </c>
      <c r="AC57" s="131"/>
      <c r="AD57" s="131">
        <f t="shared" si="48"/>
        <v>1.0079517228255215</v>
      </c>
      <c r="AF57" s="134"/>
      <c r="AH57" s="129">
        <f t="shared" si="49"/>
        <v>0.81317101443567519</v>
      </c>
      <c r="AI57" s="129">
        <f t="shared" si="50"/>
        <v>0.18682898556432492</v>
      </c>
      <c r="AK57" s="129">
        <f t="shared" si="57"/>
        <v>0.81449565563517634</v>
      </c>
      <c r="AL57" s="129">
        <f t="shared" si="58"/>
        <v>0.18550046902465075</v>
      </c>
      <c r="AM57" s="129">
        <f t="shared" si="59"/>
        <v>0.99999612465982712</v>
      </c>
      <c r="AO57" s="129">
        <f t="shared" si="60"/>
        <v>0.81449881209514363</v>
      </c>
      <c r="AP57" s="129">
        <f t="shared" si="61"/>
        <v>0.18550118790485637</v>
      </c>
      <c r="AQ57" s="129"/>
      <c r="AR57" s="129"/>
      <c r="AS57" s="129">
        <f t="shared" si="23"/>
        <v>-7.0351684789276309E-2</v>
      </c>
      <c r="AT57" s="129">
        <f t="shared" si="24"/>
        <v>0.10241528892047957</v>
      </c>
      <c r="AV57" s="129">
        <f t="shared" si="51"/>
        <v>0.80492892459826948</v>
      </c>
      <c r="AW57" s="129">
        <f t="shared" si="52"/>
        <v>0.19507107540173052</v>
      </c>
      <c r="AX57" s="129"/>
      <c r="AY57" s="129">
        <f t="shared" si="62"/>
        <v>3.1421409391464421E-2</v>
      </c>
      <c r="AZ57" s="129">
        <f t="shared" si="63"/>
        <v>-0.12012651393616967</v>
      </c>
      <c r="BC57" s="129">
        <f t="shared" si="64"/>
        <v>3.6750586358682892E-3</v>
      </c>
      <c r="BD57" s="129">
        <f t="shared" si="65"/>
        <v>0</v>
      </c>
      <c r="BG57" s="129">
        <f t="shared" si="17"/>
        <v>0.96242108486192113</v>
      </c>
      <c r="BH57" s="129">
        <f t="shared" si="66"/>
        <v>0.88504053439983088</v>
      </c>
      <c r="BI57" s="129">
        <f t="shared" si="53"/>
        <v>1.0364458180739773</v>
      </c>
      <c r="BJ57" s="129"/>
      <c r="BK57" s="129">
        <f t="shared" si="67"/>
        <v>1.0033145706707591</v>
      </c>
      <c r="BL57" s="129">
        <f t="shared" si="68"/>
        <v>0.98957910299633223</v>
      </c>
      <c r="BM57" s="129">
        <f t="shared" si="54"/>
        <v>1.0015032464817386</v>
      </c>
      <c r="BO57" s="129">
        <f t="shared" si="69"/>
        <v>1.0029978153816159</v>
      </c>
      <c r="BP57" s="129">
        <f t="shared" si="70"/>
        <v>1.0028856943996918</v>
      </c>
      <c r="BQ57" s="129">
        <f t="shared" si="55"/>
        <v>1.0064387972444784</v>
      </c>
    </row>
    <row r="58" spans="1:69" x14ac:dyDescent="0.2">
      <c r="A58" s="133" t="s">
        <v>664</v>
      </c>
      <c r="B58" s="133">
        <f t="shared" si="56"/>
        <v>1997</v>
      </c>
      <c r="D58" s="279">
        <f>Urban_Rail!G58</f>
        <v>59.260822500000003</v>
      </c>
      <c r="E58" s="279">
        <f>'Passenger-based Energy Use'!M55</f>
        <v>14.523912274814501</v>
      </c>
      <c r="F58" s="279">
        <f t="shared" si="39"/>
        <v>73.78473477481451</v>
      </c>
      <c r="H58" s="4">
        <f>Urban_Rail!L58</f>
        <v>21129</v>
      </c>
      <c r="I58" s="4">
        <f>'Passenger-based Activity'!M56</f>
        <v>5166</v>
      </c>
      <c r="J58" s="4">
        <f t="shared" si="40"/>
        <v>26295</v>
      </c>
      <c r="L58" s="138">
        <f t="shared" si="41"/>
        <v>2804.7149652136873</v>
      </c>
      <c r="M58" s="138">
        <f t="shared" si="42"/>
        <v>2811.4425619075691</v>
      </c>
      <c r="N58" s="138">
        <f t="shared" si="43"/>
        <v>2806.0366904283896</v>
      </c>
      <c r="P58" s="129">
        <f>Urban_Rail!AA58</f>
        <v>0.98611748149600087</v>
      </c>
      <c r="Q58" s="129">
        <f t="shared" si="27"/>
        <v>1.2374104319898807</v>
      </c>
      <c r="R58" s="129"/>
      <c r="S58" s="129">
        <f>Urban_Rail!Z58</f>
        <v>1.0102526158159126</v>
      </c>
      <c r="T58" s="141">
        <v>1</v>
      </c>
      <c r="V58" s="131">
        <f t="shared" si="28"/>
        <v>1.1900343953656771</v>
      </c>
      <c r="W58" s="131">
        <f t="shared" si="29"/>
        <v>1.0401661633343278</v>
      </c>
      <c r="X58" s="131">
        <f t="shared" si="44"/>
        <v>1.0014681404497459</v>
      </c>
      <c r="Y58" s="131">
        <f t="shared" si="45"/>
        <v>1.0083917714799329</v>
      </c>
      <c r="Z58" s="131">
        <f t="shared" si="46"/>
        <v>1.0299977859957918</v>
      </c>
      <c r="AA58" s="131">
        <f t="shared" si="47"/>
        <v>1.2378335112634014</v>
      </c>
      <c r="AB58" s="131">
        <f t="shared" si="34"/>
        <v>1.2378335112634029</v>
      </c>
      <c r="AC58" s="131"/>
      <c r="AD58" s="131">
        <f t="shared" si="48"/>
        <v>1.0098722322288334</v>
      </c>
      <c r="AF58" s="134"/>
      <c r="AH58" s="129">
        <f t="shared" si="49"/>
        <v>0.80315830477482364</v>
      </c>
      <c r="AI58" s="129">
        <f t="shared" si="50"/>
        <v>0.19684169522517625</v>
      </c>
      <c r="AK58" s="129">
        <f t="shared" si="57"/>
        <v>0.808154321841829</v>
      </c>
      <c r="AL58" s="129">
        <f t="shared" si="58"/>
        <v>0.19179178195861663</v>
      </c>
      <c r="AM58" s="129">
        <f t="shared" si="59"/>
        <v>0.99994610380044557</v>
      </c>
      <c r="AO58" s="129">
        <f t="shared" si="60"/>
        <v>0.80819788063608322</v>
      </c>
      <c r="AP58" s="129">
        <f t="shared" si="61"/>
        <v>0.19180211936391683</v>
      </c>
      <c r="AQ58" s="129"/>
      <c r="AR58" s="129"/>
      <c r="AS58" s="129">
        <f t="shared" si="23"/>
        <v>-1.7394445078026708E-2</v>
      </c>
      <c r="AT58" s="129">
        <f t="shared" si="24"/>
        <v>4.075778095522567E-2</v>
      </c>
      <c r="AV58" s="129">
        <f t="shared" si="51"/>
        <v>0.80353679406731315</v>
      </c>
      <c r="AW58" s="129">
        <f t="shared" si="52"/>
        <v>0.19646320593268682</v>
      </c>
      <c r="AX58" s="129"/>
      <c r="AY58" s="129">
        <f t="shared" si="62"/>
        <v>-1.731004723835313E-3</v>
      </c>
      <c r="AZ58" s="129">
        <f t="shared" si="63"/>
        <v>7.1111852211540906E-3</v>
      </c>
      <c r="BC58" s="129">
        <f t="shared" si="64"/>
        <v>2.3986694674487915E-3</v>
      </c>
      <c r="BD58" s="129">
        <f t="shared" si="65"/>
        <v>0</v>
      </c>
      <c r="BG58" s="129">
        <f t="shared" si="17"/>
        <v>0.99377870799829382</v>
      </c>
      <c r="BH58" s="129">
        <f t="shared" si="66"/>
        <v>0.87953443880198345</v>
      </c>
      <c r="BI58" s="129">
        <f t="shared" si="53"/>
        <v>1.0299977859957918</v>
      </c>
      <c r="BJ58" s="129"/>
      <c r="BK58" s="129">
        <f t="shared" si="67"/>
        <v>0.99996494666181457</v>
      </c>
      <c r="BL58" s="129">
        <f t="shared" si="68"/>
        <v>0.98954441494537371</v>
      </c>
      <c r="BM58" s="129">
        <f t="shared" si="54"/>
        <v>1.0014681404497459</v>
      </c>
      <c r="BO58" s="129">
        <f t="shared" si="69"/>
        <v>1.0019404798789568</v>
      </c>
      <c r="BP58" s="129">
        <f t="shared" si="70"/>
        <v>1.0048317739105681</v>
      </c>
      <c r="BQ58" s="129">
        <f t="shared" si="55"/>
        <v>1.0083917714799329</v>
      </c>
    </row>
    <row r="59" spans="1:69" x14ac:dyDescent="0.2">
      <c r="A59" s="133" t="s">
        <v>664</v>
      </c>
      <c r="B59" s="133">
        <f t="shared" si="56"/>
        <v>1998</v>
      </c>
      <c r="D59" s="279">
        <f>Urban_Rail!G59</f>
        <v>60.869140999999999</v>
      </c>
      <c r="E59" s="279">
        <f>'Passenger-based Energy Use'!M56</f>
        <v>14.8465936321317</v>
      </c>
      <c r="F59" s="279">
        <f t="shared" si="39"/>
        <v>75.715734632131699</v>
      </c>
      <c r="H59" s="4">
        <f>Urban_Rail!L59</f>
        <v>22116</v>
      </c>
      <c r="I59" s="4">
        <f>'Passenger-based Activity'!M57</f>
        <v>5304</v>
      </c>
      <c r="J59" s="4">
        <f t="shared" si="40"/>
        <v>27420</v>
      </c>
      <c r="L59" s="138">
        <f t="shared" si="41"/>
        <v>2752.2671821305839</v>
      </c>
      <c r="M59" s="138">
        <f t="shared" si="42"/>
        <v>2799.131529436595</v>
      </c>
      <c r="N59" s="138">
        <f t="shared" si="43"/>
        <v>2761.3324081740225</v>
      </c>
      <c r="P59" s="129">
        <f>Urban_Rail!AA59</f>
        <v>0.96755052014619491</v>
      </c>
      <c r="Q59" s="129">
        <f t="shared" si="27"/>
        <v>1.2319919325282329</v>
      </c>
      <c r="R59" s="129"/>
      <c r="S59" s="129">
        <f>Urban_Rail!Z59</f>
        <v>1.0103849080717311</v>
      </c>
      <c r="T59" s="141">
        <v>1</v>
      </c>
      <c r="V59" s="131">
        <f t="shared" si="28"/>
        <v>1.2409485879797248</v>
      </c>
      <c r="W59" s="131">
        <f t="shared" si="29"/>
        <v>1.0235947899393345</v>
      </c>
      <c r="X59" s="131">
        <f t="shared" si="44"/>
        <v>1.0014388513951227</v>
      </c>
      <c r="Y59" s="131">
        <f t="shared" si="45"/>
        <v>1.0084978761225059</v>
      </c>
      <c r="Z59" s="131">
        <f t="shared" si="46"/>
        <v>1.0135114108265637</v>
      </c>
      <c r="AA59" s="131">
        <f t="shared" si="47"/>
        <v>1.2702285092386192</v>
      </c>
      <c r="AB59" s="131">
        <f t="shared" si="34"/>
        <v>1.2702285092386203</v>
      </c>
      <c r="AC59" s="131"/>
      <c r="AD59" s="131">
        <f t="shared" si="48"/>
        <v>1.009948954698543</v>
      </c>
      <c r="AF59" s="134"/>
      <c r="AH59" s="129">
        <f t="shared" si="49"/>
        <v>0.80391666667087702</v>
      </c>
      <c r="AI59" s="129">
        <f t="shared" si="50"/>
        <v>0.19608333332912298</v>
      </c>
      <c r="AK59" s="129">
        <f t="shared" si="57"/>
        <v>0.80353742607903555</v>
      </c>
      <c r="AL59" s="129">
        <f t="shared" si="58"/>
        <v>0.1964622703318282</v>
      </c>
      <c r="AM59" s="129">
        <f t="shared" si="59"/>
        <v>0.99999969641086373</v>
      </c>
      <c r="AO59" s="129">
        <f t="shared" si="60"/>
        <v>0.80353767002434273</v>
      </c>
      <c r="AP59" s="129">
        <f t="shared" si="61"/>
        <v>0.19646232997565727</v>
      </c>
      <c r="AQ59" s="129"/>
      <c r="AR59" s="129"/>
      <c r="AS59" s="129">
        <f t="shared" si="23"/>
        <v>-1.9007856349115906E-2</v>
      </c>
      <c r="AT59" s="129">
        <f t="shared" si="24"/>
        <v>-4.3885178339355619E-3</v>
      </c>
      <c r="AV59" s="129">
        <f t="shared" si="51"/>
        <v>0.80656455142231942</v>
      </c>
      <c r="AW59" s="129">
        <f t="shared" si="52"/>
        <v>0.19343544857768052</v>
      </c>
      <c r="AX59" s="129"/>
      <c r="AY59" s="129">
        <f t="shared" si="62"/>
        <v>3.7609569514426792E-3</v>
      </c>
      <c r="AZ59" s="129">
        <f t="shared" si="63"/>
        <v>-1.5531308882948215E-2</v>
      </c>
      <c r="BC59" s="129">
        <f t="shared" si="64"/>
        <v>1.3094110590699626E-4</v>
      </c>
      <c r="BD59" s="129">
        <f t="shared" si="65"/>
        <v>0</v>
      </c>
      <c r="BG59" s="129">
        <f t="shared" si="17"/>
        <v>0.98399377610963579</v>
      </c>
      <c r="BH59" s="129">
        <f t="shared" si="66"/>
        <v>0.86545641365523307</v>
      </c>
      <c r="BI59" s="129">
        <f t="shared" si="53"/>
        <v>1.0135114108265637</v>
      </c>
      <c r="BJ59" s="129"/>
      <c r="BK59" s="129">
        <f t="shared" si="67"/>
        <v>0.99997075388278445</v>
      </c>
      <c r="BL59" s="129">
        <f t="shared" si="68"/>
        <v>0.98951547461342426</v>
      </c>
      <c r="BM59" s="129">
        <f t="shared" si="54"/>
        <v>1.0014388513951227</v>
      </c>
      <c r="BO59" s="129">
        <f t="shared" si="69"/>
        <v>1.00010522164656</v>
      </c>
      <c r="BP59" s="129">
        <f t="shared" si="70"/>
        <v>1.0049375039643349</v>
      </c>
      <c r="BQ59" s="129">
        <f t="shared" si="55"/>
        <v>1.0084978761225059</v>
      </c>
    </row>
    <row r="60" spans="1:69" x14ac:dyDescent="0.2">
      <c r="A60" s="133" t="s">
        <v>664</v>
      </c>
      <c r="B60" s="133">
        <f t="shared" si="56"/>
        <v>1999</v>
      </c>
      <c r="D60" s="279">
        <f>Urban_Rail!G60</f>
        <v>63.092490499999997</v>
      </c>
      <c r="E60" s="279">
        <f>'Passenger-based Energy Use'!M57</f>
        <v>15.564515065282801</v>
      </c>
      <c r="F60" s="279">
        <f t="shared" si="39"/>
        <v>78.657005565282802</v>
      </c>
      <c r="H60" s="4">
        <f>Urban_Rail!L60</f>
        <v>22874</v>
      </c>
      <c r="I60" s="4">
        <f>'Passenger-based Activity'!M58</f>
        <v>5330</v>
      </c>
      <c r="J60" s="4">
        <f t="shared" si="40"/>
        <v>28204</v>
      </c>
      <c r="L60" s="138">
        <f t="shared" si="41"/>
        <v>2758.2622409722831</v>
      </c>
      <c r="M60" s="138">
        <f t="shared" si="42"/>
        <v>2920.1716820418014</v>
      </c>
      <c r="N60" s="138">
        <f t="shared" si="43"/>
        <v>2788.8599335300951</v>
      </c>
      <c r="P60" s="129">
        <f>Urban_Rail!AA60</f>
        <v>0.96896993984728974</v>
      </c>
      <c r="Q60" s="129">
        <f t="shared" si="27"/>
        <v>1.285265774773015</v>
      </c>
      <c r="R60" s="129"/>
      <c r="S60" s="129">
        <f>Urban_Rail!Z60</f>
        <v>1.011102442936036</v>
      </c>
      <c r="T60" s="141">
        <v>1</v>
      </c>
      <c r="V60" s="131">
        <f t="shared" si="28"/>
        <v>1.2764301230992035</v>
      </c>
      <c r="W60" s="131">
        <f t="shared" si="29"/>
        <v>1.0337989332184958</v>
      </c>
      <c r="X60" s="131">
        <f t="shared" si="44"/>
        <v>1.0012721487253919</v>
      </c>
      <c r="Y60" s="131">
        <f t="shared" si="45"/>
        <v>1.0090729547815989</v>
      </c>
      <c r="Z60" s="131">
        <f t="shared" si="46"/>
        <v>1.023201992746283</v>
      </c>
      <c r="AA60" s="131">
        <f t="shared" si="47"/>
        <v>1.3195720995879079</v>
      </c>
      <c r="AB60" s="131">
        <f t="shared" si="34"/>
        <v>1.3195720995879097</v>
      </c>
      <c r="AC60" s="131"/>
      <c r="AD60" s="131">
        <f t="shared" si="48"/>
        <v>1.0103566456548518</v>
      </c>
      <c r="AF60" s="134"/>
      <c r="AH60" s="129">
        <f t="shared" si="49"/>
        <v>0.8021216933771429</v>
      </c>
      <c r="AI60" s="129">
        <f t="shared" si="50"/>
        <v>0.19787830662285702</v>
      </c>
      <c r="AK60" s="129">
        <f t="shared" si="57"/>
        <v>0.8030188456681272</v>
      </c>
      <c r="AL60" s="129">
        <f t="shared" si="58"/>
        <v>0.19697945692155719</v>
      </c>
      <c r="AM60" s="129">
        <f t="shared" si="59"/>
        <v>0.99999830258968436</v>
      </c>
      <c r="AO60" s="129">
        <f t="shared" si="60"/>
        <v>0.80302020872291313</v>
      </c>
      <c r="AP60" s="129">
        <f t="shared" si="61"/>
        <v>0.19697979127708687</v>
      </c>
      <c r="AQ60" s="129"/>
      <c r="AR60" s="129"/>
      <c r="AS60" s="129">
        <f t="shared" si="23"/>
        <v>1.4659488341214441E-3</v>
      </c>
      <c r="AT60" s="129">
        <f t="shared" si="24"/>
        <v>4.2333208760875964E-2</v>
      </c>
      <c r="AV60" s="129">
        <f t="shared" si="51"/>
        <v>0.81101971351581337</v>
      </c>
      <c r="AW60" s="129">
        <f t="shared" si="52"/>
        <v>0.18898028648418663</v>
      </c>
      <c r="AX60" s="129"/>
      <c r="AY60" s="129">
        <f t="shared" si="62"/>
        <v>5.5084281607126499E-3</v>
      </c>
      <c r="AZ60" s="129">
        <f t="shared" si="63"/>
        <v>-2.3301152428434065E-2</v>
      </c>
      <c r="BC60" s="129">
        <f t="shared" si="64"/>
        <v>7.0990787459731294E-4</v>
      </c>
      <c r="BD60" s="129">
        <f t="shared" si="65"/>
        <v>0</v>
      </c>
      <c r="BG60" s="129">
        <f t="shared" si="17"/>
        <v>1.0095613939973465</v>
      </c>
      <c r="BH60" s="129">
        <f t="shared" si="66"/>
        <v>0.87373138341372125</v>
      </c>
      <c r="BI60" s="129">
        <f t="shared" si="53"/>
        <v>1.023201992746283</v>
      </c>
      <c r="BJ60" s="129"/>
      <c r="BK60" s="129">
        <f t="shared" si="67"/>
        <v>0.99983353684601073</v>
      </c>
      <c r="BL60" s="129">
        <f t="shared" si="68"/>
        <v>0.98935075674659889</v>
      </c>
      <c r="BM60" s="129">
        <f t="shared" si="54"/>
        <v>1.0012721487253919</v>
      </c>
      <c r="BO60" s="129">
        <f t="shared" si="69"/>
        <v>1.0005702328906276</v>
      </c>
      <c r="BP60" s="129">
        <f t="shared" si="70"/>
        <v>1.0055105523821206</v>
      </c>
      <c r="BQ60" s="129">
        <f t="shared" si="55"/>
        <v>1.0090729547815989</v>
      </c>
    </row>
    <row r="61" spans="1:69" x14ac:dyDescent="0.2">
      <c r="A61" s="133" t="s">
        <v>664</v>
      </c>
      <c r="B61" s="133">
        <f t="shared" si="56"/>
        <v>2000</v>
      </c>
      <c r="D61" s="279">
        <f>Urban_Rail!G61</f>
        <v>65.466954600000008</v>
      </c>
      <c r="E61" s="279">
        <f>'Passenger-based Energy Use'!M58</f>
        <v>18.033149229999999</v>
      </c>
      <c r="F61" s="279">
        <f t="shared" si="39"/>
        <v>83.50010383</v>
      </c>
      <c r="H61" s="4">
        <f>Urban_Rail!L61</f>
        <v>24602</v>
      </c>
      <c r="I61" s="4">
        <f>'Passenger-based Activity'!M59</f>
        <v>5498</v>
      </c>
      <c r="J61" s="4">
        <f t="shared" si="40"/>
        <v>30100</v>
      </c>
      <c r="L61" s="138">
        <f t="shared" si="41"/>
        <v>2661.0419721973826</v>
      </c>
      <c r="M61" s="138">
        <f t="shared" si="42"/>
        <v>3279.9471134958167</v>
      </c>
      <c r="N61" s="138">
        <f t="shared" si="43"/>
        <v>2774.0898282392027</v>
      </c>
      <c r="P61" s="129">
        <f>Urban_Rail!AA61</f>
        <v>0.9340822792952973</v>
      </c>
      <c r="Q61" s="129">
        <f t="shared" si="27"/>
        <v>1.4436150428984844</v>
      </c>
      <c r="R61" s="129"/>
      <c r="S61" s="129">
        <f>Urban_Rail!Z61</f>
        <v>1.0118974496195816</v>
      </c>
      <c r="T61" s="141">
        <v>1</v>
      </c>
      <c r="V61" s="131">
        <f t="shared" si="28"/>
        <v>1.3622375090514121</v>
      </c>
      <c r="W61" s="131">
        <f t="shared" si="29"/>
        <v>1.0283238217187505</v>
      </c>
      <c r="X61" s="131">
        <f t="shared" si="44"/>
        <v>1.0003929435300827</v>
      </c>
      <c r="Y61" s="131">
        <f t="shared" si="45"/>
        <v>1.0097022177477684</v>
      </c>
      <c r="Z61" s="131">
        <f t="shared" si="46"/>
        <v>1.018042635911629</v>
      </c>
      <c r="AA61" s="131">
        <f t="shared" si="47"/>
        <v>1.4008212813963776</v>
      </c>
      <c r="AB61" s="131">
        <f t="shared" si="34"/>
        <v>1.400821281396379</v>
      </c>
      <c r="AC61" s="131"/>
      <c r="AD61" s="131">
        <f t="shared" si="48"/>
        <v>1.0100989737015424</v>
      </c>
      <c r="AF61" s="134"/>
      <c r="AH61" s="129">
        <f t="shared" si="49"/>
        <v>0.78403440950547632</v>
      </c>
      <c r="AI61" s="129">
        <f t="shared" si="50"/>
        <v>0.21596559049452382</v>
      </c>
      <c r="AK61" s="129">
        <f t="shared" si="57"/>
        <v>0.79304367470897363</v>
      </c>
      <c r="AL61" s="129">
        <f t="shared" si="58"/>
        <v>0.20679012886740378</v>
      </c>
      <c r="AM61" s="129">
        <f t="shared" si="59"/>
        <v>0.99983380357637741</v>
      </c>
      <c r="AO61" s="129">
        <f t="shared" si="60"/>
        <v>0.79317549763998652</v>
      </c>
      <c r="AP61" s="129">
        <f t="shared" si="61"/>
        <v>0.20682450236001354</v>
      </c>
      <c r="AQ61" s="129"/>
      <c r="AR61" s="129"/>
      <c r="AS61" s="129">
        <f t="shared" si="23"/>
        <v>-3.666906176739998E-2</v>
      </c>
      <c r="AT61" s="129">
        <f t="shared" si="24"/>
        <v>0.11618488856024388</v>
      </c>
      <c r="AU61" s="129"/>
      <c r="AV61" s="129">
        <f t="shared" si="51"/>
        <v>0.81734219269102992</v>
      </c>
      <c r="AW61" s="129">
        <f t="shared" si="52"/>
        <v>0.1826578073089701</v>
      </c>
      <c r="AX61" s="129"/>
      <c r="AY61" s="129">
        <f t="shared" si="62"/>
        <v>7.7654861895323701E-3</v>
      </c>
      <c r="AZ61" s="129">
        <f t="shared" si="63"/>
        <v>-3.4028208332735059E-2</v>
      </c>
      <c r="BA61" s="129"/>
      <c r="BB61" s="129"/>
      <c r="BC61" s="129">
        <f t="shared" si="64"/>
        <v>7.8596813316407727E-4</v>
      </c>
      <c r="BD61" s="129">
        <f t="shared" si="65"/>
        <v>0</v>
      </c>
      <c r="BE61" s="129"/>
      <c r="BF61" s="129"/>
      <c r="BG61" s="129">
        <f t="shared" si="17"/>
        <v>0.99495763605697607</v>
      </c>
      <c r="BH61" s="129">
        <f t="shared" si="66"/>
        <v>0.86932571179010754</v>
      </c>
      <c r="BI61" s="129">
        <f t="shared" si="53"/>
        <v>1.018042635911629</v>
      </c>
      <c r="BJ61" s="129"/>
      <c r="BK61" s="129">
        <f t="shared" si="67"/>
        <v>0.9991219118633945</v>
      </c>
      <c r="BL61" s="129">
        <f t="shared" si="68"/>
        <v>0.98848201958415804</v>
      </c>
      <c r="BM61" s="129">
        <f t="shared" si="54"/>
        <v>1.0003929435300827</v>
      </c>
      <c r="BN61" s="129"/>
      <c r="BO61" s="129">
        <f t="shared" si="69"/>
        <v>1.0006236050259671</v>
      </c>
      <c r="BP61" s="129">
        <f t="shared" si="70"/>
        <v>1.0061375938162491</v>
      </c>
      <c r="BQ61" s="129">
        <f t="shared" si="55"/>
        <v>1.0097022177477684</v>
      </c>
    </row>
    <row r="62" spans="1:69" x14ac:dyDescent="0.2">
      <c r="A62" s="133" t="s">
        <v>664</v>
      </c>
      <c r="B62" s="133">
        <f t="shared" si="56"/>
        <v>2001</v>
      </c>
      <c r="D62" s="279">
        <f>Urban_Rail!G62</f>
        <v>66.744787799999997</v>
      </c>
      <c r="E62" s="279">
        <f>'Passenger-based Energy Use'!M59</f>
        <v>18.144053517000003</v>
      </c>
      <c r="F62" s="279">
        <f t="shared" ref="F62:F68" si="71">D62+E62</f>
        <v>84.888841317000001</v>
      </c>
      <c r="H62" s="4">
        <f>Urban_Rail!L62</f>
        <v>25163</v>
      </c>
      <c r="I62" s="4">
        <f>'Passenger-based Activity'!M60</f>
        <v>5559</v>
      </c>
      <c r="J62" s="4">
        <f t="shared" ref="J62:J67" si="72">H62+I62</f>
        <v>30722</v>
      </c>
      <c r="L62" s="138">
        <f>D62/H62*1000000</f>
        <v>2652.4972300600084</v>
      </c>
      <c r="M62" s="138">
        <f>E62/I62*1000000</f>
        <v>3263.9060113329742</v>
      </c>
      <c r="N62" s="138">
        <f>F62/J62*1000000</f>
        <v>2763.1287454267299</v>
      </c>
      <c r="P62" s="129">
        <f>Urban_Rail!AA62</f>
        <v>0.93036594047559285</v>
      </c>
      <c r="Q62" s="129">
        <f t="shared" si="27"/>
        <v>1.436554814307704</v>
      </c>
      <c r="R62" s="129"/>
      <c r="S62" s="129">
        <f>Urban_Rail!Z62</f>
        <v>1.0126772316727566</v>
      </c>
      <c r="T62" s="141">
        <v>1</v>
      </c>
      <c r="V62" s="131">
        <f t="shared" si="28"/>
        <v>1.3903874004344678</v>
      </c>
      <c r="W62" s="131">
        <f t="shared" si="29"/>
        <v>1.0242606719053746</v>
      </c>
      <c r="X62" s="131">
        <f t="shared" si="44"/>
        <v>1.0000123546920261</v>
      </c>
      <c r="Y62" s="131">
        <f t="shared" si="45"/>
        <v>1.0103130841620216</v>
      </c>
      <c r="Z62" s="131">
        <f t="shared" si="46"/>
        <v>1.0137926883190804</v>
      </c>
      <c r="AA62" s="131">
        <f t="shared" si="47"/>
        <v>1.4241191329777736</v>
      </c>
      <c r="AB62" s="131">
        <f t="shared" si="34"/>
        <v>1.4241191329777754</v>
      </c>
      <c r="AC62" s="131"/>
      <c r="AD62" s="131">
        <f t="shared" si="48"/>
        <v>1.0103255662690263</v>
      </c>
      <c r="AF62" s="134"/>
      <c r="AH62" s="129">
        <f t="shared" si="49"/>
        <v>0.7862610298891376</v>
      </c>
      <c r="AI62" s="129">
        <f t="shared" si="50"/>
        <v>0.21373897011086238</v>
      </c>
      <c r="AK62" s="129">
        <f t="shared" si="57"/>
        <v>0.78514719348624062</v>
      </c>
      <c r="AL62" s="129">
        <f t="shared" si="58"/>
        <v>0.21485035732495295</v>
      </c>
      <c r="AM62" s="129">
        <f t="shared" si="59"/>
        <v>0.99999755081119357</v>
      </c>
      <c r="AO62" s="129">
        <f t="shared" si="60"/>
        <v>0.78514911646466801</v>
      </c>
      <c r="AP62" s="129">
        <f t="shared" si="61"/>
        <v>0.21485088353533194</v>
      </c>
      <c r="AQ62" s="129"/>
      <c r="AR62" s="129"/>
      <c r="AS62" s="129">
        <f t="shared" si="23"/>
        <v>-3.9865346777753852E-3</v>
      </c>
      <c r="AT62" s="129">
        <f t="shared" si="24"/>
        <v>-4.9026571920929461E-3</v>
      </c>
      <c r="AU62" s="129"/>
      <c r="AV62" s="129">
        <f t="shared" si="51"/>
        <v>0.81905474903977604</v>
      </c>
      <c r="AW62" s="129">
        <f t="shared" si="52"/>
        <v>0.18094525096022393</v>
      </c>
      <c r="AX62" s="129"/>
      <c r="AY62" s="129">
        <f t="shared" si="62"/>
        <v>2.0930825893132241E-3</v>
      </c>
      <c r="AZ62" s="129">
        <f t="shared" si="63"/>
        <v>-9.4199923438453882E-3</v>
      </c>
      <c r="BA62" s="129"/>
      <c r="BB62" s="129"/>
      <c r="BC62" s="129">
        <f t="shared" si="64"/>
        <v>7.7031694502532227E-4</v>
      </c>
      <c r="BD62" s="129">
        <f t="shared" si="65"/>
        <v>0</v>
      </c>
      <c r="BE62" s="129"/>
      <c r="BF62" s="129"/>
      <c r="BG62" s="129">
        <f t="shared" si="17"/>
        <v>0.99582537367038382</v>
      </c>
      <c r="BH62" s="129">
        <f t="shared" si="66"/>
        <v>0.86569660178465624</v>
      </c>
      <c r="BI62" s="129">
        <f t="shared" si="53"/>
        <v>1.0137926883190804</v>
      </c>
      <c r="BJ62" s="129"/>
      <c r="BK62" s="129">
        <f t="shared" si="67"/>
        <v>0.99961956065312341</v>
      </c>
      <c r="BL62" s="129">
        <f t="shared" si="68"/>
        <v>0.98810596213022817</v>
      </c>
      <c r="BM62" s="129">
        <f t="shared" si="54"/>
        <v>1.0000123546920261</v>
      </c>
      <c r="BN62" s="129"/>
      <c r="BO62" s="129">
        <f t="shared" si="69"/>
        <v>1.0006049966054504</v>
      </c>
      <c r="BP62" s="129">
        <f t="shared" si="70"/>
        <v>1.0067463036451241</v>
      </c>
      <c r="BQ62" s="129">
        <f t="shared" si="55"/>
        <v>1.0103130841620216</v>
      </c>
    </row>
    <row r="63" spans="1:69" x14ac:dyDescent="0.2">
      <c r="A63" s="133" t="s">
        <v>664</v>
      </c>
      <c r="B63" s="133">
        <f t="shared" si="56"/>
        <v>2002</v>
      </c>
      <c r="D63" s="279">
        <f>Urban_Rail!G63</f>
        <v>67.247531899999998</v>
      </c>
      <c r="E63" s="279">
        <f>'Passenger-based Energy Use'!M60</f>
        <v>17.069484134</v>
      </c>
      <c r="F63" s="279">
        <f t="shared" si="71"/>
        <v>84.317016034000005</v>
      </c>
      <c r="H63" s="4">
        <f>Urban_Rail!L63</f>
        <v>24599</v>
      </c>
      <c r="I63" s="4">
        <f>'Passenger-based Activity'!M61</f>
        <v>5468</v>
      </c>
      <c r="J63" s="4">
        <f t="shared" si="72"/>
        <v>30067</v>
      </c>
      <c r="L63" s="138">
        <f t="shared" ref="L63:N64" si="73">D63/H63*1000000</f>
        <v>2733.7506362047234</v>
      </c>
      <c r="M63" s="138">
        <f t="shared" si="73"/>
        <v>3121.705218361375</v>
      </c>
      <c r="N63" s="138">
        <f t="shared" si="73"/>
        <v>2804.304254963914</v>
      </c>
      <c r="P63" s="129">
        <f>Urban_Rail!AA63</f>
        <v>0.95903348028447011</v>
      </c>
      <c r="Q63" s="129">
        <f t="shared" si="27"/>
        <v>1.3739674625174187</v>
      </c>
      <c r="R63" s="129"/>
      <c r="S63" s="129">
        <f>Urban_Rail!Z63</f>
        <v>1.0125000141833889</v>
      </c>
      <c r="T63" s="141">
        <v>1</v>
      </c>
      <c r="V63" s="131">
        <f t="shared" si="28"/>
        <v>1.3607440260680665</v>
      </c>
      <c r="W63" s="131">
        <f t="shared" si="29"/>
        <v>1.0395239690406983</v>
      </c>
      <c r="X63" s="131">
        <f>BM63</f>
        <v>1.0001766368415643</v>
      </c>
      <c r="Y63" s="131">
        <f>BQ63</f>
        <v>1.0101730625547787</v>
      </c>
      <c r="Z63" s="131">
        <f>BI63</f>
        <v>1.028873587867754</v>
      </c>
      <c r="AA63" s="131">
        <f>V63*X63*Y63*Z63</f>
        <v>1.4145260308266951</v>
      </c>
      <c r="AB63" s="131">
        <f t="shared" si="34"/>
        <v>1.4145260308266963</v>
      </c>
      <c r="AC63" s="131"/>
      <c r="AD63" s="131">
        <f>X63*Y63</f>
        <v>1.0103514963339817</v>
      </c>
      <c r="AF63" s="134"/>
      <c r="AH63" s="129">
        <f>D63/F63</f>
        <v>0.7975558797394241</v>
      </c>
      <c r="AI63" s="129">
        <f>E63/F63</f>
        <v>0.20244412026057584</v>
      </c>
      <c r="AK63" s="129">
        <f>(AH63-AH62)/LN(AH63/AH62)</f>
        <v>0.79189502992884908</v>
      </c>
      <c r="AL63" s="129">
        <f>(AI63-AI62)/LN(AI63/AI62)</f>
        <v>0.20804044640157826</v>
      </c>
      <c r="AM63" s="129">
        <f>AK63+AL63</f>
        <v>0.99993547633042734</v>
      </c>
      <c r="AO63" s="129">
        <f>AK63/AM63</f>
        <v>0.79194612919920893</v>
      </c>
      <c r="AP63" s="129">
        <f>AL63/AM63</f>
        <v>0.20805387080079113</v>
      </c>
      <c r="AQ63" s="129"/>
      <c r="AR63" s="129"/>
      <c r="AS63" s="129">
        <f>LN(P63/P62)</f>
        <v>3.0347992801696991E-2</v>
      </c>
      <c r="AT63" s="129">
        <f>LN(Q63/Q62)</f>
        <v>-4.454524427274377E-2</v>
      </c>
      <c r="AU63" s="129"/>
      <c r="AV63" s="129">
        <f>H63/J63</f>
        <v>0.81813948847573748</v>
      </c>
      <c r="AW63" s="129">
        <f>I63/J63</f>
        <v>0.18186051152426247</v>
      </c>
      <c r="AX63" s="129"/>
      <c r="AY63" s="129">
        <f>LN(AV63/AV62)</f>
        <v>-1.1180843890285376E-3</v>
      </c>
      <c r="AZ63" s="129">
        <f>LN(AW63/AW62)</f>
        <v>5.0454684038096281E-3</v>
      </c>
      <c r="BA63" s="129"/>
      <c r="BB63" s="129"/>
      <c r="BC63" s="129">
        <f>LN(S63/S62)</f>
        <v>-1.7501430078050074E-4</v>
      </c>
      <c r="BD63" s="129">
        <f>LN(T63/T62)</f>
        <v>0</v>
      </c>
      <c r="BE63" s="129"/>
      <c r="BF63" s="129"/>
      <c r="BG63" s="129">
        <f>EXP(SUMPRODUCT($AO63:$AP63,AS63:AT63))</f>
        <v>1.0148757233332175</v>
      </c>
      <c r="BH63" s="129">
        <f>IF(ISERR(BG63),BH62,BG63*BH62)</f>
        <v>0.87857446492331137</v>
      </c>
      <c r="BI63" s="129">
        <f t="shared" si="53"/>
        <v>1.028873587867754</v>
      </c>
      <c r="BJ63" s="129"/>
      <c r="BK63" s="129">
        <f>EXP(SUMPRODUCT($AO63:$AP63,AY63:AZ63))</f>
        <v>1.0001642801199078</v>
      </c>
      <c r="BL63" s="129">
        <f>IF(ISERR(BK63),BL62,BK63*BL62)</f>
        <v>0.98826828829616853</v>
      </c>
      <c r="BM63" s="129">
        <f t="shared" si="54"/>
        <v>1.0001766368415643</v>
      </c>
      <c r="BN63" s="129"/>
      <c r="BO63" s="129">
        <f>EXP(SUMPRODUCT($AO63:$AP63,BC63:BD63))</f>
        <v>0.9998614077067417</v>
      </c>
      <c r="BP63" s="129">
        <f>IF(ISERR(BO63),BP62,BO63*BP62)</f>
        <v>1.0066067763661726</v>
      </c>
      <c r="BQ63" s="129">
        <f t="shared" si="55"/>
        <v>1.0101730625547787</v>
      </c>
    </row>
    <row r="64" spans="1:69" x14ac:dyDescent="0.2">
      <c r="A64" s="133" t="s">
        <v>664</v>
      </c>
      <c r="B64" s="133">
        <f t="shared" si="56"/>
        <v>2003</v>
      </c>
      <c r="D64" s="279">
        <f>Urban_Rail!G64</f>
        <v>67.114974799999999</v>
      </c>
      <c r="E64" s="279">
        <f>'Passenger-based Energy Use'!M61</f>
        <v>15.9</v>
      </c>
      <c r="F64" s="279">
        <f t="shared" si="71"/>
        <v>83.014974800000005</v>
      </c>
      <c r="H64" s="4">
        <f>Urban_Rail!L64</f>
        <v>24641</v>
      </c>
      <c r="I64" s="4">
        <f>'Passenger-based Activity'!M62</f>
        <v>5680</v>
      </c>
      <c r="J64" s="4">
        <f t="shared" si="72"/>
        <v>30321</v>
      </c>
      <c r="L64" s="138">
        <f t="shared" si="73"/>
        <v>2723.7114889817785</v>
      </c>
      <c r="M64" s="138">
        <f t="shared" si="73"/>
        <v>2799.2957746478874</v>
      </c>
      <c r="N64" s="138">
        <f t="shared" si="73"/>
        <v>2737.8706111276015</v>
      </c>
      <c r="P64" s="129">
        <f>Urban_Rail!AA64</f>
        <v>0.95514855193507708</v>
      </c>
      <c r="Q64" s="129">
        <f t="shared" si="27"/>
        <v>1.2320642223699716</v>
      </c>
      <c r="R64" s="129"/>
      <c r="S64" s="129">
        <f>Urban_Rail!Z64</f>
        <v>1.0128848861868678</v>
      </c>
      <c r="T64" s="141">
        <v>1</v>
      </c>
      <c r="V64" s="131">
        <f t="shared" si="28"/>
        <v>1.372239319333816</v>
      </c>
      <c r="W64" s="131">
        <f t="shared" si="29"/>
        <v>1.0148977663038459</v>
      </c>
      <c r="X64" s="131">
        <f>BM64</f>
        <v>1.0006260895161547</v>
      </c>
      <c r="Y64" s="131">
        <f>BQ64</f>
        <v>1.0104814122045911</v>
      </c>
      <c r="Z64" s="131">
        <f>BI64</f>
        <v>1.0037421122061623</v>
      </c>
      <c r="AA64" s="131">
        <f>V64*X64*Y64*Z64</f>
        <v>1.3926826200261981</v>
      </c>
      <c r="AB64" s="131">
        <f t="shared" si="34"/>
        <v>1.3926826200261997</v>
      </c>
      <c r="AC64" s="131"/>
      <c r="AD64" s="131">
        <f>X64*Y64</f>
        <v>1.0111140640230416</v>
      </c>
      <c r="AF64" s="134"/>
      <c r="AH64" s="129">
        <f>D64/F64</f>
        <v>0.8084682909522487</v>
      </c>
      <c r="AI64" s="129">
        <f>E64/F64</f>
        <v>0.19153170904775121</v>
      </c>
      <c r="AK64" s="129">
        <f>(AH64-AH63)/LN(AH64/AH63)</f>
        <v>0.80299972748029713</v>
      </c>
      <c r="AL64" s="129">
        <f>(AI64-AI63)/LN(AI64/AI63)</f>
        <v>0.19693752869924522</v>
      </c>
      <c r="AM64" s="129">
        <f>AK64+AL64</f>
        <v>0.99993725617954232</v>
      </c>
      <c r="AO64" s="129">
        <f>AK64/AM64</f>
        <v>0.80305011391246295</v>
      </c>
      <c r="AP64" s="129">
        <f>AL64/AM64</f>
        <v>0.19694988608753705</v>
      </c>
      <c r="AQ64" s="129"/>
      <c r="AR64" s="129"/>
      <c r="AS64" s="129">
        <f>LN(P64/P63)</f>
        <v>-4.0591057883910377E-3</v>
      </c>
      <c r="AT64" s="129">
        <f>LN(Q64/Q63)</f>
        <v>-0.10901152037389555</v>
      </c>
      <c r="AU64" s="129"/>
      <c r="AV64" s="129">
        <f>H64/J64</f>
        <v>0.81267108604597471</v>
      </c>
      <c r="AW64" s="129">
        <f>I64/J64</f>
        <v>0.18732891395402526</v>
      </c>
      <c r="AX64" s="129"/>
      <c r="AY64" s="129">
        <f>LN(AV64/AV63)</f>
        <v>-6.7063863953048912E-3</v>
      </c>
      <c r="AZ64" s="129">
        <f>LN(AW64/AW63)</f>
        <v>2.9625996924236692E-2</v>
      </c>
      <c r="BA64" s="129"/>
      <c r="BB64" s="129"/>
      <c r="BC64" s="129">
        <f>LN(S64/S63)</f>
        <v>3.8004826444690938E-4</v>
      </c>
      <c r="BD64" s="129">
        <f>LN(T64/T63)</f>
        <v>0</v>
      </c>
      <c r="BE64" s="129"/>
      <c r="BF64" s="129"/>
      <c r="BG64" s="129">
        <f>EXP(SUMPRODUCT($AO64:$AP64,AS64:AT64))</f>
        <v>0.97557379647224274</v>
      </c>
      <c r="BH64" s="129">
        <f>IF(ISERR(BG64),BH63,BG64*BH63)</f>
        <v>0.85711422622880418</v>
      </c>
      <c r="BI64" s="129">
        <f t="shared" si="53"/>
        <v>1.0037421122061623</v>
      </c>
      <c r="BJ64" s="129"/>
      <c r="BK64" s="129">
        <f>EXP(SUMPRODUCT($AO64:$AP64,AY64:AZ64))</f>
        <v>1.0004493732987103</v>
      </c>
      <c r="BL64" s="129">
        <f>IF(ISERR(BK64),BL63,BK64*BL63)</f>
        <v>0.98871238967689101</v>
      </c>
      <c r="BM64" s="129">
        <f t="shared" si="54"/>
        <v>1.0006260895161547</v>
      </c>
      <c r="BN64" s="129"/>
      <c r="BO64" s="129">
        <f>EXP(SUMPRODUCT($AO64:$AP64,BC64:BD64))</f>
        <v>1.0003052443796439</v>
      </c>
      <c r="BP64" s="129">
        <f>IF(ISERR(BO64),BP63,BO64*BP63)</f>
        <v>1.0069140374271697</v>
      </c>
      <c r="BQ64" s="129">
        <f t="shared" si="55"/>
        <v>1.0104814122045911</v>
      </c>
    </row>
    <row r="65" spans="1:69" x14ac:dyDescent="0.2">
      <c r="A65" s="133" t="s">
        <v>664</v>
      </c>
      <c r="B65" s="133">
        <f t="shared" si="56"/>
        <v>2004</v>
      </c>
      <c r="D65" s="279">
        <f>Urban_Rail!G65</f>
        <v>68.763476299999994</v>
      </c>
      <c r="E65" s="279">
        <f>'Passenger-based Energy Use'!M62</f>
        <v>15.2</v>
      </c>
      <c r="F65" s="279">
        <f t="shared" si="71"/>
        <v>83.963476299999996</v>
      </c>
      <c r="H65" s="4">
        <f>Urban_Rail!L65</f>
        <v>25649</v>
      </c>
      <c r="I65" s="4">
        <f>'Passenger-based Activity'!M63</f>
        <v>5511</v>
      </c>
      <c r="J65" s="4">
        <f t="shared" si="72"/>
        <v>31160</v>
      </c>
      <c r="L65" s="138">
        <f t="shared" ref="L65:N66" si="74">D65/H65*1000000</f>
        <v>2680.9418027993293</v>
      </c>
      <c r="M65" s="138">
        <f t="shared" si="74"/>
        <v>2758.1201233895845</v>
      </c>
      <c r="N65" s="138">
        <f t="shared" si="74"/>
        <v>2694.591665596919</v>
      </c>
      <c r="P65" s="129">
        <f>Urban_Rail!AA65</f>
        <v>0.93920771097480371</v>
      </c>
      <c r="Q65" s="129">
        <f t="shared" si="27"/>
        <v>1.2139414333429637</v>
      </c>
      <c r="R65" s="129"/>
      <c r="S65" s="129">
        <f>Urban_Rail!Z65</f>
        <v>1.0139012225495385</v>
      </c>
      <c r="T65" s="141">
        <v>1</v>
      </c>
      <c r="V65" s="131">
        <f t="shared" si="28"/>
        <v>1.4102099927588705</v>
      </c>
      <c r="W65" s="131">
        <f t="shared" si="29"/>
        <v>0.99885474916178107</v>
      </c>
      <c r="X65" s="131">
        <f>BM65</f>
        <v>1.0003315960709001</v>
      </c>
      <c r="Y65" s="131">
        <f>BQ65</f>
        <v>1.0113064230991591</v>
      </c>
      <c r="Z65" s="131">
        <f>BI65</f>
        <v>0.98736013125002398</v>
      </c>
      <c r="AA65" s="131">
        <f>V65*X65*Y65*Z65</f>
        <v>1.4085949485825973</v>
      </c>
      <c r="AB65" s="131">
        <f t="shared" si="34"/>
        <v>1.4085949485825984</v>
      </c>
      <c r="AC65" s="131"/>
      <c r="AD65" s="131">
        <f>X65*Y65</f>
        <v>1.0116417683355348</v>
      </c>
      <c r="AF65" s="134"/>
      <c r="AH65" s="129">
        <f t="shared" si="49"/>
        <v>0.81896890565022973</v>
      </c>
      <c r="AI65" s="129">
        <f t="shared" si="50"/>
        <v>0.18103109434977027</v>
      </c>
      <c r="AK65" s="129">
        <f t="shared" si="57"/>
        <v>0.81370730609557063</v>
      </c>
      <c r="AL65" s="129">
        <f t="shared" si="58"/>
        <v>0.18623206492682273</v>
      </c>
      <c r="AM65" s="129">
        <f t="shared" si="59"/>
        <v>0.99993937102239339</v>
      </c>
      <c r="AO65" s="129">
        <f t="shared" si="60"/>
        <v>0.81375664332887621</v>
      </c>
      <c r="AP65" s="129">
        <f t="shared" si="61"/>
        <v>0.18624335667112374</v>
      </c>
      <c r="AS65" s="129">
        <f t="shared" si="23"/>
        <v>-1.6830220956110458E-2</v>
      </c>
      <c r="AT65" s="129">
        <f t="shared" si="24"/>
        <v>-1.4818543541993585E-2</v>
      </c>
      <c r="AV65" s="129">
        <f t="shared" si="51"/>
        <v>0.82313863928112962</v>
      </c>
      <c r="AW65" s="129">
        <f t="shared" si="52"/>
        <v>0.17686136071887035</v>
      </c>
      <c r="AX65" s="129"/>
      <c r="AY65" s="129">
        <f t="shared" si="62"/>
        <v>1.2798183002724351E-2</v>
      </c>
      <c r="AZ65" s="129">
        <f t="shared" si="63"/>
        <v>-5.7499817073873964E-2</v>
      </c>
      <c r="BC65" s="129">
        <f t="shared" si="64"/>
        <v>1.0029044934512295E-3</v>
      </c>
      <c r="BD65" s="129">
        <f t="shared" si="65"/>
        <v>0</v>
      </c>
      <c r="BG65" s="129">
        <f t="shared" si="17"/>
        <v>0.98367909370651807</v>
      </c>
      <c r="BH65" s="129">
        <f t="shared" si="66"/>
        <v>0.84312534525971361</v>
      </c>
      <c r="BI65" s="129">
        <f t="shared" si="53"/>
        <v>0.98736013125002398</v>
      </c>
      <c r="BJ65" s="129"/>
      <c r="BK65" s="129">
        <f t="shared" si="67"/>
        <v>0.99970569081863825</v>
      </c>
      <c r="BL65" s="129">
        <f t="shared" si="68"/>
        <v>0.98842140254288302</v>
      </c>
      <c r="BM65" s="129">
        <f t="shared" si="54"/>
        <v>1.0003315960709001</v>
      </c>
      <c r="BO65" s="129">
        <f t="shared" si="69"/>
        <v>1.000816453310871</v>
      </c>
      <c r="BP65" s="129">
        <f t="shared" si="70"/>
        <v>1.0077361357267896</v>
      </c>
      <c r="BQ65" s="129">
        <f t="shared" si="55"/>
        <v>1.0113064230991591</v>
      </c>
    </row>
    <row r="66" spans="1:69" x14ac:dyDescent="0.2">
      <c r="A66" s="133" t="s">
        <v>664</v>
      </c>
      <c r="B66" s="133">
        <f t="shared" si="56"/>
        <v>2005</v>
      </c>
      <c r="D66" s="279">
        <f>Urban_Rail!G66</f>
        <v>70.854567800000012</v>
      </c>
      <c r="E66" s="279">
        <f>'Passenger-based Energy Use'!M63</f>
        <v>14.575566703</v>
      </c>
      <c r="F66" s="279">
        <f t="shared" si="71"/>
        <v>85.430134503000005</v>
      </c>
      <c r="H66" s="4">
        <f>Urban_Rail!L66</f>
        <v>25591</v>
      </c>
      <c r="I66" s="4">
        <f>'Passenger-based Activity'!M64</f>
        <v>5381</v>
      </c>
      <c r="J66" s="4">
        <f t="shared" si="72"/>
        <v>30972</v>
      </c>
      <c r="L66" s="138">
        <f t="shared" si="74"/>
        <v>2768.7299363057327</v>
      </c>
      <c r="M66" s="138">
        <f t="shared" si="74"/>
        <v>2708.7096641888124</v>
      </c>
      <c r="N66" s="138">
        <f t="shared" si="74"/>
        <v>2758.3021601123596</v>
      </c>
      <c r="P66" s="129">
        <f>Urban_Rail!AA66</f>
        <v>0.96834582376990352</v>
      </c>
      <c r="Q66" s="129">
        <f t="shared" si="27"/>
        <v>1.19219422836967</v>
      </c>
      <c r="R66" s="129"/>
      <c r="S66" s="129">
        <f>Urban_Rail!Z66</f>
        <v>1.0155937563455228</v>
      </c>
      <c r="T66" s="141">
        <v>1</v>
      </c>
      <c r="V66" s="131">
        <f t="shared" si="28"/>
        <v>1.4017016654598118</v>
      </c>
      <c r="W66" s="131">
        <f t="shared" si="29"/>
        <v>1.0224715111486464</v>
      </c>
      <c r="X66" s="131">
        <f>BM66</f>
        <v>1.0003210868044226</v>
      </c>
      <c r="Y66" s="131">
        <f>BQ66</f>
        <v>1.0126976657194182</v>
      </c>
      <c r="Z66" s="131">
        <f>BI66</f>
        <v>1.0093272148425747</v>
      </c>
      <c r="AA66" s="131">
        <f>V66*X66*Y66*Z66</f>
        <v>1.433200020062267</v>
      </c>
      <c r="AB66" s="131">
        <f t="shared" si="34"/>
        <v>1.4332000200622681</v>
      </c>
      <c r="AC66" s="131"/>
      <c r="AD66" s="131">
        <f>X66*Y66</f>
        <v>1.0130228295767503</v>
      </c>
      <c r="AF66" s="134"/>
      <c r="AH66" s="129">
        <f>D66/F66</f>
        <v>0.82938612015777469</v>
      </c>
      <c r="AI66" s="129">
        <f>E66/F66</f>
        <v>0.17061387984222542</v>
      </c>
      <c r="AK66" s="129">
        <f>(AH66-AH65)/LN(AH66/AH65)</f>
        <v>0.82416654039785109</v>
      </c>
      <c r="AL66" s="129">
        <f>(AI66-AI65)/LN(AI66/AI65)</f>
        <v>0.17577104137953076</v>
      </c>
      <c r="AM66" s="129">
        <f>AK66+AL66</f>
        <v>0.9999375817773819</v>
      </c>
      <c r="AO66" s="129">
        <f>AK66/AM66</f>
        <v>0.82421798661962575</v>
      </c>
      <c r="AP66" s="129">
        <f>AL66/AM66</f>
        <v>0.17578201338037419</v>
      </c>
      <c r="AS66" s="129">
        <f>LN(P66/P65)</f>
        <v>3.0552620244328279E-2</v>
      </c>
      <c r="AT66" s="129">
        <f>LN(Q66/Q65)</f>
        <v>-1.8076950125251443E-2</v>
      </c>
      <c r="AV66" s="129">
        <f>H66/J66</f>
        <v>0.82626243058246163</v>
      </c>
      <c r="AW66" s="129">
        <f>I66/J66</f>
        <v>0.17373756941753843</v>
      </c>
      <c r="AX66" s="129"/>
      <c r="AY66" s="129">
        <f>LN(AV66/AV65)</f>
        <v>3.7877931489888211E-3</v>
      </c>
      <c r="AZ66" s="129">
        <f>LN(AW66/AW65)</f>
        <v>-1.7820213915745297E-2</v>
      </c>
      <c r="BC66" s="129">
        <f>LN(S66/S65)</f>
        <v>1.6679363151647203E-3</v>
      </c>
      <c r="BD66" s="129">
        <f>LN(T66/T65)</f>
        <v>0</v>
      </c>
      <c r="BG66" s="129">
        <f>EXP(SUMPRODUCT($AO66:$AP66,AS66:AT66))</f>
        <v>1.0222482991740205</v>
      </c>
      <c r="BH66" s="129">
        <f>IF(ISERR(BG66),BH65,BG66*BH65)</f>
        <v>0.86188345018225099</v>
      </c>
      <c r="BI66" s="129">
        <f t="shared" si="53"/>
        <v>1.0093272148425747</v>
      </c>
      <c r="BJ66" s="129"/>
      <c r="BK66" s="129">
        <f>EXP(SUMPRODUCT($AO66:$AP66,AY66:AZ66))</f>
        <v>0.99998949421719863</v>
      </c>
      <c r="BL66" s="129">
        <f>IF(ISERR(BK66),BL65,BK66*BL65)</f>
        <v>0.98841101840231171</v>
      </c>
      <c r="BM66" s="129">
        <f t="shared" si="54"/>
        <v>1.0003210868044226</v>
      </c>
      <c r="BO66" s="129">
        <f>EXP(SUMPRODUCT($AO66:$AP66,BC66:BD66))</f>
        <v>1.0013756885039804</v>
      </c>
      <c r="BP66" s="129">
        <f>IF(ISERR(BO66),BP65,BO66*BP65)</f>
        <v>1.0091224667437546</v>
      </c>
      <c r="BQ66" s="129">
        <f t="shared" si="55"/>
        <v>1.0126976657194182</v>
      </c>
    </row>
    <row r="67" spans="1:69" x14ac:dyDescent="0.2">
      <c r="A67" s="133" t="s">
        <v>664</v>
      </c>
      <c r="B67" s="133">
        <f t="shared" si="56"/>
        <v>2006</v>
      </c>
      <c r="D67" s="279">
        <f>Urban_Rail!G67</f>
        <v>71.085138999999998</v>
      </c>
      <c r="E67" s="279">
        <f>'Passenger-based Energy Use'!M64</f>
        <v>14.338240283999999</v>
      </c>
      <c r="F67" s="279">
        <f t="shared" si="71"/>
        <v>85.423379283999992</v>
      </c>
      <c r="H67" s="4">
        <f>Urban_Rail!L67</f>
        <v>26948</v>
      </c>
      <c r="I67" s="4">
        <f>'Passenger-based Activity'!M65</f>
        <v>5410</v>
      </c>
      <c r="J67" s="4">
        <f t="shared" si="72"/>
        <v>32358</v>
      </c>
      <c r="L67" s="138">
        <f>D67/H67*1000000</f>
        <v>2637.8632551580822</v>
      </c>
      <c r="M67" s="138">
        <f>E67/I67*1000000</f>
        <v>2650.3216791127543</v>
      </c>
      <c r="N67" s="138">
        <f>F67/J67*1000000</f>
        <v>2639.9462044625748</v>
      </c>
      <c r="P67" s="129">
        <f>Urban_Rail!AA67</f>
        <v>0.92186961966948611</v>
      </c>
      <c r="Q67" s="129">
        <f t="shared" si="27"/>
        <v>1.166495712307168</v>
      </c>
      <c r="R67" s="129"/>
      <c r="S67" s="129">
        <f>Urban_Rail!Z67</f>
        <v>1.0163719832397422</v>
      </c>
      <c r="T67" s="141">
        <v>1</v>
      </c>
      <c r="V67" s="131">
        <f t="shared" si="28"/>
        <v>1.4644279507603186</v>
      </c>
      <c r="W67" s="131">
        <f t="shared" si="29"/>
        <v>0.97859829284186439</v>
      </c>
      <c r="X67" s="131">
        <f>BM67</f>
        <v>1.00037756845977</v>
      </c>
      <c r="Y67" s="131">
        <f>BQ67</f>
        <v>1.0133423089921187</v>
      </c>
      <c r="Z67" s="131">
        <f>BI67</f>
        <v>0.96534896033203632</v>
      </c>
      <c r="AA67" s="131">
        <f>V67*X67*Y67*Z67</f>
        <v>1.4330866926039567</v>
      </c>
      <c r="AB67" s="131">
        <f t="shared" si="34"/>
        <v>1.4330866926039576</v>
      </c>
      <c r="AC67" s="131"/>
      <c r="AD67" s="131">
        <f>X67*Y67</f>
        <v>1.0137249150869447</v>
      </c>
      <c r="AF67" s="134"/>
      <c r="AH67" s="129">
        <f>D67/F67</f>
        <v>0.83215086544011752</v>
      </c>
      <c r="AI67" s="129">
        <f>E67/F67</f>
        <v>0.16784913455988257</v>
      </c>
      <c r="AK67" s="129">
        <f>(AH67-AH66)/LN(AH67/AH66)</f>
        <v>0.83076772605682547</v>
      </c>
      <c r="AL67" s="129">
        <f>(AI67-AI66)/LN(AI67/AI66)</f>
        <v>0.16922774314995381</v>
      </c>
      <c r="AM67" s="129">
        <f>AK67+AL67</f>
        <v>0.99999546920677929</v>
      </c>
      <c r="AO67" s="129">
        <f>AK67/AM67</f>
        <v>0.83077149011066087</v>
      </c>
      <c r="AP67" s="129">
        <f>AL67/AM67</f>
        <v>0.16922850988933918</v>
      </c>
      <c r="AS67" s="129">
        <f>LN(P67/P66)</f>
        <v>-4.9185476216078931E-2</v>
      </c>
      <c r="AT67" s="129">
        <f>LN(Q67/Q66)</f>
        <v>-2.1791361850283453E-2</v>
      </c>
      <c r="AV67" s="129">
        <f>H67/J67</f>
        <v>0.83280796093701714</v>
      </c>
      <c r="AW67" s="129">
        <f>I67/J67</f>
        <v>0.16719203906298288</v>
      </c>
      <c r="AX67" s="129"/>
      <c r="AY67" s="129">
        <f>LN(AV67/AV66)</f>
        <v>7.8906408668121646E-3</v>
      </c>
      <c r="AZ67" s="129">
        <f>LN(AW67/AW66)</f>
        <v>-3.8402852707560338E-2</v>
      </c>
      <c r="BC67" s="129">
        <f>LN(S67/S66)</f>
        <v>7.6598430486253088E-4</v>
      </c>
      <c r="BD67" s="129">
        <f>LN(T67/T66)</f>
        <v>0</v>
      </c>
      <c r="BG67" s="129">
        <f>EXP(SUMPRODUCT($AO67:$AP67,AS67:AT67))</f>
        <v>0.95642814950016219</v>
      </c>
      <c r="BH67" s="129">
        <f>IF(ISERR(BG67),BH66,BG67*BH66)</f>
        <v>0.82432959334262557</v>
      </c>
      <c r="BI67" s="129">
        <f t="shared" si="53"/>
        <v>0.96534896033203632</v>
      </c>
      <c r="BJ67" s="129"/>
      <c r="BK67" s="129">
        <f>EXP(SUMPRODUCT($AO67:$AP67,AY67:AZ67))</f>
        <v>1.0000564635256544</v>
      </c>
      <c r="BL67" s="129">
        <f>IF(ISERR(BK67),BL66,BK67*BL66)</f>
        <v>0.98846682757320636</v>
      </c>
      <c r="BM67" s="129">
        <f t="shared" si="54"/>
        <v>1.00037756845977</v>
      </c>
      <c r="BO67" s="129">
        <f>EXP(SUMPRODUCT($AO67:$AP67,BC67:BD67))</f>
        <v>1.0006365604410106</v>
      </c>
      <c r="BP67" s="129">
        <f>IF(ISERR(BO67),BP66,BO67*BP66)</f>
        <v>1.0097648341862187</v>
      </c>
      <c r="BQ67" s="129">
        <f t="shared" si="55"/>
        <v>1.0133423089921187</v>
      </c>
    </row>
    <row r="68" spans="1:69" x14ac:dyDescent="0.2">
      <c r="A68" s="133" t="s">
        <v>664</v>
      </c>
      <c r="B68" s="133">
        <f t="shared" si="56"/>
        <v>2007</v>
      </c>
      <c r="D68" s="279">
        <f>Urban_Rail!G68</f>
        <v>75.991738599999991</v>
      </c>
      <c r="E68" s="279">
        <f>'Passenger-based Energy Use'!M65</f>
        <v>14.549524695999999</v>
      </c>
      <c r="F68" s="279">
        <f t="shared" si="71"/>
        <v>90.541263295999983</v>
      </c>
      <c r="H68" s="4">
        <f>Urban_Rail!L68</f>
        <v>29223</v>
      </c>
      <c r="I68" s="4">
        <f>'Passenger-based Activity'!M66</f>
        <v>5784</v>
      </c>
      <c r="J68" s="4">
        <f t="shared" si="40"/>
        <v>35007</v>
      </c>
      <c r="L68">
        <f t="shared" si="41"/>
        <v>2600.4085343736092</v>
      </c>
      <c r="M68">
        <f t="shared" si="42"/>
        <v>2515.4779903181188</v>
      </c>
      <c r="N68">
        <f t="shared" si="43"/>
        <v>2586.3759618362037</v>
      </c>
      <c r="P68" s="129">
        <f>Urban_Rail!AA68</f>
        <v>0.91000101041496229</v>
      </c>
      <c r="Q68" s="129">
        <f t="shared" si="27"/>
        <v>1.1071464695151452</v>
      </c>
      <c r="R68" s="129"/>
      <c r="S68" s="129">
        <f>Urban_Rail!Z68</f>
        <v>1.0150083566831525</v>
      </c>
      <c r="T68" s="141">
        <v>1</v>
      </c>
      <c r="V68" s="131">
        <f t="shared" si="28"/>
        <v>1.5843139029688631</v>
      </c>
      <c r="W68" s="131">
        <f t="shared" si="29"/>
        <v>0.95874040789986303</v>
      </c>
      <c r="X68" s="131">
        <f t="shared" si="44"/>
        <v>1.0004053461864648</v>
      </c>
      <c r="Y68" s="131">
        <f t="shared" si="45"/>
        <v>1.0122059315963123</v>
      </c>
      <c r="Z68" s="131">
        <f t="shared" si="46"/>
        <v>0.9467954234202659</v>
      </c>
      <c r="AA68" s="131">
        <f t="shared" si="47"/>
        <v>1.5189457575737906</v>
      </c>
      <c r="AB68" s="131">
        <f t="shared" si="34"/>
        <v>1.5189457575737917</v>
      </c>
      <c r="AC68" s="131"/>
      <c r="AD68" s="131">
        <f t="shared" si="48"/>
        <v>1.0126162254106019</v>
      </c>
      <c r="AF68" s="134"/>
      <c r="AH68" s="129">
        <f t="shared" si="49"/>
        <v>0.8393050398641525</v>
      </c>
      <c r="AI68" s="129">
        <f t="shared" si="50"/>
        <v>0.16069496013584761</v>
      </c>
      <c r="AK68" s="129">
        <f t="shared" si="57"/>
        <v>0.83572284907131755</v>
      </c>
      <c r="AL68" s="129">
        <f t="shared" si="58"/>
        <v>0.1642460799126256</v>
      </c>
      <c r="AM68" s="129">
        <f t="shared" si="59"/>
        <v>0.99996892898394318</v>
      </c>
      <c r="AO68" s="129">
        <f t="shared" si="60"/>
        <v>0.83574881663621869</v>
      </c>
      <c r="AP68" s="129">
        <f t="shared" si="61"/>
        <v>0.16425118336378125</v>
      </c>
      <c r="AS68" s="129">
        <f t="shared" si="23"/>
        <v>-1.295809336403485E-2</v>
      </c>
      <c r="AT68" s="129">
        <f t="shared" si="24"/>
        <v>-5.2218179689716537E-2</v>
      </c>
      <c r="AV68" s="129">
        <f t="shared" si="51"/>
        <v>0.83477590196246465</v>
      </c>
      <c r="AW68" s="129">
        <f t="shared" si="52"/>
        <v>0.16522409803753535</v>
      </c>
      <c r="AX68" s="129"/>
      <c r="AY68" s="129">
        <f t="shared" si="62"/>
        <v>2.3602314495797631E-3</v>
      </c>
      <c r="AZ68" s="129">
        <f t="shared" si="63"/>
        <v>-1.1840363910861648E-2</v>
      </c>
      <c r="BC68" s="129">
        <f t="shared" si="64"/>
        <v>-1.342561739537524E-3</v>
      </c>
      <c r="BD68" s="129">
        <f t="shared" si="65"/>
        <v>0</v>
      </c>
      <c r="BG68" s="129">
        <f t="shared" si="17"/>
        <v>0.98078048698018083</v>
      </c>
      <c r="BH68" s="129">
        <f t="shared" si="66"/>
        <v>0.80848637999075479</v>
      </c>
      <c r="BI68" s="129">
        <f t="shared" si="53"/>
        <v>0.9467954234202659</v>
      </c>
      <c r="BJ68" s="129"/>
      <c r="BK68" s="129">
        <f t="shared" si="67"/>
        <v>1.0000277672426598</v>
      </c>
      <c r="BL68" s="129">
        <f t="shared" si="68"/>
        <v>0.98849427457146877</v>
      </c>
      <c r="BM68" s="129">
        <f t="shared" si="54"/>
        <v>1.0004053461864648</v>
      </c>
      <c r="BO68" s="129">
        <f t="shared" si="69"/>
        <v>0.99887858487134829</v>
      </c>
      <c r="BP68" s="129">
        <f t="shared" si="70"/>
        <v>1.0086324686247818</v>
      </c>
      <c r="BQ68" s="129">
        <f t="shared" si="55"/>
        <v>1.0122059315963123</v>
      </c>
    </row>
    <row r="69" spans="1:69" x14ac:dyDescent="0.2">
      <c r="A69" s="133" t="s">
        <v>664</v>
      </c>
      <c r="B69" s="133">
        <f t="shared" si="56"/>
        <v>2008</v>
      </c>
      <c r="D69" s="279">
        <f>Urban_Rail!G69</f>
        <v>77.092455700000002</v>
      </c>
      <c r="E69" s="279">
        <f>'Passenger-based Energy Use'!M66</f>
        <v>14.814989058000002</v>
      </c>
      <c r="F69" s="279">
        <f>D69+E69</f>
        <v>91.907444757999997</v>
      </c>
      <c r="H69" s="4">
        <f>Urban_Rail!L69</f>
        <v>29990</v>
      </c>
      <c r="I69" s="4">
        <f>'Passenger-based Activity'!M67</f>
        <v>6179</v>
      </c>
      <c r="J69" s="4">
        <f>H69+I69</f>
        <v>36169</v>
      </c>
      <c r="L69">
        <f t="shared" ref="L69:N71" si="75">D69/H69*1000000</f>
        <v>2570.6053917972658</v>
      </c>
      <c r="M69">
        <f t="shared" si="75"/>
        <v>2397.6353872794953</v>
      </c>
      <c r="N69">
        <f t="shared" si="75"/>
        <v>2541.0557316486493</v>
      </c>
      <c r="P69" s="129">
        <f>Urban_Rail!AA69</f>
        <v>0.89908529929085268</v>
      </c>
      <c r="Q69" s="129">
        <f t="shared" si="27"/>
        <v>1.0552799763814935</v>
      </c>
      <c r="R69" s="129"/>
      <c r="S69" s="129">
        <f>Urban_Rail!Z69</f>
        <v>1.0155572879676702</v>
      </c>
      <c r="T69" s="141">
        <v>1</v>
      </c>
      <c r="V69" s="131">
        <f t="shared" si="28"/>
        <v>1.6369026068066619</v>
      </c>
      <c r="W69" s="131">
        <f t="shared" si="29"/>
        <v>0.9419407095507939</v>
      </c>
      <c r="X69" s="131">
        <f>BM69</f>
        <v>1.000121255814479</v>
      </c>
      <c r="Y69" s="131">
        <f>BQ69</f>
        <v>1.0126652236465417</v>
      </c>
      <c r="Z69" s="131">
        <f>BI69</f>
        <v>0.93004725117256304</v>
      </c>
      <c r="AA69" s="131">
        <f>V69*X69*Y69*Z69</f>
        <v>1.54186520292101</v>
      </c>
      <c r="AB69" s="131">
        <f t="shared" si="34"/>
        <v>1.5418652029210114</v>
      </c>
      <c r="AC69" s="131"/>
      <c r="AD69" s="131">
        <f>X69*Y69</f>
        <v>1.0127880151930295</v>
      </c>
      <c r="AF69" s="134"/>
      <c r="AH69" s="129">
        <f>D69/F69</f>
        <v>0.83880534273356089</v>
      </c>
      <c r="AI69" s="129">
        <f>E69/F69</f>
        <v>0.1611946572664392</v>
      </c>
      <c r="AK69" s="129">
        <f>(AH69-AH68)/LN(AH69/AH68)</f>
        <v>0.83905516649943201</v>
      </c>
      <c r="AL69" s="129">
        <f>(AI69-AI68)/LN(AI69/AI68)</f>
        <v>0.16094467941386967</v>
      </c>
      <c r="AM69" s="129">
        <f>AK69+AL69</f>
        <v>0.99999984591330171</v>
      </c>
      <c r="AO69" s="129">
        <f>AK69/AM69</f>
        <v>0.83905529578669225</v>
      </c>
      <c r="AP69" s="129">
        <f t="shared" si="61"/>
        <v>0.16094470421330775</v>
      </c>
      <c r="AS69" s="129">
        <f>LN(P69/P68)</f>
        <v>-1.2067797471081439E-2</v>
      </c>
      <c r="AT69" s="129">
        <f>LN(Q69/Q68)</f>
        <v>-4.7979844915235284E-2</v>
      </c>
      <c r="AV69" s="129">
        <f>H69/J69</f>
        <v>0.82916309546849509</v>
      </c>
      <c r="AW69" s="129">
        <f>I69/J69</f>
        <v>0.17083690453150488</v>
      </c>
      <c r="AX69" s="129"/>
      <c r="AY69" s="129">
        <f>LN(AV69/AV68)</f>
        <v>-6.7464345642915206E-3</v>
      </c>
      <c r="AZ69" s="129">
        <f>LN(AW69/AW68)</f>
        <v>3.3406604354097938E-2</v>
      </c>
      <c r="BC69" s="129">
        <f t="shared" si="64"/>
        <v>5.4066835941579542E-4</v>
      </c>
      <c r="BD69" s="129">
        <f t="shared" si="65"/>
        <v>0</v>
      </c>
      <c r="BG69" s="129">
        <f t="shared" si="17"/>
        <v>0.98231067468915234</v>
      </c>
      <c r="BH69" s="129">
        <f t="shared" si="66"/>
        <v>0.79418480140570868</v>
      </c>
      <c r="BI69" s="129">
        <f t="shared" si="53"/>
        <v>0.93004725117256304</v>
      </c>
      <c r="BJ69" s="129"/>
      <c r="BK69" s="129">
        <f t="shared" si="67"/>
        <v>0.99971602473630439</v>
      </c>
      <c r="BL69" s="129">
        <f t="shared" si="68"/>
        <v>0.98821356664918569</v>
      </c>
      <c r="BM69" s="129">
        <f t="shared" si="54"/>
        <v>1.000121255814479</v>
      </c>
      <c r="BO69" s="129">
        <f>EXP(SUMPRODUCT($AO69:$AP69,BC69:BD69))</f>
        <v>1.0004537535652502</v>
      </c>
      <c r="BP69" s="129">
        <f>IF(ISERR(BO69),BP68,BO69*BP68)</f>
        <v>1.0090901392034475</v>
      </c>
      <c r="BQ69" s="129">
        <f t="shared" si="55"/>
        <v>1.0126652236465417</v>
      </c>
    </row>
    <row r="70" spans="1:69" x14ac:dyDescent="0.2">
      <c r="A70" s="133" t="s">
        <v>664</v>
      </c>
      <c r="B70" s="133">
        <f t="shared" si="56"/>
        <v>2009</v>
      </c>
      <c r="D70" s="279">
        <f>Urban_Rail!G70</f>
        <v>79.387456</v>
      </c>
      <c r="E70" s="279">
        <f>'Passenger-based Energy Use'!M67</f>
        <v>14.399548952</v>
      </c>
      <c r="F70" s="279">
        <f>D70+E70</f>
        <v>93.787004952000004</v>
      </c>
      <c r="H70" s="4">
        <f>Urban_Rail!L70</f>
        <v>30236</v>
      </c>
      <c r="I70" s="4">
        <f>'Passenger-based Activity'!M68</f>
        <v>5914</v>
      </c>
      <c r="J70" s="4">
        <f>H70+I70</f>
        <v>36150</v>
      </c>
      <c r="L70">
        <f t="shared" si="75"/>
        <v>2625.5938616219078</v>
      </c>
      <c r="M70">
        <f t="shared" si="75"/>
        <v>2434.8239688873855</v>
      </c>
      <c r="N70">
        <f t="shared" si="75"/>
        <v>2594.3846459751035</v>
      </c>
      <c r="P70" s="129">
        <f>Urban_Rail!AA70</f>
        <v>0.91678375200107187</v>
      </c>
      <c r="Q70" s="129">
        <f t="shared" si="27"/>
        <v>1.0716479219536368</v>
      </c>
      <c r="R70" s="129"/>
      <c r="S70" s="175">
        <f>Urban_Rail!Z70</f>
        <v>1.0172566797704241</v>
      </c>
      <c r="T70" s="141">
        <v>1</v>
      </c>
      <c r="V70" s="131">
        <f t="shared" si="28"/>
        <v>1.6360427226647356</v>
      </c>
      <c r="W70" s="131">
        <f t="shared" si="29"/>
        <v>0.96170913681297077</v>
      </c>
      <c r="X70" s="131">
        <f>BM70</f>
        <v>1.0006340086433458</v>
      </c>
      <c r="Y70" s="131">
        <f>BQ70</f>
        <v>1.0140929683738735</v>
      </c>
      <c r="Z70" s="131">
        <f>BI70</f>
        <v>0.94774327523378588</v>
      </c>
      <c r="AA70" s="131">
        <f>V70*X70*Y70*Z70</f>
        <v>1.5733972346030438</v>
      </c>
      <c r="AB70" s="131">
        <f t="shared" si="34"/>
        <v>1.5733972346030456</v>
      </c>
      <c r="AC70" s="131"/>
      <c r="AD70" s="131">
        <f>X70*Y70</f>
        <v>1.0147359120809789</v>
      </c>
      <c r="AF70" s="134"/>
      <c r="AH70" s="129">
        <f t="shared" ref="AH70:AH71" si="76">D70/F70</f>
        <v>0.84646541427173561</v>
      </c>
      <c r="AI70" s="129">
        <f t="shared" ref="AI70:AI71" si="77">E70/F70</f>
        <v>0.15353458572826437</v>
      </c>
      <c r="AK70" s="129">
        <f t="shared" ref="AK70:AK71" si="78">(AH70-AH69)/LN(AH70/AH69)</f>
        <v>0.8426295755756229</v>
      </c>
      <c r="AL70" s="129">
        <f t="shared" ref="AL70:AL71" si="79">(AI70-AI69)/LN(AI70/AI69)</f>
        <v>0.15733354400825966</v>
      </c>
      <c r="AM70" s="129">
        <f t="shared" ref="AM70:AM71" si="80">AK70+AL70</f>
        <v>0.99996311958388251</v>
      </c>
      <c r="AO70" s="129">
        <f t="shared" ref="AO70:AO71" si="81">AK70/AM70</f>
        <v>0.84266065325116069</v>
      </c>
      <c r="AP70" s="129">
        <f t="shared" ref="AP70:AP71" si="82">AL70/AM70</f>
        <v>0.15733934674883943</v>
      </c>
      <c r="AS70" s="129">
        <f t="shared" ref="AS70:AS71" si="83">LN(P70/P69)</f>
        <v>1.9493710906199432E-2</v>
      </c>
      <c r="AT70" s="129">
        <f t="shared" ref="AT70:AT71" si="84">LN(Q70/Q69)</f>
        <v>1.5391465512677487E-2</v>
      </c>
      <c r="AV70" s="129">
        <f t="shared" ref="AV70:AV71" si="85">H70/J70</f>
        <v>0.83640387275242045</v>
      </c>
      <c r="AW70" s="129">
        <f t="shared" ref="AW70:AW71" si="86">I70/J70</f>
        <v>0.16359612724757952</v>
      </c>
      <c r="AX70" s="129"/>
      <c r="AY70" s="129">
        <f t="shared" ref="AY70:AY71" si="87">LN(AV70/AV69)</f>
        <v>8.6947244245996723E-3</v>
      </c>
      <c r="AZ70" s="129">
        <f t="shared" ref="AZ70:AZ71" si="88">LN(AW70/AW69)</f>
        <v>-4.3308574892969909E-2</v>
      </c>
      <c r="BC70" s="129">
        <f t="shared" ref="BC70:BC71" si="89">LN(S70/S69)</f>
        <v>1.6719603717850326E-3</v>
      </c>
      <c r="BD70" s="129">
        <f t="shared" ref="BD70:BD71" si="90">LN(T70/T69)</f>
        <v>0</v>
      </c>
      <c r="BG70" s="129">
        <f t="shared" ref="BG70:BG71" si="91">EXP(SUMPRODUCT($AO70:$AP70,AS70:AT70))</f>
        <v>1.0190270161423653</v>
      </c>
      <c r="BH70" s="129">
        <f t="shared" ref="BH70:BH71" si="92">IF(ISERR(BG70),BH69,BG70*BH69)</f>
        <v>0.80929576844207629</v>
      </c>
      <c r="BI70" s="129">
        <f t="shared" si="53"/>
        <v>0.94774327523378588</v>
      </c>
      <c r="BJ70" s="129"/>
      <c r="BK70" s="129">
        <f t="shared" ref="BK70:BK71" si="93">EXP(SUMPRODUCT($AO70:$AP70,AY70:AZ70))</f>
        <v>1.0005126906621431</v>
      </c>
      <c r="BL70" s="129">
        <f t="shared" ref="BL70:BL71" si="94">IF(ISERR(BK70),BL69,BK70*BL69)</f>
        <v>0.98872021451700987</v>
      </c>
      <c r="BM70" s="129">
        <f t="shared" si="54"/>
        <v>1.0006340086433458</v>
      </c>
      <c r="BO70" s="129">
        <f t="shared" ref="BO70:BO71" si="95">EXP(SUMPRODUCT($AO70:$AP70,BC70:BD70))</f>
        <v>1.0014098881782381</v>
      </c>
      <c r="BP70" s="129">
        <f t="shared" ref="BP70:BP71" si="96">IF(ISERR(BO70),BP69,BO70*BP69)</f>
        <v>1.010512843461487</v>
      </c>
      <c r="BQ70" s="129">
        <f t="shared" ref="BQ70:BQ71" si="97">BP70/BP$74</f>
        <v>1.0140929683738735</v>
      </c>
    </row>
    <row r="71" spans="1:69" x14ac:dyDescent="0.2">
      <c r="A71" s="133" t="s">
        <v>664</v>
      </c>
      <c r="B71" s="133">
        <f t="shared" si="56"/>
        <v>2010</v>
      </c>
      <c r="D71" s="279">
        <f>Urban_Rail!G71</f>
        <v>78.331354000000005</v>
      </c>
      <c r="E71" s="279">
        <f>'Passenger-based Energy Use'!M68</f>
        <v>14.579850218000001</v>
      </c>
      <c r="F71" s="279">
        <f>D71+E71</f>
        <v>92.911204218000009</v>
      </c>
      <c r="H71" s="4">
        <f>Urban_Rail!L71</f>
        <v>29454</v>
      </c>
      <c r="I71" s="4">
        <f>'Passenger-based Activity'!M69</f>
        <v>6420</v>
      </c>
      <c r="J71" s="4">
        <f>H71+I71</f>
        <v>35874</v>
      </c>
      <c r="L71">
        <f t="shared" si="75"/>
        <v>2659.4470700074694</v>
      </c>
      <c r="M71">
        <f t="shared" si="75"/>
        <v>2271.0047068535828</v>
      </c>
      <c r="N71">
        <f t="shared" si="75"/>
        <v>2589.9315442381671</v>
      </c>
      <c r="P71" s="129">
        <f>Urban_Rail!AA71</f>
        <v>0.92856479572888961</v>
      </c>
      <c r="Q71" s="129">
        <f t="shared" si="27"/>
        <v>0.99954555481014051</v>
      </c>
      <c r="R71" s="129"/>
      <c r="S71" s="175">
        <f>Urban_Rail!Z71</f>
        <v>1.0173000044972933</v>
      </c>
      <c r="T71" s="141">
        <v>1</v>
      </c>
      <c r="V71" s="131">
        <f t="shared" si="28"/>
        <v>1.623551774076756</v>
      </c>
      <c r="W71" s="131">
        <f t="shared" si="29"/>
        <v>0.96005842220740389</v>
      </c>
      <c r="X71" s="131">
        <f>BM71</f>
        <v>0.99890559702760973</v>
      </c>
      <c r="Y71" s="131">
        <f>BQ71</f>
        <v>1.0141294541390842</v>
      </c>
      <c r="Z71" s="131">
        <f>BI71</f>
        <v>0.94771950485668133</v>
      </c>
      <c r="AA71" s="131">
        <f>V71*X71*Y71*Z71</f>
        <v>1.5587045545921601</v>
      </c>
      <c r="AB71" s="131">
        <f t="shared" si="34"/>
        <v>1.5587045545921618</v>
      </c>
      <c r="AC71" s="131"/>
      <c r="AD71" s="131">
        <f>X71*Y71</f>
        <v>1.0130195878500858</v>
      </c>
      <c r="AF71" s="134"/>
      <c r="AH71" s="129">
        <f t="shared" si="76"/>
        <v>0.84307758853506065</v>
      </c>
      <c r="AI71" s="129">
        <f t="shared" si="77"/>
        <v>0.15692241146493929</v>
      </c>
      <c r="AK71" s="129">
        <f t="shared" si="78"/>
        <v>0.84477036920616155</v>
      </c>
      <c r="AL71" s="129">
        <f t="shared" si="79"/>
        <v>0.15522233685879316</v>
      </c>
      <c r="AM71" s="129">
        <f t="shared" si="80"/>
        <v>0.99999270606495472</v>
      </c>
      <c r="AO71" s="129">
        <f t="shared" si="81"/>
        <v>0.84477653095130611</v>
      </c>
      <c r="AP71" s="129">
        <f t="shared" si="82"/>
        <v>0.15522346904869391</v>
      </c>
      <c r="AS71" s="129">
        <f t="shared" si="83"/>
        <v>1.2768540450197933E-2</v>
      </c>
      <c r="AT71" s="129">
        <f t="shared" si="84"/>
        <v>-6.9652126171304105E-2</v>
      </c>
      <c r="AV71" s="129">
        <f t="shared" si="85"/>
        <v>0.8210403077437699</v>
      </c>
      <c r="AW71" s="129">
        <f t="shared" si="86"/>
        <v>0.17895969225623015</v>
      </c>
      <c r="AX71" s="129"/>
      <c r="AY71" s="129">
        <f t="shared" si="87"/>
        <v>-1.8539393648008402E-2</v>
      </c>
      <c r="AZ71" s="129">
        <f t="shared" si="88"/>
        <v>8.9759845749535772E-2</v>
      </c>
      <c r="BC71" s="129">
        <f t="shared" si="89"/>
        <v>4.2588861947829903E-5</v>
      </c>
      <c r="BD71" s="129">
        <f t="shared" si="90"/>
        <v>0</v>
      </c>
      <c r="BG71" s="129">
        <f t="shared" si="91"/>
        <v>0.99997491897043678</v>
      </c>
      <c r="BH71" s="129">
        <f t="shared" si="92"/>
        <v>0.80927547047098258</v>
      </c>
      <c r="BI71" s="129">
        <f t="shared" si="53"/>
        <v>0.94771950485668133</v>
      </c>
      <c r="BJ71" s="129"/>
      <c r="BK71" s="129">
        <f t="shared" si="93"/>
        <v>0.99827268351784337</v>
      </c>
      <c r="BL71" s="129">
        <f t="shared" si="94"/>
        <v>0.98701238179423323</v>
      </c>
      <c r="BM71" s="129">
        <f t="shared" si="54"/>
        <v>0.99890559702760973</v>
      </c>
      <c r="BO71" s="129">
        <f t="shared" si="95"/>
        <v>1.000035978718272</v>
      </c>
      <c r="BP71" s="129">
        <f t="shared" si="96"/>
        <v>1.010549200418392</v>
      </c>
      <c r="BQ71" s="129">
        <f t="shared" si="97"/>
        <v>1.0141294541390842</v>
      </c>
    </row>
    <row r="72" spans="1:69" x14ac:dyDescent="0.2">
      <c r="A72" s="133" t="s">
        <v>664</v>
      </c>
      <c r="B72" s="133">
        <f t="shared" si="56"/>
        <v>2011</v>
      </c>
      <c r="D72" s="279">
        <f>Urban_Rail!G72</f>
        <v>79.925083999999998</v>
      </c>
      <c r="E72" s="279">
        <f>'Passenger-based Energy Use'!M69</f>
        <v>14.543054075000001</v>
      </c>
      <c r="F72" s="279">
        <f>D72+E72</f>
        <v>94.468138074999999</v>
      </c>
      <c r="H72" s="4">
        <f>Urban_Rail!L72</f>
        <v>30947</v>
      </c>
      <c r="I72" s="4">
        <f>'Passenger-based Activity'!M70</f>
        <v>6670</v>
      </c>
      <c r="J72" s="4">
        <f>H72+I72</f>
        <v>37617</v>
      </c>
      <c r="L72">
        <f t="shared" ref="L72" si="98">D72/H72*1000000</f>
        <v>2582.6440042653571</v>
      </c>
      <c r="M72">
        <f t="shared" ref="M72" si="99">E72/I72*1000000</f>
        <v>2180.3679272863569</v>
      </c>
      <c r="N72">
        <f t="shared" ref="N72" si="100">F72/J72*1000000</f>
        <v>2511.3150457240076</v>
      </c>
      <c r="P72" s="129">
        <f>Urban_Rail!AA72</f>
        <v>0.90288989069933756</v>
      </c>
      <c r="Q72" s="129">
        <f t="shared" si="27"/>
        <v>0.95965325963112924</v>
      </c>
      <c r="R72" s="129"/>
      <c r="S72" s="175">
        <f>Urban_Rail!Z72</f>
        <v>1.0160139379039428</v>
      </c>
      <c r="T72" s="141">
        <v>1</v>
      </c>
      <c r="V72" s="131">
        <f t="shared" si="28"/>
        <v>1.702434829833454</v>
      </c>
      <c r="W72" s="131">
        <f t="shared" si="29"/>
        <v>0.93091617260204751</v>
      </c>
      <c r="X72" s="131">
        <f>BM72</f>
        <v>0.99916065782603181</v>
      </c>
      <c r="Y72" s="131">
        <f>BQ72</f>
        <v>1.0130465604932386</v>
      </c>
      <c r="Z72" s="131">
        <f>BI72</f>
        <v>0.91969927396968687</v>
      </c>
      <c r="AA72" s="131">
        <f>V72*X72*Y72*Z72</f>
        <v>1.5848241158929759</v>
      </c>
      <c r="AB72" s="131">
        <f t="shared" si="34"/>
        <v>1.5848241158929772</v>
      </c>
      <c r="AC72" s="131"/>
      <c r="AD72" s="131">
        <f>X72*Y72</f>
        <v>1.0121962677908232</v>
      </c>
      <c r="AF72" s="134"/>
      <c r="AH72" s="129">
        <f t="shared" ref="AH72" si="101">D72/F72</f>
        <v>0.84605334273176847</v>
      </c>
      <c r="AI72" s="129">
        <f t="shared" ref="AI72" si="102">E72/F72</f>
        <v>0.15394665726823156</v>
      </c>
      <c r="AK72" s="129">
        <f t="shared" ref="AK72" si="103">(AH72-AH71)/LN(AH72/AH71)</f>
        <v>0.84456459189806177</v>
      </c>
      <c r="AL72" s="129">
        <f t="shared" ref="AL72" si="104">(AI72-AI71)/LN(AI72/AI71)</f>
        <v>0.15542978674649205</v>
      </c>
      <c r="AM72" s="129">
        <f t="shared" ref="AM72" si="105">AK72+AL72</f>
        <v>0.99999437864455376</v>
      </c>
      <c r="AO72" s="129">
        <f t="shared" ref="AO72" si="106">AK72/AM72</f>
        <v>0.84456933952251823</v>
      </c>
      <c r="AP72" s="129">
        <f t="shared" ref="AP72" si="107">AL72/AM72</f>
        <v>0.15543066047748183</v>
      </c>
      <c r="AS72" s="129">
        <f t="shared" ref="AS72" si="108">LN(P72/P71)</f>
        <v>-2.8039554969704065E-2</v>
      </c>
      <c r="AT72" s="129">
        <f t="shared" ref="AT72" si="109">LN(Q72/Q71)</f>
        <v>-4.0728699167180589E-2</v>
      </c>
      <c r="AV72" s="129">
        <f t="shared" ref="AV72" si="110">H72/J72</f>
        <v>0.82268655129329826</v>
      </c>
      <c r="AW72" s="129">
        <f t="shared" ref="AW72" si="111">I72/J72</f>
        <v>0.17731344870670177</v>
      </c>
      <c r="AX72" s="129"/>
      <c r="AY72" s="129">
        <f t="shared" ref="AY72" si="112">LN(AV72/AV71)</f>
        <v>2.0030628457609135E-3</v>
      </c>
      <c r="AZ72" s="129">
        <f t="shared" ref="AZ72" si="113">LN(AW72/AW71)</f>
        <v>-9.241534524025586E-3</v>
      </c>
      <c r="BC72" s="129">
        <f t="shared" ref="BC72" si="114">LN(S72/S71)</f>
        <v>-1.2649957667926909E-3</v>
      </c>
      <c r="BD72" s="129">
        <f t="shared" ref="BD72" si="115">LN(T72/T71)</f>
        <v>0</v>
      </c>
      <c r="BG72" s="129">
        <f t="shared" ref="BG72" si="116">EXP(SUMPRODUCT($AO72:$AP72,AS72:AT72))</f>
        <v>0.97043404642048414</v>
      </c>
      <c r="BH72" s="129">
        <f t="shared" ref="BH72" si="117">IF(ISERR(BG72),BH71,BG72*BH71)</f>
        <v>0.78534846947799664</v>
      </c>
      <c r="BI72" s="129">
        <f t="shared" si="53"/>
        <v>0.91969927396968687</v>
      </c>
      <c r="BJ72" s="129"/>
      <c r="BK72" s="129">
        <f t="shared" ref="BK72" si="118">EXP(SUMPRODUCT($AO72:$AP72,AY72:AZ72))</f>
        <v>1.0002553402435435</v>
      </c>
      <c r="BL72" s="129">
        <f t="shared" ref="BL72" si="119">IF(ISERR(BK72),BL71,BK72*BL71)</f>
        <v>0.98726440577618102</v>
      </c>
      <c r="BM72" s="129">
        <f t="shared" si="54"/>
        <v>0.99916065782603181</v>
      </c>
      <c r="BO72" s="129">
        <f t="shared" ref="BO72" si="120">EXP(SUMPRODUCT($AO72:$AP72,BC72:BD72))</f>
        <v>0.99893219387187104</v>
      </c>
      <c r="BP72" s="129">
        <f t="shared" ref="BP72" si="121">IF(ISERR(BO72),BP71,BO72*BP71)</f>
        <v>1.0094701297894095</v>
      </c>
      <c r="BQ72" s="129">
        <f t="shared" ref="BQ72" si="122">BP72/BP$74</f>
        <v>1.0130465604932386</v>
      </c>
    </row>
    <row r="73" spans="1:69" hidden="1" x14ac:dyDescent="0.2">
      <c r="A73" s="133"/>
      <c r="B73" s="133"/>
      <c r="AF73" s="134"/>
      <c r="BG73" s="129"/>
      <c r="BH73" s="129"/>
      <c r="BI73" s="129"/>
      <c r="BJ73" s="129"/>
      <c r="BK73" s="129"/>
      <c r="BL73" s="129"/>
      <c r="BM73" s="129"/>
    </row>
    <row r="74" spans="1:69" hidden="1" x14ac:dyDescent="0.2">
      <c r="A74" s="133" t="s">
        <v>684</v>
      </c>
      <c r="B74" s="133">
        <f>Base_year</f>
        <v>1985</v>
      </c>
      <c r="E74" s="129">
        <f>INDEX(E10:E71,Base_row,0)</f>
        <v>10.871698113207547</v>
      </c>
      <c r="F74" s="129">
        <f>INDEX(F10:F71,Base_row,0)</f>
        <v>59.607963513207551</v>
      </c>
      <c r="I74" s="138">
        <f>INDEX(I10:I71,Base_row,0)</f>
        <v>4785</v>
      </c>
      <c r="J74" s="138">
        <f>INDEX(J10:J71,Base_row,0)</f>
        <v>22096</v>
      </c>
      <c r="L74" s="129">
        <f>INDEX(L10:L71,Base_row,0)</f>
        <v>2815.3350701865866</v>
      </c>
      <c r="M74" s="129">
        <f>INDEX(M10:M71,Base_row,0)</f>
        <v>2272.0372232408663</v>
      </c>
      <c r="N74" s="129">
        <f>INDEX(N10:N71,Base_row,0)</f>
        <v>2697.6811872378507</v>
      </c>
      <c r="AF74" s="134"/>
      <c r="BG74" s="129"/>
      <c r="BH74" s="129">
        <f>INDEX(BH10:BH71,Base_row,1)</f>
        <v>0.85391876639002495</v>
      </c>
      <c r="BI74" s="129"/>
      <c r="BJ74" s="129"/>
      <c r="BK74" s="129"/>
      <c r="BL74" s="129">
        <f>INDEX(BL10:BL71,Base_row,1)</f>
        <v>0.98809375453619785</v>
      </c>
      <c r="BM74" s="129"/>
      <c r="BP74">
        <f>INDEX(BP10:BP71,Base_row,1)</f>
        <v>0.9964696285014899</v>
      </c>
    </row>
    <row r="75" spans="1:69" hidden="1" x14ac:dyDescent="0.2">
      <c r="A75" s="133" t="s">
        <v>683</v>
      </c>
      <c r="B75" s="133">
        <f>Base_year2</f>
        <v>1996</v>
      </c>
      <c r="J75" s="138">
        <f>INDEX(J10:J71,Base_row2,0)</f>
        <v>25888</v>
      </c>
      <c r="L75" s="129">
        <f>INDEX(L10:L71,Base_row2,0)</f>
        <v>2847.090776466071</v>
      </c>
      <c r="M75" s="129">
        <f>INDEX(M10:M71,Base_row2,0)</f>
        <v>2699.1581764356433</v>
      </c>
      <c r="N75" s="129">
        <f>INDEX(N10:N71,Base_row2,0)</f>
        <v>2818.2334050911613</v>
      </c>
      <c r="AF75" s="134"/>
    </row>
    <row r="76" spans="1:69" x14ac:dyDescent="0.2">
      <c r="A76" s="133"/>
      <c r="B76" s="133"/>
      <c r="AF76" s="134"/>
    </row>
    <row r="77" spans="1:69" x14ac:dyDescent="0.2">
      <c r="A77" s="133"/>
      <c r="B77" s="133"/>
      <c r="AF77" s="134"/>
    </row>
    <row r="78" spans="1:69" x14ac:dyDescent="0.2">
      <c r="A78" s="133"/>
      <c r="B78" s="133"/>
      <c r="AF78" s="134"/>
    </row>
    <row r="79" spans="1:69" x14ac:dyDescent="0.2">
      <c r="A79" s="133"/>
      <c r="B79" s="133"/>
      <c r="AF79" s="134"/>
    </row>
    <row r="80" spans="1:69" x14ac:dyDescent="0.2">
      <c r="A80" s="133"/>
      <c r="B80" s="133"/>
      <c r="AF80" s="134"/>
    </row>
    <row r="81" spans="1:32" x14ac:dyDescent="0.2">
      <c r="A81" s="133"/>
      <c r="B81" s="133"/>
      <c r="AF81" s="134"/>
    </row>
    <row r="82" spans="1:32" x14ac:dyDescent="0.2">
      <c r="A82" s="133"/>
      <c r="B82" s="133"/>
      <c r="AF82" s="134"/>
    </row>
    <row r="83" spans="1:32" x14ac:dyDescent="0.2">
      <c r="A83" s="133"/>
      <c r="B83" s="133"/>
      <c r="AF83" s="134"/>
    </row>
    <row r="84" spans="1:32" x14ac:dyDescent="0.2">
      <c r="A84" s="133"/>
      <c r="B84" s="133"/>
      <c r="AF84" s="134"/>
    </row>
    <row r="85" spans="1:32" x14ac:dyDescent="0.2">
      <c r="A85" s="133"/>
      <c r="B85" s="133"/>
      <c r="AF85" s="134"/>
    </row>
    <row r="86" spans="1:32" x14ac:dyDescent="0.2">
      <c r="A86" s="133"/>
      <c r="B86" s="133"/>
      <c r="AF86" s="134"/>
    </row>
    <row r="87" spans="1:32" x14ac:dyDescent="0.2">
      <c r="A87" s="133"/>
      <c r="B87" s="133"/>
      <c r="AF87" s="134"/>
    </row>
    <row r="88" spans="1:32" x14ac:dyDescent="0.2">
      <c r="A88" s="133"/>
      <c r="B88" s="133"/>
      <c r="AF88" s="134"/>
    </row>
    <row r="89" spans="1:32" x14ac:dyDescent="0.2">
      <c r="A89" s="133"/>
      <c r="B89" s="133"/>
      <c r="AF89" s="134"/>
    </row>
    <row r="90" spans="1:32" x14ac:dyDescent="0.2">
      <c r="A90" s="133"/>
      <c r="B90" s="133"/>
      <c r="AF90" s="134"/>
    </row>
    <row r="91" spans="1:32" x14ac:dyDescent="0.2">
      <c r="A91" s="133"/>
      <c r="B91" s="133"/>
      <c r="AF91" s="134"/>
    </row>
    <row r="92" spans="1:32" x14ac:dyDescent="0.2">
      <c r="A92" s="133"/>
      <c r="B92" s="133"/>
      <c r="AF92" s="134"/>
    </row>
    <row r="93" spans="1:32" x14ac:dyDescent="0.2">
      <c r="A93" s="133"/>
      <c r="B93" s="133"/>
      <c r="AF93" s="134"/>
    </row>
    <row r="94" spans="1:32" x14ac:dyDescent="0.2">
      <c r="A94" s="133"/>
      <c r="B94" s="133"/>
      <c r="AF94" s="134"/>
    </row>
    <row r="95" spans="1:32" x14ac:dyDescent="0.2">
      <c r="A95" s="133"/>
      <c r="B95" s="133"/>
      <c r="AF95" s="134"/>
    </row>
    <row r="96" spans="1:32" x14ac:dyDescent="0.2">
      <c r="A96" s="133"/>
      <c r="B96" s="133"/>
      <c r="AF96" s="134"/>
    </row>
    <row r="97" spans="1:32" x14ac:dyDescent="0.2">
      <c r="A97" s="133"/>
      <c r="B97" s="133"/>
      <c r="AF97" s="134"/>
    </row>
    <row r="98" spans="1:32" x14ac:dyDescent="0.2">
      <c r="A98" s="133"/>
      <c r="B98" s="133"/>
      <c r="AF98" s="134"/>
    </row>
    <row r="99" spans="1:32" x14ac:dyDescent="0.2">
      <c r="A99" s="133"/>
      <c r="B99" s="133"/>
      <c r="AF99" s="134"/>
    </row>
    <row r="100" spans="1:32" x14ac:dyDescent="0.2">
      <c r="A100" s="133"/>
      <c r="B100" s="133"/>
      <c r="AF100" s="134"/>
    </row>
    <row r="101" spans="1:32" x14ac:dyDescent="0.2">
      <c r="A101" s="133"/>
      <c r="B101" s="133"/>
      <c r="AF101" s="134"/>
    </row>
    <row r="102" spans="1:32" x14ac:dyDescent="0.2">
      <c r="A102" s="133"/>
      <c r="B102" s="133"/>
      <c r="AF102" s="134"/>
    </row>
    <row r="103" spans="1:32" x14ac:dyDescent="0.2">
      <c r="A103" s="133"/>
      <c r="B103" s="133"/>
      <c r="AF103" s="134"/>
    </row>
    <row r="104" spans="1:32" x14ac:dyDescent="0.2">
      <c r="A104" s="133"/>
      <c r="B104" s="133"/>
      <c r="AF104" s="134"/>
    </row>
    <row r="105" spans="1:32" x14ac:dyDescent="0.2">
      <c r="A105" s="133"/>
      <c r="B105" s="133"/>
      <c r="AF105" s="134"/>
    </row>
    <row r="106" spans="1:32" x14ac:dyDescent="0.2">
      <c r="A106" s="133"/>
      <c r="B106" s="133"/>
      <c r="AF106" s="134"/>
    </row>
    <row r="107" spans="1:32" x14ac:dyDescent="0.2">
      <c r="A107" s="133"/>
      <c r="B107" s="133"/>
      <c r="AF107" s="134"/>
    </row>
    <row r="108" spans="1:32" x14ac:dyDescent="0.2">
      <c r="A108" s="133"/>
      <c r="B108" s="133"/>
      <c r="AF108" s="134"/>
    </row>
    <row r="109" spans="1:32" x14ac:dyDescent="0.2">
      <c r="A109" s="133"/>
      <c r="B109" s="133"/>
      <c r="AF109" s="134"/>
    </row>
    <row r="110" spans="1:32" x14ac:dyDescent="0.2">
      <c r="A110" s="133"/>
      <c r="B110" s="133"/>
      <c r="AF110" s="134"/>
    </row>
    <row r="111" spans="1:32" x14ac:dyDescent="0.2">
      <c r="A111" s="133"/>
      <c r="B111" s="133"/>
      <c r="AF111" s="134"/>
    </row>
    <row r="112" spans="1:32" x14ac:dyDescent="0.2">
      <c r="A112" s="133"/>
      <c r="B112" s="133"/>
      <c r="AF112" s="134"/>
    </row>
    <row r="113" spans="1:32" x14ac:dyDescent="0.2">
      <c r="A113" s="133"/>
      <c r="B113" s="133"/>
      <c r="AF113" s="134"/>
    </row>
    <row r="114" spans="1:32" x14ac:dyDescent="0.2">
      <c r="A114" s="133"/>
      <c r="B114" s="133"/>
      <c r="AF114" s="134"/>
    </row>
    <row r="115" spans="1:32" x14ac:dyDescent="0.2">
      <c r="A115" s="133"/>
      <c r="B115" s="133"/>
      <c r="AF115" s="134"/>
    </row>
    <row r="116" spans="1:32" x14ac:dyDescent="0.2">
      <c r="A116" s="133"/>
      <c r="B116" s="133"/>
      <c r="AF116" s="134"/>
    </row>
    <row r="117" spans="1:32" x14ac:dyDescent="0.2">
      <c r="A117" s="133"/>
      <c r="B117" s="133"/>
      <c r="AF117" s="134"/>
    </row>
    <row r="118" spans="1:32" x14ac:dyDescent="0.2">
      <c r="A118" s="133"/>
      <c r="B118" s="133"/>
      <c r="AF118" s="134"/>
    </row>
    <row r="119" spans="1:32" x14ac:dyDescent="0.2">
      <c r="A119" s="133"/>
      <c r="B119" s="133"/>
      <c r="AF119" s="134"/>
    </row>
    <row r="120" spans="1:32" x14ac:dyDescent="0.2">
      <c r="A120" s="133"/>
      <c r="B120" s="133"/>
      <c r="AF120" s="134"/>
    </row>
    <row r="121" spans="1:32" x14ac:dyDescent="0.2">
      <c r="A121" s="133"/>
      <c r="B121" s="133"/>
      <c r="AF121" s="134"/>
    </row>
    <row r="122" spans="1:32" x14ac:dyDescent="0.2">
      <c r="A122" s="133"/>
      <c r="B122" s="133"/>
      <c r="AF122" s="134"/>
    </row>
    <row r="123" spans="1:32" x14ac:dyDescent="0.2">
      <c r="A123" s="133"/>
      <c r="B123" s="133"/>
      <c r="AF123" s="134"/>
    </row>
    <row r="124" spans="1:32" x14ac:dyDescent="0.2">
      <c r="A124" s="133"/>
      <c r="B124" s="133"/>
      <c r="AF124" s="134"/>
    </row>
    <row r="125" spans="1:32" x14ac:dyDescent="0.2">
      <c r="A125" s="133"/>
      <c r="B125" s="133"/>
      <c r="AF125" s="134"/>
    </row>
    <row r="126" spans="1:32" x14ac:dyDescent="0.2">
      <c r="A126" s="133"/>
      <c r="B126" s="133"/>
      <c r="AF126" s="134"/>
    </row>
    <row r="127" spans="1:32" x14ac:dyDescent="0.2">
      <c r="A127" s="133"/>
      <c r="B127" s="133"/>
      <c r="AF127" s="134"/>
    </row>
    <row r="128" spans="1:32" x14ac:dyDescent="0.2">
      <c r="A128" s="133"/>
      <c r="B128" s="133"/>
      <c r="AF128" s="134"/>
    </row>
    <row r="129" spans="1:32" x14ac:dyDescent="0.2">
      <c r="A129" s="133"/>
      <c r="B129" s="133"/>
      <c r="AF129" s="134"/>
    </row>
    <row r="130" spans="1:32" x14ac:dyDescent="0.2">
      <c r="A130" s="133"/>
      <c r="B130" s="133"/>
      <c r="AF130" s="134"/>
    </row>
    <row r="131" spans="1:32" x14ac:dyDescent="0.2">
      <c r="A131" s="133"/>
      <c r="B131" s="133"/>
      <c r="AF131" s="134"/>
    </row>
    <row r="132" spans="1:32" x14ac:dyDescent="0.2">
      <c r="A132" s="133"/>
      <c r="B132" s="133"/>
      <c r="AF132" s="134"/>
    </row>
    <row r="133" spans="1:32" x14ac:dyDescent="0.2">
      <c r="A133" s="133"/>
      <c r="B133" s="133"/>
      <c r="AF133" s="134"/>
    </row>
    <row r="134" spans="1:32" x14ac:dyDescent="0.2">
      <c r="A134" s="133"/>
      <c r="B134" s="133"/>
      <c r="AF134" s="134"/>
    </row>
    <row r="135" spans="1:32" x14ac:dyDescent="0.2">
      <c r="A135" s="133"/>
      <c r="B135" s="133"/>
      <c r="AF135" s="134"/>
    </row>
    <row r="136" spans="1:32" x14ac:dyDescent="0.2">
      <c r="A136" s="133"/>
      <c r="B136" s="133"/>
      <c r="AF136" s="134"/>
    </row>
    <row r="137" spans="1:32" x14ac:dyDescent="0.2">
      <c r="A137" s="133"/>
      <c r="B137" s="133"/>
      <c r="AF137" s="134"/>
    </row>
    <row r="138" spans="1:32" x14ac:dyDescent="0.2">
      <c r="A138" s="133"/>
      <c r="B138" s="133"/>
      <c r="AF138" s="134"/>
    </row>
    <row r="139" spans="1:32" x14ac:dyDescent="0.2">
      <c r="A139" s="133"/>
      <c r="B139" s="133"/>
      <c r="AF139" s="134"/>
    </row>
    <row r="140" spans="1:32" x14ac:dyDescent="0.2">
      <c r="A140" s="133"/>
      <c r="B140" s="133"/>
      <c r="AF140" s="134"/>
    </row>
    <row r="141" spans="1:32" x14ac:dyDescent="0.2">
      <c r="A141" s="133"/>
      <c r="B141" s="133"/>
      <c r="AF141" s="134"/>
    </row>
    <row r="142" spans="1:32" x14ac:dyDescent="0.2">
      <c r="A142" s="133"/>
      <c r="B142" s="133"/>
      <c r="AF142" s="134"/>
    </row>
    <row r="143" spans="1:32" x14ac:dyDescent="0.2">
      <c r="A143" s="133"/>
      <c r="B143" s="133"/>
      <c r="AF143" s="134"/>
    </row>
    <row r="144" spans="1:32" x14ac:dyDescent="0.2">
      <c r="A144" s="133"/>
      <c r="B144" s="133"/>
      <c r="AF144" s="134"/>
    </row>
    <row r="145" spans="1:32" x14ac:dyDescent="0.2">
      <c r="A145" s="133"/>
      <c r="B145" s="133"/>
      <c r="AF145" s="134"/>
    </row>
    <row r="146" spans="1:32" x14ac:dyDescent="0.2">
      <c r="A146" s="133"/>
      <c r="B146" s="133"/>
      <c r="AF146" s="134"/>
    </row>
    <row r="147" spans="1:32" x14ac:dyDescent="0.2">
      <c r="A147" s="133"/>
      <c r="B147" s="133"/>
      <c r="AF147" s="134"/>
    </row>
    <row r="148" spans="1:32" x14ac:dyDescent="0.2">
      <c r="A148" s="133"/>
      <c r="B148" s="133"/>
      <c r="AF148" s="134"/>
    </row>
    <row r="149" spans="1:32" x14ac:dyDescent="0.2">
      <c r="A149" s="133"/>
      <c r="B149" s="133"/>
      <c r="AF149" s="134"/>
    </row>
    <row r="150" spans="1:32" x14ac:dyDescent="0.2">
      <c r="A150" s="133"/>
      <c r="B150" s="133"/>
      <c r="AF150" s="134"/>
    </row>
    <row r="151" spans="1:32" x14ac:dyDescent="0.2">
      <c r="A151" s="133"/>
      <c r="B151" s="133"/>
      <c r="AF151" s="134"/>
    </row>
    <row r="152" spans="1:32" x14ac:dyDescent="0.2">
      <c r="A152" s="133"/>
      <c r="B152" s="133"/>
      <c r="AF152" s="134"/>
    </row>
    <row r="153" spans="1:32" x14ac:dyDescent="0.2">
      <c r="A153" s="133"/>
      <c r="B153" s="133"/>
      <c r="AF153" s="134"/>
    </row>
    <row r="154" spans="1:32" x14ac:dyDescent="0.2">
      <c r="A154" s="133"/>
      <c r="B154" s="133"/>
      <c r="AF154" s="134"/>
    </row>
    <row r="155" spans="1:32" x14ac:dyDescent="0.2">
      <c r="A155" s="133"/>
      <c r="B155" s="133"/>
      <c r="AF155" s="134"/>
    </row>
    <row r="156" spans="1:32" x14ac:dyDescent="0.2">
      <c r="A156" s="133"/>
      <c r="B156" s="133"/>
      <c r="AF156" s="134"/>
    </row>
    <row r="157" spans="1:32" x14ac:dyDescent="0.2">
      <c r="A157" s="133"/>
      <c r="B157" s="133"/>
      <c r="AF157" s="134"/>
    </row>
    <row r="158" spans="1:32" x14ac:dyDescent="0.2">
      <c r="A158" s="133"/>
      <c r="B158" s="133"/>
      <c r="AF158" s="134"/>
    </row>
    <row r="159" spans="1:32" x14ac:dyDescent="0.2">
      <c r="A159" s="133"/>
      <c r="B159" s="133"/>
      <c r="AF159" s="134"/>
    </row>
    <row r="160" spans="1:32" x14ac:dyDescent="0.2">
      <c r="A160" s="133"/>
      <c r="B160" s="133"/>
      <c r="AF160" s="134"/>
    </row>
    <row r="161" spans="1:32" x14ac:dyDescent="0.2">
      <c r="A161" s="133"/>
      <c r="B161" s="133"/>
      <c r="AF161" s="134"/>
    </row>
    <row r="162" spans="1:32" x14ac:dyDescent="0.2">
      <c r="A162" s="133"/>
      <c r="B162" s="133"/>
      <c r="AF162" s="134"/>
    </row>
    <row r="163" spans="1:32" x14ac:dyDescent="0.2">
      <c r="A163" s="133"/>
      <c r="B163" s="133"/>
      <c r="AF163" s="134"/>
    </row>
    <row r="164" spans="1:32" x14ac:dyDescent="0.2">
      <c r="A164" s="133"/>
      <c r="B164" s="133"/>
      <c r="AF164" s="134"/>
    </row>
    <row r="165" spans="1:32" x14ac:dyDescent="0.2">
      <c r="A165" s="133"/>
      <c r="B165" s="133"/>
      <c r="AF165" s="134"/>
    </row>
    <row r="166" spans="1:32" x14ac:dyDescent="0.2">
      <c r="A166" s="133"/>
      <c r="B166" s="133"/>
      <c r="AF166" s="134"/>
    </row>
    <row r="167" spans="1:32" x14ac:dyDescent="0.2">
      <c r="A167" s="133"/>
      <c r="B167" s="133"/>
      <c r="AF167" s="134"/>
    </row>
    <row r="168" spans="1:32" x14ac:dyDescent="0.2">
      <c r="A168" s="133"/>
      <c r="B168" s="133"/>
      <c r="AF168" s="134"/>
    </row>
    <row r="169" spans="1:32" x14ac:dyDescent="0.2">
      <c r="A169" s="133"/>
      <c r="B169" s="133"/>
      <c r="AF169" s="134"/>
    </row>
    <row r="170" spans="1:32" x14ac:dyDescent="0.2">
      <c r="A170" s="133"/>
      <c r="B170" s="133"/>
      <c r="AF170" s="134"/>
    </row>
    <row r="171" spans="1:32" x14ac:dyDescent="0.2">
      <c r="A171" s="133"/>
      <c r="B171" s="133"/>
      <c r="AF171" s="134"/>
    </row>
    <row r="172" spans="1:32" x14ac:dyDescent="0.2">
      <c r="A172" s="133"/>
      <c r="B172" s="133"/>
      <c r="AF172" s="134"/>
    </row>
    <row r="173" spans="1:32" x14ac:dyDescent="0.2">
      <c r="A173" s="133"/>
      <c r="B173" s="133"/>
      <c r="AF173" s="134"/>
    </row>
    <row r="174" spans="1:32" x14ac:dyDescent="0.2">
      <c r="A174" s="133"/>
      <c r="B174" s="133"/>
      <c r="AF174" s="134"/>
    </row>
    <row r="175" spans="1:32" x14ac:dyDescent="0.2">
      <c r="A175" s="133"/>
      <c r="B175" s="133"/>
      <c r="AF175" s="134"/>
    </row>
    <row r="176" spans="1:32" x14ac:dyDescent="0.2">
      <c r="A176" s="133"/>
      <c r="B176" s="133"/>
      <c r="AF176" s="134"/>
    </row>
    <row r="177" spans="1:32" x14ac:dyDescent="0.2">
      <c r="A177" s="133"/>
      <c r="B177" s="133"/>
      <c r="AF177" s="134"/>
    </row>
    <row r="178" spans="1:32" x14ac:dyDescent="0.2">
      <c r="A178" s="133"/>
      <c r="B178" s="133"/>
      <c r="AF178" s="134"/>
    </row>
    <row r="179" spans="1:32" x14ac:dyDescent="0.2">
      <c r="A179" s="133"/>
      <c r="B179" s="133"/>
      <c r="AF179" s="134"/>
    </row>
    <row r="180" spans="1:32" x14ac:dyDescent="0.2">
      <c r="A180" s="133"/>
      <c r="B180" s="133"/>
      <c r="AF180" s="134"/>
    </row>
    <row r="181" spans="1:32" x14ac:dyDescent="0.2">
      <c r="A181" s="133"/>
      <c r="B181" s="133"/>
      <c r="AF181" s="134"/>
    </row>
    <row r="182" spans="1:32" x14ac:dyDescent="0.2">
      <c r="A182" s="133"/>
      <c r="B182" s="133"/>
      <c r="AF182" s="134"/>
    </row>
    <row r="183" spans="1:32" x14ac:dyDescent="0.2">
      <c r="A183" s="133"/>
      <c r="B183" s="133"/>
      <c r="AF183" s="134"/>
    </row>
    <row r="184" spans="1:32" x14ac:dyDescent="0.2">
      <c r="A184" s="133"/>
      <c r="B184" s="133"/>
      <c r="AF184" s="134"/>
    </row>
    <row r="185" spans="1:32" x14ac:dyDescent="0.2">
      <c r="A185" s="133"/>
      <c r="B185" s="133"/>
      <c r="AF185" s="134"/>
    </row>
    <row r="186" spans="1:32" x14ac:dyDescent="0.2">
      <c r="A186" s="133"/>
      <c r="B186" s="133"/>
      <c r="AF186" s="134"/>
    </row>
    <row r="187" spans="1:32" x14ac:dyDescent="0.2">
      <c r="A187" s="133"/>
      <c r="B187" s="133"/>
      <c r="AF187" s="134"/>
    </row>
    <row r="188" spans="1:32" x14ac:dyDescent="0.2">
      <c r="A188" s="133"/>
      <c r="B188" s="133"/>
      <c r="AF188" s="134"/>
    </row>
    <row r="189" spans="1:32" x14ac:dyDescent="0.2">
      <c r="A189" s="133"/>
      <c r="B189" s="133"/>
      <c r="AF189" s="134"/>
    </row>
    <row r="190" spans="1:32" x14ac:dyDescent="0.2">
      <c r="A190" s="133"/>
      <c r="B190" s="133"/>
      <c r="AF190" s="134"/>
    </row>
    <row r="191" spans="1:32" x14ac:dyDescent="0.2">
      <c r="A191" s="133"/>
      <c r="B191" s="133"/>
      <c r="AF191" s="134"/>
    </row>
    <row r="192" spans="1:32" x14ac:dyDescent="0.2">
      <c r="A192" s="133"/>
      <c r="B192" s="133"/>
      <c r="AF192" s="134"/>
    </row>
    <row r="193" spans="1:32" x14ac:dyDescent="0.2">
      <c r="A193" s="133"/>
      <c r="B193" s="133"/>
      <c r="AF193" s="134"/>
    </row>
    <row r="194" spans="1:32" x14ac:dyDescent="0.2">
      <c r="A194" s="133"/>
      <c r="B194" s="133"/>
      <c r="AF194" s="134"/>
    </row>
    <row r="195" spans="1:32" x14ac:dyDescent="0.2">
      <c r="A195" s="133"/>
      <c r="B195" s="133"/>
      <c r="AF195" s="134"/>
    </row>
    <row r="196" spans="1:32" x14ac:dyDescent="0.2">
      <c r="A196" s="133"/>
      <c r="B196" s="133"/>
      <c r="AF196" s="134"/>
    </row>
    <row r="197" spans="1:32" x14ac:dyDescent="0.2">
      <c r="A197" s="133"/>
      <c r="B197" s="133"/>
      <c r="AF197" s="134"/>
    </row>
    <row r="198" spans="1:32" x14ac:dyDescent="0.2">
      <c r="A198" s="133"/>
      <c r="B198" s="133"/>
      <c r="AF198" s="134"/>
    </row>
    <row r="199" spans="1:32" x14ac:dyDescent="0.2">
      <c r="A199" s="133"/>
      <c r="B199" s="133"/>
      <c r="AF199" s="134"/>
    </row>
    <row r="200" spans="1:32" x14ac:dyDescent="0.2">
      <c r="A200" s="133"/>
      <c r="B200" s="133"/>
      <c r="AF200" s="134"/>
    </row>
    <row r="201" spans="1:32" x14ac:dyDescent="0.2">
      <c r="A201" s="133"/>
      <c r="B201" s="133"/>
      <c r="AF201" s="134"/>
    </row>
    <row r="202" spans="1:32" x14ac:dyDescent="0.2">
      <c r="A202" s="133"/>
      <c r="B202" s="133"/>
      <c r="AF202" s="134"/>
    </row>
    <row r="203" spans="1:32" x14ac:dyDescent="0.2">
      <c r="A203" s="133"/>
      <c r="B203" s="133"/>
      <c r="AF203" s="134"/>
    </row>
    <row r="204" spans="1:32" x14ac:dyDescent="0.2">
      <c r="A204" s="133"/>
      <c r="B204" s="133"/>
      <c r="AF204" s="134"/>
    </row>
    <row r="205" spans="1:32" x14ac:dyDescent="0.2">
      <c r="A205" s="133"/>
      <c r="B205" s="133"/>
      <c r="AF205" s="134"/>
    </row>
    <row r="206" spans="1:32" x14ac:dyDescent="0.2">
      <c r="A206" s="133"/>
      <c r="B206" s="133"/>
      <c r="AF206" s="134"/>
    </row>
    <row r="207" spans="1:32" x14ac:dyDescent="0.2">
      <c r="A207" s="133"/>
      <c r="B207" s="133"/>
      <c r="AF207" s="134"/>
    </row>
    <row r="208" spans="1:32" x14ac:dyDescent="0.2">
      <c r="A208" s="133"/>
      <c r="B208" s="133"/>
      <c r="AF208" s="134"/>
    </row>
    <row r="209" spans="1:32" x14ac:dyDescent="0.2">
      <c r="A209" s="133"/>
      <c r="B209" s="133"/>
      <c r="AF209" s="134"/>
    </row>
    <row r="210" spans="1:32" x14ac:dyDescent="0.2">
      <c r="A210" s="133"/>
      <c r="B210" s="133"/>
      <c r="AF210" s="134"/>
    </row>
    <row r="211" spans="1:32" x14ac:dyDescent="0.2">
      <c r="A211" s="133"/>
      <c r="B211" s="133"/>
      <c r="AF211" s="134"/>
    </row>
    <row r="212" spans="1:32" x14ac:dyDescent="0.2">
      <c r="A212" s="133"/>
      <c r="B212" s="133"/>
      <c r="AF212" s="134"/>
    </row>
    <row r="213" spans="1:32" x14ac:dyDescent="0.2">
      <c r="A213" s="133"/>
      <c r="B213" s="133"/>
      <c r="AF213" s="134"/>
    </row>
    <row r="214" spans="1:32" x14ac:dyDescent="0.2">
      <c r="A214" s="133"/>
      <c r="B214" s="133"/>
      <c r="AF214" s="134"/>
    </row>
    <row r="215" spans="1:32" x14ac:dyDescent="0.2">
      <c r="A215" s="133"/>
      <c r="B215" s="133"/>
      <c r="AF215" s="134"/>
    </row>
    <row r="216" spans="1:32" x14ac:dyDescent="0.2">
      <c r="A216" s="133"/>
      <c r="B216" s="133"/>
      <c r="AF216" s="134"/>
    </row>
    <row r="217" spans="1:32" x14ac:dyDescent="0.2">
      <c r="A217" s="133"/>
      <c r="B217" s="133"/>
      <c r="AF217" s="134"/>
    </row>
    <row r="218" spans="1:32" x14ac:dyDescent="0.2">
      <c r="A218" s="133"/>
      <c r="B218" s="133"/>
      <c r="AF218" s="134"/>
    </row>
    <row r="219" spans="1:32" x14ac:dyDescent="0.2">
      <c r="A219" s="133"/>
      <c r="B219" s="133"/>
      <c r="AF219" s="134"/>
    </row>
    <row r="220" spans="1:32" x14ac:dyDescent="0.2">
      <c r="A220" s="133"/>
      <c r="B220" s="133"/>
      <c r="AF220" s="134"/>
    </row>
    <row r="221" spans="1:32" x14ac:dyDescent="0.2">
      <c r="A221" s="133"/>
      <c r="B221" s="133"/>
      <c r="AF221" s="134"/>
    </row>
    <row r="222" spans="1:32" x14ac:dyDescent="0.2">
      <c r="A222" s="133"/>
      <c r="B222" s="133"/>
      <c r="AF222" s="134"/>
    </row>
    <row r="223" spans="1:32" x14ac:dyDescent="0.2">
      <c r="A223" s="133"/>
      <c r="B223" s="133"/>
      <c r="AF223" s="134"/>
    </row>
    <row r="224" spans="1:32" x14ac:dyDescent="0.2">
      <c r="A224" s="133"/>
      <c r="B224" s="133"/>
      <c r="AF224" s="134"/>
    </row>
    <row r="225" spans="1:32" x14ac:dyDescent="0.2">
      <c r="A225" s="133"/>
      <c r="B225" s="133"/>
      <c r="AF225" s="134"/>
    </row>
    <row r="226" spans="1:32" x14ac:dyDescent="0.2">
      <c r="A226" s="133"/>
      <c r="B226" s="133"/>
      <c r="AF226" s="134"/>
    </row>
    <row r="227" spans="1:32" x14ac:dyDescent="0.2">
      <c r="A227" s="133"/>
      <c r="B227" s="133"/>
      <c r="AF227" s="134"/>
    </row>
    <row r="228" spans="1:32" x14ac:dyDescent="0.2">
      <c r="A228" s="133"/>
      <c r="B228" s="133"/>
      <c r="AF228" s="134"/>
    </row>
    <row r="229" spans="1:32" x14ac:dyDescent="0.2">
      <c r="A229" s="133"/>
      <c r="B229" s="133"/>
      <c r="AF229" s="134"/>
    </row>
    <row r="230" spans="1:32" x14ac:dyDescent="0.2">
      <c r="A230" s="133"/>
      <c r="B230" s="133"/>
      <c r="AF230" s="134"/>
    </row>
    <row r="231" spans="1:32" x14ac:dyDescent="0.2">
      <c r="A231" s="133"/>
      <c r="B231" s="133"/>
      <c r="AF231" s="134"/>
    </row>
    <row r="232" spans="1:32" x14ac:dyDescent="0.2">
      <c r="A232" s="133"/>
      <c r="B232" s="133"/>
      <c r="AF232" s="134"/>
    </row>
    <row r="233" spans="1:32" x14ac:dyDescent="0.2">
      <c r="A233" s="133"/>
      <c r="B233" s="133"/>
      <c r="AF233" s="134"/>
    </row>
    <row r="234" spans="1:32" x14ac:dyDescent="0.2">
      <c r="A234" s="133"/>
      <c r="B234" s="133"/>
      <c r="AF234" s="134"/>
    </row>
    <row r="235" spans="1:32" x14ac:dyDescent="0.2">
      <c r="A235" s="133"/>
      <c r="B235" s="133"/>
      <c r="AF235" s="134"/>
    </row>
    <row r="236" spans="1:32" x14ac:dyDescent="0.2">
      <c r="A236" s="133"/>
      <c r="B236" s="133"/>
      <c r="AF236" s="134"/>
    </row>
    <row r="237" spans="1:32" x14ac:dyDescent="0.2">
      <c r="A237" s="133"/>
      <c r="B237" s="133"/>
      <c r="AF237" s="134"/>
    </row>
    <row r="238" spans="1:32" x14ac:dyDescent="0.2">
      <c r="A238" s="133"/>
      <c r="B238" s="133"/>
      <c r="AF238" s="134"/>
    </row>
    <row r="239" spans="1:32" x14ac:dyDescent="0.2">
      <c r="A239" s="133"/>
      <c r="B239" s="133"/>
      <c r="AF239" s="134"/>
    </row>
    <row r="240" spans="1:32" x14ac:dyDescent="0.2">
      <c r="A240" s="133"/>
      <c r="B240" s="133"/>
      <c r="AF240" s="134"/>
    </row>
    <row r="241" spans="1:32" x14ac:dyDescent="0.2">
      <c r="A241" s="133"/>
      <c r="B241" s="133"/>
      <c r="AF241" s="134"/>
    </row>
    <row r="242" spans="1:32" x14ac:dyDescent="0.2">
      <c r="A242" s="133"/>
      <c r="B242" s="133"/>
      <c r="AF242" s="134"/>
    </row>
    <row r="243" spans="1:32" x14ac:dyDescent="0.2">
      <c r="A243" s="133"/>
      <c r="B243" s="133"/>
      <c r="AF243" s="134"/>
    </row>
    <row r="244" spans="1:32" x14ac:dyDescent="0.2">
      <c r="A244" s="133"/>
      <c r="B244" s="133"/>
      <c r="AF244" s="134"/>
    </row>
    <row r="245" spans="1:32" x14ac:dyDescent="0.2">
      <c r="A245" s="133"/>
      <c r="B245" s="133"/>
      <c r="AF245" s="134"/>
    </row>
    <row r="246" spans="1:32" x14ac:dyDescent="0.2">
      <c r="A246" s="133"/>
      <c r="B246" s="133"/>
      <c r="AF246" s="134"/>
    </row>
    <row r="247" spans="1:32" x14ac:dyDescent="0.2">
      <c r="A247" s="133"/>
      <c r="B247" s="133"/>
      <c r="AF247" s="134"/>
    </row>
    <row r="248" spans="1:32" x14ac:dyDescent="0.2">
      <c r="A248" s="133"/>
      <c r="B248" s="133"/>
      <c r="AF248" s="134"/>
    </row>
    <row r="249" spans="1:32" x14ac:dyDescent="0.2">
      <c r="A249" s="133"/>
      <c r="B249" s="133"/>
      <c r="AF249" s="134"/>
    </row>
    <row r="250" spans="1:32" x14ac:dyDescent="0.2">
      <c r="A250" s="133"/>
      <c r="B250" s="133"/>
      <c r="AF250" s="134"/>
    </row>
    <row r="251" spans="1:32" x14ac:dyDescent="0.2">
      <c r="A251" s="133"/>
      <c r="B251" s="133"/>
      <c r="AF251" s="134"/>
    </row>
    <row r="252" spans="1:32" x14ac:dyDescent="0.2">
      <c r="A252" s="133"/>
      <c r="B252" s="133"/>
      <c r="AF252" s="134"/>
    </row>
    <row r="253" spans="1:32" x14ac:dyDescent="0.2">
      <c r="A253" s="133"/>
      <c r="B253" s="133"/>
      <c r="AF253" s="134"/>
    </row>
    <row r="254" spans="1:32" x14ac:dyDescent="0.2">
      <c r="A254" s="133"/>
      <c r="B254" s="133"/>
      <c r="AF254" s="134"/>
    </row>
    <row r="255" spans="1:32" x14ac:dyDescent="0.2">
      <c r="A255" s="133"/>
      <c r="B255" s="133"/>
      <c r="AF255" s="134"/>
    </row>
    <row r="256" spans="1:32" x14ac:dyDescent="0.2">
      <c r="A256" s="133"/>
      <c r="B256" s="133"/>
      <c r="AF256" s="134"/>
    </row>
    <row r="257" spans="1:32" x14ac:dyDescent="0.2">
      <c r="A257" s="133"/>
      <c r="B257" s="133"/>
      <c r="AF257" s="134"/>
    </row>
    <row r="258" spans="1:32" x14ac:dyDescent="0.2">
      <c r="AF258" s="134"/>
    </row>
    <row r="259" spans="1:32" x14ac:dyDescent="0.2">
      <c r="AF259" s="134"/>
    </row>
    <row r="260" spans="1:32" x14ac:dyDescent="0.2">
      <c r="AF260" s="134"/>
    </row>
    <row r="261" spans="1:32" x14ac:dyDescent="0.2">
      <c r="AF261" s="134"/>
    </row>
    <row r="262" spans="1:32" x14ac:dyDescent="0.2">
      <c r="AF262" s="134"/>
    </row>
    <row r="263" spans="1:32" x14ac:dyDescent="0.2">
      <c r="AF263" s="134"/>
    </row>
    <row r="264" spans="1:32" x14ac:dyDescent="0.2">
      <c r="AF264" s="134"/>
    </row>
    <row r="265" spans="1:32" x14ac:dyDescent="0.2">
      <c r="AF265" s="134"/>
    </row>
    <row r="266" spans="1:32" x14ac:dyDescent="0.2">
      <c r="AF266" s="134"/>
    </row>
    <row r="267" spans="1:32" x14ac:dyDescent="0.2">
      <c r="AF267" s="134"/>
    </row>
    <row r="268" spans="1:32" x14ac:dyDescent="0.2">
      <c r="AF268" s="134"/>
    </row>
    <row r="269" spans="1:32" x14ac:dyDescent="0.2">
      <c r="AF269" s="134"/>
    </row>
    <row r="270" spans="1:32" x14ac:dyDescent="0.2">
      <c r="AF270" s="134"/>
    </row>
    <row r="271" spans="1:32" x14ac:dyDescent="0.2">
      <c r="AF271" s="134"/>
    </row>
    <row r="272" spans="1:32" x14ac:dyDescent="0.2">
      <c r="AF272" s="134"/>
    </row>
    <row r="273" spans="32:32" x14ac:dyDescent="0.2">
      <c r="AF273" s="134"/>
    </row>
    <row r="274" spans="32:32" x14ac:dyDescent="0.2">
      <c r="AF274" s="134"/>
    </row>
    <row r="275" spans="32:32" x14ac:dyDescent="0.2">
      <c r="AF275" s="134"/>
    </row>
    <row r="276" spans="32:32" x14ac:dyDescent="0.2">
      <c r="AF276" s="134"/>
    </row>
    <row r="277" spans="32:32" x14ac:dyDescent="0.2">
      <c r="AF277" s="134"/>
    </row>
    <row r="278" spans="32:32" x14ac:dyDescent="0.2">
      <c r="AF278" s="134"/>
    </row>
    <row r="279" spans="32:32" x14ac:dyDescent="0.2">
      <c r="AF279" s="134"/>
    </row>
    <row r="280" spans="32:32" x14ac:dyDescent="0.2">
      <c r="AF280" s="134"/>
    </row>
    <row r="281" spans="32:32" x14ac:dyDescent="0.2">
      <c r="AF281" s="134"/>
    </row>
    <row r="282" spans="32:32" x14ac:dyDescent="0.2">
      <c r="AF282" s="134"/>
    </row>
    <row r="283" spans="32:32" x14ac:dyDescent="0.2">
      <c r="AF283" s="134"/>
    </row>
    <row r="284" spans="32:32" x14ac:dyDescent="0.2">
      <c r="AF284" s="134"/>
    </row>
    <row r="285" spans="32:32" x14ac:dyDescent="0.2">
      <c r="AF285" s="134"/>
    </row>
    <row r="286" spans="32:32" x14ac:dyDescent="0.2">
      <c r="AF286" s="134"/>
    </row>
    <row r="287" spans="32:32" x14ac:dyDescent="0.2">
      <c r="AF287" s="134"/>
    </row>
    <row r="288" spans="32:32" x14ac:dyDescent="0.2">
      <c r="AF288" s="134"/>
    </row>
    <row r="289" spans="32:32" x14ac:dyDescent="0.2">
      <c r="AF289" s="134"/>
    </row>
    <row r="290" spans="32:32" x14ac:dyDescent="0.2">
      <c r="AF290" s="134"/>
    </row>
    <row r="291" spans="32:32" x14ac:dyDescent="0.2">
      <c r="AF291" s="134"/>
    </row>
    <row r="292" spans="32:32" x14ac:dyDescent="0.2">
      <c r="AF292" s="134"/>
    </row>
    <row r="293" spans="32:32" x14ac:dyDescent="0.2">
      <c r="AF293" s="134"/>
    </row>
    <row r="294" spans="32:32" x14ac:dyDescent="0.2">
      <c r="AF294" s="134"/>
    </row>
    <row r="295" spans="32:32" x14ac:dyDescent="0.2">
      <c r="AF295" s="134"/>
    </row>
    <row r="296" spans="32:32" x14ac:dyDescent="0.2">
      <c r="AF296" s="134"/>
    </row>
    <row r="297" spans="32:32" x14ac:dyDescent="0.2">
      <c r="AF297" s="134"/>
    </row>
    <row r="298" spans="32:32" x14ac:dyDescent="0.2">
      <c r="AF298" s="134"/>
    </row>
    <row r="299" spans="32:32" x14ac:dyDescent="0.2">
      <c r="AF299" s="134"/>
    </row>
    <row r="300" spans="32:32" x14ac:dyDescent="0.2">
      <c r="AF300" s="134"/>
    </row>
    <row r="301" spans="32:32" x14ac:dyDescent="0.2">
      <c r="AF301" s="134"/>
    </row>
    <row r="302" spans="32:32" x14ac:dyDescent="0.2">
      <c r="AF302" s="134"/>
    </row>
    <row r="303" spans="32:32" x14ac:dyDescent="0.2">
      <c r="AF303" s="134"/>
    </row>
    <row r="304" spans="32:32" x14ac:dyDescent="0.2">
      <c r="AF304" s="134"/>
    </row>
    <row r="305" spans="32:32" x14ac:dyDescent="0.2">
      <c r="AF305" s="134"/>
    </row>
    <row r="306" spans="32:32" x14ac:dyDescent="0.2">
      <c r="AF306" s="134"/>
    </row>
    <row r="307" spans="32:32" x14ac:dyDescent="0.2">
      <c r="AF307" s="134"/>
    </row>
    <row r="308" spans="32:32" x14ac:dyDescent="0.2">
      <c r="AF308" s="134"/>
    </row>
    <row r="309" spans="32:32" x14ac:dyDescent="0.2">
      <c r="AF309" s="134"/>
    </row>
    <row r="310" spans="32:32" x14ac:dyDescent="0.2">
      <c r="AF310" s="134"/>
    </row>
    <row r="311" spans="32:32" x14ac:dyDescent="0.2">
      <c r="AF311" s="134"/>
    </row>
    <row r="312" spans="32:32" x14ac:dyDescent="0.2">
      <c r="AF312" s="134"/>
    </row>
    <row r="313" spans="32:32" x14ac:dyDescent="0.2">
      <c r="AF313" s="134"/>
    </row>
    <row r="314" spans="32:32" x14ac:dyDescent="0.2">
      <c r="AF314" s="134"/>
    </row>
    <row r="315" spans="32:32" x14ac:dyDescent="0.2">
      <c r="AF315" s="134"/>
    </row>
    <row r="316" spans="32:32" x14ac:dyDescent="0.2">
      <c r="AF316" s="134"/>
    </row>
    <row r="317" spans="32:32" x14ac:dyDescent="0.2">
      <c r="AF317" s="134"/>
    </row>
    <row r="318" spans="32:32" x14ac:dyDescent="0.2">
      <c r="AF318" s="134"/>
    </row>
    <row r="319" spans="32:32" x14ac:dyDescent="0.2">
      <c r="AF319" s="134"/>
    </row>
    <row r="320" spans="32:32" x14ac:dyDescent="0.2">
      <c r="AF320" s="134"/>
    </row>
    <row r="321" spans="32:32" x14ac:dyDescent="0.2">
      <c r="AF321" s="134"/>
    </row>
    <row r="322" spans="32:32" x14ac:dyDescent="0.2">
      <c r="AF322" s="134"/>
    </row>
    <row r="323" spans="32:32" x14ac:dyDescent="0.2">
      <c r="AF323" s="134"/>
    </row>
    <row r="324" spans="32:32" x14ac:dyDescent="0.2">
      <c r="AF324" s="134"/>
    </row>
    <row r="325" spans="32:32" x14ac:dyDescent="0.2">
      <c r="AF325" s="134"/>
    </row>
    <row r="326" spans="32:32" x14ac:dyDescent="0.2">
      <c r="AF326" s="134"/>
    </row>
    <row r="327" spans="32:32" x14ac:dyDescent="0.2">
      <c r="AF327" s="134"/>
    </row>
    <row r="328" spans="32:32" x14ac:dyDescent="0.2">
      <c r="AF328" s="134"/>
    </row>
    <row r="329" spans="32:32" x14ac:dyDescent="0.2">
      <c r="AF329" s="134"/>
    </row>
    <row r="330" spans="32:32" x14ac:dyDescent="0.2">
      <c r="AF330" s="134"/>
    </row>
    <row r="331" spans="32:32" x14ac:dyDescent="0.2">
      <c r="AF331" s="134"/>
    </row>
    <row r="332" spans="32:32" x14ac:dyDescent="0.2">
      <c r="AF332" s="134"/>
    </row>
    <row r="333" spans="32:32" x14ac:dyDescent="0.2">
      <c r="AF333" s="134"/>
    </row>
    <row r="334" spans="32:32" x14ac:dyDescent="0.2">
      <c r="AF334" s="134"/>
    </row>
    <row r="335" spans="32:32" x14ac:dyDescent="0.2">
      <c r="AF335" s="134"/>
    </row>
    <row r="336" spans="32:32" x14ac:dyDescent="0.2">
      <c r="AF336" s="134"/>
    </row>
    <row r="337" spans="32:32" x14ac:dyDescent="0.2">
      <c r="AF337" s="134"/>
    </row>
    <row r="338" spans="32:32" x14ac:dyDescent="0.2">
      <c r="AF338" s="134"/>
    </row>
    <row r="339" spans="32:32" x14ac:dyDescent="0.2">
      <c r="AF339" s="134"/>
    </row>
    <row r="340" spans="32:32" x14ac:dyDescent="0.2">
      <c r="AF340" s="134"/>
    </row>
    <row r="341" spans="32:32" x14ac:dyDescent="0.2">
      <c r="AF341" s="134"/>
    </row>
    <row r="342" spans="32:32" x14ac:dyDescent="0.2">
      <c r="AF342" s="134"/>
    </row>
    <row r="343" spans="32:32" x14ac:dyDescent="0.2">
      <c r="AF343" s="134"/>
    </row>
    <row r="344" spans="32:32" x14ac:dyDescent="0.2">
      <c r="AF344" s="134"/>
    </row>
    <row r="345" spans="32:32" x14ac:dyDescent="0.2">
      <c r="AF345" s="134"/>
    </row>
    <row r="346" spans="32:32" x14ac:dyDescent="0.2">
      <c r="AF346" s="134"/>
    </row>
    <row r="347" spans="32:32" x14ac:dyDescent="0.2">
      <c r="AF347" s="134"/>
    </row>
    <row r="348" spans="32:32" x14ac:dyDescent="0.2">
      <c r="AF348" s="134"/>
    </row>
    <row r="349" spans="32:32" x14ac:dyDescent="0.2">
      <c r="AF349" s="134"/>
    </row>
    <row r="350" spans="32:32" x14ac:dyDescent="0.2">
      <c r="AF350" s="134"/>
    </row>
    <row r="351" spans="32:32" x14ac:dyDescent="0.2">
      <c r="AF351" s="134"/>
    </row>
    <row r="352" spans="32:32" x14ac:dyDescent="0.2">
      <c r="AF352" s="134"/>
    </row>
    <row r="353" spans="32:32" x14ac:dyDescent="0.2">
      <c r="AF353" s="134"/>
    </row>
    <row r="354" spans="32:32" x14ac:dyDescent="0.2">
      <c r="AF354" s="134"/>
    </row>
    <row r="355" spans="32:32" x14ac:dyDescent="0.2">
      <c r="AF355" s="134"/>
    </row>
    <row r="356" spans="32:32" x14ac:dyDescent="0.2">
      <c r="AF356" s="134"/>
    </row>
    <row r="357" spans="32:32" x14ac:dyDescent="0.2">
      <c r="AF357" s="134"/>
    </row>
    <row r="358" spans="32:32" x14ac:dyDescent="0.2">
      <c r="AF358" s="134"/>
    </row>
    <row r="359" spans="32:32" x14ac:dyDescent="0.2">
      <c r="AF359" s="134"/>
    </row>
    <row r="360" spans="32:32" x14ac:dyDescent="0.2">
      <c r="AF360" s="134"/>
    </row>
    <row r="361" spans="32:32" x14ac:dyDescent="0.2">
      <c r="AF361" s="134"/>
    </row>
    <row r="362" spans="32:32" x14ac:dyDescent="0.2">
      <c r="AF362" s="134"/>
    </row>
    <row r="363" spans="32:32" x14ac:dyDescent="0.2">
      <c r="AF363" s="134"/>
    </row>
    <row r="364" spans="32:32" x14ac:dyDescent="0.2">
      <c r="AF364" s="134"/>
    </row>
    <row r="365" spans="32:32" x14ac:dyDescent="0.2">
      <c r="AF365" s="134"/>
    </row>
    <row r="366" spans="32:32" x14ac:dyDescent="0.2">
      <c r="AF366" s="134"/>
    </row>
    <row r="367" spans="32:32" x14ac:dyDescent="0.2">
      <c r="AF367" s="134"/>
    </row>
    <row r="368" spans="32:32" x14ac:dyDescent="0.2">
      <c r="AF368" s="134"/>
    </row>
    <row r="369" spans="32:32" x14ac:dyDescent="0.2">
      <c r="AF369" s="134"/>
    </row>
    <row r="370" spans="32:32" x14ac:dyDescent="0.2">
      <c r="AF370" s="134"/>
    </row>
    <row r="371" spans="32:32" x14ac:dyDescent="0.2">
      <c r="AF371" s="134"/>
    </row>
    <row r="372" spans="32:32" x14ac:dyDescent="0.2">
      <c r="AF372" s="134"/>
    </row>
    <row r="373" spans="32:32" x14ac:dyDescent="0.2">
      <c r="AF373" s="134"/>
    </row>
    <row r="374" spans="32:32" x14ac:dyDescent="0.2">
      <c r="AF374" s="134"/>
    </row>
    <row r="375" spans="32:32" x14ac:dyDescent="0.2">
      <c r="AF375" s="134"/>
    </row>
    <row r="376" spans="32:32" x14ac:dyDescent="0.2">
      <c r="AF376" s="134"/>
    </row>
    <row r="377" spans="32:32" x14ac:dyDescent="0.2">
      <c r="AF377" s="134"/>
    </row>
    <row r="378" spans="32:32" x14ac:dyDescent="0.2">
      <c r="AF378" s="134"/>
    </row>
    <row r="379" spans="32:32" x14ac:dyDescent="0.2">
      <c r="AF379" s="134"/>
    </row>
    <row r="380" spans="32:32" x14ac:dyDescent="0.2">
      <c r="AF380" s="134"/>
    </row>
    <row r="381" spans="32:32" x14ac:dyDescent="0.2">
      <c r="AF381" s="134"/>
    </row>
    <row r="382" spans="32:32" x14ac:dyDescent="0.2">
      <c r="AF382" s="134"/>
    </row>
    <row r="383" spans="32:32" x14ac:dyDescent="0.2">
      <c r="AF383" s="134"/>
    </row>
    <row r="384" spans="32:32" x14ac:dyDescent="0.2">
      <c r="AF384" s="134"/>
    </row>
    <row r="385" spans="32:32" x14ac:dyDescent="0.2">
      <c r="AF385" s="134"/>
    </row>
    <row r="386" spans="32:32" x14ac:dyDescent="0.2">
      <c r="AF386" s="134"/>
    </row>
    <row r="387" spans="32:32" x14ac:dyDescent="0.2">
      <c r="AF387" s="134"/>
    </row>
    <row r="388" spans="32:32" x14ac:dyDescent="0.2">
      <c r="AF388" s="134"/>
    </row>
    <row r="389" spans="32:32" x14ac:dyDescent="0.2">
      <c r="AF389" s="134"/>
    </row>
    <row r="390" spans="32:32" x14ac:dyDescent="0.2">
      <c r="AF390" s="134"/>
    </row>
    <row r="391" spans="32:32" x14ac:dyDescent="0.2">
      <c r="AF391" s="134"/>
    </row>
    <row r="392" spans="32:32" x14ac:dyDescent="0.2">
      <c r="AF392" s="134"/>
    </row>
    <row r="393" spans="32:32" x14ac:dyDescent="0.2">
      <c r="AF393" s="134"/>
    </row>
    <row r="394" spans="32:32" x14ac:dyDescent="0.2">
      <c r="AF394" s="134"/>
    </row>
    <row r="395" spans="32:32" x14ac:dyDescent="0.2">
      <c r="AF395" s="134"/>
    </row>
    <row r="396" spans="32:32" x14ac:dyDescent="0.2">
      <c r="AF396" s="134"/>
    </row>
    <row r="397" spans="32:32" x14ac:dyDescent="0.2">
      <c r="AF397" s="134"/>
    </row>
    <row r="398" spans="32:32" x14ac:dyDescent="0.2">
      <c r="AF398" s="134"/>
    </row>
    <row r="399" spans="32:32" x14ac:dyDescent="0.2">
      <c r="AF399" s="134"/>
    </row>
    <row r="400" spans="32:32" x14ac:dyDescent="0.2">
      <c r="AF400" s="134"/>
    </row>
    <row r="401" spans="32:32" x14ac:dyDescent="0.2">
      <c r="AF401" s="134"/>
    </row>
    <row r="402" spans="32:32" x14ac:dyDescent="0.2">
      <c r="AF402" s="134"/>
    </row>
    <row r="403" spans="32:32" x14ac:dyDescent="0.2">
      <c r="AF403" s="134"/>
    </row>
    <row r="404" spans="32:32" x14ac:dyDescent="0.2">
      <c r="AF404" s="134"/>
    </row>
    <row r="405" spans="32:32" x14ac:dyDescent="0.2">
      <c r="AF405" s="134"/>
    </row>
    <row r="406" spans="32:32" x14ac:dyDescent="0.2">
      <c r="AF406" s="134"/>
    </row>
    <row r="407" spans="32:32" x14ac:dyDescent="0.2">
      <c r="AF407" s="134"/>
    </row>
    <row r="408" spans="32:32" x14ac:dyDescent="0.2">
      <c r="AF408" s="134"/>
    </row>
    <row r="409" spans="32:32" x14ac:dyDescent="0.2">
      <c r="AF409" s="134"/>
    </row>
    <row r="410" spans="32:32" x14ac:dyDescent="0.2">
      <c r="AF410" s="134"/>
    </row>
    <row r="411" spans="32:32" x14ac:dyDescent="0.2">
      <c r="AF411" s="134"/>
    </row>
    <row r="412" spans="32:32" x14ac:dyDescent="0.2">
      <c r="AF412" s="134"/>
    </row>
    <row r="413" spans="32:32" x14ac:dyDescent="0.2">
      <c r="AF413" s="134"/>
    </row>
    <row r="414" spans="32:32" x14ac:dyDescent="0.2">
      <c r="AF414" s="134"/>
    </row>
    <row r="415" spans="32:32" x14ac:dyDescent="0.2">
      <c r="AF415" s="134"/>
    </row>
    <row r="416" spans="32:32" x14ac:dyDescent="0.2">
      <c r="AF416" s="134"/>
    </row>
    <row r="417" spans="32:32" x14ac:dyDescent="0.2">
      <c r="AF417" s="134"/>
    </row>
    <row r="418" spans="32:32" x14ac:dyDescent="0.2">
      <c r="AF418" s="134"/>
    </row>
    <row r="419" spans="32:32" x14ac:dyDescent="0.2">
      <c r="AF419" s="134"/>
    </row>
    <row r="420" spans="32:32" x14ac:dyDescent="0.2">
      <c r="AF420" s="134"/>
    </row>
    <row r="421" spans="32:32" x14ac:dyDescent="0.2">
      <c r="AF421" s="134"/>
    </row>
    <row r="422" spans="32:32" x14ac:dyDescent="0.2">
      <c r="AF422" s="134"/>
    </row>
    <row r="423" spans="32:32" x14ac:dyDescent="0.2">
      <c r="AF423" s="134"/>
    </row>
    <row r="424" spans="32:32" x14ac:dyDescent="0.2">
      <c r="AF424" s="134"/>
    </row>
    <row r="425" spans="32:32" x14ac:dyDescent="0.2">
      <c r="AF425" s="134"/>
    </row>
    <row r="426" spans="32:32" x14ac:dyDescent="0.2">
      <c r="AF426" s="134"/>
    </row>
    <row r="427" spans="32:32" x14ac:dyDescent="0.2">
      <c r="AF427" s="134"/>
    </row>
    <row r="428" spans="32:32" x14ac:dyDescent="0.2">
      <c r="AF428" s="134"/>
    </row>
    <row r="429" spans="32:32" x14ac:dyDescent="0.2">
      <c r="AF429" s="134"/>
    </row>
    <row r="430" spans="32:32" x14ac:dyDescent="0.2">
      <c r="AF430" s="134"/>
    </row>
    <row r="431" spans="32:32" x14ac:dyDescent="0.2">
      <c r="AF431" s="134"/>
    </row>
    <row r="432" spans="32:32" x14ac:dyDescent="0.2">
      <c r="AF432" s="134"/>
    </row>
    <row r="433" spans="32:32" x14ac:dyDescent="0.2">
      <c r="AF433" s="134"/>
    </row>
    <row r="434" spans="32:32" x14ac:dyDescent="0.2">
      <c r="AF434" s="134"/>
    </row>
    <row r="435" spans="32:32" x14ac:dyDescent="0.2">
      <c r="AF435" s="134"/>
    </row>
    <row r="436" spans="32:32" x14ac:dyDescent="0.2">
      <c r="AF436" s="134"/>
    </row>
    <row r="437" spans="32:32" x14ac:dyDescent="0.2">
      <c r="AF437" s="134"/>
    </row>
    <row r="438" spans="32:32" x14ac:dyDescent="0.2">
      <c r="AF438" s="134"/>
    </row>
    <row r="439" spans="32:32" x14ac:dyDescent="0.2">
      <c r="AF439" s="134"/>
    </row>
    <row r="440" spans="32:32" x14ac:dyDescent="0.2">
      <c r="AF440" s="134"/>
    </row>
    <row r="441" spans="32:32" x14ac:dyDescent="0.2">
      <c r="AF441" s="134"/>
    </row>
    <row r="442" spans="32:32" x14ac:dyDescent="0.2">
      <c r="AF442" s="134"/>
    </row>
    <row r="443" spans="32:32" x14ac:dyDescent="0.2">
      <c r="AF443" s="134"/>
    </row>
    <row r="444" spans="32:32" x14ac:dyDescent="0.2">
      <c r="AF444" s="134"/>
    </row>
    <row r="445" spans="32:32" x14ac:dyDescent="0.2">
      <c r="AF445" s="134"/>
    </row>
    <row r="446" spans="32:32" x14ac:dyDescent="0.2">
      <c r="AF446" s="134"/>
    </row>
    <row r="447" spans="32:32" x14ac:dyDescent="0.2">
      <c r="AF447" s="134"/>
    </row>
    <row r="448" spans="32:32" x14ac:dyDescent="0.2">
      <c r="AF448" s="134"/>
    </row>
    <row r="449" spans="32:32" x14ac:dyDescent="0.2">
      <c r="AF449" s="134"/>
    </row>
    <row r="450" spans="32:32" x14ac:dyDescent="0.2">
      <c r="AF450" s="134"/>
    </row>
    <row r="451" spans="32:32" x14ac:dyDescent="0.2">
      <c r="AF451" s="134"/>
    </row>
    <row r="452" spans="32:32" x14ac:dyDescent="0.2">
      <c r="AF452" s="134"/>
    </row>
    <row r="453" spans="32:32" x14ac:dyDescent="0.2">
      <c r="AF453" s="134"/>
    </row>
    <row r="454" spans="32:32" x14ac:dyDescent="0.2">
      <c r="AF454" s="134"/>
    </row>
    <row r="455" spans="32:32" x14ac:dyDescent="0.2">
      <c r="AF455" s="134"/>
    </row>
    <row r="456" spans="32:32" x14ac:dyDescent="0.2">
      <c r="AF456" s="134"/>
    </row>
    <row r="457" spans="32:32" x14ac:dyDescent="0.2">
      <c r="AF457" s="134"/>
    </row>
    <row r="458" spans="32:32" x14ac:dyDescent="0.2">
      <c r="AF458" s="134"/>
    </row>
    <row r="459" spans="32:32" x14ac:dyDescent="0.2">
      <c r="AF459" s="134"/>
    </row>
    <row r="460" spans="32:32" x14ac:dyDescent="0.2">
      <c r="AF460" s="134"/>
    </row>
    <row r="461" spans="32:32" x14ac:dyDescent="0.2">
      <c r="AF461" s="134"/>
    </row>
    <row r="462" spans="32:32" x14ac:dyDescent="0.2">
      <c r="AF462" s="134"/>
    </row>
    <row r="463" spans="32:32" x14ac:dyDescent="0.2">
      <c r="AF463" s="134"/>
    </row>
    <row r="464" spans="32:32" x14ac:dyDescent="0.2">
      <c r="AF464" s="134"/>
    </row>
    <row r="465" spans="32:32" x14ac:dyDescent="0.2">
      <c r="AF465" s="134"/>
    </row>
    <row r="466" spans="32:32" x14ac:dyDescent="0.2">
      <c r="AF466" s="134"/>
    </row>
    <row r="467" spans="32:32" x14ac:dyDescent="0.2">
      <c r="AF467" s="134"/>
    </row>
    <row r="468" spans="32:32" x14ac:dyDescent="0.2">
      <c r="AF468" s="134"/>
    </row>
    <row r="469" spans="32:32" x14ac:dyDescent="0.2">
      <c r="AF469" s="134"/>
    </row>
    <row r="470" spans="32:32" x14ac:dyDescent="0.2">
      <c r="AF470" s="134"/>
    </row>
    <row r="471" spans="32:32" x14ac:dyDescent="0.2">
      <c r="AF471" s="134"/>
    </row>
    <row r="472" spans="32:32" x14ac:dyDescent="0.2">
      <c r="AF472" s="134"/>
    </row>
    <row r="473" spans="32:32" x14ac:dyDescent="0.2">
      <c r="AF473" s="134"/>
    </row>
    <row r="474" spans="32:32" x14ac:dyDescent="0.2">
      <c r="AF474" s="134"/>
    </row>
    <row r="475" spans="32:32" x14ac:dyDescent="0.2">
      <c r="AF475" s="134"/>
    </row>
    <row r="476" spans="32:32" x14ac:dyDescent="0.2">
      <c r="AF476" s="134"/>
    </row>
    <row r="477" spans="32:32" x14ac:dyDescent="0.2">
      <c r="AF477" s="134"/>
    </row>
    <row r="478" spans="32:32" x14ac:dyDescent="0.2">
      <c r="AF478" s="134"/>
    </row>
    <row r="479" spans="32:32" x14ac:dyDescent="0.2">
      <c r="AF479" s="134"/>
    </row>
    <row r="480" spans="32:32" x14ac:dyDescent="0.2">
      <c r="AF480" s="134"/>
    </row>
    <row r="481" spans="32:32" x14ac:dyDescent="0.2">
      <c r="AF481" s="134"/>
    </row>
    <row r="482" spans="32:32" x14ac:dyDescent="0.2">
      <c r="AF482" s="134"/>
    </row>
    <row r="483" spans="32:32" x14ac:dyDescent="0.2">
      <c r="AF483" s="134"/>
    </row>
    <row r="484" spans="32:32" x14ac:dyDescent="0.2">
      <c r="AF484" s="134"/>
    </row>
    <row r="485" spans="32:32" x14ac:dyDescent="0.2">
      <c r="AF485" s="134"/>
    </row>
    <row r="486" spans="32:32" x14ac:dyDescent="0.2">
      <c r="AF486" s="134"/>
    </row>
    <row r="487" spans="32:32" x14ac:dyDescent="0.2">
      <c r="AF487" s="134"/>
    </row>
    <row r="488" spans="32:32" x14ac:dyDescent="0.2">
      <c r="AF488" s="134"/>
    </row>
    <row r="489" spans="32:32" x14ac:dyDescent="0.2">
      <c r="AF489" s="134"/>
    </row>
    <row r="490" spans="32:32" x14ac:dyDescent="0.2">
      <c r="AF490" s="134"/>
    </row>
    <row r="491" spans="32:32" x14ac:dyDescent="0.2">
      <c r="AF491" s="134"/>
    </row>
    <row r="492" spans="32:32" x14ac:dyDescent="0.2">
      <c r="AF492" s="134"/>
    </row>
    <row r="493" spans="32:32" x14ac:dyDescent="0.2">
      <c r="AF493" s="134"/>
    </row>
    <row r="494" spans="32:32" x14ac:dyDescent="0.2">
      <c r="AF494" s="134"/>
    </row>
    <row r="495" spans="32:32" x14ac:dyDescent="0.2">
      <c r="AF495" s="134"/>
    </row>
    <row r="496" spans="32:32" x14ac:dyDescent="0.2">
      <c r="AF496" s="134"/>
    </row>
    <row r="497" spans="32:32" x14ac:dyDescent="0.2">
      <c r="AF497" s="134"/>
    </row>
    <row r="498" spans="32:32" x14ac:dyDescent="0.2">
      <c r="AF498" s="134"/>
    </row>
    <row r="499" spans="32:32" x14ac:dyDescent="0.2">
      <c r="AF499" s="134"/>
    </row>
    <row r="500" spans="32:32" x14ac:dyDescent="0.2">
      <c r="AF500" s="134"/>
    </row>
    <row r="501" spans="32:32" x14ac:dyDescent="0.2">
      <c r="AF501" s="134"/>
    </row>
    <row r="502" spans="32:32" x14ac:dyDescent="0.2">
      <c r="AF502" s="134"/>
    </row>
    <row r="503" spans="32:32" x14ac:dyDescent="0.2">
      <c r="AF503" s="134"/>
    </row>
    <row r="504" spans="32:32" x14ac:dyDescent="0.2">
      <c r="AF504" s="134"/>
    </row>
    <row r="505" spans="32:32" x14ac:dyDescent="0.2">
      <c r="AF505" s="134"/>
    </row>
    <row r="506" spans="32:32" x14ac:dyDescent="0.2">
      <c r="AF506" s="134"/>
    </row>
    <row r="507" spans="32:32" x14ac:dyDescent="0.2">
      <c r="AF507" s="134"/>
    </row>
    <row r="508" spans="32:32" x14ac:dyDescent="0.2">
      <c r="AF508" s="134"/>
    </row>
    <row r="509" spans="32:32" x14ac:dyDescent="0.2">
      <c r="AF509" s="134"/>
    </row>
    <row r="510" spans="32:32" x14ac:dyDescent="0.2">
      <c r="AF510" s="134"/>
    </row>
    <row r="511" spans="32:32" x14ac:dyDescent="0.2">
      <c r="AF511" s="134"/>
    </row>
    <row r="512" spans="32:32" x14ac:dyDescent="0.2">
      <c r="AF512" s="134"/>
    </row>
    <row r="513" spans="32:32" x14ac:dyDescent="0.2">
      <c r="AF513" s="134"/>
    </row>
    <row r="514" spans="32:32" x14ac:dyDescent="0.2">
      <c r="AF514" s="134"/>
    </row>
    <row r="515" spans="32:32" x14ac:dyDescent="0.2">
      <c r="AF515" s="134"/>
    </row>
    <row r="516" spans="32:32" x14ac:dyDescent="0.2">
      <c r="AF516" s="134"/>
    </row>
    <row r="517" spans="32:32" x14ac:dyDescent="0.2">
      <c r="AF517" s="134"/>
    </row>
    <row r="518" spans="32:32" x14ac:dyDescent="0.2">
      <c r="AF518" s="134"/>
    </row>
    <row r="519" spans="32:32" x14ac:dyDescent="0.2">
      <c r="AF519" s="134"/>
    </row>
    <row r="520" spans="32:32" x14ac:dyDescent="0.2">
      <c r="AF520" s="134"/>
    </row>
    <row r="521" spans="32:32" x14ac:dyDescent="0.2">
      <c r="AF521" s="134"/>
    </row>
    <row r="522" spans="32:32" x14ac:dyDescent="0.2">
      <c r="AF522" s="134"/>
    </row>
    <row r="523" spans="32:32" x14ac:dyDescent="0.2">
      <c r="AF523" s="134"/>
    </row>
    <row r="524" spans="32:32" x14ac:dyDescent="0.2">
      <c r="AF524" s="134"/>
    </row>
    <row r="525" spans="32:32" x14ac:dyDescent="0.2">
      <c r="AF525" s="134"/>
    </row>
    <row r="526" spans="32:32" x14ac:dyDescent="0.2">
      <c r="AF526" s="134"/>
    </row>
    <row r="527" spans="32:32" x14ac:dyDescent="0.2">
      <c r="AF527" s="134"/>
    </row>
    <row r="528" spans="32:32" x14ac:dyDescent="0.2">
      <c r="AF528" s="134"/>
    </row>
    <row r="529" spans="32:32" x14ac:dyDescent="0.2">
      <c r="AF529" s="134"/>
    </row>
    <row r="530" spans="32:32" x14ac:dyDescent="0.2">
      <c r="AF530" s="134"/>
    </row>
    <row r="531" spans="32:32" x14ac:dyDescent="0.2">
      <c r="AF531" s="134"/>
    </row>
    <row r="532" spans="32:32" x14ac:dyDescent="0.2">
      <c r="AF532" s="134"/>
    </row>
    <row r="533" spans="32:32" x14ac:dyDescent="0.2">
      <c r="AF533" s="134"/>
    </row>
    <row r="534" spans="32:32" x14ac:dyDescent="0.2">
      <c r="AF534" s="134"/>
    </row>
    <row r="535" spans="32:32" x14ac:dyDescent="0.2">
      <c r="AF535" s="134"/>
    </row>
    <row r="536" spans="32:32" x14ac:dyDescent="0.2">
      <c r="AF536" s="134"/>
    </row>
    <row r="537" spans="32:32" x14ac:dyDescent="0.2">
      <c r="AF537" s="134"/>
    </row>
    <row r="538" spans="32:32" x14ac:dyDescent="0.2">
      <c r="AF538" s="134"/>
    </row>
    <row r="539" spans="32:32" x14ac:dyDescent="0.2">
      <c r="AF539" s="134"/>
    </row>
    <row r="540" spans="32:32" x14ac:dyDescent="0.2">
      <c r="AF540" s="134"/>
    </row>
    <row r="541" spans="32:32" x14ac:dyDescent="0.2">
      <c r="AF541" s="134"/>
    </row>
    <row r="542" spans="32:32" x14ac:dyDescent="0.2">
      <c r="AF542" s="134"/>
    </row>
    <row r="543" spans="32:32" x14ac:dyDescent="0.2">
      <c r="AF543" s="134"/>
    </row>
    <row r="544" spans="32:32" x14ac:dyDescent="0.2">
      <c r="AF544" s="134"/>
    </row>
    <row r="545" spans="32:32" x14ac:dyDescent="0.2">
      <c r="AF545" s="134"/>
    </row>
    <row r="546" spans="32:32" x14ac:dyDescent="0.2">
      <c r="AF546" s="134"/>
    </row>
    <row r="547" spans="32:32" x14ac:dyDescent="0.2">
      <c r="AF547" s="134"/>
    </row>
    <row r="548" spans="32:32" x14ac:dyDescent="0.2">
      <c r="AF548" s="134"/>
    </row>
    <row r="549" spans="32:32" x14ac:dyDescent="0.2">
      <c r="AF549" s="134"/>
    </row>
    <row r="550" spans="32:32" x14ac:dyDescent="0.2">
      <c r="AF550" s="134"/>
    </row>
    <row r="551" spans="32:32" x14ac:dyDescent="0.2">
      <c r="AF551" s="134"/>
    </row>
    <row r="552" spans="32:32" x14ac:dyDescent="0.2">
      <c r="AF552" s="134"/>
    </row>
    <row r="553" spans="32:32" x14ac:dyDescent="0.2">
      <c r="AF553" s="134"/>
    </row>
    <row r="554" spans="32:32" x14ac:dyDescent="0.2">
      <c r="AF554" s="134"/>
    </row>
    <row r="555" spans="32:32" x14ac:dyDescent="0.2">
      <c r="AF555" s="134"/>
    </row>
    <row r="556" spans="32:32" x14ac:dyDescent="0.2">
      <c r="AF556" s="134"/>
    </row>
    <row r="557" spans="32:32" x14ac:dyDescent="0.2">
      <c r="AF557" s="134"/>
    </row>
    <row r="558" spans="32:32" x14ac:dyDescent="0.2">
      <c r="AF558" s="134"/>
    </row>
    <row r="559" spans="32:32" x14ac:dyDescent="0.2">
      <c r="AF559" s="134"/>
    </row>
    <row r="560" spans="32:32" x14ac:dyDescent="0.2">
      <c r="AF560" s="134"/>
    </row>
    <row r="561" spans="32:32" x14ac:dyDescent="0.2">
      <c r="AF561" s="134"/>
    </row>
    <row r="562" spans="32:32" x14ac:dyDescent="0.2">
      <c r="AF562" s="134"/>
    </row>
    <row r="563" spans="32:32" x14ac:dyDescent="0.2">
      <c r="AF563" s="134"/>
    </row>
    <row r="564" spans="32:32" x14ac:dyDescent="0.2">
      <c r="AF564" s="134"/>
    </row>
    <row r="565" spans="32:32" x14ac:dyDescent="0.2">
      <c r="AF565" s="134"/>
    </row>
    <row r="566" spans="32:32" x14ac:dyDescent="0.2">
      <c r="AF566" s="134"/>
    </row>
    <row r="567" spans="32:32" x14ac:dyDescent="0.2">
      <c r="AF567" s="134"/>
    </row>
    <row r="568" spans="32:32" x14ac:dyDescent="0.2">
      <c r="AF568" s="134"/>
    </row>
    <row r="569" spans="32:32" x14ac:dyDescent="0.2">
      <c r="AF569" s="134"/>
    </row>
    <row r="570" spans="32:32" x14ac:dyDescent="0.2">
      <c r="AF570" s="134"/>
    </row>
    <row r="571" spans="32:32" x14ac:dyDescent="0.2">
      <c r="AF571" s="134"/>
    </row>
    <row r="572" spans="32:32" x14ac:dyDescent="0.2">
      <c r="AF572" s="134"/>
    </row>
    <row r="573" spans="32:32" x14ac:dyDescent="0.2">
      <c r="AF573" s="134"/>
    </row>
    <row r="574" spans="32:32" x14ac:dyDescent="0.2">
      <c r="AF574" s="134"/>
    </row>
    <row r="575" spans="32:32" x14ac:dyDescent="0.2">
      <c r="AF575" s="134"/>
    </row>
    <row r="576" spans="32:32" x14ac:dyDescent="0.2">
      <c r="AF576" s="134"/>
    </row>
    <row r="577" spans="32:32" x14ac:dyDescent="0.2">
      <c r="AF577" s="134"/>
    </row>
    <row r="578" spans="32:32" x14ac:dyDescent="0.2">
      <c r="AF578" s="134"/>
    </row>
    <row r="579" spans="32:32" x14ac:dyDescent="0.2">
      <c r="AF579" s="134"/>
    </row>
    <row r="580" spans="32:32" x14ac:dyDescent="0.2">
      <c r="AF580" s="134"/>
    </row>
    <row r="581" spans="32:32" x14ac:dyDescent="0.2">
      <c r="AF581" s="134"/>
    </row>
    <row r="582" spans="32:32" x14ac:dyDescent="0.2">
      <c r="AF582" s="134"/>
    </row>
    <row r="583" spans="32:32" x14ac:dyDescent="0.2">
      <c r="AF583" s="134"/>
    </row>
    <row r="584" spans="32:32" x14ac:dyDescent="0.2">
      <c r="AF584" s="134"/>
    </row>
    <row r="585" spans="32:32" x14ac:dyDescent="0.2">
      <c r="AF585" s="134"/>
    </row>
    <row r="586" spans="32:32" x14ac:dyDescent="0.2">
      <c r="AF586" s="134"/>
    </row>
    <row r="587" spans="32:32" x14ac:dyDescent="0.2">
      <c r="AF587" s="134"/>
    </row>
    <row r="588" spans="32:32" x14ac:dyDescent="0.2">
      <c r="AF588" s="134"/>
    </row>
    <row r="589" spans="32:32" x14ac:dyDescent="0.2">
      <c r="AF589" s="134"/>
    </row>
    <row r="590" spans="32:32" x14ac:dyDescent="0.2">
      <c r="AF590" s="134"/>
    </row>
    <row r="591" spans="32:32" x14ac:dyDescent="0.2">
      <c r="AF591" s="134"/>
    </row>
    <row r="592" spans="32:32" x14ac:dyDescent="0.2">
      <c r="AF592" s="134"/>
    </row>
    <row r="593" spans="32:32" x14ac:dyDescent="0.2">
      <c r="AF593" s="134"/>
    </row>
    <row r="594" spans="32:32" x14ac:dyDescent="0.2">
      <c r="AF594" s="134"/>
    </row>
    <row r="595" spans="32:32" x14ac:dyDescent="0.2">
      <c r="AF595" s="134"/>
    </row>
    <row r="596" spans="32:32" x14ac:dyDescent="0.2">
      <c r="AF596" s="134"/>
    </row>
    <row r="597" spans="32:32" x14ac:dyDescent="0.2">
      <c r="AF597" s="134"/>
    </row>
    <row r="598" spans="32:32" x14ac:dyDescent="0.2">
      <c r="AF598" s="134"/>
    </row>
    <row r="599" spans="32:32" x14ac:dyDescent="0.2">
      <c r="AF599" s="134"/>
    </row>
    <row r="600" spans="32:32" x14ac:dyDescent="0.2">
      <c r="AF600" s="134"/>
    </row>
    <row r="601" spans="32:32" x14ac:dyDescent="0.2">
      <c r="AF601" s="134"/>
    </row>
    <row r="602" spans="32:32" x14ac:dyDescent="0.2">
      <c r="AF602" s="134"/>
    </row>
    <row r="603" spans="32:32" x14ac:dyDescent="0.2">
      <c r="AF603" s="134"/>
    </row>
    <row r="604" spans="32:32" x14ac:dyDescent="0.2">
      <c r="AF604" s="134"/>
    </row>
    <row r="605" spans="32:32" x14ac:dyDescent="0.2">
      <c r="AF605" s="134"/>
    </row>
    <row r="606" spans="32:32" x14ac:dyDescent="0.2">
      <c r="AF606" s="134"/>
    </row>
    <row r="607" spans="32:32" x14ac:dyDescent="0.2">
      <c r="AF607" s="134"/>
    </row>
    <row r="608" spans="32:32" x14ac:dyDescent="0.2">
      <c r="AF608" s="134"/>
    </row>
    <row r="609" spans="32:32" x14ac:dyDescent="0.2">
      <c r="AF609" s="134"/>
    </row>
    <row r="610" spans="32:32" x14ac:dyDescent="0.2">
      <c r="AF610" s="134"/>
    </row>
    <row r="611" spans="32:32" x14ac:dyDescent="0.2">
      <c r="AF611" s="134"/>
    </row>
    <row r="612" spans="32:32" x14ac:dyDescent="0.2">
      <c r="AF612" s="134"/>
    </row>
    <row r="613" spans="32:32" x14ac:dyDescent="0.2">
      <c r="AF613" s="134"/>
    </row>
    <row r="614" spans="32:32" x14ac:dyDescent="0.2">
      <c r="AF614" s="134"/>
    </row>
    <row r="615" spans="32:32" x14ac:dyDescent="0.2">
      <c r="AF615" s="134"/>
    </row>
    <row r="616" spans="32:32" x14ac:dyDescent="0.2">
      <c r="AF616" s="134"/>
    </row>
    <row r="617" spans="32:32" x14ac:dyDescent="0.2">
      <c r="AF617" s="134"/>
    </row>
    <row r="618" spans="32:32" x14ac:dyDescent="0.2">
      <c r="AF618" s="134"/>
    </row>
    <row r="619" spans="32:32" x14ac:dyDescent="0.2">
      <c r="AF619" s="134"/>
    </row>
    <row r="620" spans="32:32" x14ac:dyDescent="0.2">
      <c r="AF620" s="134"/>
    </row>
    <row r="621" spans="32:32" x14ac:dyDescent="0.2">
      <c r="AF621" s="134"/>
    </row>
    <row r="622" spans="32:32" x14ac:dyDescent="0.2">
      <c r="AF622" s="134"/>
    </row>
    <row r="623" spans="32:32" x14ac:dyDescent="0.2">
      <c r="AF623" s="134"/>
    </row>
    <row r="624" spans="32:32" x14ac:dyDescent="0.2">
      <c r="AF624" s="134"/>
    </row>
    <row r="625" spans="32:32" x14ac:dyDescent="0.2">
      <c r="AF625" s="134"/>
    </row>
    <row r="626" spans="32:32" x14ac:dyDescent="0.2">
      <c r="AF626" s="134"/>
    </row>
    <row r="627" spans="32:32" x14ac:dyDescent="0.2">
      <c r="AF627" s="134"/>
    </row>
    <row r="628" spans="32:32" x14ac:dyDescent="0.2">
      <c r="AF628" s="134"/>
    </row>
    <row r="629" spans="32:32" x14ac:dyDescent="0.2">
      <c r="AF629" s="134"/>
    </row>
    <row r="630" spans="32:32" x14ac:dyDescent="0.2">
      <c r="AF630" s="134"/>
    </row>
    <row r="631" spans="32:32" x14ac:dyDescent="0.2">
      <c r="AF631" s="134"/>
    </row>
    <row r="632" spans="32:32" x14ac:dyDescent="0.2">
      <c r="AF632" s="134"/>
    </row>
    <row r="633" spans="32:32" x14ac:dyDescent="0.2">
      <c r="AF633" s="134"/>
    </row>
    <row r="634" spans="32:32" x14ac:dyDescent="0.2">
      <c r="AF634" s="134"/>
    </row>
    <row r="635" spans="32:32" x14ac:dyDescent="0.2">
      <c r="AF635" s="134"/>
    </row>
    <row r="636" spans="32:32" x14ac:dyDescent="0.2">
      <c r="AF636" s="134"/>
    </row>
    <row r="637" spans="32:32" x14ac:dyDescent="0.2">
      <c r="AF637" s="134"/>
    </row>
    <row r="638" spans="32:32" x14ac:dyDescent="0.2">
      <c r="AF638" s="134"/>
    </row>
    <row r="639" spans="32:32" x14ac:dyDescent="0.2">
      <c r="AF639" s="134"/>
    </row>
    <row r="640" spans="32:32" x14ac:dyDescent="0.2">
      <c r="AF640" s="134"/>
    </row>
    <row r="641" spans="32:32" x14ac:dyDescent="0.2">
      <c r="AF641" s="134"/>
    </row>
    <row r="642" spans="32:32" x14ac:dyDescent="0.2">
      <c r="AF642" s="134"/>
    </row>
    <row r="643" spans="32:32" x14ac:dyDescent="0.2">
      <c r="AF643" s="134"/>
    </row>
    <row r="644" spans="32:32" x14ac:dyDescent="0.2">
      <c r="AF644" s="134"/>
    </row>
    <row r="645" spans="32:32" x14ac:dyDescent="0.2">
      <c r="AF645" s="134"/>
    </row>
    <row r="646" spans="32:32" x14ac:dyDescent="0.2">
      <c r="AF646" s="134"/>
    </row>
    <row r="647" spans="32:32" x14ac:dyDescent="0.2">
      <c r="AF647" s="134"/>
    </row>
    <row r="648" spans="32:32" x14ac:dyDescent="0.2">
      <c r="AF648" s="134"/>
    </row>
    <row r="649" spans="32:32" x14ac:dyDescent="0.2">
      <c r="AF649" s="134"/>
    </row>
    <row r="650" spans="32:32" x14ac:dyDescent="0.2">
      <c r="AF650" s="134"/>
    </row>
    <row r="651" spans="32:32" x14ac:dyDescent="0.2">
      <c r="AF651" s="134"/>
    </row>
    <row r="652" spans="32:32" x14ac:dyDescent="0.2">
      <c r="AF652" s="134"/>
    </row>
    <row r="653" spans="32:32" x14ac:dyDescent="0.2">
      <c r="AF653" s="134"/>
    </row>
    <row r="654" spans="32:32" x14ac:dyDescent="0.2">
      <c r="AF654" s="134"/>
    </row>
    <row r="655" spans="32:32" x14ac:dyDescent="0.2">
      <c r="AF655" s="134"/>
    </row>
    <row r="656" spans="32:32" x14ac:dyDescent="0.2">
      <c r="AF656" s="134"/>
    </row>
    <row r="657" spans="32:32" x14ac:dyDescent="0.2">
      <c r="AF657" s="134"/>
    </row>
    <row r="658" spans="32:32" x14ac:dyDescent="0.2">
      <c r="AF658" s="134"/>
    </row>
    <row r="659" spans="32:32" x14ac:dyDescent="0.2">
      <c r="AF659" s="134"/>
    </row>
    <row r="660" spans="32:32" x14ac:dyDescent="0.2">
      <c r="AF660" s="134"/>
    </row>
    <row r="661" spans="32:32" x14ac:dyDescent="0.2">
      <c r="AF661" s="134"/>
    </row>
    <row r="662" spans="32:32" x14ac:dyDescent="0.2">
      <c r="AF662" s="134"/>
    </row>
    <row r="663" spans="32:32" x14ac:dyDescent="0.2">
      <c r="AF663" s="134"/>
    </row>
    <row r="664" spans="32:32" x14ac:dyDescent="0.2">
      <c r="AF664" s="134"/>
    </row>
    <row r="665" spans="32:32" x14ac:dyDescent="0.2">
      <c r="AF665" s="134"/>
    </row>
    <row r="666" spans="32:32" x14ac:dyDescent="0.2">
      <c r="AF666" s="134"/>
    </row>
    <row r="667" spans="32:32" x14ac:dyDescent="0.2">
      <c r="AF667" s="134"/>
    </row>
    <row r="668" spans="32:32" x14ac:dyDescent="0.2">
      <c r="AF668" s="134"/>
    </row>
    <row r="669" spans="32:32" x14ac:dyDescent="0.2">
      <c r="AF669" s="134"/>
    </row>
    <row r="670" spans="32:32" x14ac:dyDescent="0.2">
      <c r="AF670" s="134"/>
    </row>
    <row r="671" spans="32:32" x14ac:dyDescent="0.2">
      <c r="AF671" s="134"/>
    </row>
    <row r="672" spans="32:32" x14ac:dyDescent="0.2">
      <c r="AF672" s="134"/>
    </row>
    <row r="673" spans="32:32" x14ac:dyDescent="0.2">
      <c r="AF673" s="134"/>
    </row>
    <row r="674" spans="32:32" x14ac:dyDescent="0.2">
      <c r="AF674" s="134"/>
    </row>
    <row r="675" spans="32:32" x14ac:dyDescent="0.2">
      <c r="AF675" s="134"/>
    </row>
    <row r="676" spans="32:32" x14ac:dyDescent="0.2">
      <c r="AF676" s="134"/>
    </row>
    <row r="677" spans="32:32" x14ac:dyDescent="0.2">
      <c r="AF677" s="134"/>
    </row>
    <row r="678" spans="32:32" x14ac:dyDescent="0.2">
      <c r="AF678" s="134"/>
    </row>
    <row r="679" spans="32:32" x14ac:dyDescent="0.2">
      <c r="AF679" s="134"/>
    </row>
    <row r="680" spans="32:32" x14ac:dyDescent="0.2">
      <c r="AF680" s="134"/>
    </row>
    <row r="681" spans="32:32" x14ac:dyDescent="0.2">
      <c r="AF681" s="134"/>
    </row>
    <row r="682" spans="32:32" x14ac:dyDescent="0.2">
      <c r="AF682" s="134"/>
    </row>
    <row r="683" spans="32:32" x14ac:dyDescent="0.2">
      <c r="AF683" s="134"/>
    </row>
    <row r="684" spans="32:32" x14ac:dyDescent="0.2">
      <c r="AF684" s="134"/>
    </row>
    <row r="685" spans="32:32" x14ac:dyDescent="0.2">
      <c r="AF685" s="134"/>
    </row>
    <row r="686" spans="32:32" x14ac:dyDescent="0.2">
      <c r="AF686" s="134"/>
    </row>
    <row r="687" spans="32:32" x14ac:dyDescent="0.2">
      <c r="AF687" s="134"/>
    </row>
    <row r="688" spans="32:32" x14ac:dyDescent="0.2">
      <c r="AF688" s="134"/>
    </row>
    <row r="689" spans="32:32" x14ac:dyDescent="0.2">
      <c r="AF689" s="134"/>
    </row>
    <row r="690" spans="32:32" x14ac:dyDescent="0.2">
      <c r="AF690" s="134"/>
    </row>
    <row r="691" spans="32:32" x14ac:dyDescent="0.2">
      <c r="AF691" s="134"/>
    </row>
    <row r="692" spans="32:32" x14ac:dyDescent="0.2">
      <c r="AF692" s="134"/>
    </row>
    <row r="693" spans="32:32" x14ac:dyDescent="0.2">
      <c r="AF693" s="134"/>
    </row>
    <row r="694" spans="32:32" x14ac:dyDescent="0.2">
      <c r="AF694" s="134"/>
    </row>
    <row r="695" spans="32:32" x14ac:dyDescent="0.2">
      <c r="AF695" s="134"/>
    </row>
    <row r="696" spans="32:32" x14ac:dyDescent="0.2">
      <c r="AF696" s="134"/>
    </row>
    <row r="697" spans="32:32" x14ac:dyDescent="0.2">
      <c r="AF697" s="134"/>
    </row>
    <row r="698" spans="32:32" x14ac:dyDescent="0.2">
      <c r="AF698" s="134"/>
    </row>
    <row r="699" spans="32:32" x14ac:dyDescent="0.2">
      <c r="AF699" s="134"/>
    </row>
    <row r="700" spans="32:32" x14ac:dyDescent="0.2">
      <c r="AF700" s="134"/>
    </row>
    <row r="701" spans="32:32" x14ac:dyDescent="0.2">
      <c r="AF701" s="134"/>
    </row>
    <row r="702" spans="32:32" x14ac:dyDescent="0.2">
      <c r="AF702" s="134"/>
    </row>
    <row r="703" spans="32:32" x14ac:dyDescent="0.2">
      <c r="AF703" s="134"/>
    </row>
    <row r="704" spans="32:32" x14ac:dyDescent="0.2">
      <c r="AF704" s="134"/>
    </row>
    <row r="705" spans="32:32" x14ac:dyDescent="0.2">
      <c r="AF705" s="134"/>
    </row>
    <row r="706" spans="32:32" x14ac:dyDescent="0.2">
      <c r="AF706" s="134"/>
    </row>
    <row r="707" spans="32:32" x14ac:dyDescent="0.2">
      <c r="AF707" s="134"/>
    </row>
    <row r="708" spans="32:32" x14ac:dyDescent="0.2">
      <c r="AF708" s="134"/>
    </row>
    <row r="709" spans="32:32" x14ac:dyDescent="0.2">
      <c r="AF709" s="134"/>
    </row>
    <row r="710" spans="32:32" x14ac:dyDescent="0.2">
      <c r="AF710" s="134"/>
    </row>
    <row r="711" spans="32:32" x14ac:dyDescent="0.2">
      <c r="AF711" s="134"/>
    </row>
    <row r="712" spans="32:32" x14ac:dyDescent="0.2">
      <c r="AF712" s="134"/>
    </row>
    <row r="713" spans="32:32" x14ac:dyDescent="0.2">
      <c r="AF713" s="134"/>
    </row>
    <row r="714" spans="32:32" x14ac:dyDescent="0.2">
      <c r="AF714" s="134"/>
    </row>
    <row r="715" spans="32:32" x14ac:dyDescent="0.2">
      <c r="AF715" s="134"/>
    </row>
    <row r="716" spans="32:32" x14ac:dyDescent="0.2">
      <c r="AF716" s="134"/>
    </row>
    <row r="717" spans="32:32" x14ac:dyDescent="0.2">
      <c r="AF717" s="134"/>
    </row>
    <row r="718" spans="32:32" x14ac:dyDescent="0.2">
      <c r="AF718" s="134"/>
    </row>
    <row r="719" spans="32:32" x14ac:dyDescent="0.2">
      <c r="AF719" s="134"/>
    </row>
    <row r="720" spans="32:32" x14ac:dyDescent="0.2">
      <c r="AF720" s="134"/>
    </row>
    <row r="721" spans="32:32" x14ac:dyDescent="0.2">
      <c r="AF721" s="134"/>
    </row>
    <row r="722" spans="32:32" x14ac:dyDescent="0.2">
      <c r="AF722" s="134"/>
    </row>
    <row r="723" spans="32:32" x14ac:dyDescent="0.2">
      <c r="AF723" s="134"/>
    </row>
    <row r="724" spans="32:32" x14ac:dyDescent="0.2">
      <c r="AF724" s="134"/>
    </row>
    <row r="725" spans="32:32" x14ac:dyDescent="0.2">
      <c r="AF725" s="134"/>
    </row>
    <row r="726" spans="32:32" x14ac:dyDescent="0.2">
      <c r="AF726" s="134"/>
    </row>
    <row r="727" spans="32:32" x14ac:dyDescent="0.2">
      <c r="AF727" s="134"/>
    </row>
    <row r="728" spans="32:32" x14ac:dyDescent="0.2">
      <c r="AF728" s="134"/>
    </row>
    <row r="729" spans="32:32" x14ac:dyDescent="0.2">
      <c r="AF729" s="134"/>
    </row>
    <row r="730" spans="32:32" x14ac:dyDescent="0.2">
      <c r="AF730" s="134"/>
    </row>
    <row r="731" spans="32:32" x14ac:dyDescent="0.2">
      <c r="AF731" s="134"/>
    </row>
    <row r="732" spans="32:32" x14ac:dyDescent="0.2">
      <c r="AF732" s="134"/>
    </row>
    <row r="733" spans="32:32" x14ac:dyDescent="0.2">
      <c r="AF733" s="134"/>
    </row>
    <row r="734" spans="32:32" x14ac:dyDescent="0.2">
      <c r="AF734" s="134"/>
    </row>
    <row r="735" spans="32:32" x14ac:dyDescent="0.2">
      <c r="AF735" s="134"/>
    </row>
    <row r="736" spans="32:32" x14ac:dyDescent="0.2">
      <c r="AF736" s="134"/>
    </row>
    <row r="737" spans="32:32" x14ac:dyDescent="0.2">
      <c r="AF737" s="134"/>
    </row>
  </sheetData>
  <mergeCells count="1">
    <mergeCell ref="P3:T3"/>
  </mergeCells>
  <phoneticPr fontId="0" type="noConversion"/>
  <pageMargins left="0.75" right="0.75" top="1" bottom="1" header="0.5" footer="0.5"/>
  <pageSetup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737"/>
  <sheetViews>
    <sheetView workbookViewId="0">
      <pane xSplit="2" ySplit="9" topLeftCell="C11" activePane="bottomRight" state="frozen"/>
      <selection pane="topRight" activeCell="C1" sqref="C1"/>
      <selection pane="bottomLeft" activeCell="A10" sqref="A10"/>
      <selection pane="bottomRight" activeCell="A39" sqref="A39"/>
    </sheetView>
  </sheetViews>
  <sheetFormatPr defaultRowHeight="12.75" x14ac:dyDescent="0.2"/>
  <cols>
    <col min="1" max="1" width="5.5703125" customWidth="1"/>
    <col min="2" max="2" width="6.85546875" customWidth="1"/>
    <col min="4" max="4" width="11" customWidth="1"/>
    <col min="5" max="7" width="10.5703125" customWidth="1"/>
    <col min="9" max="10" width="12" customWidth="1"/>
    <col min="11" max="11" width="12.42578125" customWidth="1"/>
    <col min="12" max="12" width="11.5703125" customWidth="1"/>
    <col min="14" max="15" width="10.7109375" customWidth="1"/>
    <col min="16" max="16" width="9.5703125" customWidth="1"/>
    <col min="17" max="17" width="9.85546875" customWidth="1"/>
    <col min="19" max="20" width="11.7109375" customWidth="1"/>
    <col min="21" max="21" width="11.140625" customWidth="1"/>
    <col min="22" max="22" width="10.140625" customWidth="1"/>
    <col min="24" max="24" width="9.5703125" customWidth="1"/>
    <col min="25" max="25" width="9.28515625" customWidth="1"/>
    <col min="27" max="27" width="10.42578125" customWidth="1"/>
    <col min="28" max="28" width="10.28515625" customWidth="1"/>
    <col min="30" max="30" width="5.7109375" customWidth="1"/>
    <col min="34" max="34" width="6.42578125" customWidth="1"/>
    <col min="36" max="36" width="10.7109375" customWidth="1"/>
    <col min="40" max="40" width="11.140625" customWidth="1"/>
    <col min="43" max="43" width="9.5703125" customWidth="1"/>
    <col min="45" max="45" width="11.42578125" customWidth="1"/>
    <col min="50" max="50" width="11.7109375" customWidth="1"/>
    <col min="51" max="52" width="10.85546875" customWidth="1"/>
    <col min="53" max="53" width="7.140625" customWidth="1"/>
    <col min="54" max="54" width="12.85546875" customWidth="1"/>
    <col min="55" max="56" width="11" customWidth="1"/>
    <col min="58" max="58" width="11.140625" customWidth="1"/>
    <col min="59" max="59" width="8.42578125" customWidth="1"/>
    <col min="60" max="60" width="10.42578125" customWidth="1"/>
  </cols>
  <sheetData>
    <row r="1" spans="1:68" ht="15.75" x14ac:dyDescent="0.25">
      <c r="A1" s="133"/>
      <c r="B1" s="133"/>
      <c r="D1" s="137" t="s">
        <v>736</v>
      </c>
      <c r="AH1" s="134"/>
    </row>
    <row r="2" spans="1:68" x14ac:dyDescent="0.2">
      <c r="A2" s="133" t="s">
        <v>340</v>
      </c>
      <c r="B2" s="133" t="s">
        <v>310</v>
      </c>
      <c r="AH2" s="134"/>
    </row>
    <row r="3" spans="1:68" x14ac:dyDescent="0.2">
      <c r="A3" s="133"/>
      <c r="B3" s="133"/>
      <c r="AH3" s="134"/>
    </row>
    <row r="4" spans="1:68" x14ac:dyDescent="0.2">
      <c r="A4" s="133"/>
      <c r="B4" s="133"/>
      <c r="AH4" s="134"/>
    </row>
    <row r="5" spans="1:68" x14ac:dyDescent="0.2">
      <c r="A5" s="133"/>
      <c r="B5" s="133"/>
      <c r="D5" s="6" t="s">
        <v>760</v>
      </c>
      <c r="I5" s="6" t="s">
        <v>722</v>
      </c>
      <c r="J5" s="6"/>
      <c r="N5" s="6" t="s">
        <v>682</v>
      </c>
      <c r="O5" s="6"/>
      <c r="S5" s="6" t="s">
        <v>685</v>
      </c>
      <c r="T5" s="6"/>
      <c r="X5" s="6" t="s">
        <v>109</v>
      </c>
      <c r="Y5" s="6"/>
      <c r="AH5" s="134"/>
      <c r="AJ5" s="6" t="s">
        <v>694</v>
      </c>
      <c r="AN5" s="6" t="s">
        <v>695</v>
      </c>
      <c r="AS5" s="6" t="s">
        <v>696</v>
      </c>
      <c r="AT5" s="6"/>
      <c r="AU5" s="6"/>
      <c r="AX5" s="6" t="s">
        <v>698</v>
      </c>
      <c r="BB5" s="6" t="s">
        <v>699</v>
      </c>
      <c r="BF5" s="6" t="s">
        <v>700</v>
      </c>
      <c r="BJ5" s="6" t="s">
        <v>705</v>
      </c>
      <c r="BN5" s="6" t="s">
        <v>706</v>
      </c>
    </row>
    <row r="6" spans="1:68" x14ac:dyDescent="0.2">
      <c r="A6" s="133"/>
      <c r="B6" s="133"/>
      <c r="X6" s="149" t="s">
        <v>711</v>
      </c>
      <c r="Y6" s="149" t="s">
        <v>712</v>
      </c>
      <c r="Z6" s="149" t="s">
        <v>713</v>
      </c>
      <c r="AA6" s="149" t="s">
        <v>714</v>
      </c>
      <c r="AB6" s="149" t="s">
        <v>715</v>
      </c>
      <c r="AC6" s="149" t="s">
        <v>716</v>
      </c>
      <c r="AD6" s="149"/>
      <c r="AE6" s="149" t="s">
        <v>720</v>
      </c>
      <c r="AH6" s="134"/>
      <c r="AS6" s="6" t="s">
        <v>697</v>
      </c>
      <c r="AT6" s="6"/>
      <c r="AU6" s="6"/>
    </row>
    <row r="7" spans="1:68" ht="53.45" customHeight="1" x14ac:dyDescent="0.2">
      <c r="A7" s="133"/>
      <c r="B7" s="133"/>
      <c r="D7" s="273" t="s">
        <v>594</v>
      </c>
      <c r="E7" s="126" t="s">
        <v>595</v>
      </c>
      <c r="F7" s="126" t="s">
        <v>596</v>
      </c>
      <c r="G7" s="126" t="s">
        <v>690</v>
      </c>
      <c r="H7" s="1"/>
      <c r="I7" s="273" t="str">
        <f>D7</f>
        <v>Commuter Rail</v>
      </c>
      <c r="J7" s="126" t="str">
        <f>E7</f>
        <v>Heavy Rail</v>
      </c>
      <c r="K7" s="126" t="str">
        <f>F7</f>
        <v>Light Rail</v>
      </c>
      <c r="L7" s="126" t="s">
        <v>690</v>
      </c>
      <c r="M7" s="1"/>
      <c r="N7" s="273" t="str">
        <f>D7</f>
        <v>Commuter Rail</v>
      </c>
      <c r="O7" s="126" t="str">
        <f>E7</f>
        <v>Heavy Rail</v>
      </c>
      <c r="P7" s="126" t="str">
        <f>F7</f>
        <v>Light Rail</v>
      </c>
      <c r="Q7" s="126" t="str">
        <f>G7</f>
        <v xml:space="preserve">   Total</v>
      </c>
      <c r="R7" s="1"/>
      <c r="S7" s="273" t="str">
        <f>D7</f>
        <v>Commuter Rail</v>
      </c>
      <c r="T7" s="126" t="str">
        <f>E7</f>
        <v>Heavy Rail</v>
      </c>
      <c r="U7" s="126" t="str">
        <f>F7</f>
        <v>Light Rail</v>
      </c>
      <c r="V7" s="126" t="str">
        <f>G7</f>
        <v xml:space="preserve">   Total</v>
      </c>
      <c r="W7" s="1"/>
      <c r="X7" s="150" t="s">
        <v>665</v>
      </c>
      <c r="Y7" s="150" t="s">
        <v>707</v>
      </c>
      <c r="Z7" s="306" t="s">
        <v>118</v>
      </c>
      <c r="AA7" s="306" t="s">
        <v>708</v>
      </c>
      <c r="AB7" s="150" t="s">
        <v>692</v>
      </c>
      <c r="AC7" s="150" t="s">
        <v>709</v>
      </c>
      <c r="AD7" s="150"/>
      <c r="AE7" s="150" t="s">
        <v>710</v>
      </c>
      <c r="AH7" s="134"/>
      <c r="AJ7" s="126" t="str">
        <f>D7</f>
        <v>Commuter Rail</v>
      </c>
      <c r="AK7" s="126" t="str">
        <f>E7</f>
        <v>Heavy Rail</v>
      </c>
      <c r="AL7" s="126" t="str">
        <f>F7</f>
        <v>Light Rail</v>
      </c>
      <c r="AN7" s="126" t="str">
        <f>D7</f>
        <v>Commuter Rail</v>
      </c>
      <c r="AO7" s="126" t="str">
        <f>E7</f>
        <v>Heavy Rail</v>
      </c>
      <c r="AP7" s="126" t="str">
        <f>F7</f>
        <v>Light Rail</v>
      </c>
      <c r="AQ7" s="126" t="str">
        <f>G7</f>
        <v xml:space="preserve">   Total</v>
      </c>
      <c r="AR7" s="1"/>
      <c r="AS7" s="126" t="str">
        <f>D7</f>
        <v>Commuter Rail</v>
      </c>
      <c r="AT7" s="126" t="str">
        <f>E7</f>
        <v>Heavy Rail</v>
      </c>
      <c r="AU7" s="126" t="str">
        <f>F7</f>
        <v>Light Rail</v>
      </c>
      <c r="AV7" s="1"/>
      <c r="AW7" s="1"/>
      <c r="AX7" s="126" t="str">
        <f>D7</f>
        <v>Commuter Rail</v>
      </c>
      <c r="AY7" s="126" t="str">
        <f>E7</f>
        <v>Heavy Rail</v>
      </c>
      <c r="AZ7" s="126" t="str">
        <f>F7</f>
        <v>Light Rail</v>
      </c>
      <c r="BA7" s="1"/>
      <c r="BB7" s="126" t="str">
        <f>D7</f>
        <v>Commuter Rail</v>
      </c>
      <c r="BC7" s="126" t="str">
        <f>E7</f>
        <v>Heavy Rail</v>
      </c>
      <c r="BD7" s="126" t="str">
        <f>F7</f>
        <v>Light Rail</v>
      </c>
      <c r="BE7" s="1"/>
      <c r="BF7" s="126" t="str">
        <f>D7</f>
        <v>Commuter Rail</v>
      </c>
      <c r="BG7" s="126" t="str">
        <f>E7</f>
        <v>Heavy Rail</v>
      </c>
      <c r="BH7" s="126" t="str">
        <f>F7</f>
        <v>Light Rail</v>
      </c>
      <c r="BI7" s="1"/>
      <c r="BJ7" s="148" t="s">
        <v>701</v>
      </c>
      <c r="BK7" s="148" t="s">
        <v>702</v>
      </c>
      <c r="BL7" s="148" t="s">
        <v>702</v>
      </c>
      <c r="BN7" s="148" t="s">
        <v>701</v>
      </c>
      <c r="BO7" s="148" t="s">
        <v>702</v>
      </c>
      <c r="BP7" s="148" t="s">
        <v>702</v>
      </c>
    </row>
    <row r="8" spans="1:68" ht="28.5" customHeight="1" x14ac:dyDescent="0.2">
      <c r="A8" s="133"/>
      <c r="B8" s="133"/>
      <c r="D8" s="135" t="s">
        <v>663</v>
      </c>
      <c r="E8" s="135" t="s">
        <v>663</v>
      </c>
      <c r="F8" s="135" t="s">
        <v>663</v>
      </c>
      <c r="G8" s="135" t="s">
        <v>691</v>
      </c>
      <c r="H8" s="1"/>
      <c r="I8" s="135"/>
      <c r="J8" s="135"/>
      <c r="K8" s="135"/>
      <c r="L8" s="135"/>
      <c r="M8" s="1"/>
      <c r="N8" s="135"/>
      <c r="O8" s="135"/>
      <c r="P8" s="135"/>
      <c r="Q8" s="135"/>
      <c r="R8" s="1"/>
      <c r="S8" s="135"/>
      <c r="T8" s="135"/>
      <c r="U8" s="135"/>
      <c r="V8" s="135"/>
      <c r="W8" s="1"/>
      <c r="X8" s="151"/>
      <c r="Y8" s="151"/>
      <c r="Z8" s="151"/>
      <c r="AA8" s="151"/>
      <c r="AB8" s="152" t="s">
        <v>718</v>
      </c>
      <c r="AC8" s="152" t="s">
        <v>719</v>
      </c>
      <c r="AD8" s="151"/>
      <c r="AE8" s="151"/>
      <c r="AH8" s="134"/>
      <c r="BJ8" t="s">
        <v>703</v>
      </c>
      <c r="BK8" t="s">
        <v>703</v>
      </c>
      <c r="BL8" t="s">
        <v>704</v>
      </c>
      <c r="BN8" t="s">
        <v>703</v>
      </c>
      <c r="BO8" t="s">
        <v>703</v>
      </c>
      <c r="BP8" t="s">
        <v>704</v>
      </c>
    </row>
    <row r="9" spans="1:68" ht="18.75" customHeight="1" thickBot="1" x14ac:dyDescent="0.25">
      <c r="A9" s="133"/>
      <c r="B9" s="133"/>
      <c r="D9" s="135" t="s">
        <v>761</v>
      </c>
      <c r="E9" s="135" t="s">
        <v>762</v>
      </c>
      <c r="F9" s="135" t="s">
        <v>762</v>
      </c>
      <c r="G9" s="135"/>
      <c r="H9" s="1"/>
      <c r="I9" s="135" t="s">
        <v>688</v>
      </c>
      <c r="J9" s="135" t="s">
        <v>688</v>
      </c>
      <c r="K9" s="135" t="s">
        <v>687</v>
      </c>
      <c r="L9" s="135" t="s">
        <v>687</v>
      </c>
      <c r="M9" s="1"/>
      <c r="N9" s="135" t="s">
        <v>686</v>
      </c>
      <c r="O9" s="135" t="s">
        <v>686</v>
      </c>
      <c r="P9" s="135" t="s">
        <v>686</v>
      </c>
      <c r="Q9" s="135" t="s">
        <v>686</v>
      </c>
      <c r="R9" s="1"/>
      <c r="S9" s="135" t="s">
        <v>689</v>
      </c>
      <c r="T9" s="135" t="s">
        <v>689</v>
      </c>
      <c r="U9" s="135" t="s">
        <v>689</v>
      </c>
      <c r="V9" s="135" t="s">
        <v>689</v>
      </c>
      <c r="W9" s="1"/>
      <c r="X9" s="153"/>
      <c r="Y9" s="153"/>
      <c r="Z9" s="153"/>
      <c r="AA9" s="153"/>
      <c r="AB9" s="153"/>
      <c r="AC9" s="153"/>
      <c r="AD9" s="153"/>
      <c r="AE9" s="153"/>
      <c r="AH9" s="134"/>
      <c r="BJ9" s="130"/>
      <c r="BK9" s="130"/>
      <c r="BL9" s="130"/>
      <c r="BN9" s="130"/>
      <c r="BO9" s="130"/>
      <c r="BP9" s="130"/>
    </row>
    <row r="10" spans="1:68" x14ac:dyDescent="0.2">
      <c r="A10" s="133" t="s">
        <v>664</v>
      </c>
      <c r="B10" s="133">
        <v>1949</v>
      </c>
      <c r="I10" s="4"/>
      <c r="J10" s="4"/>
      <c r="K10" s="21"/>
      <c r="L10" s="4"/>
      <c r="X10" s="131"/>
      <c r="Y10" s="131"/>
      <c r="Z10" s="131"/>
      <c r="AA10" s="131"/>
      <c r="AB10" s="131"/>
      <c r="AC10" s="131"/>
      <c r="AD10" s="131"/>
      <c r="AE10" s="131"/>
      <c r="AH10" s="134"/>
      <c r="AJ10" t="e">
        <f t="shared" ref="AJ10:AJ41" si="0">D10/G10</f>
        <v>#DIV/0!</v>
      </c>
      <c r="AK10" t="e">
        <f t="shared" ref="AK10:AK41" si="1">E10/G10</f>
        <v>#DIV/0!</v>
      </c>
      <c r="AL10" t="e">
        <f t="shared" ref="AL10:AL41" si="2">F10/G10</f>
        <v>#DIV/0!</v>
      </c>
      <c r="BB10" t="e">
        <f t="shared" ref="BB10:BB41" si="3">I10/L10</f>
        <v>#DIV/0!</v>
      </c>
      <c r="BC10" t="e">
        <f t="shared" ref="BC10:BC41" si="4">J10/L10</f>
        <v>#DIV/0!</v>
      </c>
      <c r="BD10" t="e">
        <f t="shared" ref="BD10:BD41" si="5">K10/L10</f>
        <v>#DIV/0!</v>
      </c>
      <c r="BJ10" s="129"/>
      <c r="BK10" s="129">
        <v>1</v>
      </c>
      <c r="BL10" s="129">
        <f t="shared" ref="BL10:BL41" si="6">BK10/BK$74</f>
        <v>1.1425710180886028</v>
      </c>
      <c r="BM10" s="129"/>
      <c r="BN10" s="129"/>
      <c r="BO10" s="129">
        <v>1</v>
      </c>
      <c r="BP10" s="129">
        <f t="shared" ref="BP10:BP41" si="7">BO10/BO$74</f>
        <v>1.00476226326081</v>
      </c>
    </row>
    <row r="11" spans="1:68" x14ac:dyDescent="0.2">
      <c r="A11" s="133" t="s">
        <v>664</v>
      </c>
      <c r="B11" s="133">
        <f t="shared" ref="B11:B42" si="8">B10+1</f>
        <v>1950</v>
      </c>
      <c r="I11" s="4"/>
      <c r="J11" s="4"/>
      <c r="K11" s="21"/>
      <c r="L11" s="4"/>
      <c r="X11" s="131"/>
      <c r="Y11" s="131"/>
      <c r="Z11" s="131"/>
      <c r="AA11" s="131"/>
      <c r="AB11" s="131"/>
      <c r="AC11" s="131"/>
      <c r="AD11" s="131"/>
      <c r="AE11" s="131"/>
      <c r="AH11" s="134"/>
      <c r="AJ11" t="e">
        <f t="shared" si="0"/>
        <v>#DIV/0!</v>
      </c>
      <c r="AK11" t="e">
        <f t="shared" si="1"/>
        <v>#DIV/0!</v>
      </c>
      <c r="AL11" t="e">
        <f t="shared" si="2"/>
        <v>#DIV/0!</v>
      </c>
      <c r="AN11" t="e">
        <f t="shared" ref="AN11:AN42" si="9">(AJ11-AJ10)/LN(AJ11/AJ10)</f>
        <v>#DIV/0!</v>
      </c>
      <c r="AO11" t="e">
        <f t="shared" ref="AO11:AO42" si="10">(AK11-AK10)/LN(AK11/AK10)</f>
        <v>#DIV/0!</v>
      </c>
      <c r="AP11" t="e">
        <f t="shared" ref="AP11:AP42" si="11">(AL11-AL10)/LN(AL11/AL10)</f>
        <v>#DIV/0!</v>
      </c>
      <c r="AQ11" t="e">
        <f t="shared" ref="AQ11:AQ42" si="12">AN11+AO11+AP11</f>
        <v>#DIV/0!</v>
      </c>
      <c r="AS11" t="e">
        <f t="shared" ref="AS11:AS42" si="13">AN11/AQ11</f>
        <v>#DIV/0!</v>
      </c>
      <c r="AT11" t="e">
        <f t="shared" ref="AT11:AT42" si="14">AO11/AQ11</f>
        <v>#DIV/0!</v>
      </c>
      <c r="AU11" t="e">
        <f t="shared" ref="AU11:AU42" si="15">AP11/AQ11</f>
        <v>#DIV/0!</v>
      </c>
      <c r="AX11" t="e">
        <f t="shared" ref="AX11:AX42" si="16">LN(S11/S10)</f>
        <v>#DIV/0!</v>
      </c>
      <c r="AY11" t="e">
        <f t="shared" ref="AY11:AY42" si="17">LN(T11/T10)</f>
        <v>#DIV/0!</v>
      </c>
      <c r="AZ11" t="e">
        <f t="shared" ref="AZ11:AZ42" si="18">LN(U11/U10)</f>
        <v>#DIV/0!</v>
      </c>
      <c r="BB11" t="e">
        <f t="shared" si="3"/>
        <v>#DIV/0!</v>
      </c>
      <c r="BC11" t="e">
        <f t="shared" si="4"/>
        <v>#DIV/0!</v>
      </c>
      <c r="BD11" t="e">
        <f t="shared" si="5"/>
        <v>#DIV/0!</v>
      </c>
      <c r="BF11" t="e">
        <f t="shared" ref="BF11:BF42" si="19">LN(BB11/BB10)</f>
        <v>#DIV/0!</v>
      </c>
      <c r="BG11" t="e">
        <f t="shared" ref="BG11:BG42" si="20">LN(BC11/BC10)</f>
        <v>#DIV/0!</v>
      </c>
      <c r="BH11" t="e">
        <f t="shared" ref="BH11:BH42" si="21">LN(BD11/BD10)</f>
        <v>#DIV/0!</v>
      </c>
      <c r="BJ11" s="129" t="e">
        <f t="shared" ref="BJ11:BJ31" si="22">EXP(SUMPRODUCT($AN11:$AP11,AX11:AZ11))</f>
        <v>#DIV/0!</v>
      </c>
      <c r="BK11" s="129">
        <f t="shared" ref="BK11:BK42" si="23">IF(ISERR(BJ11),BK10,BJ11*BK10)</f>
        <v>1</v>
      </c>
      <c r="BL11" s="129">
        <f t="shared" si="6"/>
        <v>1.1425710180886028</v>
      </c>
      <c r="BM11" s="129"/>
      <c r="BN11" s="129" t="e">
        <f t="shared" ref="BN11:BN31" si="24">EXP(SUMPRODUCT($AN11:$AP11,BF11:BH11))</f>
        <v>#DIV/0!</v>
      </c>
      <c r="BO11" s="129">
        <f t="shared" ref="BO11:BO42" si="25">IF(ISERR(BN11),BO10,BN11*BO10)</f>
        <v>1</v>
      </c>
      <c r="BP11" s="129">
        <f t="shared" si="7"/>
        <v>1.00476226326081</v>
      </c>
    </row>
    <row r="12" spans="1:68" x14ac:dyDescent="0.2">
      <c r="A12" s="133" t="s">
        <v>664</v>
      </c>
      <c r="B12" s="133">
        <f t="shared" si="8"/>
        <v>1951</v>
      </c>
      <c r="I12" s="4"/>
      <c r="J12" s="4"/>
      <c r="K12" s="21"/>
      <c r="L12" s="4"/>
      <c r="X12" s="131"/>
      <c r="Y12" s="131"/>
      <c r="Z12" s="131"/>
      <c r="AA12" s="131"/>
      <c r="AB12" s="131"/>
      <c r="AC12" s="131"/>
      <c r="AD12" s="131"/>
      <c r="AE12" s="131"/>
      <c r="AH12" s="134"/>
      <c r="AJ12" t="e">
        <f t="shared" si="0"/>
        <v>#DIV/0!</v>
      </c>
      <c r="AK12" t="e">
        <f t="shared" si="1"/>
        <v>#DIV/0!</v>
      </c>
      <c r="AL12" t="e">
        <f t="shared" si="2"/>
        <v>#DIV/0!</v>
      </c>
      <c r="AN12" t="e">
        <f t="shared" si="9"/>
        <v>#DIV/0!</v>
      </c>
      <c r="AO12" t="e">
        <f t="shared" si="10"/>
        <v>#DIV/0!</v>
      </c>
      <c r="AP12" t="e">
        <f t="shared" si="11"/>
        <v>#DIV/0!</v>
      </c>
      <c r="AQ12" t="e">
        <f t="shared" si="12"/>
        <v>#DIV/0!</v>
      </c>
      <c r="AS12" t="e">
        <f t="shared" si="13"/>
        <v>#DIV/0!</v>
      </c>
      <c r="AT12" t="e">
        <f t="shared" si="14"/>
        <v>#DIV/0!</v>
      </c>
      <c r="AU12" t="e">
        <f t="shared" si="15"/>
        <v>#DIV/0!</v>
      </c>
      <c r="AX12" t="e">
        <f t="shared" si="16"/>
        <v>#DIV/0!</v>
      </c>
      <c r="AY12" t="e">
        <f t="shared" si="17"/>
        <v>#DIV/0!</v>
      </c>
      <c r="AZ12" t="e">
        <f t="shared" si="18"/>
        <v>#DIV/0!</v>
      </c>
      <c r="BB12" t="e">
        <f t="shared" si="3"/>
        <v>#DIV/0!</v>
      </c>
      <c r="BC12" t="e">
        <f t="shared" si="4"/>
        <v>#DIV/0!</v>
      </c>
      <c r="BD12" t="e">
        <f t="shared" si="5"/>
        <v>#DIV/0!</v>
      </c>
      <c r="BF12" t="e">
        <f t="shared" si="19"/>
        <v>#DIV/0!</v>
      </c>
      <c r="BG12" t="e">
        <f t="shared" si="20"/>
        <v>#DIV/0!</v>
      </c>
      <c r="BH12" t="e">
        <f t="shared" si="21"/>
        <v>#DIV/0!</v>
      </c>
      <c r="BJ12" s="129" t="e">
        <f t="shared" si="22"/>
        <v>#DIV/0!</v>
      </c>
      <c r="BK12" s="129">
        <f t="shared" si="23"/>
        <v>1</v>
      </c>
      <c r="BL12" s="129">
        <f t="shared" si="6"/>
        <v>1.1425710180886028</v>
      </c>
      <c r="BM12" s="129"/>
      <c r="BN12" s="129" t="e">
        <f t="shared" si="24"/>
        <v>#DIV/0!</v>
      </c>
      <c r="BO12" s="129">
        <f t="shared" si="25"/>
        <v>1</v>
      </c>
      <c r="BP12" s="129">
        <f t="shared" si="7"/>
        <v>1.00476226326081</v>
      </c>
    </row>
    <row r="13" spans="1:68" x14ac:dyDescent="0.2">
      <c r="A13" s="133" t="s">
        <v>664</v>
      </c>
      <c r="B13" s="133">
        <f t="shared" si="8"/>
        <v>1952</v>
      </c>
      <c r="I13" s="4"/>
      <c r="J13" s="4"/>
      <c r="K13" s="21"/>
      <c r="L13" s="4"/>
      <c r="X13" s="131"/>
      <c r="Y13" s="131"/>
      <c r="Z13" s="131"/>
      <c r="AA13" s="131"/>
      <c r="AB13" s="131"/>
      <c r="AC13" s="131"/>
      <c r="AD13" s="131"/>
      <c r="AE13" s="131"/>
      <c r="AH13" s="134"/>
      <c r="AJ13" t="e">
        <f t="shared" si="0"/>
        <v>#DIV/0!</v>
      </c>
      <c r="AK13" t="e">
        <f t="shared" si="1"/>
        <v>#DIV/0!</v>
      </c>
      <c r="AL13" t="e">
        <f t="shared" si="2"/>
        <v>#DIV/0!</v>
      </c>
      <c r="AN13" t="e">
        <f t="shared" si="9"/>
        <v>#DIV/0!</v>
      </c>
      <c r="AO13" t="e">
        <f t="shared" si="10"/>
        <v>#DIV/0!</v>
      </c>
      <c r="AP13" t="e">
        <f t="shared" si="11"/>
        <v>#DIV/0!</v>
      </c>
      <c r="AQ13" t="e">
        <f t="shared" si="12"/>
        <v>#DIV/0!</v>
      </c>
      <c r="AS13" t="e">
        <f t="shared" si="13"/>
        <v>#DIV/0!</v>
      </c>
      <c r="AT13" t="e">
        <f t="shared" si="14"/>
        <v>#DIV/0!</v>
      </c>
      <c r="AU13" t="e">
        <f t="shared" si="15"/>
        <v>#DIV/0!</v>
      </c>
      <c r="AX13" t="e">
        <f t="shared" si="16"/>
        <v>#DIV/0!</v>
      </c>
      <c r="AY13" t="e">
        <f t="shared" si="17"/>
        <v>#DIV/0!</v>
      </c>
      <c r="AZ13" t="e">
        <f t="shared" si="18"/>
        <v>#DIV/0!</v>
      </c>
      <c r="BB13" t="e">
        <f t="shared" si="3"/>
        <v>#DIV/0!</v>
      </c>
      <c r="BC13" t="e">
        <f t="shared" si="4"/>
        <v>#DIV/0!</v>
      </c>
      <c r="BD13" t="e">
        <f t="shared" si="5"/>
        <v>#DIV/0!</v>
      </c>
      <c r="BF13" t="e">
        <f t="shared" si="19"/>
        <v>#DIV/0!</v>
      </c>
      <c r="BG13" t="e">
        <f t="shared" si="20"/>
        <v>#DIV/0!</v>
      </c>
      <c r="BH13" t="e">
        <f t="shared" si="21"/>
        <v>#DIV/0!</v>
      </c>
      <c r="BJ13" s="129" t="e">
        <f t="shared" si="22"/>
        <v>#DIV/0!</v>
      </c>
      <c r="BK13" s="129">
        <f t="shared" si="23"/>
        <v>1</v>
      </c>
      <c r="BL13" s="129">
        <f t="shared" si="6"/>
        <v>1.1425710180886028</v>
      </c>
      <c r="BM13" s="129"/>
      <c r="BN13" s="129" t="e">
        <f t="shared" si="24"/>
        <v>#DIV/0!</v>
      </c>
      <c r="BO13" s="129">
        <f t="shared" si="25"/>
        <v>1</v>
      </c>
      <c r="BP13" s="129">
        <f t="shared" si="7"/>
        <v>1.00476226326081</v>
      </c>
    </row>
    <row r="14" spans="1:68" x14ac:dyDescent="0.2">
      <c r="A14" s="133" t="s">
        <v>664</v>
      </c>
      <c r="B14" s="133">
        <f t="shared" si="8"/>
        <v>1953</v>
      </c>
      <c r="I14" s="4"/>
      <c r="J14" s="4"/>
      <c r="K14" s="21"/>
      <c r="L14" s="4"/>
      <c r="X14" s="131"/>
      <c r="Y14" s="131"/>
      <c r="Z14" s="131"/>
      <c r="AA14" s="131"/>
      <c r="AB14" s="131"/>
      <c r="AC14" s="131"/>
      <c r="AD14" s="131"/>
      <c r="AE14" s="131"/>
      <c r="AH14" s="134"/>
      <c r="AJ14" t="e">
        <f t="shared" si="0"/>
        <v>#DIV/0!</v>
      </c>
      <c r="AK14" t="e">
        <f t="shared" si="1"/>
        <v>#DIV/0!</v>
      </c>
      <c r="AL14" t="e">
        <f t="shared" si="2"/>
        <v>#DIV/0!</v>
      </c>
      <c r="AN14" t="e">
        <f t="shared" si="9"/>
        <v>#DIV/0!</v>
      </c>
      <c r="AO14" t="e">
        <f t="shared" si="10"/>
        <v>#DIV/0!</v>
      </c>
      <c r="AP14" t="e">
        <f t="shared" si="11"/>
        <v>#DIV/0!</v>
      </c>
      <c r="AQ14" t="e">
        <f t="shared" si="12"/>
        <v>#DIV/0!</v>
      </c>
      <c r="AS14" t="e">
        <f t="shared" si="13"/>
        <v>#DIV/0!</v>
      </c>
      <c r="AT14" t="e">
        <f t="shared" si="14"/>
        <v>#DIV/0!</v>
      </c>
      <c r="AU14" t="e">
        <f t="shared" si="15"/>
        <v>#DIV/0!</v>
      </c>
      <c r="AX14" t="e">
        <f t="shared" si="16"/>
        <v>#DIV/0!</v>
      </c>
      <c r="AY14" t="e">
        <f t="shared" si="17"/>
        <v>#DIV/0!</v>
      </c>
      <c r="AZ14" t="e">
        <f t="shared" si="18"/>
        <v>#DIV/0!</v>
      </c>
      <c r="BB14" t="e">
        <f t="shared" si="3"/>
        <v>#DIV/0!</v>
      </c>
      <c r="BC14" t="e">
        <f t="shared" si="4"/>
        <v>#DIV/0!</v>
      </c>
      <c r="BD14" t="e">
        <f t="shared" si="5"/>
        <v>#DIV/0!</v>
      </c>
      <c r="BF14" t="e">
        <f t="shared" si="19"/>
        <v>#DIV/0!</v>
      </c>
      <c r="BG14" t="e">
        <f t="shared" si="20"/>
        <v>#DIV/0!</v>
      </c>
      <c r="BH14" t="e">
        <f t="shared" si="21"/>
        <v>#DIV/0!</v>
      </c>
      <c r="BJ14" s="129" t="e">
        <f t="shared" si="22"/>
        <v>#DIV/0!</v>
      </c>
      <c r="BK14" s="129">
        <f t="shared" si="23"/>
        <v>1</v>
      </c>
      <c r="BL14" s="129">
        <f t="shared" si="6"/>
        <v>1.1425710180886028</v>
      </c>
      <c r="BM14" s="129"/>
      <c r="BN14" s="129" t="e">
        <f t="shared" si="24"/>
        <v>#DIV/0!</v>
      </c>
      <c r="BO14" s="129">
        <f t="shared" si="25"/>
        <v>1</v>
      </c>
      <c r="BP14" s="129">
        <f t="shared" si="7"/>
        <v>1.00476226326081</v>
      </c>
    </row>
    <row r="15" spans="1:68" x14ac:dyDescent="0.2">
      <c r="A15" s="133" t="s">
        <v>664</v>
      </c>
      <c r="B15" s="133">
        <f t="shared" si="8"/>
        <v>1954</v>
      </c>
      <c r="I15" s="4"/>
      <c r="J15" s="4"/>
      <c r="K15" s="21"/>
      <c r="L15" s="4"/>
      <c r="X15" s="131"/>
      <c r="Y15" s="131"/>
      <c r="Z15" s="131"/>
      <c r="AA15" s="131"/>
      <c r="AB15" s="131"/>
      <c r="AC15" s="131"/>
      <c r="AD15" s="131"/>
      <c r="AE15" s="131"/>
      <c r="AH15" s="134"/>
      <c r="AJ15" t="e">
        <f t="shared" si="0"/>
        <v>#DIV/0!</v>
      </c>
      <c r="AK15" t="e">
        <f t="shared" si="1"/>
        <v>#DIV/0!</v>
      </c>
      <c r="AL15" t="e">
        <f t="shared" si="2"/>
        <v>#DIV/0!</v>
      </c>
      <c r="AN15" t="e">
        <f t="shared" si="9"/>
        <v>#DIV/0!</v>
      </c>
      <c r="AO15" t="e">
        <f t="shared" si="10"/>
        <v>#DIV/0!</v>
      </c>
      <c r="AP15" t="e">
        <f t="shared" si="11"/>
        <v>#DIV/0!</v>
      </c>
      <c r="AQ15" t="e">
        <f t="shared" si="12"/>
        <v>#DIV/0!</v>
      </c>
      <c r="AS15" t="e">
        <f t="shared" si="13"/>
        <v>#DIV/0!</v>
      </c>
      <c r="AT15" t="e">
        <f t="shared" si="14"/>
        <v>#DIV/0!</v>
      </c>
      <c r="AU15" t="e">
        <f t="shared" si="15"/>
        <v>#DIV/0!</v>
      </c>
      <c r="AX15" t="e">
        <f t="shared" si="16"/>
        <v>#DIV/0!</v>
      </c>
      <c r="AY15" t="e">
        <f t="shared" si="17"/>
        <v>#DIV/0!</v>
      </c>
      <c r="AZ15" t="e">
        <f t="shared" si="18"/>
        <v>#DIV/0!</v>
      </c>
      <c r="BB15" t="e">
        <f t="shared" si="3"/>
        <v>#DIV/0!</v>
      </c>
      <c r="BC15" t="e">
        <f t="shared" si="4"/>
        <v>#DIV/0!</v>
      </c>
      <c r="BD15" t="e">
        <f t="shared" si="5"/>
        <v>#DIV/0!</v>
      </c>
      <c r="BF15" t="e">
        <f t="shared" si="19"/>
        <v>#DIV/0!</v>
      </c>
      <c r="BG15" t="e">
        <f t="shared" si="20"/>
        <v>#DIV/0!</v>
      </c>
      <c r="BH15" t="e">
        <f t="shared" si="21"/>
        <v>#DIV/0!</v>
      </c>
      <c r="BJ15" s="129" t="e">
        <f t="shared" si="22"/>
        <v>#DIV/0!</v>
      </c>
      <c r="BK15" s="129">
        <f t="shared" si="23"/>
        <v>1</v>
      </c>
      <c r="BL15" s="129">
        <f t="shared" si="6"/>
        <v>1.1425710180886028</v>
      </c>
      <c r="BM15" s="129"/>
      <c r="BN15" s="129" t="e">
        <f t="shared" si="24"/>
        <v>#DIV/0!</v>
      </c>
      <c r="BO15" s="129">
        <f t="shared" si="25"/>
        <v>1</v>
      </c>
      <c r="BP15" s="129">
        <f t="shared" si="7"/>
        <v>1.00476226326081</v>
      </c>
    </row>
    <row r="16" spans="1:68" x14ac:dyDescent="0.2">
      <c r="A16" s="133" t="s">
        <v>664</v>
      </c>
      <c r="B16" s="133">
        <f t="shared" si="8"/>
        <v>1955</v>
      </c>
      <c r="I16" s="4"/>
      <c r="J16" s="4"/>
      <c r="K16" s="21"/>
      <c r="L16" s="4"/>
      <c r="X16" s="131"/>
      <c r="Y16" s="131"/>
      <c r="Z16" s="131"/>
      <c r="AA16" s="131"/>
      <c r="AB16" s="131"/>
      <c r="AC16" s="131"/>
      <c r="AD16" s="131"/>
      <c r="AE16" s="131"/>
      <c r="AH16" s="134"/>
      <c r="AJ16" t="e">
        <f t="shared" si="0"/>
        <v>#DIV/0!</v>
      </c>
      <c r="AK16" t="e">
        <f t="shared" si="1"/>
        <v>#DIV/0!</v>
      </c>
      <c r="AL16" t="e">
        <f t="shared" si="2"/>
        <v>#DIV/0!</v>
      </c>
      <c r="AN16" t="e">
        <f t="shared" si="9"/>
        <v>#DIV/0!</v>
      </c>
      <c r="AO16" t="e">
        <f t="shared" si="10"/>
        <v>#DIV/0!</v>
      </c>
      <c r="AP16" t="e">
        <f t="shared" si="11"/>
        <v>#DIV/0!</v>
      </c>
      <c r="AQ16" t="e">
        <f t="shared" si="12"/>
        <v>#DIV/0!</v>
      </c>
      <c r="AS16" t="e">
        <f t="shared" si="13"/>
        <v>#DIV/0!</v>
      </c>
      <c r="AT16" t="e">
        <f t="shared" si="14"/>
        <v>#DIV/0!</v>
      </c>
      <c r="AU16" t="e">
        <f t="shared" si="15"/>
        <v>#DIV/0!</v>
      </c>
      <c r="AX16" t="e">
        <f t="shared" si="16"/>
        <v>#DIV/0!</v>
      </c>
      <c r="AY16" t="e">
        <f t="shared" si="17"/>
        <v>#DIV/0!</v>
      </c>
      <c r="AZ16" t="e">
        <f t="shared" si="18"/>
        <v>#DIV/0!</v>
      </c>
      <c r="BB16" t="e">
        <f t="shared" si="3"/>
        <v>#DIV/0!</v>
      </c>
      <c r="BC16" t="e">
        <f t="shared" si="4"/>
        <v>#DIV/0!</v>
      </c>
      <c r="BD16" t="e">
        <f t="shared" si="5"/>
        <v>#DIV/0!</v>
      </c>
      <c r="BF16" t="e">
        <f t="shared" si="19"/>
        <v>#DIV/0!</v>
      </c>
      <c r="BG16" t="e">
        <f t="shared" si="20"/>
        <v>#DIV/0!</v>
      </c>
      <c r="BH16" t="e">
        <f t="shared" si="21"/>
        <v>#DIV/0!</v>
      </c>
      <c r="BJ16" s="129" t="e">
        <f t="shared" si="22"/>
        <v>#DIV/0!</v>
      </c>
      <c r="BK16" s="129">
        <f t="shared" si="23"/>
        <v>1</v>
      </c>
      <c r="BL16" s="129">
        <f t="shared" si="6"/>
        <v>1.1425710180886028</v>
      </c>
      <c r="BM16" s="129"/>
      <c r="BN16" s="129" t="e">
        <f t="shared" si="24"/>
        <v>#DIV/0!</v>
      </c>
      <c r="BO16" s="129">
        <f t="shared" si="25"/>
        <v>1</v>
      </c>
      <c r="BP16" s="129">
        <f t="shared" si="7"/>
        <v>1.00476226326081</v>
      </c>
    </row>
    <row r="17" spans="1:70" x14ac:dyDescent="0.2">
      <c r="A17" s="133" t="s">
        <v>664</v>
      </c>
      <c r="B17" s="133">
        <f t="shared" si="8"/>
        <v>1956</v>
      </c>
      <c r="I17" s="4"/>
      <c r="J17" s="4"/>
      <c r="K17" s="21"/>
      <c r="L17" s="4"/>
      <c r="X17" s="131"/>
      <c r="Y17" s="131"/>
      <c r="Z17" s="131"/>
      <c r="AA17" s="131"/>
      <c r="AB17" s="131"/>
      <c r="AC17" s="131"/>
      <c r="AD17" s="131"/>
      <c r="AE17" s="131"/>
      <c r="AH17" s="134"/>
      <c r="AJ17" t="e">
        <f t="shared" si="0"/>
        <v>#DIV/0!</v>
      </c>
      <c r="AK17" t="e">
        <f t="shared" si="1"/>
        <v>#DIV/0!</v>
      </c>
      <c r="AL17" t="e">
        <f t="shared" si="2"/>
        <v>#DIV/0!</v>
      </c>
      <c r="AN17" t="e">
        <f t="shared" si="9"/>
        <v>#DIV/0!</v>
      </c>
      <c r="AO17" t="e">
        <f t="shared" si="10"/>
        <v>#DIV/0!</v>
      </c>
      <c r="AP17" t="e">
        <f t="shared" si="11"/>
        <v>#DIV/0!</v>
      </c>
      <c r="AQ17" t="e">
        <f t="shared" si="12"/>
        <v>#DIV/0!</v>
      </c>
      <c r="AS17" t="e">
        <f t="shared" si="13"/>
        <v>#DIV/0!</v>
      </c>
      <c r="AT17" t="e">
        <f t="shared" si="14"/>
        <v>#DIV/0!</v>
      </c>
      <c r="AU17" t="e">
        <f t="shared" si="15"/>
        <v>#DIV/0!</v>
      </c>
      <c r="AX17" t="e">
        <f t="shared" si="16"/>
        <v>#DIV/0!</v>
      </c>
      <c r="AY17" t="e">
        <f t="shared" si="17"/>
        <v>#DIV/0!</v>
      </c>
      <c r="AZ17" t="e">
        <f t="shared" si="18"/>
        <v>#DIV/0!</v>
      </c>
      <c r="BB17" t="e">
        <f t="shared" si="3"/>
        <v>#DIV/0!</v>
      </c>
      <c r="BC17" t="e">
        <f t="shared" si="4"/>
        <v>#DIV/0!</v>
      </c>
      <c r="BD17" t="e">
        <f t="shared" si="5"/>
        <v>#DIV/0!</v>
      </c>
      <c r="BF17" t="e">
        <f t="shared" si="19"/>
        <v>#DIV/0!</v>
      </c>
      <c r="BG17" t="e">
        <f t="shared" si="20"/>
        <v>#DIV/0!</v>
      </c>
      <c r="BH17" t="e">
        <f t="shared" si="21"/>
        <v>#DIV/0!</v>
      </c>
      <c r="BJ17" s="129" t="e">
        <f t="shared" si="22"/>
        <v>#DIV/0!</v>
      </c>
      <c r="BK17" s="129">
        <f t="shared" si="23"/>
        <v>1</v>
      </c>
      <c r="BL17" s="129">
        <f t="shared" si="6"/>
        <v>1.1425710180886028</v>
      </c>
      <c r="BM17" s="129"/>
      <c r="BN17" s="129" t="e">
        <f t="shared" si="24"/>
        <v>#DIV/0!</v>
      </c>
      <c r="BO17" s="129">
        <f t="shared" si="25"/>
        <v>1</v>
      </c>
      <c r="BP17" s="129">
        <f t="shared" si="7"/>
        <v>1.00476226326081</v>
      </c>
    </row>
    <row r="18" spans="1:70" x14ac:dyDescent="0.2">
      <c r="A18" s="133" t="s">
        <v>664</v>
      </c>
      <c r="B18" s="133">
        <f t="shared" si="8"/>
        <v>1957</v>
      </c>
      <c r="I18" s="4"/>
      <c r="J18" s="4"/>
      <c r="K18" s="21"/>
      <c r="L18" s="4"/>
      <c r="X18" s="131"/>
      <c r="Y18" s="131"/>
      <c r="Z18" s="131"/>
      <c r="AA18" s="131"/>
      <c r="AB18" s="131"/>
      <c r="AC18" s="131"/>
      <c r="AD18" s="131"/>
      <c r="AE18" s="131"/>
      <c r="AH18" s="134"/>
      <c r="AJ18" t="e">
        <f t="shared" si="0"/>
        <v>#DIV/0!</v>
      </c>
      <c r="AK18" t="e">
        <f t="shared" si="1"/>
        <v>#DIV/0!</v>
      </c>
      <c r="AL18" t="e">
        <f t="shared" si="2"/>
        <v>#DIV/0!</v>
      </c>
      <c r="AN18" t="e">
        <f t="shared" si="9"/>
        <v>#DIV/0!</v>
      </c>
      <c r="AO18" t="e">
        <f t="shared" si="10"/>
        <v>#DIV/0!</v>
      </c>
      <c r="AP18" t="e">
        <f t="shared" si="11"/>
        <v>#DIV/0!</v>
      </c>
      <c r="AQ18" t="e">
        <f t="shared" si="12"/>
        <v>#DIV/0!</v>
      </c>
      <c r="AS18" t="e">
        <f t="shared" si="13"/>
        <v>#DIV/0!</v>
      </c>
      <c r="AT18" t="e">
        <f t="shared" si="14"/>
        <v>#DIV/0!</v>
      </c>
      <c r="AU18" t="e">
        <f t="shared" si="15"/>
        <v>#DIV/0!</v>
      </c>
      <c r="AX18" t="e">
        <f t="shared" si="16"/>
        <v>#DIV/0!</v>
      </c>
      <c r="AY18" t="e">
        <f t="shared" si="17"/>
        <v>#DIV/0!</v>
      </c>
      <c r="AZ18" t="e">
        <f t="shared" si="18"/>
        <v>#DIV/0!</v>
      </c>
      <c r="BB18" t="e">
        <f t="shared" si="3"/>
        <v>#DIV/0!</v>
      </c>
      <c r="BC18" t="e">
        <f t="shared" si="4"/>
        <v>#DIV/0!</v>
      </c>
      <c r="BD18" t="e">
        <f t="shared" si="5"/>
        <v>#DIV/0!</v>
      </c>
      <c r="BF18" t="e">
        <f t="shared" si="19"/>
        <v>#DIV/0!</v>
      </c>
      <c r="BG18" t="e">
        <f t="shared" si="20"/>
        <v>#DIV/0!</v>
      </c>
      <c r="BH18" t="e">
        <f t="shared" si="21"/>
        <v>#DIV/0!</v>
      </c>
      <c r="BJ18" s="129" t="e">
        <f t="shared" si="22"/>
        <v>#DIV/0!</v>
      </c>
      <c r="BK18" s="129">
        <f t="shared" si="23"/>
        <v>1</v>
      </c>
      <c r="BL18" s="129">
        <f t="shared" si="6"/>
        <v>1.1425710180886028</v>
      </c>
      <c r="BM18" s="129"/>
      <c r="BN18" s="129" t="e">
        <f t="shared" si="24"/>
        <v>#DIV/0!</v>
      </c>
      <c r="BO18" s="129">
        <f t="shared" si="25"/>
        <v>1</v>
      </c>
      <c r="BP18" s="129">
        <f t="shared" si="7"/>
        <v>1.00476226326081</v>
      </c>
    </row>
    <row r="19" spans="1:70" x14ac:dyDescent="0.2">
      <c r="A19" s="133" t="s">
        <v>664</v>
      </c>
      <c r="B19" s="133">
        <f t="shared" si="8"/>
        <v>1958</v>
      </c>
      <c r="I19" s="4"/>
      <c r="J19" s="4"/>
      <c r="K19" s="21"/>
      <c r="L19" s="4"/>
      <c r="X19" s="131"/>
      <c r="Y19" s="131"/>
      <c r="Z19" s="131"/>
      <c r="AA19" s="131"/>
      <c r="AB19" s="131"/>
      <c r="AC19" s="131"/>
      <c r="AD19" s="131"/>
      <c r="AE19" s="131"/>
      <c r="AH19" s="134"/>
      <c r="AJ19" t="e">
        <f t="shared" si="0"/>
        <v>#DIV/0!</v>
      </c>
      <c r="AK19" t="e">
        <f t="shared" si="1"/>
        <v>#DIV/0!</v>
      </c>
      <c r="AL19" t="e">
        <f t="shared" si="2"/>
        <v>#DIV/0!</v>
      </c>
      <c r="AN19" t="e">
        <f t="shared" si="9"/>
        <v>#DIV/0!</v>
      </c>
      <c r="AO19" t="e">
        <f t="shared" si="10"/>
        <v>#DIV/0!</v>
      </c>
      <c r="AP19" t="e">
        <f t="shared" si="11"/>
        <v>#DIV/0!</v>
      </c>
      <c r="AQ19" t="e">
        <f t="shared" si="12"/>
        <v>#DIV/0!</v>
      </c>
      <c r="AS19" t="e">
        <f t="shared" si="13"/>
        <v>#DIV/0!</v>
      </c>
      <c r="AT19" t="e">
        <f t="shared" si="14"/>
        <v>#DIV/0!</v>
      </c>
      <c r="AU19" t="e">
        <f t="shared" si="15"/>
        <v>#DIV/0!</v>
      </c>
      <c r="AX19" t="e">
        <f t="shared" si="16"/>
        <v>#DIV/0!</v>
      </c>
      <c r="AY19" t="e">
        <f t="shared" si="17"/>
        <v>#DIV/0!</v>
      </c>
      <c r="AZ19" t="e">
        <f t="shared" si="18"/>
        <v>#DIV/0!</v>
      </c>
      <c r="BB19" t="e">
        <f t="shared" si="3"/>
        <v>#DIV/0!</v>
      </c>
      <c r="BC19" t="e">
        <f t="shared" si="4"/>
        <v>#DIV/0!</v>
      </c>
      <c r="BD19" t="e">
        <f t="shared" si="5"/>
        <v>#DIV/0!</v>
      </c>
      <c r="BF19" t="e">
        <f t="shared" si="19"/>
        <v>#DIV/0!</v>
      </c>
      <c r="BG19" t="e">
        <f t="shared" si="20"/>
        <v>#DIV/0!</v>
      </c>
      <c r="BH19" t="e">
        <f t="shared" si="21"/>
        <v>#DIV/0!</v>
      </c>
      <c r="BJ19" s="129" t="e">
        <f t="shared" si="22"/>
        <v>#DIV/0!</v>
      </c>
      <c r="BK19" s="129">
        <f t="shared" si="23"/>
        <v>1</v>
      </c>
      <c r="BL19" s="129">
        <f t="shared" si="6"/>
        <v>1.1425710180886028</v>
      </c>
      <c r="BM19" s="129"/>
      <c r="BN19" s="129" t="e">
        <f t="shared" si="24"/>
        <v>#DIV/0!</v>
      </c>
      <c r="BO19" s="129">
        <f t="shared" si="25"/>
        <v>1</v>
      </c>
      <c r="BP19" s="129">
        <f t="shared" si="7"/>
        <v>1.00476226326081</v>
      </c>
    </row>
    <row r="20" spans="1:70" x14ac:dyDescent="0.2">
      <c r="A20" s="133" t="s">
        <v>664</v>
      </c>
      <c r="B20" s="133">
        <f t="shared" si="8"/>
        <v>1959</v>
      </c>
      <c r="I20" s="4"/>
      <c r="J20" s="4"/>
      <c r="K20" s="21"/>
      <c r="L20" s="4"/>
      <c r="X20" s="131"/>
      <c r="Y20" s="131"/>
      <c r="Z20" s="131"/>
      <c r="AA20" s="131"/>
      <c r="AB20" s="131"/>
      <c r="AC20" s="131"/>
      <c r="AD20" s="131"/>
      <c r="AE20" s="131"/>
      <c r="AH20" s="134"/>
      <c r="AJ20" t="e">
        <f t="shared" si="0"/>
        <v>#DIV/0!</v>
      </c>
      <c r="AK20" t="e">
        <f t="shared" si="1"/>
        <v>#DIV/0!</v>
      </c>
      <c r="AL20" t="e">
        <f t="shared" si="2"/>
        <v>#DIV/0!</v>
      </c>
      <c r="AN20" t="e">
        <f t="shared" si="9"/>
        <v>#DIV/0!</v>
      </c>
      <c r="AO20" t="e">
        <f t="shared" si="10"/>
        <v>#DIV/0!</v>
      </c>
      <c r="AP20" t="e">
        <f t="shared" si="11"/>
        <v>#DIV/0!</v>
      </c>
      <c r="AQ20" t="e">
        <f t="shared" si="12"/>
        <v>#DIV/0!</v>
      </c>
      <c r="AS20" t="e">
        <f t="shared" si="13"/>
        <v>#DIV/0!</v>
      </c>
      <c r="AT20" t="e">
        <f t="shared" si="14"/>
        <v>#DIV/0!</v>
      </c>
      <c r="AU20" t="e">
        <f t="shared" si="15"/>
        <v>#DIV/0!</v>
      </c>
      <c r="AX20" t="e">
        <f t="shared" si="16"/>
        <v>#DIV/0!</v>
      </c>
      <c r="AY20" t="e">
        <f t="shared" si="17"/>
        <v>#DIV/0!</v>
      </c>
      <c r="AZ20" t="e">
        <f t="shared" si="18"/>
        <v>#DIV/0!</v>
      </c>
      <c r="BB20" t="e">
        <f t="shared" si="3"/>
        <v>#DIV/0!</v>
      </c>
      <c r="BC20" t="e">
        <f t="shared" si="4"/>
        <v>#DIV/0!</v>
      </c>
      <c r="BD20" t="e">
        <f t="shared" si="5"/>
        <v>#DIV/0!</v>
      </c>
      <c r="BF20" t="e">
        <f t="shared" si="19"/>
        <v>#DIV/0!</v>
      </c>
      <c r="BG20" t="e">
        <f t="shared" si="20"/>
        <v>#DIV/0!</v>
      </c>
      <c r="BH20" t="e">
        <f t="shared" si="21"/>
        <v>#DIV/0!</v>
      </c>
      <c r="BJ20" s="129" t="e">
        <f t="shared" si="22"/>
        <v>#DIV/0!</v>
      </c>
      <c r="BK20" s="129">
        <f t="shared" si="23"/>
        <v>1</v>
      </c>
      <c r="BL20" s="129">
        <f t="shared" si="6"/>
        <v>1.1425710180886028</v>
      </c>
      <c r="BM20" s="129"/>
      <c r="BN20" s="129" t="e">
        <f t="shared" si="24"/>
        <v>#DIV/0!</v>
      </c>
      <c r="BO20" s="129">
        <f t="shared" si="25"/>
        <v>1</v>
      </c>
      <c r="BP20" s="129">
        <f t="shared" si="7"/>
        <v>1.00476226326081</v>
      </c>
    </row>
    <row r="21" spans="1:70" x14ac:dyDescent="0.2">
      <c r="A21" s="133" t="s">
        <v>664</v>
      </c>
      <c r="B21" s="133">
        <f t="shared" si="8"/>
        <v>1960</v>
      </c>
      <c r="I21" s="4"/>
      <c r="J21" s="4"/>
      <c r="K21" s="21"/>
      <c r="L21" s="4"/>
      <c r="X21" s="131"/>
      <c r="Y21" s="131"/>
      <c r="Z21" s="131"/>
      <c r="AA21" s="131"/>
      <c r="AB21" s="131"/>
      <c r="AC21" s="131"/>
      <c r="AD21" s="131"/>
      <c r="AE21" s="131"/>
      <c r="AH21" s="134"/>
      <c r="AJ21" t="e">
        <f t="shared" si="0"/>
        <v>#DIV/0!</v>
      </c>
      <c r="AK21" t="e">
        <f t="shared" si="1"/>
        <v>#DIV/0!</v>
      </c>
      <c r="AL21" t="e">
        <f t="shared" si="2"/>
        <v>#DIV/0!</v>
      </c>
      <c r="AN21" t="e">
        <f t="shared" si="9"/>
        <v>#DIV/0!</v>
      </c>
      <c r="AO21" t="e">
        <f t="shared" si="10"/>
        <v>#DIV/0!</v>
      </c>
      <c r="AP21" t="e">
        <f t="shared" si="11"/>
        <v>#DIV/0!</v>
      </c>
      <c r="AQ21" t="e">
        <f t="shared" si="12"/>
        <v>#DIV/0!</v>
      </c>
      <c r="AS21" t="e">
        <f t="shared" si="13"/>
        <v>#DIV/0!</v>
      </c>
      <c r="AT21" t="e">
        <f t="shared" si="14"/>
        <v>#DIV/0!</v>
      </c>
      <c r="AU21" t="e">
        <f t="shared" si="15"/>
        <v>#DIV/0!</v>
      </c>
      <c r="AX21" t="e">
        <f t="shared" si="16"/>
        <v>#DIV/0!</v>
      </c>
      <c r="AY21" t="e">
        <f t="shared" si="17"/>
        <v>#DIV/0!</v>
      </c>
      <c r="AZ21" t="e">
        <f t="shared" si="18"/>
        <v>#DIV/0!</v>
      </c>
      <c r="BB21" t="e">
        <f t="shared" si="3"/>
        <v>#DIV/0!</v>
      </c>
      <c r="BC21" t="e">
        <f t="shared" si="4"/>
        <v>#DIV/0!</v>
      </c>
      <c r="BD21" t="e">
        <f t="shared" si="5"/>
        <v>#DIV/0!</v>
      </c>
      <c r="BF21" t="e">
        <f t="shared" si="19"/>
        <v>#DIV/0!</v>
      </c>
      <c r="BG21" t="e">
        <f t="shared" si="20"/>
        <v>#DIV/0!</v>
      </c>
      <c r="BH21" t="e">
        <f t="shared" si="21"/>
        <v>#DIV/0!</v>
      </c>
      <c r="BJ21" s="129" t="e">
        <f t="shared" si="22"/>
        <v>#DIV/0!</v>
      </c>
      <c r="BK21" s="129">
        <f t="shared" si="23"/>
        <v>1</v>
      </c>
      <c r="BL21" s="129">
        <f t="shared" si="6"/>
        <v>1.1425710180886028</v>
      </c>
      <c r="BM21" s="129"/>
      <c r="BN21" s="129" t="e">
        <f t="shared" si="24"/>
        <v>#DIV/0!</v>
      </c>
      <c r="BO21" s="129">
        <f t="shared" si="25"/>
        <v>1</v>
      </c>
      <c r="BP21" s="129">
        <f t="shared" si="7"/>
        <v>1.00476226326081</v>
      </c>
    </row>
    <row r="22" spans="1:70" x14ac:dyDescent="0.2">
      <c r="A22" s="133" t="s">
        <v>664</v>
      </c>
      <c r="B22" s="133">
        <f t="shared" si="8"/>
        <v>1961</v>
      </c>
      <c r="I22" s="4"/>
      <c r="J22" s="4"/>
      <c r="K22" s="21"/>
      <c r="L22" s="4"/>
      <c r="X22" s="131"/>
      <c r="Y22" s="131"/>
      <c r="Z22" s="131"/>
      <c r="AA22" s="131"/>
      <c r="AB22" s="131"/>
      <c r="AC22" s="131"/>
      <c r="AD22" s="131"/>
      <c r="AE22" s="131"/>
      <c r="AH22" s="134"/>
      <c r="AJ22" t="e">
        <f t="shared" si="0"/>
        <v>#DIV/0!</v>
      </c>
      <c r="AK22" t="e">
        <f t="shared" si="1"/>
        <v>#DIV/0!</v>
      </c>
      <c r="AL22" t="e">
        <f t="shared" si="2"/>
        <v>#DIV/0!</v>
      </c>
      <c r="AN22" t="e">
        <f t="shared" si="9"/>
        <v>#DIV/0!</v>
      </c>
      <c r="AO22" t="e">
        <f t="shared" si="10"/>
        <v>#DIV/0!</v>
      </c>
      <c r="AP22" t="e">
        <f t="shared" si="11"/>
        <v>#DIV/0!</v>
      </c>
      <c r="AQ22" t="e">
        <f t="shared" si="12"/>
        <v>#DIV/0!</v>
      </c>
      <c r="AS22" t="e">
        <f t="shared" si="13"/>
        <v>#DIV/0!</v>
      </c>
      <c r="AT22" t="e">
        <f t="shared" si="14"/>
        <v>#DIV/0!</v>
      </c>
      <c r="AU22" t="e">
        <f t="shared" si="15"/>
        <v>#DIV/0!</v>
      </c>
      <c r="AX22" t="e">
        <f t="shared" si="16"/>
        <v>#DIV/0!</v>
      </c>
      <c r="AY22" t="e">
        <f t="shared" si="17"/>
        <v>#DIV/0!</v>
      </c>
      <c r="AZ22" t="e">
        <f t="shared" si="18"/>
        <v>#DIV/0!</v>
      </c>
      <c r="BB22" t="e">
        <f t="shared" si="3"/>
        <v>#DIV/0!</v>
      </c>
      <c r="BC22" t="e">
        <f t="shared" si="4"/>
        <v>#DIV/0!</v>
      </c>
      <c r="BD22" t="e">
        <f t="shared" si="5"/>
        <v>#DIV/0!</v>
      </c>
      <c r="BF22" t="e">
        <f t="shared" si="19"/>
        <v>#DIV/0!</v>
      </c>
      <c r="BG22" t="e">
        <f t="shared" si="20"/>
        <v>#DIV/0!</v>
      </c>
      <c r="BH22" t="e">
        <f t="shared" si="21"/>
        <v>#DIV/0!</v>
      </c>
      <c r="BJ22" s="129" t="e">
        <f t="shared" si="22"/>
        <v>#DIV/0!</v>
      </c>
      <c r="BK22" s="129">
        <f t="shared" si="23"/>
        <v>1</v>
      </c>
      <c r="BL22" s="129">
        <f t="shared" si="6"/>
        <v>1.1425710180886028</v>
      </c>
      <c r="BM22" s="129"/>
      <c r="BN22" s="129" t="e">
        <f t="shared" si="24"/>
        <v>#DIV/0!</v>
      </c>
      <c r="BO22" s="129">
        <f t="shared" si="25"/>
        <v>1</v>
      </c>
      <c r="BP22" s="129">
        <f t="shared" si="7"/>
        <v>1.00476226326081</v>
      </c>
    </row>
    <row r="23" spans="1:70" x14ac:dyDescent="0.2">
      <c r="A23" s="133" t="s">
        <v>664</v>
      </c>
      <c r="B23" s="133">
        <f t="shared" si="8"/>
        <v>1962</v>
      </c>
      <c r="I23" s="4"/>
      <c r="J23" s="4"/>
      <c r="K23" s="21"/>
      <c r="L23" s="4"/>
      <c r="X23" s="131"/>
      <c r="Y23" s="131"/>
      <c r="Z23" s="131"/>
      <c r="AA23" s="131"/>
      <c r="AB23" s="131"/>
      <c r="AC23" s="131"/>
      <c r="AD23" s="131"/>
      <c r="AE23" s="131"/>
      <c r="AH23" s="134"/>
      <c r="AJ23" t="e">
        <f t="shared" si="0"/>
        <v>#DIV/0!</v>
      </c>
      <c r="AK23" t="e">
        <f t="shared" si="1"/>
        <v>#DIV/0!</v>
      </c>
      <c r="AL23" t="e">
        <f t="shared" si="2"/>
        <v>#DIV/0!</v>
      </c>
      <c r="AN23" t="e">
        <f t="shared" si="9"/>
        <v>#DIV/0!</v>
      </c>
      <c r="AO23" t="e">
        <f t="shared" si="10"/>
        <v>#DIV/0!</v>
      </c>
      <c r="AP23" t="e">
        <f t="shared" si="11"/>
        <v>#DIV/0!</v>
      </c>
      <c r="AQ23" t="e">
        <f t="shared" si="12"/>
        <v>#DIV/0!</v>
      </c>
      <c r="AS23" t="e">
        <f t="shared" si="13"/>
        <v>#DIV/0!</v>
      </c>
      <c r="AT23" t="e">
        <f t="shared" si="14"/>
        <v>#DIV/0!</v>
      </c>
      <c r="AU23" t="e">
        <f t="shared" si="15"/>
        <v>#DIV/0!</v>
      </c>
      <c r="AX23" t="e">
        <f t="shared" si="16"/>
        <v>#DIV/0!</v>
      </c>
      <c r="AY23" t="e">
        <f t="shared" si="17"/>
        <v>#DIV/0!</v>
      </c>
      <c r="AZ23" t="e">
        <f t="shared" si="18"/>
        <v>#DIV/0!</v>
      </c>
      <c r="BB23" t="e">
        <f t="shared" si="3"/>
        <v>#DIV/0!</v>
      </c>
      <c r="BC23" t="e">
        <f t="shared" si="4"/>
        <v>#DIV/0!</v>
      </c>
      <c r="BD23" t="e">
        <f t="shared" si="5"/>
        <v>#DIV/0!</v>
      </c>
      <c r="BF23" t="e">
        <f t="shared" si="19"/>
        <v>#DIV/0!</v>
      </c>
      <c r="BG23" t="e">
        <f t="shared" si="20"/>
        <v>#DIV/0!</v>
      </c>
      <c r="BH23" t="e">
        <f t="shared" si="21"/>
        <v>#DIV/0!</v>
      </c>
      <c r="BJ23" s="129" t="e">
        <f t="shared" si="22"/>
        <v>#DIV/0!</v>
      </c>
      <c r="BK23" s="129">
        <f t="shared" si="23"/>
        <v>1</v>
      </c>
      <c r="BL23" s="129">
        <f t="shared" si="6"/>
        <v>1.1425710180886028</v>
      </c>
      <c r="BM23" s="129"/>
      <c r="BN23" s="129" t="e">
        <f t="shared" si="24"/>
        <v>#DIV/0!</v>
      </c>
      <c r="BO23" s="129">
        <f t="shared" si="25"/>
        <v>1</v>
      </c>
      <c r="BP23" s="129">
        <f t="shared" si="7"/>
        <v>1.00476226326081</v>
      </c>
    </row>
    <row r="24" spans="1:70" x14ac:dyDescent="0.2">
      <c r="A24" s="133" t="s">
        <v>664</v>
      </c>
      <c r="B24" s="133">
        <f t="shared" si="8"/>
        <v>1963</v>
      </c>
      <c r="I24" s="4"/>
      <c r="J24" s="4"/>
      <c r="K24" s="21"/>
      <c r="L24" s="4"/>
      <c r="X24" s="131"/>
      <c r="Y24" s="131"/>
      <c r="Z24" s="131"/>
      <c r="AA24" s="131"/>
      <c r="AB24" s="131"/>
      <c r="AC24" s="131"/>
      <c r="AD24" s="131"/>
      <c r="AE24" s="131"/>
      <c r="AH24" s="134"/>
      <c r="AJ24" t="e">
        <f t="shared" si="0"/>
        <v>#DIV/0!</v>
      </c>
      <c r="AK24" t="e">
        <f t="shared" si="1"/>
        <v>#DIV/0!</v>
      </c>
      <c r="AL24" t="e">
        <f t="shared" si="2"/>
        <v>#DIV/0!</v>
      </c>
      <c r="AN24" t="e">
        <f t="shared" si="9"/>
        <v>#DIV/0!</v>
      </c>
      <c r="AO24" t="e">
        <f t="shared" si="10"/>
        <v>#DIV/0!</v>
      </c>
      <c r="AP24" t="e">
        <f t="shared" si="11"/>
        <v>#DIV/0!</v>
      </c>
      <c r="AQ24" t="e">
        <f t="shared" si="12"/>
        <v>#DIV/0!</v>
      </c>
      <c r="AS24" t="e">
        <f t="shared" si="13"/>
        <v>#DIV/0!</v>
      </c>
      <c r="AT24" t="e">
        <f t="shared" si="14"/>
        <v>#DIV/0!</v>
      </c>
      <c r="AU24" t="e">
        <f t="shared" si="15"/>
        <v>#DIV/0!</v>
      </c>
      <c r="AX24" t="e">
        <f t="shared" si="16"/>
        <v>#DIV/0!</v>
      </c>
      <c r="AY24" t="e">
        <f t="shared" si="17"/>
        <v>#DIV/0!</v>
      </c>
      <c r="AZ24" t="e">
        <f t="shared" si="18"/>
        <v>#DIV/0!</v>
      </c>
      <c r="BB24" t="e">
        <f t="shared" si="3"/>
        <v>#DIV/0!</v>
      </c>
      <c r="BC24" t="e">
        <f t="shared" si="4"/>
        <v>#DIV/0!</v>
      </c>
      <c r="BD24" t="e">
        <f t="shared" si="5"/>
        <v>#DIV/0!</v>
      </c>
      <c r="BF24" t="e">
        <f t="shared" si="19"/>
        <v>#DIV/0!</v>
      </c>
      <c r="BG24" t="e">
        <f t="shared" si="20"/>
        <v>#DIV/0!</v>
      </c>
      <c r="BH24" t="e">
        <f t="shared" si="21"/>
        <v>#DIV/0!</v>
      </c>
      <c r="BJ24" s="129" t="e">
        <f t="shared" si="22"/>
        <v>#DIV/0!</v>
      </c>
      <c r="BK24" s="129">
        <f t="shared" si="23"/>
        <v>1</v>
      </c>
      <c r="BL24" s="129">
        <f t="shared" si="6"/>
        <v>1.1425710180886028</v>
      </c>
      <c r="BM24" s="129"/>
      <c r="BN24" s="129" t="e">
        <f t="shared" si="24"/>
        <v>#DIV/0!</v>
      </c>
      <c r="BO24" s="129">
        <f t="shared" si="25"/>
        <v>1</v>
      </c>
      <c r="BP24" s="129">
        <f t="shared" si="7"/>
        <v>1.00476226326081</v>
      </c>
    </row>
    <row r="25" spans="1:70" x14ac:dyDescent="0.2">
      <c r="A25" s="133" t="s">
        <v>664</v>
      </c>
      <c r="B25" s="133">
        <f t="shared" si="8"/>
        <v>1964</v>
      </c>
      <c r="I25" s="4"/>
      <c r="J25" s="4"/>
      <c r="K25" s="21"/>
      <c r="L25" s="4"/>
      <c r="X25" s="131"/>
      <c r="Y25" s="131"/>
      <c r="Z25" s="131"/>
      <c r="AA25" s="131"/>
      <c r="AB25" s="131"/>
      <c r="AC25" s="131"/>
      <c r="AD25" s="131"/>
      <c r="AE25" s="131"/>
      <c r="AH25" s="134"/>
      <c r="AJ25" t="e">
        <f t="shared" si="0"/>
        <v>#DIV/0!</v>
      </c>
      <c r="AK25" t="e">
        <f t="shared" si="1"/>
        <v>#DIV/0!</v>
      </c>
      <c r="AL25" t="e">
        <f t="shared" si="2"/>
        <v>#DIV/0!</v>
      </c>
      <c r="AN25" t="e">
        <f t="shared" si="9"/>
        <v>#DIV/0!</v>
      </c>
      <c r="AO25" t="e">
        <f t="shared" si="10"/>
        <v>#DIV/0!</v>
      </c>
      <c r="AP25" t="e">
        <f t="shared" si="11"/>
        <v>#DIV/0!</v>
      </c>
      <c r="AQ25" t="e">
        <f t="shared" si="12"/>
        <v>#DIV/0!</v>
      </c>
      <c r="AS25" t="e">
        <f t="shared" si="13"/>
        <v>#DIV/0!</v>
      </c>
      <c r="AT25" t="e">
        <f t="shared" si="14"/>
        <v>#DIV/0!</v>
      </c>
      <c r="AU25" t="e">
        <f t="shared" si="15"/>
        <v>#DIV/0!</v>
      </c>
      <c r="AX25" t="e">
        <f t="shared" si="16"/>
        <v>#DIV/0!</v>
      </c>
      <c r="AY25" t="e">
        <f t="shared" si="17"/>
        <v>#DIV/0!</v>
      </c>
      <c r="AZ25" t="e">
        <f t="shared" si="18"/>
        <v>#DIV/0!</v>
      </c>
      <c r="BB25" t="e">
        <f t="shared" si="3"/>
        <v>#DIV/0!</v>
      </c>
      <c r="BC25" t="e">
        <f t="shared" si="4"/>
        <v>#DIV/0!</v>
      </c>
      <c r="BD25" t="e">
        <f t="shared" si="5"/>
        <v>#DIV/0!</v>
      </c>
      <c r="BF25" t="e">
        <f t="shared" si="19"/>
        <v>#DIV/0!</v>
      </c>
      <c r="BG25" t="e">
        <f t="shared" si="20"/>
        <v>#DIV/0!</v>
      </c>
      <c r="BH25" t="e">
        <f t="shared" si="21"/>
        <v>#DIV/0!</v>
      </c>
      <c r="BJ25" s="129" t="e">
        <f t="shared" si="22"/>
        <v>#DIV/0!</v>
      </c>
      <c r="BK25" s="129">
        <f t="shared" si="23"/>
        <v>1</v>
      </c>
      <c r="BL25" s="129">
        <f t="shared" si="6"/>
        <v>1.1425710180886028</v>
      </c>
      <c r="BM25" s="129"/>
      <c r="BN25" s="129" t="e">
        <f t="shared" si="24"/>
        <v>#DIV/0!</v>
      </c>
      <c r="BO25" s="129">
        <f t="shared" si="25"/>
        <v>1</v>
      </c>
      <c r="BP25" s="129">
        <f t="shared" si="7"/>
        <v>1.00476226326081</v>
      </c>
    </row>
    <row r="26" spans="1:70" x14ac:dyDescent="0.2">
      <c r="A26" s="133" t="s">
        <v>664</v>
      </c>
      <c r="B26" s="133">
        <f t="shared" si="8"/>
        <v>1965</v>
      </c>
      <c r="I26" s="4"/>
      <c r="J26" s="4"/>
      <c r="K26" s="21"/>
      <c r="L26" s="4"/>
      <c r="X26" s="131"/>
      <c r="Y26" s="131"/>
      <c r="Z26" s="131"/>
      <c r="AA26" s="131"/>
      <c r="AB26" s="131"/>
      <c r="AC26" s="131"/>
      <c r="AD26" s="131"/>
      <c r="AE26" s="131"/>
      <c r="AH26" s="134"/>
      <c r="AJ26" t="e">
        <f t="shared" si="0"/>
        <v>#DIV/0!</v>
      </c>
      <c r="AK26" t="e">
        <f t="shared" si="1"/>
        <v>#DIV/0!</v>
      </c>
      <c r="AL26" t="e">
        <f t="shared" si="2"/>
        <v>#DIV/0!</v>
      </c>
      <c r="AN26" t="e">
        <f t="shared" si="9"/>
        <v>#DIV/0!</v>
      </c>
      <c r="AO26" t="e">
        <f t="shared" si="10"/>
        <v>#DIV/0!</v>
      </c>
      <c r="AP26" t="e">
        <f t="shared" si="11"/>
        <v>#DIV/0!</v>
      </c>
      <c r="AQ26" t="e">
        <f t="shared" si="12"/>
        <v>#DIV/0!</v>
      </c>
      <c r="AS26" t="e">
        <f t="shared" si="13"/>
        <v>#DIV/0!</v>
      </c>
      <c r="AT26" t="e">
        <f t="shared" si="14"/>
        <v>#DIV/0!</v>
      </c>
      <c r="AU26" t="e">
        <f t="shared" si="15"/>
        <v>#DIV/0!</v>
      </c>
      <c r="AX26" t="e">
        <f t="shared" si="16"/>
        <v>#DIV/0!</v>
      </c>
      <c r="AY26" t="e">
        <f t="shared" si="17"/>
        <v>#DIV/0!</v>
      </c>
      <c r="AZ26" t="e">
        <f t="shared" si="18"/>
        <v>#DIV/0!</v>
      </c>
      <c r="BB26" t="e">
        <f t="shared" si="3"/>
        <v>#DIV/0!</v>
      </c>
      <c r="BC26" t="e">
        <f t="shared" si="4"/>
        <v>#DIV/0!</v>
      </c>
      <c r="BD26" t="e">
        <f t="shared" si="5"/>
        <v>#DIV/0!</v>
      </c>
      <c r="BF26" t="e">
        <f t="shared" si="19"/>
        <v>#DIV/0!</v>
      </c>
      <c r="BG26" t="e">
        <f t="shared" si="20"/>
        <v>#DIV/0!</v>
      </c>
      <c r="BH26" t="e">
        <f t="shared" si="21"/>
        <v>#DIV/0!</v>
      </c>
      <c r="BJ26" s="129" t="e">
        <f t="shared" si="22"/>
        <v>#DIV/0!</v>
      </c>
      <c r="BK26" s="129">
        <f t="shared" si="23"/>
        <v>1</v>
      </c>
      <c r="BL26" s="129">
        <f t="shared" si="6"/>
        <v>1.1425710180886028</v>
      </c>
      <c r="BM26" s="129"/>
      <c r="BN26" s="129" t="e">
        <f t="shared" si="24"/>
        <v>#DIV/0!</v>
      </c>
      <c r="BO26" s="129">
        <f t="shared" si="25"/>
        <v>1</v>
      </c>
      <c r="BP26" s="129">
        <f t="shared" si="7"/>
        <v>1.00476226326081</v>
      </c>
    </row>
    <row r="27" spans="1:70" x14ac:dyDescent="0.2">
      <c r="A27" s="133" t="s">
        <v>664</v>
      </c>
      <c r="B27" s="133">
        <f t="shared" si="8"/>
        <v>1966</v>
      </c>
      <c r="I27" s="4"/>
      <c r="J27" s="4"/>
      <c r="K27" s="21"/>
      <c r="L27" s="4"/>
      <c r="X27" s="131"/>
      <c r="Y27" s="131"/>
      <c r="Z27" s="131"/>
      <c r="AA27" s="131"/>
      <c r="AB27" s="131"/>
      <c r="AC27" s="131"/>
      <c r="AD27" s="131"/>
      <c r="AE27" s="131"/>
      <c r="AH27" s="134"/>
      <c r="AJ27" t="e">
        <f t="shared" si="0"/>
        <v>#DIV/0!</v>
      </c>
      <c r="AK27" t="e">
        <f t="shared" si="1"/>
        <v>#DIV/0!</v>
      </c>
      <c r="AL27" t="e">
        <f t="shared" si="2"/>
        <v>#DIV/0!</v>
      </c>
      <c r="AN27" t="e">
        <f t="shared" si="9"/>
        <v>#DIV/0!</v>
      </c>
      <c r="AO27" t="e">
        <f t="shared" si="10"/>
        <v>#DIV/0!</v>
      </c>
      <c r="AP27" t="e">
        <f t="shared" si="11"/>
        <v>#DIV/0!</v>
      </c>
      <c r="AQ27" t="e">
        <f t="shared" si="12"/>
        <v>#DIV/0!</v>
      </c>
      <c r="AS27" t="e">
        <f t="shared" si="13"/>
        <v>#DIV/0!</v>
      </c>
      <c r="AT27" t="e">
        <f t="shared" si="14"/>
        <v>#DIV/0!</v>
      </c>
      <c r="AU27" t="e">
        <f t="shared" si="15"/>
        <v>#DIV/0!</v>
      </c>
      <c r="AX27" t="e">
        <f t="shared" si="16"/>
        <v>#DIV/0!</v>
      </c>
      <c r="AY27" t="e">
        <f t="shared" si="17"/>
        <v>#DIV/0!</v>
      </c>
      <c r="AZ27" t="e">
        <f t="shared" si="18"/>
        <v>#DIV/0!</v>
      </c>
      <c r="BB27" t="e">
        <f t="shared" si="3"/>
        <v>#DIV/0!</v>
      </c>
      <c r="BC27" t="e">
        <f t="shared" si="4"/>
        <v>#DIV/0!</v>
      </c>
      <c r="BD27" t="e">
        <f t="shared" si="5"/>
        <v>#DIV/0!</v>
      </c>
      <c r="BF27" t="e">
        <f t="shared" si="19"/>
        <v>#DIV/0!</v>
      </c>
      <c r="BG27" t="e">
        <f t="shared" si="20"/>
        <v>#DIV/0!</v>
      </c>
      <c r="BH27" t="e">
        <f t="shared" si="21"/>
        <v>#DIV/0!</v>
      </c>
      <c r="BJ27" s="129" t="e">
        <f t="shared" si="22"/>
        <v>#DIV/0!</v>
      </c>
      <c r="BK27" s="129">
        <f t="shared" si="23"/>
        <v>1</v>
      </c>
      <c r="BL27" s="129">
        <f t="shared" si="6"/>
        <v>1.1425710180886028</v>
      </c>
      <c r="BM27" s="129"/>
      <c r="BN27" s="129" t="e">
        <f t="shared" si="24"/>
        <v>#DIV/0!</v>
      </c>
      <c r="BO27" s="129">
        <f t="shared" si="25"/>
        <v>1</v>
      </c>
      <c r="BP27" s="129">
        <f t="shared" si="7"/>
        <v>1.00476226326081</v>
      </c>
    </row>
    <row r="28" spans="1:70" x14ac:dyDescent="0.2">
      <c r="A28" s="133" t="s">
        <v>664</v>
      </c>
      <c r="B28" s="133">
        <f t="shared" si="8"/>
        <v>1967</v>
      </c>
      <c r="I28" s="4"/>
      <c r="J28" s="4"/>
      <c r="K28" s="21"/>
      <c r="L28" s="4"/>
      <c r="X28" s="131"/>
      <c r="Y28" s="131"/>
      <c r="Z28" s="131"/>
      <c r="AA28" s="131"/>
      <c r="AB28" s="131"/>
      <c r="AC28" s="131"/>
      <c r="AD28" s="131"/>
      <c r="AE28" s="131"/>
      <c r="AH28" s="134"/>
      <c r="AJ28" t="e">
        <f t="shared" si="0"/>
        <v>#DIV/0!</v>
      </c>
      <c r="AK28" t="e">
        <f t="shared" si="1"/>
        <v>#DIV/0!</v>
      </c>
      <c r="AL28" t="e">
        <f t="shared" si="2"/>
        <v>#DIV/0!</v>
      </c>
      <c r="AN28" t="e">
        <f t="shared" si="9"/>
        <v>#DIV/0!</v>
      </c>
      <c r="AO28" t="e">
        <f t="shared" si="10"/>
        <v>#DIV/0!</v>
      </c>
      <c r="AP28" t="e">
        <f t="shared" si="11"/>
        <v>#DIV/0!</v>
      </c>
      <c r="AQ28" t="e">
        <f t="shared" si="12"/>
        <v>#DIV/0!</v>
      </c>
      <c r="AS28" t="e">
        <f t="shared" si="13"/>
        <v>#DIV/0!</v>
      </c>
      <c r="AT28" t="e">
        <f t="shared" si="14"/>
        <v>#DIV/0!</v>
      </c>
      <c r="AU28" t="e">
        <f t="shared" si="15"/>
        <v>#DIV/0!</v>
      </c>
      <c r="AX28" t="e">
        <f t="shared" si="16"/>
        <v>#DIV/0!</v>
      </c>
      <c r="AY28" t="e">
        <f t="shared" si="17"/>
        <v>#DIV/0!</v>
      </c>
      <c r="AZ28" t="e">
        <f t="shared" si="18"/>
        <v>#DIV/0!</v>
      </c>
      <c r="BB28" t="e">
        <f t="shared" si="3"/>
        <v>#DIV/0!</v>
      </c>
      <c r="BC28" t="e">
        <f t="shared" si="4"/>
        <v>#DIV/0!</v>
      </c>
      <c r="BD28" t="e">
        <f t="shared" si="5"/>
        <v>#DIV/0!</v>
      </c>
      <c r="BF28" t="e">
        <f t="shared" si="19"/>
        <v>#DIV/0!</v>
      </c>
      <c r="BG28" t="e">
        <f t="shared" si="20"/>
        <v>#DIV/0!</v>
      </c>
      <c r="BH28" t="e">
        <f t="shared" si="21"/>
        <v>#DIV/0!</v>
      </c>
      <c r="BJ28" s="129" t="e">
        <f t="shared" si="22"/>
        <v>#DIV/0!</v>
      </c>
      <c r="BK28" s="129">
        <f t="shared" si="23"/>
        <v>1</v>
      </c>
      <c r="BL28" s="129">
        <f t="shared" si="6"/>
        <v>1.1425710180886028</v>
      </c>
      <c r="BM28" s="129"/>
      <c r="BN28" s="129" t="e">
        <f t="shared" si="24"/>
        <v>#DIV/0!</v>
      </c>
      <c r="BO28" s="129">
        <f t="shared" si="25"/>
        <v>1</v>
      </c>
      <c r="BP28" s="129">
        <f t="shared" si="7"/>
        <v>1.00476226326081</v>
      </c>
    </row>
    <row r="29" spans="1:70" x14ac:dyDescent="0.2">
      <c r="A29" s="133" t="s">
        <v>664</v>
      </c>
      <c r="B29" s="133">
        <f t="shared" si="8"/>
        <v>1968</v>
      </c>
      <c r="I29" s="4"/>
      <c r="J29" s="4"/>
      <c r="K29" s="21"/>
      <c r="L29" s="4"/>
      <c r="X29" s="131"/>
      <c r="Y29" s="131"/>
      <c r="Z29" s="131"/>
      <c r="AA29" s="131"/>
      <c r="AB29" s="131"/>
      <c r="AC29" s="131"/>
      <c r="AD29" s="131"/>
      <c r="AE29" s="131"/>
      <c r="AH29" s="134"/>
      <c r="AJ29" t="e">
        <f t="shared" si="0"/>
        <v>#DIV/0!</v>
      </c>
      <c r="AK29" t="e">
        <f t="shared" si="1"/>
        <v>#DIV/0!</v>
      </c>
      <c r="AL29" t="e">
        <f t="shared" si="2"/>
        <v>#DIV/0!</v>
      </c>
      <c r="AN29" t="e">
        <f t="shared" si="9"/>
        <v>#DIV/0!</v>
      </c>
      <c r="AO29" t="e">
        <f t="shared" si="10"/>
        <v>#DIV/0!</v>
      </c>
      <c r="AP29" t="e">
        <f t="shared" si="11"/>
        <v>#DIV/0!</v>
      </c>
      <c r="AQ29" t="e">
        <f t="shared" si="12"/>
        <v>#DIV/0!</v>
      </c>
      <c r="AS29" t="e">
        <f t="shared" si="13"/>
        <v>#DIV/0!</v>
      </c>
      <c r="AT29" t="e">
        <f t="shared" si="14"/>
        <v>#DIV/0!</v>
      </c>
      <c r="AU29" t="e">
        <f t="shared" si="15"/>
        <v>#DIV/0!</v>
      </c>
      <c r="AX29" t="e">
        <f t="shared" si="16"/>
        <v>#DIV/0!</v>
      </c>
      <c r="AY29" t="e">
        <f t="shared" si="17"/>
        <v>#DIV/0!</v>
      </c>
      <c r="AZ29" t="e">
        <f t="shared" si="18"/>
        <v>#DIV/0!</v>
      </c>
      <c r="BB29" t="e">
        <f t="shared" si="3"/>
        <v>#DIV/0!</v>
      </c>
      <c r="BC29" t="e">
        <f t="shared" si="4"/>
        <v>#DIV/0!</v>
      </c>
      <c r="BD29" t="e">
        <f t="shared" si="5"/>
        <v>#DIV/0!</v>
      </c>
      <c r="BF29" t="e">
        <f t="shared" si="19"/>
        <v>#DIV/0!</v>
      </c>
      <c r="BG29" t="e">
        <f t="shared" si="20"/>
        <v>#DIV/0!</v>
      </c>
      <c r="BH29" t="e">
        <f t="shared" si="21"/>
        <v>#DIV/0!</v>
      </c>
      <c r="BJ29" s="129" t="e">
        <f t="shared" si="22"/>
        <v>#DIV/0!</v>
      </c>
      <c r="BK29" s="129">
        <f t="shared" si="23"/>
        <v>1</v>
      </c>
      <c r="BL29" s="129">
        <f t="shared" si="6"/>
        <v>1.1425710180886028</v>
      </c>
      <c r="BM29" s="129"/>
      <c r="BN29" s="129" t="e">
        <f t="shared" si="24"/>
        <v>#DIV/0!</v>
      </c>
      <c r="BO29" s="129">
        <f t="shared" si="25"/>
        <v>1</v>
      </c>
      <c r="BP29" s="129">
        <f t="shared" si="7"/>
        <v>1.00476226326081</v>
      </c>
    </row>
    <row r="30" spans="1:70" x14ac:dyDescent="0.2">
      <c r="A30" s="133" t="s">
        <v>664</v>
      </c>
      <c r="B30" s="133">
        <f t="shared" si="8"/>
        <v>1969</v>
      </c>
      <c r="I30" s="4"/>
      <c r="J30" s="4"/>
      <c r="K30" s="21"/>
      <c r="L30" s="4"/>
      <c r="X30" s="131"/>
      <c r="Y30" s="131"/>
      <c r="Z30" s="131"/>
      <c r="AA30" s="131"/>
      <c r="AB30" s="131"/>
      <c r="AC30" s="131"/>
      <c r="AD30" s="131"/>
      <c r="AE30" s="131"/>
      <c r="AH30" s="134"/>
      <c r="AJ30" t="e">
        <f t="shared" si="0"/>
        <v>#DIV/0!</v>
      </c>
      <c r="AK30" t="e">
        <f t="shared" si="1"/>
        <v>#DIV/0!</v>
      </c>
      <c r="AL30" t="e">
        <f t="shared" si="2"/>
        <v>#DIV/0!</v>
      </c>
      <c r="AN30" t="e">
        <f t="shared" si="9"/>
        <v>#DIV/0!</v>
      </c>
      <c r="AO30" t="e">
        <f t="shared" si="10"/>
        <v>#DIV/0!</v>
      </c>
      <c r="AP30" t="e">
        <f t="shared" si="11"/>
        <v>#DIV/0!</v>
      </c>
      <c r="AQ30" t="e">
        <f t="shared" si="12"/>
        <v>#DIV/0!</v>
      </c>
      <c r="AS30" t="e">
        <f t="shared" si="13"/>
        <v>#DIV/0!</v>
      </c>
      <c r="AT30" t="e">
        <f t="shared" si="14"/>
        <v>#DIV/0!</v>
      </c>
      <c r="AU30" t="e">
        <f t="shared" si="15"/>
        <v>#DIV/0!</v>
      </c>
      <c r="AX30" t="e">
        <f t="shared" si="16"/>
        <v>#DIV/0!</v>
      </c>
      <c r="AY30" t="e">
        <f t="shared" si="17"/>
        <v>#DIV/0!</v>
      </c>
      <c r="AZ30" t="e">
        <f t="shared" si="18"/>
        <v>#DIV/0!</v>
      </c>
      <c r="BB30" t="e">
        <f t="shared" si="3"/>
        <v>#DIV/0!</v>
      </c>
      <c r="BC30" t="e">
        <f t="shared" si="4"/>
        <v>#DIV/0!</v>
      </c>
      <c r="BD30" t="e">
        <f t="shared" si="5"/>
        <v>#DIV/0!</v>
      </c>
      <c r="BF30" t="e">
        <f t="shared" si="19"/>
        <v>#DIV/0!</v>
      </c>
      <c r="BG30" t="e">
        <f t="shared" si="20"/>
        <v>#DIV/0!</v>
      </c>
      <c r="BH30" t="e">
        <f t="shared" si="21"/>
        <v>#DIV/0!</v>
      </c>
      <c r="BJ30" s="129" t="e">
        <f t="shared" si="22"/>
        <v>#DIV/0!</v>
      </c>
      <c r="BK30" s="129">
        <f t="shared" si="23"/>
        <v>1</v>
      </c>
      <c r="BL30" s="129">
        <f t="shared" si="6"/>
        <v>1.1425710180886028</v>
      </c>
      <c r="BM30" s="129"/>
      <c r="BN30" s="129" t="e">
        <f t="shared" si="24"/>
        <v>#DIV/0!</v>
      </c>
      <c r="BO30" s="129">
        <f t="shared" si="25"/>
        <v>1</v>
      </c>
      <c r="BP30" s="129">
        <f t="shared" si="7"/>
        <v>1.00476226326081</v>
      </c>
    </row>
    <row r="31" spans="1:70" x14ac:dyDescent="0.2">
      <c r="A31" s="133" t="s">
        <v>664</v>
      </c>
      <c r="B31" s="133">
        <f t="shared" si="8"/>
        <v>1970</v>
      </c>
      <c r="D31" s="136">
        <f>'Passenger-based Energy Use'!I28</f>
        <v>17.199416849999999</v>
      </c>
      <c r="E31" s="136">
        <f>'Passenger-based Energy Use'!J28</f>
        <v>23.376479</v>
      </c>
      <c r="F31" s="136">
        <f>'Passenger-based Energy Use'!K28</f>
        <v>1.6232230000000001</v>
      </c>
      <c r="G31">
        <f t="shared" ref="G31:G41" si="26">D31+E31+F31</f>
        <v>42.199118849999998</v>
      </c>
      <c r="I31" s="4">
        <f>'Passenger-based Activity'!I29</f>
        <v>4592</v>
      </c>
      <c r="J31" s="164">
        <f>'Passenger-based Activity'!$J29-K31</f>
        <v>8157.3173803526452</v>
      </c>
      <c r="K31" s="164">
        <f>K$38/(J$39+K$38)*'Passenger-based Activity'!J29</f>
        <v>307.18261964735518</v>
      </c>
      <c r="L31" s="4">
        <f t="shared" ref="L31:L41" si="27">I31+J31+K31</f>
        <v>13056.5</v>
      </c>
      <c r="N31" s="125">
        <f>D31/I31*1000000</f>
        <v>3745.5176067073166</v>
      </c>
      <c r="O31" s="125">
        <f t="shared" ref="O31:O41" si="28">E31/J31*1000000</f>
        <v>2865.7066913080462</v>
      </c>
      <c r="P31" s="125">
        <f t="shared" ref="P31:P41" si="29">F31/K31*1000000</f>
        <v>5284.2280004755985</v>
      </c>
      <c r="Q31" s="125">
        <f>G31/L31*1000000</f>
        <v>3232.0391261057707</v>
      </c>
      <c r="S31" s="129">
        <f t="shared" ref="S31:S72" si="30">N31/N$74</f>
        <v>1.3254790372443228</v>
      </c>
      <c r="T31" s="129">
        <f t="shared" ref="T31:T72" si="31">O31/O$74</f>
        <v>1.0480717073098142</v>
      </c>
      <c r="U31" s="129">
        <f t="shared" ref="U31:U72" si="32">P31/P$74</f>
        <v>1.0494086829304257</v>
      </c>
      <c r="V31" s="129">
        <f t="shared" ref="V31:V72" si="33">Q31/Q$74</f>
        <v>1.1480122420709116</v>
      </c>
      <c r="X31" s="131">
        <f t="shared" ref="X31:X72" si="34">L31/L$74</f>
        <v>0.75423141355207668</v>
      </c>
      <c r="Y31" s="131">
        <f t="shared" ref="Y31:Y41" si="35">V31</f>
        <v>1.1480122420709116</v>
      </c>
      <c r="Z31" s="131">
        <f t="shared" ref="Z31:Z41" si="36">BP31</f>
        <v>1.00476226326081</v>
      </c>
      <c r="AA31" s="131">
        <f t="shared" ref="AA31:AA41" si="37">BL31</f>
        <v>1.1425710180886028</v>
      </c>
      <c r="AB31" s="131">
        <f t="shared" ref="AB31:AB41" si="38">X31*Z31*AA31</f>
        <v>0.86586689611223322</v>
      </c>
      <c r="AC31" s="131">
        <f t="shared" ref="AC31:AC72" si="39">G31/G$74</f>
        <v>0.86586689611223266</v>
      </c>
      <c r="AD31" s="131"/>
      <c r="AE31" s="131">
        <f t="shared" ref="AE31:AE41" si="40">Z31*AA31</f>
        <v>1.1480122420709125</v>
      </c>
      <c r="AH31" s="134"/>
      <c r="AJ31">
        <f t="shared" si="0"/>
        <v>0.40757763002437669</v>
      </c>
      <c r="AK31">
        <f t="shared" ref="AK31" si="41">E31/G31</f>
        <v>0.55395656679689176</v>
      </c>
      <c r="AL31">
        <f t="shared" ref="AL31" si="42">F31/G31</f>
        <v>3.8465803178731543E-2</v>
      </c>
      <c r="AN31" t="e">
        <f t="shared" si="9"/>
        <v>#DIV/0!</v>
      </c>
      <c r="AO31" t="e">
        <f t="shared" si="10"/>
        <v>#DIV/0!</v>
      </c>
      <c r="AP31" t="e">
        <f t="shared" si="11"/>
        <v>#DIV/0!</v>
      </c>
      <c r="AQ31" t="e">
        <f t="shared" si="12"/>
        <v>#DIV/0!</v>
      </c>
      <c r="AS31" t="e">
        <f t="shared" si="13"/>
        <v>#DIV/0!</v>
      </c>
      <c r="AT31" t="e">
        <f t="shared" si="14"/>
        <v>#DIV/0!</v>
      </c>
      <c r="AU31" t="e">
        <f t="shared" si="15"/>
        <v>#DIV/0!</v>
      </c>
      <c r="AX31" t="e">
        <f t="shared" si="16"/>
        <v>#DIV/0!</v>
      </c>
      <c r="AY31" t="e">
        <f t="shared" si="17"/>
        <v>#DIV/0!</v>
      </c>
      <c r="AZ31" t="e">
        <f t="shared" si="18"/>
        <v>#DIV/0!</v>
      </c>
      <c r="BB31" s="129">
        <f>I31/L31</f>
        <v>0.35170221728640905</v>
      </c>
      <c r="BC31" s="129">
        <f>J31/L31</f>
        <v>0.62477060317486655</v>
      </c>
      <c r="BD31" s="129">
        <f>K31/L31</f>
        <v>2.3527179538724404E-2</v>
      </c>
      <c r="BF31" t="e">
        <f t="shared" si="19"/>
        <v>#DIV/0!</v>
      </c>
      <c r="BG31" t="e">
        <f t="shared" si="20"/>
        <v>#DIV/0!</v>
      </c>
      <c r="BH31" t="e">
        <f t="shared" si="21"/>
        <v>#DIV/0!</v>
      </c>
      <c r="BJ31" s="129" t="e">
        <f t="shared" si="22"/>
        <v>#DIV/0!</v>
      </c>
      <c r="BK31" s="129">
        <f t="shared" si="23"/>
        <v>1</v>
      </c>
      <c r="BL31" s="129">
        <f t="shared" si="6"/>
        <v>1.1425710180886028</v>
      </c>
      <c r="BM31" s="129"/>
      <c r="BN31" s="129" t="e">
        <f t="shared" si="24"/>
        <v>#DIV/0!</v>
      </c>
      <c r="BO31" s="129">
        <f t="shared" si="25"/>
        <v>1</v>
      </c>
      <c r="BP31" s="129">
        <f t="shared" si="7"/>
        <v>1.00476226326081</v>
      </c>
    </row>
    <row r="32" spans="1:70" x14ac:dyDescent="0.2">
      <c r="A32" s="133" t="s">
        <v>664</v>
      </c>
      <c r="B32" s="133">
        <f t="shared" si="8"/>
        <v>1971</v>
      </c>
      <c r="D32" s="136">
        <f>'Passenger-based Energy Use'!I29</f>
        <v>16.514112194999999</v>
      </c>
      <c r="E32" s="136">
        <f>'Passenger-based Energy Use'!J29</f>
        <v>23.386818000000002</v>
      </c>
      <c r="F32" s="136">
        <f>'Passenger-based Energy Use'!K29</f>
        <v>1.5818669999999999</v>
      </c>
      <c r="G32">
        <f t="shared" si="26"/>
        <v>41.482797195000003</v>
      </c>
      <c r="I32" s="4">
        <f>'Passenger-based Activity'!I30</f>
        <v>4576.2</v>
      </c>
      <c r="J32" s="164">
        <f>'Passenger-based Activity'!$J30-K32</f>
        <v>7710.6381192275403</v>
      </c>
      <c r="K32" s="164">
        <f>K$38/(J$39+K$38)*'Passenger-based Activity'!J30</f>
        <v>290.3618807724601</v>
      </c>
      <c r="L32" s="4">
        <f t="shared" si="27"/>
        <v>12577.2</v>
      </c>
      <c r="N32" s="125">
        <f t="shared" ref="N32:N41" si="43">D32/I32*1000000</f>
        <v>3608.6954667628161</v>
      </c>
      <c r="O32" s="125">
        <f t="shared" si="28"/>
        <v>3033.0586960995802</v>
      </c>
      <c r="P32" s="125">
        <f t="shared" si="29"/>
        <v>5447.9155314454592</v>
      </c>
      <c r="Q32" s="125">
        <f t="shared" ref="Q32:Q41" si="44">G32/L32*1000000</f>
        <v>3298.2537603759188</v>
      </c>
      <c r="S32" s="129">
        <f t="shared" si="30"/>
        <v>1.2770598606790913</v>
      </c>
      <c r="T32" s="129">
        <f t="shared" si="31"/>
        <v>1.1092771690954111</v>
      </c>
      <c r="U32" s="129">
        <f t="shared" si="32"/>
        <v>1.081915818555867</v>
      </c>
      <c r="V32" s="129">
        <f t="shared" si="33"/>
        <v>1.171531515130569</v>
      </c>
      <c r="X32" s="131">
        <f t="shared" si="34"/>
        <v>0.72654381607070651</v>
      </c>
      <c r="Y32" s="131">
        <f t="shared" si="35"/>
        <v>1.171531515130569</v>
      </c>
      <c r="Z32" s="131">
        <f t="shared" si="36"/>
        <v>1.0071592655399171</v>
      </c>
      <c r="AA32" s="131">
        <f t="shared" si="37"/>
        <v>1.1632038300343057</v>
      </c>
      <c r="AB32" s="131">
        <f t="shared" si="38"/>
        <v>0.85116897765006094</v>
      </c>
      <c r="AC32" s="131">
        <f t="shared" si="39"/>
        <v>0.85116897765006017</v>
      </c>
      <c r="AD32" s="131"/>
      <c r="AE32" s="131">
        <f t="shared" si="40"/>
        <v>1.1715315151305699</v>
      </c>
      <c r="AH32" s="134"/>
      <c r="AJ32">
        <f t="shared" si="0"/>
        <v>0.39809543501542066</v>
      </c>
      <c r="AK32">
        <f t="shared" si="1"/>
        <v>0.56377148074332017</v>
      </c>
      <c r="AL32">
        <f t="shared" si="2"/>
        <v>3.8133084241259052E-2</v>
      </c>
      <c r="AN32" s="129">
        <f t="shared" si="9"/>
        <v>0.40281793205868854</v>
      </c>
      <c r="AO32" s="129">
        <f t="shared" si="10"/>
        <v>0.55884965913748075</v>
      </c>
      <c r="AP32" s="129">
        <f t="shared" si="11"/>
        <v>3.8299202839550836E-2</v>
      </c>
      <c r="AQ32" s="129">
        <f t="shared" si="12"/>
        <v>0.99996679403572009</v>
      </c>
      <c r="AR32" s="129"/>
      <c r="AS32" s="129">
        <f t="shared" si="13"/>
        <v>0.40283130846072812</v>
      </c>
      <c r="AT32" s="129">
        <f t="shared" si="14"/>
        <v>0.55886821689552812</v>
      </c>
      <c r="AU32" s="129">
        <f t="shared" si="15"/>
        <v>3.8300474643743761E-2</v>
      </c>
      <c r="AV32" s="129"/>
      <c r="AW32" s="129"/>
      <c r="AX32" s="129">
        <f t="shared" si="16"/>
        <v>-3.7213479669150437E-2</v>
      </c>
      <c r="AY32" s="129">
        <f t="shared" si="17"/>
        <v>5.6756597625276684E-2</v>
      </c>
      <c r="AZ32" s="129">
        <f t="shared" si="18"/>
        <v>3.0506529271308043E-2</v>
      </c>
      <c r="BA32" s="129"/>
      <c r="BB32" s="129">
        <f>I32/L32</f>
        <v>0.36384886938269245</v>
      </c>
      <c r="BC32" s="129">
        <f>J32/L32</f>
        <v>0.6130647615707423</v>
      </c>
      <c r="BD32" s="129">
        <f>K32/L32</f>
        <v>2.3086369046565219E-2</v>
      </c>
      <c r="BE32" s="129"/>
      <c r="BF32" s="129">
        <f t="shared" si="19"/>
        <v>3.3953743473934289E-2</v>
      </c>
      <c r="BG32" s="129">
        <f t="shared" si="20"/>
        <v>-1.8913970152091585E-2</v>
      </c>
      <c r="BH32" s="129">
        <f t="shared" si="21"/>
        <v>-1.891397015209181E-2</v>
      </c>
      <c r="BI32" s="129"/>
      <c r="BJ32" s="129">
        <f>EXP(SUMPRODUCT($AS32:$AU32,AX32:AZ32))</f>
        <v>1.0180582314963837</v>
      </c>
      <c r="BK32" s="129">
        <f t="shared" si="23"/>
        <v>1.0180582314963837</v>
      </c>
      <c r="BL32" s="129">
        <f t="shared" si="6"/>
        <v>1.1632038300343057</v>
      </c>
      <c r="BM32" s="129"/>
      <c r="BN32" s="129">
        <f>EXP(SUMPRODUCT($AS32:$AU32,BF32:BH32))</f>
        <v>1.0023856412275356</v>
      </c>
      <c r="BO32" s="129">
        <f t="shared" si="25"/>
        <v>1.0023856412275356</v>
      </c>
      <c r="BP32" s="129">
        <f t="shared" si="7"/>
        <v>1.0071592655399171</v>
      </c>
      <c r="BQ32" s="129"/>
      <c r="BR32" s="129"/>
    </row>
    <row r="33" spans="1:70" x14ac:dyDescent="0.2">
      <c r="A33" s="133" t="s">
        <v>664</v>
      </c>
      <c r="B33" s="133">
        <f t="shared" si="8"/>
        <v>1972</v>
      </c>
      <c r="D33" s="136">
        <f>'Passenger-based Energy Use'!I30</f>
        <v>15.82880754</v>
      </c>
      <c r="E33" s="136">
        <f>'Passenger-based Energy Use'!J30</f>
        <v>22.218510999999999</v>
      </c>
      <c r="F33" s="136">
        <f>'Passenger-based Energy Use'!K30</f>
        <v>1.5094939999999999</v>
      </c>
      <c r="G33">
        <f t="shared" si="26"/>
        <v>39.556812539999996</v>
      </c>
      <c r="I33" s="4">
        <f>'Passenger-based Activity'!I31</f>
        <v>4560.3999999999996</v>
      </c>
      <c r="J33" s="164">
        <f>'Passenger-based Activity'!$J31-K33</f>
        <v>7506.8136020151132</v>
      </c>
      <c r="K33" s="164">
        <f>K$38/(J$39+K$38)*'Passenger-based Activity'!J31</f>
        <v>282.68639798488664</v>
      </c>
      <c r="L33" s="4">
        <f t="shared" si="27"/>
        <v>12349.899999999998</v>
      </c>
      <c r="N33" s="125">
        <f t="shared" si="43"/>
        <v>3470.9252565564425</v>
      </c>
      <c r="O33" s="125">
        <f t="shared" si="28"/>
        <v>2959.7792323011336</v>
      </c>
      <c r="P33" s="125">
        <f t="shared" si="29"/>
        <v>5339.8182960352497</v>
      </c>
      <c r="Q33" s="125">
        <f t="shared" si="44"/>
        <v>3203.0067077466219</v>
      </c>
      <c r="S33" s="129">
        <f t="shared" si="30"/>
        <v>1.2283051771452911</v>
      </c>
      <c r="T33" s="129">
        <f t="shared" si="31"/>
        <v>1.0824767526512111</v>
      </c>
      <c r="U33" s="129">
        <f t="shared" si="32"/>
        <v>1.0604485053683894</v>
      </c>
      <c r="V33" s="129">
        <f t="shared" si="33"/>
        <v>1.1376999994300296</v>
      </c>
      <c r="X33" s="131">
        <f t="shared" si="34"/>
        <v>0.7134134365432383</v>
      </c>
      <c r="Y33" s="131">
        <f t="shared" si="35"/>
        <v>1.1376999994300296</v>
      </c>
      <c r="Z33" s="131">
        <f t="shared" si="36"/>
        <v>1.0079248865068464</v>
      </c>
      <c r="AA33" s="131">
        <f t="shared" si="37"/>
        <v>1.1287547461725487</v>
      </c>
      <c r="AB33" s="131">
        <f t="shared" si="38"/>
        <v>0.81165046634861826</v>
      </c>
      <c r="AC33" s="131">
        <f t="shared" si="39"/>
        <v>0.81165046634861759</v>
      </c>
      <c r="AD33" s="131"/>
      <c r="AE33" s="131">
        <f t="shared" si="40"/>
        <v>1.1376999994300303</v>
      </c>
      <c r="AH33" s="134"/>
      <c r="AJ33">
        <f t="shared" si="0"/>
        <v>0.40015376678780301</v>
      </c>
      <c r="AK33">
        <f t="shared" si="1"/>
        <v>0.56168608068540804</v>
      </c>
      <c r="AL33">
        <f t="shared" si="2"/>
        <v>3.8160152526789004E-2</v>
      </c>
      <c r="AN33" s="129">
        <f t="shared" si="9"/>
        <v>0.39912371631210902</v>
      </c>
      <c r="AO33" s="129">
        <f t="shared" si="10"/>
        <v>0.56272813669521415</v>
      </c>
      <c r="AP33" s="129">
        <f t="shared" si="11"/>
        <v>3.8146616783413231E-2</v>
      </c>
      <c r="AQ33" s="129">
        <f t="shared" si="12"/>
        <v>0.99999846979073648</v>
      </c>
      <c r="AR33" s="129"/>
      <c r="AS33" s="129">
        <f t="shared" si="13"/>
        <v>0.3991243270558516</v>
      </c>
      <c r="AT33" s="129">
        <f t="shared" si="14"/>
        <v>0.5627289977883394</v>
      </c>
      <c r="AU33" s="129">
        <f t="shared" si="15"/>
        <v>3.8146675155808926E-2</v>
      </c>
      <c r="AV33" s="129"/>
      <c r="AW33" s="129"/>
      <c r="AX33" s="129">
        <f t="shared" si="16"/>
        <v>-3.892513753227627E-2</v>
      </c>
      <c r="AY33" s="129">
        <f t="shared" si="17"/>
        <v>-2.445689913591487E-2</v>
      </c>
      <c r="AZ33" s="129">
        <f t="shared" si="18"/>
        <v>-2.0041438786458615E-2</v>
      </c>
      <c r="BA33" s="129"/>
      <c r="BB33" s="129">
        <f t="shared" si="3"/>
        <v>0.36926614790403167</v>
      </c>
      <c r="BC33" s="129">
        <f t="shared" si="4"/>
        <v>0.60784407987231592</v>
      </c>
      <c r="BD33" s="129">
        <f t="shared" si="5"/>
        <v>2.2889772223652554E-2</v>
      </c>
      <c r="BE33" s="129"/>
      <c r="BF33" s="129">
        <f t="shared" si="19"/>
        <v>1.4779064668100009E-2</v>
      </c>
      <c r="BG33" s="129">
        <f t="shared" si="20"/>
        <v>-8.552175790857694E-3</v>
      </c>
      <c r="BH33" s="129">
        <f t="shared" si="21"/>
        <v>-8.5521757908575812E-3</v>
      </c>
      <c r="BI33" s="129"/>
      <c r="BJ33" s="129">
        <f t="shared" ref="BJ33:BJ71" si="45">EXP(SUMPRODUCT($AS33:$AU33,AX33:AZ33))</f>
        <v>0.97038431015074877</v>
      </c>
      <c r="BK33" s="129">
        <f t="shared" si="23"/>
        <v>0.98790773466390969</v>
      </c>
      <c r="BL33" s="129">
        <f t="shared" si="6"/>
        <v>1.1287547461725487</v>
      </c>
      <c r="BM33" s="129"/>
      <c r="BN33" s="129">
        <f t="shared" ref="BN33:BN71" si="46">EXP(SUMPRODUCT($AS33:$AU33,BF33:BH33))</f>
        <v>1.000760178646144</v>
      </c>
      <c r="BO33" s="129">
        <f t="shared" si="25"/>
        <v>1.003147633387198</v>
      </c>
      <c r="BP33" s="129">
        <f t="shared" si="7"/>
        <v>1.0079248865068464</v>
      </c>
      <c r="BQ33" s="129"/>
      <c r="BR33" s="129"/>
    </row>
    <row r="34" spans="1:70" x14ac:dyDescent="0.2">
      <c r="A34" s="133" t="s">
        <v>664</v>
      </c>
      <c r="B34" s="133">
        <f t="shared" si="8"/>
        <v>1973</v>
      </c>
      <c r="D34" s="136">
        <f>'Passenger-based Energy Use'!I31</f>
        <v>15.143502885</v>
      </c>
      <c r="E34" s="136">
        <f>'Passenger-based Energy Use'!J31</f>
        <v>21.691222</v>
      </c>
      <c r="F34" s="136">
        <f>'Passenger-based Energy Use'!K31</f>
        <v>1.44746</v>
      </c>
      <c r="G34">
        <f t="shared" si="26"/>
        <v>38.282184884999999</v>
      </c>
      <c r="I34" s="4">
        <f>'Passenger-based Activity'!I32</f>
        <v>4544.5999999999995</v>
      </c>
      <c r="J34" s="164">
        <f>'Passenger-based Activity'!$J32-K34</f>
        <v>7550.1805205709488</v>
      </c>
      <c r="K34" s="164">
        <f>K$38/(J$39+K$38)*'Passenger-based Activity'!J32</f>
        <v>284.31947942905123</v>
      </c>
      <c r="L34" s="4">
        <f t="shared" si="27"/>
        <v>12379.1</v>
      </c>
      <c r="N34" s="125">
        <f t="shared" si="43"/>
        <v>3332.1970877524977</v>
      </c>
      <c r="O34" s="125">
        <f t="shared" si="28"/>
        <v>2872.940844381254</v>
      </c>
      <c r="P34" s="125">
        <f t="shared" si="29"/>
        <v>5090.9631760253615</v>
      </c>
      <c r="Q34" s="125">
        <f t="shared" si="44"/>
        <v>3092.4853087058027</v>
      </c>
      <c r="S34" s="129">
        <f t="shared" si="30"/>
        <v>1.1792114873183808</v>
      </c>
      <c r="T34" s="129">
        <f t="shared" si="31"/>
        <v>1.050717446032962</v>
      </c>
      <c r="U34" s="129">
        <f t="shared" si="32"/>
        <v>1.0110277151022302</v>
      </c>
      <c r="V34" s="129">
        <f t="shared" si="33"/>
        <v>1.0984430739538396</v>
      </c>
      <c r="X34" s="131">
        <f t="shared" si="34"/>
        <v>0.71510022529027784</v>
      </c>
      <c r="Y34" s="131">
        <f t="shared" si="35"/>
        <v>1.0984430739538396</v>
      </c>
      <c r="Z34" s="131">
        <f t="shared" si="36"/>
        <v>1.0076488548080016</v>
      </c>
      <c r="AA34" s="131">
        <f t="shared" si="37"/>
        <v>1.0901050189385053</v>
      </c>
      <c r="AB34" s="131">
        <f t="shared" si="38"/>
        <v>0.78549688965293618</v>
      </c>
      <c r="AC34" s="131">
        <f t="shared" si="39"/>
        <v>0.78549688965293596</v>
      </c>
      <c r="AD34" s="131"/>
      <c r="AE34" s="131">
        <f t="shared" si="40"/>
        <v>1.0984430739538398</v>
      </c>
      <c r="AH34" s="134"/>
      <c r="AJ34">
        <f t="shared" si="0"/>
        <v>0.39557572093889648</v>
      </c>
      <c r="AK34">
        <f t="shared" si="1"/>
        <v>0.56661400244423377</v>
      </c>
      <c r="AL34">
        <f t="shared" si="2"/>
        <v>3.7810276616869747E-2</v>
      </c>
      <c r="AN34" s="129">
        <f t="shared" si="9"/>
        <v>0.39786035403633807</v>
      </c>
      <c r="AO34" s="129">
        <f t="shared" si="10"/>
        <v>0.5641464543784076</v>
      </c>
      <c r="AP34" s="129">
        <f t="shared" si="11"/>
        <v>3.7984946015923199E-2</v>
      </c>
      <c r="AQ34" s="129">
        <f t="shared" si="12"/>
        <v>0.9999917544306689</v>
      </c>
      <c r="AR34" s="129"/>
      <c r="AS34" s="129">
        <f t="shared" si="13"/>
        <v>0.39786363464852187</v>
      </c>
      <c r="AT34" s="129">
        <f t="shared" si="14"/>
        <v>0.56415110612546637</v>
      </c>
      <c r="AU34" s="129">
        <f t="shared" si="15"/>
        <v>3.798525922601171E-2</v>
      </c>
      <c r="AV34" s="129"/>
      <c r="AW34" s="129"/>
      <c r="AX34" s="129">
        <f t="shared" si="16"/>
        <v>-4.0789330415143508E-2</v>
      </c>
      <c r="AY34" s="129">
        <f t="shared" si="17"/>
        <v>-2.9778492278247991E-2</v>
      </c>
      <c r="AZ34" s="129">
        <f t="shared" si="18"/>
        <v>-4.7724583691011922E-2</v>
      </c>
      <c r="BA34" s="129"/>
      <c r="BB34" s="129">
        <f t="shared" si="3"/>
        <v>0.36711877277023364</v>
      </c>
      <c r="BC34" s="129">
        <f t="shared" si="4"/>
        <v>0.60991352526201004</v>
      </c>
      <c r="BD34" s="129">
        <f t="shared" si="5"/>
        <v>2.2967701967756236E-2</v>
      </c>
      <c r="BE34" s="129"/>
      <c r="BF34" s="129">
        <f t="shared" si="19"/>
        <v>-5.83222486064678E-3</v>
      </c>
      <c r="BG34" s="129">
        <f t="shared" si="20"/>
        <v>3.3987837532004077E-3</v>
      </c>
      <c r="BH34" s="129">
        <f t="shared" si="21"/>
        <v>3.3987837532006289E-3</v>
      </c>
      <c r="BI34" s="129"/>
      <c r="BJ34" s="129">
        <f t="shared" si="45"/>
        <v>0.965758968132715</v>
      </c>
      <c r="BK34" s="129">
        <f t="shared" si="23"/>
        <v>0.95408075443934537</v>
      </c>
      <c r="BL34" s="129">
        <f t="shared" si="6"/>
        <v>1.0901050189385053</v>
      </c>
      <c r="BM34" s="129"/>
      <c r="BN34" s="129">
        <f t="shared" si="46"/>
        <v>0.99972613862149862</v>
      </c>
      <c r="BO34" s="129">
        <f t="shared" si="25"/>
        <v>1.0028729099934781</v>
      </c>
      <c r="BP34" s="129">
        <f t="shared" si="7"/>
        <v>1.0076488548080016</v>
      </c>
      <c r="BQ34" s="129"/>
      <c r="BR34" s="129"/>
    </row>
    <row r="35" spans="1:70" x14ac:dyDescent="0.2">
      <c r="A35" s="133" t="s">
        <v>664</v>
      </c>
      <c r="B35" s="133">
        <f t="shared" si="8"/>
        <v>1974</v>
      </c>
      <c r="D35" s="136">
        <f>'Passenger-based Energy Use'!I32</f>
        <v>14.458198230000001</v>
      </c>
      <c r="E35" s="136">
        <f>'Passenger-based Energy Use'!J32</f>
        <v>25.717864846153848</v>
      </c>
      <c r="F35" s="136">
        <f>'Passenger-based Energy Use'!K32</f>
        <v>1.4737051538461541</v>
      </c>
      <c r="G35">
        <f t="shared" si="26"/>
        <v>41.649768230000006</v>
      </c>
      <c r="I35" s="4">
        <f>'Passenger-based Activity'!I33</f>
        <v>4528.7999999999993</v>
      </c>
      <c r="J35" s="164">
        <f>'Passenger-based Activity'!$J33-K35</f>
        <v>7485.1301427371955</v>
      </c>
      <c r="K35" s="164">
        <f>K$38/(J$39+K$38)*'Passenger-based Activity'!J33</f>
        <v>281.86985726280437</v>
      </c>
      <c r="L35" s="4">
        <f t="shared" si="27"/>
        <v>12295.799999999997</v>
      </c>
      <c r="N35" s="125">
        <f t="shared" si="43"/>
        <v>3192.5009340222582</v>
      </c>
      <c r="O35" s="125">
        <f t="shared" si="28"/>
        <v>3435.8607473388865</v>
      </c>
      <c r="P35" s="125">
        <f t="shared" si="29"/>
        <v>5228.3176646026732</v>
      </c>
      <c r="Q35" s="125">
        <f t="shared" si="44"/>
        <v>3387.3166634135246</v>
      </c>
      <c r="S35" s="129">
        <f t="shared" si="30"/>
        <v>1.1297752430402848</v>
      </c>
      <c r="T35" s="129">
        <f t="shared" si="31"/>
        <v>1.2565935133782162</v>
      </c>
      <c r="U35" s="129">
        <f t="shared" si="32"/>
        <v>1.038305302848165</v>
      </c>
      <c r="V35" s="129">
        <f t="shared" si="33"/>
        <v>1.2031664363094905</v>
      </c>
      <c r="X35" s="131">
        <f t="shared" si="34"/>
        <v>0.71028825602218226</v>
      </c>
      <c r="Y35" s="131">
        <f t="shared" si="35"/>
        <v>1.2031664363094905</v>
      </c>
      <c r="Z35" s="131">
        <f t="shared" si="36"/>
        <v>1.0076668066828789</v>
      </c>
      <c r="AA35" s="131">
        <f t="shared" si="37"/>
        <v>1.1940121757807758</v>
      </c>
      <c r="AB35" s="131">
        <f t="shared" si="38"/>
        <v>0.85459498975069215</v>
      </c>
      <c r="AC35" s="131">
        <f t="shared" si="39"/>
        <v>0.85459498975069204</v>
      </c>
      <c r="AD35" s="131"/>
      <c r="AE35" s="131">
        <f t="shared" si="40"/>
        <v>1.2031664363094905</v>
      </c>
      <c r="AH35" s="134"/>
      <c r="AJ35">
        <f t="shared" si="0"/>
        <v>0.34713754348303605</v>
      </c>
      <c r="AK35">
        <f t="shared" si="1"/>
        <v>0.61747918269637492</v>
      </c>
      <c r="AL35">
        <f t="shared" si="2"/>
        <v>3.5383273820588888E-2</v>
      </c>
      <c r="AN35" s="129">
        <f t="shared" si="9"/>
        <v>0.37082952790000995</v>
      </c>
      <c r="AO35" s="129">
        <f t="shared" si="10"/>
        <v>0.59168224329781027</v>
      </c>
      <c r="AP35" s="129">
        <f t="shared" si="11"/>
        <v>3.6583358575276198E-2</v>
      </c>
      <c r="AQ35" s="129">
        <f t="shared" si="12"/>
        <v>0.99909512977309634</v>
      </c>
      <c r="AR35" s="129"/>
      <c r="AS35" s="129">
        <f t="shared" si="13"/>
        <v>0.37116538440561586</v>
      </c>
      <c r="AT35" s="129">
        <f t="shared" si="14"/>
        <v>0.59221812384591122</v>
      </c>
      <c r="AU35" s="129">
        <f t="shared" si="15"/>
        <v>3.6616491748473055E-2</v>
      </c>
      <c r="AV35" s="129"/>
      <c r="AW35" s="129"/>
      <c r="AX35" s="129">
        <f t="shared" si="16"/>
        <v>-4.2827271048872753E-2</v>
      </c>
      <c r="AY35" s="129">
        <f t="shared" si="17"/>
        <v>0.17893128615677487</v>
      </c>
      <c r="AZ35" s="129">
        <f t="shared" si="18"/>
        <v>2.6622514339334758E-2</v>
      </c>
      <c r="BA35" s="129"/>
      <c r="BB35" s="129">
        <f t="shared" si="3"/>
        <v>0.3683208900600205</v>
      </c>
      <c r="BC35" s="129">
        <f t="shared" si="4"/>
        <v>0.60875503364866024</v>
      </c>
      <c r="BD35" s="129">
        <f t="shared" si="5"/>
        <v>2.2924076291319349E-2</v>
      </c>
      <c r="BE35" s="129"/>
      <c r="BF35" s="129">
        <f t="shared" si="19"/>
        <v>3.2691148469128095E-3</v>
      </c>
      <c r="BG35" s="129">
        <f t="shared" si="20"/>
        <v>-1.9012420626557342E-3</v>
      </c>
      <c r="BH35" s="129">
        <f t="shared" si="21"/>
        <v>-1.9012420626556229E-3</v>
      </c>
      <c r="BI35" s="129"/>
      <c r="BJ35" s="129">
        <f t="shared" si="45"/>
        <v>1.0953184831159208</v>
      </c>
      <c r="BK35" s="129">
        <f t="shared" si="23"/>
        <v>1.0450222847225972</v>
      </c>
      <c r="BL35" s="129">
        <f t="shared" si="6"/>
        <v>1.1940121757807758</v>
      </c>
      <c r="BM35" s="129"/>
      <c r="BN35" s="129">
        <f t="shared" si="46"/>
        <v>1.0000178156058945</v>
      </c>
      <c r="BO35" s="129">
        <f t="shared" si="25"/>
        <v>1.0028907767820048</v>
      </c>
      <c r="BP35" s="129">
        <f t="shared" si="7"/>
        <v>1.0076668066828789</v>
      </c>
      <c r="BQ35" s="129"/>
      <c r="BR35" s="129"/>
    </row>
    <row r="36" spans="1:70" x14ac:dyDescent="0.2">
      <c r="A36" s="133" t="s">
        <v>664</v>
      </c>
      <c r="B36" s="133">
        <f t="shared" si="8"/>
        <v>1975</v>
      </c>
      <c r="D36" s="136">
        <f>'Passenger-based Energy Use'!I33</f>
        <v>14.328358240000002</v>
      </c>
      <c r="E36" s="136">
        <f>'Passenger-based Energy Use'!J33</f>
        <v>25.857043692307695</v>
      </c>
      <c r="F36" s="136">
        <f>'Passenger-based Energy Use'!K33</f>
        <v>1.499950307692308</v>
      </c>
      <c r="G36">
        <f t="shared" si="26"/>
        <v>41.685352240000007</v>
      </c>
      <c r="I36" s="4">
        <f>'Passenger-based Activity'!I34</f>
        <v>4513</v>
      </c>
      <c r="J36" s="164">
        <f>'Passenger-based Activity'!$J34-K36</f>
        <v>7255.2854743912676</v>
      </c>
      <c r="K36" s="164">
        <f>K$38/(J$39+K$38)*'Passenger-based Activity'!J34</f>
        <v>273.21452560873217</v>
      </c>
      <c r="L36" s="4">
        <f t="shared" si="27"/>
        <v>12041.5</v>
      </c>
      <c r="N36" s="125">
        <f t="shared" si="43"/>
        <v>3174.9076534456021</v>
      </c>
      <c r="O36" s="125">
        <f t="shared" si="28"/>
        <v>3563.890598595247</v>
      </c>
      <c r="P36" s="125">
        <f t="shared" si="29"/>
        <v>5490.0093776140293</v>
      </c>
      <c r="Q36" s="125">
        <f t="shared" si="44"/>
        <v>3461.8072698584069</v>
      </c>
      <c r="S36" s="129">
        <f t="shared" si="30"/>
        <v>1.1235492612002966</v>
      </c>
      <c r="T36" s="129">
        <f t="shared" si="31"/>
        <v>1.3034177278729757</v>
      </c>
      <c r="U36" s="129">
        <f t="shared" si="32"/>
        <v>1.0902753457494816</v>
      </c>
      <c r="V36" s="129">
        <f t="shared" si="33"/>
        <v>1.2296253140586124</v>
      </c>
      <c r="X36" s="131">
        <f t="shared" si="34"/>
        <v>0.69559817457108197</v>
      </c>
      <c r="Y36" s="131">
        <f t="shared" si="35"/>
        <v>1.2296253140586124</v>
      </c>
      <c r="Z36" s="131">
        <f t="shared" si="36"/>
        <v>1.0069381927878338</v>
      </c>
      <c r="AA36" s="131">
        <f t="shared" si="37"/>
        <v>1.2211527210565343</v>
      </c>
      <c r="AB36" s="131">
        <f t="shared" si="38"/>
        <v>0.85532512386556414</v>
      </c>
      <c r="AC36" s="131">
        <f t="shared" si="39"/>
        <v>0.85532512386556414</v>
      </c>
      <c r="AD36" s="131"/>
      <c r="AE36" s="131">
        <f t="shared" si="40"/>
        <v>1.2296253140586124</v>
      </c>
      <c r="AH36" s="134"/>
      <c r="AJ36" s="129">
        <f t="shared" si="0"/>
        <v>0.34372645234003663</v>
      </c>
      <c r="AK36" s="129">
        <f t="shared" si="1"/>
        <v>0.62029087683937223</v>
      </c>
      <c r="AL36" s="129">
        <f t="shared" si="2"/>
        <v>3.5982670820591048E-2</v>
      </c>
      <c r="AN36" s="129">
        <f t="shared" si="9"/>
        <v>0.34542919089054508</v>
      </c>
      <c r="AO36" s="129">
        <f t="shared" si="10"/>
        <v>0.61888396526822242</v>
      </c>
      <c r="AP36" s="129">
        <f t="shared" si="11"/>
        <v>3.5682133256700881E-2</v>
      </c>
      <c r="AQ36" s="129">
        <f t="shared" si="12"/>
        <v>0.99999528941546834</v>
      </c>
      <c r="AR36" s="129"/>
      <c r="AS36" s="129">
        <f t="shared" si="13"/>
        <v>0.34543081807161347</v>
      </c>
      <c r="AT36" s="129">
        <f t="shared" si="14"/>
        <v>0.61888688058718899</v>
      </c>
      <c r="AU36" s="129">
        <f t="shared" si="15"/>
        <v>3.5682301341197632E-2</v>
      </c>
      <c r="AV36" s="129"/>
      <c r="AW36" s="129"/>
      <c r="AX36" s="129">
        <f t="shared" si="16"/>
        <v>-5.5260550994571892E-3</v>
      </c>
      <c r="AY36" s="129">
        <f t="shared" si="17"/>
        <v>3.658533714496507E-2</v>
      </c>
      <c r="AZ36" s="129">
        <f t="shared" si="18"/>
        <v>4.8840407564592452E-2</v>
      </c>
      <c r="BA36" s="129"/>
      <c r="BB36" s="129">
        <f t="shared" si="3"/>
        <v>0.3747871942864261</v>
      </c>
      <c r="BC36" s="129">
        <f t="shared" si="4"/>
        <v>0.60252339612102046</v>
      </c>
      <c r="BD36" s="129">
        <f t="shared" si="5"/>
        <v>2.2689409592553434E-2</v>
      </c>
      <c r="BE36" s="129"/>
      <c r="BF36" s="129">
        <f t="shared" si="19"/>
        <v>1.7403840918130711E-2</v>
      </c>
      <c r="BG36" s="129">
        <f t="shared" si="20"/>
        <v>-1.0289446842969624E-2</v>
      </c>
      <c r="BH36" s="129">
        <f t="shared" si="21"/>
        <v>-1.0289446842969736E-2</v>
      </c>
      <c r="BI36" s="129"/>
      <c r="BJ36" s="129">
        <f t="shared" si="45"/>
        <v>1.0227305431437592</v>
      </c>
      <c r="BK36" s="129">
        <f t="shared" si="23"/>
        <v>1.0687762088516739</v>
      </c>
      <c r="BL36" s="129">
        <f t="shared" si="6"/>
        <v>1.2211527210565343</v>
      </c>
      <c r="BM36" s="129"/>
      <c r="BN36" s="129">
        <f t="shared" si="46"/>
        <v>0.99927692974481963</v>
      </c>
      <c r="BO36" s="129">
        <f t="shared" si="25"/>
        <v>1.0021656162921189</v>
      </c>
      <c r="BP36" s="129">
        <f t="shared" si="7"/>
        <v>1.0069381927878338</v>
      </c>
      <c r="BQ36" s="129"/>
      <c r="BR36" s="129"/>
    </row>
    <row r="37" spans="1:70" x14ac:dyDescent="0.2">
      <c r="A37" s="133" t="s">
        <v>664</v>
      </c>
      <c r="B37" s="133">
        <f t="shared" si="8"/>
        <v>1976</v>
      </c>
      <c r="D37" s="136">
        <f>'Passenger-based Energy Use'!I34</f>
        <v>13.47791627</v>
      </c>
      <c r="E37" s="136">
        <f>'Passenger-based Energy Use'!J34</f>
        <v>25.107068538461537</v>
      </c>
      <c r="F37" s="136">
        <f>'Passenger-based Energy Use'!K34</f>
        <v>1.5261954615384616</v>
      </c>
      <c r="G37">
        <f t="shared" si="26"/>
        <v>40.111180269999998</v>
      </c>
      <c r="I37" s="4">
        <f>'Passenger-based Activity'!I35</f>
        <v>5340</v>
      </c>
      <c r="J37" s="164">
        <f>'Passenger-based Activity'!$J35-K37</f>
        <v>7077.4811083123423</v>
      </c>
      <c r="K37" s="164">
        <f>K$38/(J$39+K$38)*'Passenger-based Activity'!J35</f>
        <v>266.5188916876574</v>
      </c>
      <c r="L37" s="4">
        <f t="shared" si="27"/>
        <v>12684</v>
      </c>
      <c r="N37" s="125">
        <f t="shared" si="43"/>
        <v>2523.9543576779024</v>
      </c>
      <c r="O37" s="125">
        <f t="shared" si="28"/>
        <v>3547.4582205488123</v>
      </c>
      <c r="P37" s="125">
        <f t="shared" si="29"/>
        <v>5726.4063041619665</v>
      </c>
      <c r="Q37" s="125">
        <f t="shared" si="44"/>
        <v>3162.3447075055187</v>
      </c>
      <c r="S37" s="129">
        <f t="shared" si="30"/>
        <v>0.89318725563394219</v>
      </c>
      <c r="T37" s="129">
        <f t="shared" si="31"/>
        <v>1.2974079326044914</v>
      </c>
      <c r="U37" s="129">
        <f t="shared" si="32"/>
        <v>1.1372220307364169</v>
      </c>
      <c r="V37" s="129">
        <f t="shared" si="33"/>
        <v>1.1232569582902023</v>
      </c>
      <c r="X37" s="131">
        <f t="shared" si="34"/>
        <v>0.73271330367974119</v>
      </c>
      <c r="Y37" s="131">
        <f t="shared" si="35"/>
        <v>1.1232569582902023</v>
      </c>
      <c r="Z37" s="131">
        <f t="shared" si="36"/>
        <v>0.995748520516332</v>
      </c>
      <c r="AA37" s="131">
        <f t="shared" si="37"/>
        <v>1.1280528518463206</v>
      </c>
      <c r="AB37" s="131">
        <f t="shared" si="38"/>
        <v>0.82302531679007174</v>
      </c>
      <c r="AC37" s="131">
        <f t="shared" si="39"/>
        <v>0.8230253167900714</v>
      </c>
      <c r="AD37" s="131"/>
      <c r="AE37" s="131">
        <f t="shared" si="40"/>
        <v>1.1232569582902028</v>
      </c>
      <c r="AH37" s="134"/>
      <c r="AJ37" s="129">
        <f t="shared" si="0"/>
        <v>0.33601395369760334</v>
      </c>
      <c r="AK37" s="129">
        <f t="shared" si="1"/>
        <v>0.62593691757406711</v>
      </c>
      <c r="AL37" s="129">
        <f t="shared" si="2"/>
        <v>3.804912872832953E-2</v>
      </c>
      <c r="AN37" s="129">
        <f t="shared" si="9"/>
        <v>0.3398556178730413</v>
      </c>
      <c r="AO37" s="129">
        <f t="shared" si="10"/>
        <v>0.62310963394782104</v>
      </c>
      <c r="AP37" s="129">
        <f t="shared" si="11"/>
        <v>3.7006284231078587E-2</v>
      </c>
      <c r="AQ37" s="129">
        <f t="shared" si="12"/>
        <v>0.99997153605194089</v>
      </c>
      <c r="AR37" s="129"/>
      <c r="AS37" s="129">
        <f t="shared" si="13"/>
        <v>0.33986529178105368</v>
      </c>
      <c r="AT37" s="129">
        <f t="shared" si="14"/>
        <v>0.62312737061293233</v>
      </c>
      <c r="AU37" s="129">
        <f t="shared" si="15"/>
        <v>3.7007337606014011E-2</v>
      </c>
      <c r="AV37" s="129"/>
      <c r="AW37" s="129"/>
      <c r="AX37" s="129">
        <f t="shared" si="16"/>
        <v>-0.22945168520613896</v>
      </c>
      <c r="AY37" s="129">
        <f t="shared" si="17"/>
        <v>-4.6214600664603667E-3</v>
      </c>
      <c r="AZ37" s="129">
        <f t="shared" si="18"/>
        <v>4.2158198277068737E-2</v>
      </c>
      <c r="BA37" s="129"/>
      <c r="BB37" s="129">
        <f t="shared" si="3"/>
        <v>0.42100283822138129</v>
      </c>
      <c r="BC37" s="129">
        <f t="shared" si="4"/>
        <v>0.55798495019807182</v>
      </c>
      <c r="BD37" s="129">
        <f t="shared" si="5"/>
        <v>2.101221158054694E-2</v>
      </c>
      <c r="BE37" s="129"/>
      <c r="BF37" s="129">
        <f t="shared" si="19"/>
        <v>0.11628119228939002</v>
      </c>
      <c r="BG37" s="129">
        <f t="shared" si="20"/>
        <v>-7.679450530062093E-2</v>
      </c>
      <c r="BH37" s="129">
        <f t="shared" si="21"/>
        <v>-7.6794505300621277E-2</v>
      </c>
      <c r="BI37" s="129"/>
      <c r="BJ37" s="129">
        <f t="shared" si="45"/>
        <v>0.92376066678239532</v>
      </c>
      <c r="BK37" s="129">
        <f t="shared" si="23"/>
        <v>0.98729342332998293</v>
      </c>
      <c r="BL37" s="129">
        <f t="shared" si="6"/>
        <v>1.1280528518463206</v>
      </c>
      <c r="BM37" s="129"/>
      <c r="BN37" s="129">
        <f t="shared" si="46"/>
        <v>0.98888742888923309</v>
      </c>
      <c r="BO37" s="129">
        <f t="shared" si="25"/>
        <v>0.9910289796163072</v>
      </c>
      <c r="BP37" s="129">
        <f t="shared" si="7"/>
        <v>0.995748520516332</v>
      </c>
      <c r="BQ37" s="129"/>
      <c r="BR37" s="129"/>
    </row>
    <row r="38" spans="1:70" x14ac:dyDescent="0.2">
      <c r="A38" s="133" t="s">
        <v>664</v>
      </c>
      <c r="B38" s="133">
        <f t="shared" si="8"/>
        <v>1977</v>
      </c>
      <c r="D38" s="136">
        <f>'Passenger-based Energy Use'!I35</f>
        <v>14.886911899999998</v>
      </c>
      <c r="E38" s="136">
        <f>'Passenger-based Energy Use'!J35</f>
        <v>22.258276384615385</v>
      </c>
      <c r="F38" s="136">
        <f>'Passenger-based Energy Use'!K35</f>
        <v>1.5524406153846158</v>
      </c>
      <c r="G38">
        <f t="shared" si="26"/>
        <v>38.697628900000005</v>
      </c>
      <c r="I38" s="4">
        <f>'Passenger-based Activity'!I36</f>
        <v>6167</v>
      </c>
      <c r="J38" s="4">
        <f>'Passenger-based Activity'!J36</f>
        <v>9682</v>
      </c>
      <c r="K38" s="21">
        <f>'Passenger-based Activity'!K36</f>
        <v>389</v>
      </c>
      <c r="L38" s="4">
        <f t="shared" si="27"/>
        <v>16238</v>
      </c>
      <c r="N38" s="125">
        <f t="shared" si="43"/>
        <v>2413.9633371169125</v>
      </c>
      <c r="O38" s="125">
        <f t="shared" si="28"/>
        <v>2298.9337311108643</v>
      </c>
      <c r="P38" s="125">
        <f t="shared" si="29"/>
        <v>3990.8499110144362</v>
      </c>
      <c r="Q38" s="125">
        <f t="shared" si="44"/>
        <v>2383.1524140904057</v>
      </c>
      <c r="S38" s="129">
        <f t="shared" si="30"/>
        <v>0.85426318495873688</v>
      </c>
      <c r="T38" s="129">
        <f t="shared" si="31"/>
        <v>0.84078646564408088</v>
      </c>
      <c r="U38" s="129">
        <f t="shared" si="32"/>
        <v>0.79255333958219232</v>
      </c>
      <c r="V38" s="129">
        <f t="shared" si="33"/>
        <v>0.84648979772502253</v>
      </c>
      <c r="X38" s="131">
        <f t="shared" si="34"/>
        <v>0.93801629022009125</v>
      </c>
      <c r="Y38" s="131">
        <f t="shared" si="35"/>
        <v>0.84648979772502253</v>
      </c>
      <c r="Z38" s="131">
        <f t="shared" si="36"/>
        <v>1.0036231947596355</v>
      </c>
      <c r="AA38" s="131">
        <f t="shared" si="37"/>
        <v>0.84343387253794422</v>
      </c>
      <c r="AB38" s="131">
        <f t="shared" si="38"/>
        <v>0.79402121977118123</v>
      </c>
      <c r="AC38" s="131">
        <f t="shared" si="39"/>
        <v>0.79402121977118101</v>
      </c>
      <c r="AD38" s="131"/>
      <c r="AE38" s="131">
        <f t="shared" si="40"/>
        <v>0.84648979772502275</v>
      </c>
      <c r="AH38" s="134"/>
      <c r="AJ38" s="129">
        <f t="shared" si="0"/>
        <v>0.38469829607570594</v>
      </c>
      <c r="AK38" s="129">
        <f t="shared" si="1"/>
        <v>0.57518450141050848</v>
      </c>
      <c r="AL38" s="129">
        <f t="shared" si="2"/>
        <v>4.0117202513785429E-2</v>
      </c>
      <c r="AN38" s="129">
        <f t="shared" si="9"/>
        <v>0.35980734920140317</v>
      </c>
      <c r="AO38" s="129">
        <f t="shared" si="10"/>
        <v>0.60020312209871363</v>
      </c>
      <c r="AP38" s="129">
        <f t="shared" si="11"/>
        <v>3.9074044627067032E-2</v>
      </c>
      <c r="AQ38" s="129">
        <f t="shared" si="12"/>
        <v>0.99908451592718373</v>
      </c>
      <c r="AR38" s="129"/>
      <c r="AS38" s="129">
        <f t="shared" si="13"/>
        <v>0.36013704893373305</v>
      </c>
      <c r="AT38" s="129">
        <f t="shared" si="14"/>
        <v>0.60075310199528531</v>
      </c>
      <c r="AU38" s="129">
        <f t="shared" si="15"/>
        <v>3.9109849070981764E-2</v>
      </c>
      <c r="AV38" s="129"/>
      <c r="AW38" s="129"/>
      <c r="AX38" s="129">
        <f t="shared" si="16"/>
        <v>-4.4556926233485457E-2</v>
      </c>
      <c r="AY38" s="129">
        <f t="shared" si="17"/>
        <v>-0.43378593255699943</v>
      </c>
      <c r="AZ38" s="129">
        <f t="shared" si="18"/>
        <v>-0.3610839434258552</v>
      </c>
      <c r="BA38" s="129"/>
      <c r="BB38" s="129">
        <f t="shared" si="3"/>
        <v>0.37978815125015397</v>
      </c>
      <c r="BC38" s="129">
        <f t="shared" si="4"/>
        <v>0.59625569651434907</v>
      </c>
      <c r="BD38" s="129">
        <f t="shared" si="5"/>
        <v>2.3956152235496981E-2</v>
      </c>
      <c r="BE38" s="129"/>
      <c r="BF38" s="129">
        <f t="shared" si="19"/>
        <v>-0.10302597472690155</v>
      </c>
      <c r="BG38" s="129">
        <f t="shared" si="20"/>
        <v>6.6337605012994683E-2</v>
      </c>
      <c r="BH38" s="129">
        <f t="shared" si="21"/>
        <v>0.13112139662703942</v>
      </c>
      <c r="BI38" s="129"/>
      <c r="BJ38" s="129">
        <f t="shared" si="45"/>
        <v>0.74769003168377146</v>
      </c>
      <c r="BK38" s="129">
        <f t="shared" si="23"/>
        <v>0.73818945097077415</v>
      </c>
      <c r="BL38" s="129">
        <f t="shared" si="6"/>
        <v>0.84343387253794422</v>
      </c>
      <c r="BM38" s="129"/>
      <c r="BN38" s="129">
        <f t="shared" si="46"/>
        <v>1.0079082962023584</v>
      </c>
      <c r="BO38" s="129">
        <f t="shared" si="25"/>
        <v>0.99886633033223404</v>
      </c>
      <c r="BP38" s="129">
        <f t="shared" si="7"/>
        <v>1.0036231947596355</v>
      </c>
      <c r="BQ38" s="129"/>
      <c r="BR38" s="129"/>
    </row>
    <row r="39" spans="1:70" x14ac:dyDescent="0.2">
      <c r="A39" s="133" t="s">
        <v>664</v>
      </c>
      <c r="B39" s="133">
        <f t="shared" si="8"/>
        <v>1978</v>
      </c>
      <c r="D39" s="136">
        <f>'Passenger-based Energy Use'!I36</f>
        <v>15.373915199999999</v>
      </c>
      <c r="E39" s="136">
        <f>'Passenger-based Energy Use'!J36</f>
        <v>21.404911230769233</v>
      </c>
      <c r="F39" s="136">
        <f>'Passenger-based Energy Use'!K36</f>
        <v>1.5786857692307696</v>
      </c>
      <c r="G39">
        <f t="shared" si="26"/>
        <v>38.357512199999995</v>
      </c>
      <c r="I39" s="4">
        <f>'Passenger-based Activity'!I37</f>
        <v>6213</v>
      </c>
      <c r="J39" s="4">
        <f>'Passenger-based Activity'!J37</f>
        <v>10330</v>
      </c>
      <c r="K39" s="21">
        <f>'Passenger-based Activity'!K37</f>
        <v>392</v>
      </c>
      <c r="L39" s="4">
        <f t="shared" si="27"/>
        <v>16935</v>
      </c>
      <c r="N39" s="125">
        <f t="shared" si="43"/>
        <v>2474.4753259295026</v>
      </c>
      <c r="O39" s="125">
        <f t="shared" si="28"/>
        <v>2072.1114453794034</v>
      </c>
      <c r="P39" s="125">
        <f t="shared" si="29"/>
        <v>4027.2596153846166</v>
      </c>
      <c r="Q39" s="125">
        <f t="shared" si="44"/>
        <v>2264.984481842338</v>
      </c>
      <c r="S39" s="129">
        <f t="shared" si="30"/>
        <v>0.87567741420422729</v>
      </c>
      <c r="T39" s="129">
        <f t="shared" si="31"/>
        <v>0.75783100443671736</v>
      </c>
      <c r="U39" s="129">
        <f t="shared" si="32"/>
        <v>0.79978403816400179</v>
      </c>
      <c r="V39" s="129">
        <f t="shared" si="33"/>
        <v>0.80451684271180768</v>
      </c>
      <c r="X39" s="131">
        <f t="shared" si="34"/>
        <v>0.97827970654497143</v>
      </c>
      <c r="Y39" s="131">
        <f t="shared" si="35"/>
        <v>0.80451684271180768</v>
      </c>
      <c r="Z39" s="131">
        <f t="shared" si="36"/>
        <v>1.0015283643966335</v>
      </c>
      <c r="AA39" s="131">
        <f t="shared" si="37"/>
        <v>0.80328912421415644</v>
      </c>
      <c r="AB39" s="131">
        <f t="shared" si="38"/>
        <v>0.78704250079859472</v>
      </c>
      <c r="AC39" s="131">
        <f t="shared" si="39"/>
        <v>0.78704250079859406</v>
      </c>
      <c r="AD39" s="131"/>
      <c r="AE39" s="131">
        <f t="shared" si="40"/>
        <v>0.80451684271180823</v>
      </c>
      <c r="AH39" s="134"/>
      <c r="AJ39" s="129">
        <f t="shared" si="0"/>
        <v>0.40080584788290835</v>
      </c>
      <c r="AK39" s="129">
        <f t="shared" si="1"/>
        <v>0.55803700508942899</v>
      </c>
      <c r="AL39" s="129">
        <f t="shared" si="2"/>
        <v>4.1157147027662808E-2</v>
      </c>
      <c r="AN39" s="129">
        <f t="shared" si="9"/>
        <v>0.39269701554904779</v>
      </c>
      <c r="AO39" s="129">
        <f t="shared" si="10"/>
        <v>0.56656750566130831</v>
      </c>
      <c r="AP39" s="129">
        <f t="shared" si="11"/>
        <v>4.0634956908590966E-2</v>
      </c>
      <c r="AQ39" s="129">
        <f t="shared" si="12"/>
        <v>0.99989947811894708</v>
      </c>
      <c r="AR39" s="129"/>
      <c r="AS39" s="129">
        <f t="shared" si="13"/>
        <v>0.3927364941601989</v>
      </c>
      <c r="AT39" s="129">
        <f t="shared" si="14"/>
        <v>0.56662446381826193</v>
      </c>
      <c r="AU39" s="129">
        <f t="shared" si="15"/>
        <v>4.063904202153916E-2</v>
      </c>
      <c r="AV39" s="129"/>
      <c r="AW39" s="129"/>
      <c r="AX39" s="129">
        <f t="shared" si="16"/>
        <v>2.4758449071171126E-2</v>
      </c>
      <c r="AY39" s="129">
        <f t="shared" si="17"/>
        <v>-0.10387731094162844</v>
      </c>
      <c r="AZ39" s="129">
        <f t="shared" si="18"/>
        <v>9.0819299762367866E-3</v>
      </c>
      <c r="BA39" s="129"/>
      <c r="BB39" s="129">
        <f t="shared" si="3"/>
        <v>0.36687333923826393</v>
      </c>
      <c r="BC39" s="129">
        <f t="shared" si="4"/>
        <v>0.60997933274284022</v>
      </c>
      <c r="BD39" s="129">
        <f t="shared" si="5"/>
        <v>2.3147328018895779E-2</v>
      </c>
      <c r="BE39" s="129"/>
      <c r="BF39" s="129">
        <f t="shared" si="19"/>
        <v>-3.4596936757279401E-2</v>
      </c>
      <c r="BG39" s="129">
        <f t="shared" si="20"/>
        <v>2.2755479784564204E-2</v>
      </c>
      <c r="BH39" s="129">
        <f t="shared" si="21"/>
        <v>-3.4345815657463988E-2</v>
      </c>
      <c r="BI39" s="129"/>
      <c r="BJ39" s="129">
        <f t="shared" si="45"/>
        <v>0.95240320595260197</v>
      </c>
      <c r="BK39" s="129">
        <f t="shared" si="23"/>
        <v>0.70305399970495641</v>
      </c>
      <c r="BL39" s="129">
        <f t="shared" si="6"/>
        <v>0.80328912421415644</v>
      </c>
      <c r="BM39" s="129"/>
      <c r="BN39" s="129">
        <f t="shared" si="46"/>
        <v>0.99791273221469978</v>
      </c>
      <c r="BO39" s="129">
        <f t="shared" si="25"/>
        <v>0.99678142881911047</v>
      </c>
      <c r="BP39" s="129">
        <f t="shared" si="7"/>
        <v>1.0015283643966335</v>
      </c>
      <c r="BQ39" s="129"/>
      <c r="BR39" s="129"/>
    </row>
    <row r="40" spans="1:70" x14ac:dyDescent="0.2">
      <c r="A40" s="133" t="s">
        <v>664</v>
      </c>
      <c r="B40" s="133">
        <f t="shared" si="8"/>
        <v>1979</v>
      </c>
      <c r="D40" s="136">
        <f>'Passenger-based Energy Use'!I37</f>
        <v>15.786957599999999</v>
      </c>
      <c r="E40" s="136">
        <f>'Passenger-based Energy Use'!J37</f>
        <v>23.963416076923071</v>
      </c>
      <c r="F40" s="136">
        <f>'Passenger-based Energy Use'!K37</f>
        <v>1.6049309230769238</v>
      </c>
      <c r="G40" s="136">
        <f t="shared" si="26"/>
        <v>41.35530459999999</v>
      </c>
      <c r="I40" s="4">
        <f>'Passenger-based Activity'!I38</f>
        <v>6492</v>
      </c>
      <c r="J40" s="4">
        <f>'Passenger-based Activity'!J38</f>
        <v>10760</v>
      </c>
      <c r="K40" s="21">
        <f>'Passenger-based Activity'!K38</f>
        <v>407</v>
      </c>
      <c r="L40" s="4">
        <f t="shared" si="27"/>
        <v>17659</v>
      </c>
      <c r="N40" s="125">
        <f t="shared" si="43"/>
        <v>2431.7556377079482</v>
      </c>
      <c r="O40" s="125">
        <f t="shared" si="28"/>
        <v>2227.0832785244493</v>
      </c>
      <c r="P40" s="125">
        <f t="shared" si="29"/>
        <v>3943.3192213192233</v>
      </c>
      <c r="Q40" s="125">
        <f t="shared" si="44"/>
        <v>2341.8825867829428</v>
      </c>
      <c r="S40" s="129">
        <f t="shared" si="30"/>
        <v>0.86055959681261129</v>
      </c>
      <c r="T40" s="129">
        <f t="shared" si="31"/>
        <v>0.81450867987429776</v>
      </c>
      <c r="U40" s="129">
        <f t="shared" si="32"/>
        <v>0.78311409538846355</v>
      </c>
      <c r="V40" s="129">
        <f t="shared" si="33"/>
        <v>0.83183085792617018</v>
      </c>
      <c r="X40" s="131">
        <f t="shared" si="34"/>
        <v>1.020102824793484</v>
      </c>
      <c r="Y40" s="131">
        <f t="shared" si="35"/>
        <v>0.83183085792617018</v>
      </c>
      <c r="Z40" s="131">
        <f t="shared" si="36"/>
        <v>1.0015492988848567</v>
      </c>
      <c r="AA40" s="131">
        <f t="shared" si="37"/>
        <v>0.83054409688304542</v>
      </c>
      <c r="AB40" s="131">
        <f t="shared" si="38"/>
        <v>0.84855300792087385</v>
      </c>
      <c r="AC40" s="131">
        <f t="shared" si="39"/>
        <v>0.8485530079208734</v>
      </c>
      <c r="AD40" s="131"/>
      <c r="AE40" s="131">
        <f t="shared" si="40"/>
        <v>0.83183085792617062</v>
      </c>
      <c r="AH40" s="134"/>
      <c r="AJ40" s="129">
        <f t="shared" si="0"/>
        <v>0.3817396039684835</v>
      </c>
      <c r="AK40" s="129">
        <f t="shared" si="1"/>
        <v>0.57945205116257514</v>
      </c>
      <c r="AL40" s="129">
        <f t="shared" si="2"/>
        <v>3.8808344868941531E-2</v>
      </c>
      <c r="AN40" s="129">
        <f t="shared" si="9"/>
        <v>0.3911952907600274</v>
      </c>
      <c r="AO40" s="129">
        <f t="shared" si="10"/>
        <v>0.5686773263728705</v>
      </c>
      <c r="AP40" s="129">
        <f t="shared" si="11"/>
        <v>3.9971244859353341E-2</v>
      </c>
      <c r="AQ40" s="129">
        <f t="shared" si="12"/>
        <v>0.99984386199225128</v>
      </c>
      <c r="AR40" s="129"/>
      <c r="AS40" s="129">
        <f t="shared" si="13"/>
        <v>0.391256380751837</v>
      </c>
      <c r="AT40" s="129">
        <f t="shared" si="14"/>
        <v>0.56876613238365581</v>
      </c>
      <c r="AU40" s="129">
        <f t="shared" si="15"/>
        <v>3.9977486864507167E-2</v>
      </c>
      <c r="AV40" s="129"/>
      <c r="AW40" s="129"/>
      <c r="AX40" s="129">
        <f t="shared" si="16"/>
        <v>-1.7414902884728467E-2</v>
      </c>
      <c r="AY40" s="129">
        <f t="shared" si="17"/>
        <v>7.2124673182123081E-2</v>
      </c>
      <c r="AZ40" s="129">
        <f t="shared" si="18"/>
        <v>-2.1063337859868771E-2</v>
      </c>
      <c r="BA40" s="129"/>
      <c r="BB40" s="129">
        <f t="shared" si="3"/>
        <v>0.36763123619684013</v>
      </c>
      <c r="BC40" s="129">
        <f t="shared" si="4"/>
        <v>0.60932102610566852</v>
      </c>
      <c r="BD40" s="129">
        <f t="shared" si="5"/>
        <v>2.3047737697491365E-2</v>
      </c>
      <c r="BE40" s="129"/>
      <c r="BF40" s="129">
        <f t="shared" si="19"/>
        <v>2.063696409535817E-3</v>
      </c>
      <c r="BG40" s="129">
        <f t="shared" si="20"/>
        <v>-1.0798105591609184E-3</v>
      </c>
      <c r="BH40" s="129">
        <f t="shared" si="21"/>
        <v>-4.3117365091198123E-3</v>
      </c>
      <c r="BI40" s="129"/>
      <c r="BJ40" s="129">
        <f t="shared" si="45"/>
        <v>1.033929219066114</v>
      </c>
      <c r="BK40" s="129">
        <f t="shared" si="23"/>
        <v>0.72690807287625359</v>
      </c>
      <c r="BL40" s="129">
        <f t="shared" si="6"/>
        <v>0.83054409688304542</v>
      </c>
      <c r="BM40" s="129"/>
      <c r="BN40" s="129">
        <f t="shared" si="46"/>
        <v>1.000020902541523</v>
      </c>
      <c r="BO40" s="129">
        <f t="shared" si="25"/>
        <v>0.99680226408431571</v>
      </c>
      <c r="BP40" s="129">
        <f t="shared" si="7"/>
        <v>1.0015492988848567</v>
      </c>
      <c r="BQ40" s="129"/>
      <c r="BR40" s="129"/>
    </row>
    <row r="41" spans="1:70" x14ac:dyDescent="0.2">
      <c r="A41" s="133" t="s">
        <v>664</v>
      </c>
      <c r="B41" s="133">
        <f t="shared" si="8"/>
        <v>1980</v>
      </c>
      <c r="D41" s="136">
        <f>'Passenger-based Energy Use'!I38</f>
        <v>16.2</v>
      </c>
      <c r="E41" s="136">
        <f>'Passenger-based Energy Use'!J38</f>
        <v>23.658017923076919</v>
      </c>
      <c r="F41" s="136">
        <f>'Passenger-based Energy Use'!K38</f>
        <v>1.6311760769230774</v>
      </c>
      <c r="G41" s="136">
        <f t="shared" si="26"/>
        <v>41.489193999999991</v>
      </c>
      <c r="I41" s="4">
        <f>'Passenger-based Activity'!I39</f>
        <v>6516</v>
      </c>
      <c r="J41" s="4">
        <f>'Passenger-based Activity'!J39</f>
        <v>10558</v>
      </c>
      <c r="K41" s="21">
        <f>'Passenger-based Activity'!K39</f>
        <v>381</v>
      </c>
      <c r="L41" s="4">
        <f t="shared" si="27"/>
        <v>17455</v>
      </c>
      <c r="N41" s="125">
        <f t="shared" si="43"/>
        <v>2486.1878453038671</v>
      </c>
      <c r="O41" s="125">
        <f t="shared" si="28"/>
        <v>2240.7669940402461</v>
      </c>
      <c r="P41" s="125">
        <f t="shared" si="29"/>
        <v>4281.3020391681821</v>
      </c>
      <c r="Q41" s="125">
        <f t="shared" si="44"/>
        <v>2376.9231738756798</v>
      </c>
      <c r="S41" s="129">
        <f t="shared" si="30"/>
        <v>0.8798222883001966</v>
      </c>
      <c r="T41" s="129">
        <f t="shared" si="31"/>
        <v>0.8195132098656196</v>
      </c>
      <c r="U41" s="129">
        <f t="shared" si="32"/>
        <v>0.85023498867695668</v>
      </c>
      <c r="V41" s="129">
        <f t="shared" si="33"/>
        <v>0.84427718712648614</v>
      </c>
      <c r="X41" s="131">
        <f t="shared" si="34"/>
        <v>1.0083184102593727</v>
      </c>
      <c r="Y41" s="131">
        <f t="shared" si="35"/>
        <v>0.84427718712648614</v>
      </c>
      <c r="Z41" s="131">
        <f t="shared" si="36"/>
        <v>1.0011199838416731</v>
      </c>
      <c r="AA41" s="131">
        <f t="shared" si="37"/>
        <v>0.84333266816498653</v>
      </c>
      <c r="AB41" s="131">
        <f t="shared" si="38"/>
        <v>0.85130023114163378</v>
      </c>
      <c r="AC41" s="131">
        <f t="shared" si="39"/>
        <v>0.85130023114163345</v>
      </c>
      <c r="AD41" s="131"/>
      <c r="AE41" s="131">
        <f t="shared" si="40"/>
        <v>0.84427718712648636</v>
      </c>
      <c r="AH41" s="134"/>
      <c r="AJ41" s="129">
        <f t="shared" si="0"/>
        <v>0.39046311673348011</v>
      </c>
      <c r="AK41" s="129">
        <f t="shared" si="1"/>
        <v>0.57022119839389807</v>
      </c>
      <c r="AL41" s="129">
        <f t="shared" si="2"/>
        <v>3.9315684872621957E-2</v>
      </c>
      <c r="AN41" s="129">
        <f t="shared" si="9"/>
        <v>0.38608493498690433</v>
      </c>
      <c r="AO41" s="129">
        <f t="shared" si="10"/>
        <v>0.57482427197745045</v>
      </c>
      <c r="AP41" s="129">
        <f t="shared" si="11"/>
        <v>3.9061465750844071E-2</v>
      </c>
      <c r="AQ41" s="129">
        <f t="shared" si="12"/>
        <v>0.9999706727151989</v>
      </c>
      <c r="AR41" s="129"/>
      <c r="AS41" s="129">
        <f t="shared" si="13"/>
        <v>0.38609625814182746</v>
      </c>
      <c r="AT41" s="129">
        <f t="shared" si="14"/>
        <v>0.57484113050700025</v>
      </c>
      <c r="AU41" s="129">
        <f t="shared" si="15"/>
        <v>3.9062611351172241E-2</v>
      </c>
      <c r="AV41" s="129"/>
      <c r="AW41" s="129"/>
      <c r="AX41" s="129">
        <f t="shared" si="16"/>
        <v>2.2137070359002704E-2</v>
      </c>
      <c r="AY41" s="129">
        <f t="shared" si="17"/>
        <v>6.1254327994250549E-3</v>
      </c>
      <c r="AZ41" s="129">
        <f t="shared" si="18"/>
        <v>8.223436747472028E-2</v>
      </c>
      <c r="BA41" s="129"/>
      <c r="BB41" s="129">
        <f t="shared" si="3"/>
        <v>0.37330277857347466</v>
      </c>
      <c r="BC41" s="129">
        <f t="shared" si="4"/>
        <v>0.60486966485247784</v>
      </c>
      <c r="BD41" s="129">
        <f t="shared" si="5"/>
        <v>2.1827556574047551E-2</v>
      </c>
      <c r="BE41" s="129"/>
      <c r="BF41" s="129">
        <f t="shared" si="19"/>
        <v>1.5309468961441921E-2</v>
      </c>
      <c r="BG41" s="129">
        <f t="shared" si="20"/>
        <v>-7.33226045822592E-3</v>
      </c>
      <c r="BH41" s="129">
        <f t="shared" si="21"/>
        <v>-5.439438244190619E-2</v>
      </c>
      <c r="BI41" s="129"/>
      <c r="BJ41" s="129">
        <f t="shared" si="45"/>
        <v>1.0153978233424756</v>
      </c>
      <c r="BK41" s="129">
        <f t="shared" si="23"/>
        <v>0.73810087496862153</v>
      </c>
      <c r="BL41" s="129">
        <f t="shared" si="6"/>
        <v>0.84333266816498653</v>
      </c>
      <c r="BM41" s="129"/>
      <c r="BN41" s="129">
        <f t="shared" si="46"/>
        <v>0.99957134906523171</v>
      </c>
      <c r="BO41" s="129">
        <f t="shared" si="25"/>
        <v>0.99637498386203682</v>
      </c>
      <c r="BP41" s="129">
        <f t="shared" si="7"/>
        <v>1.0011199838416731</v>
      </c>
      <c r="BQ41" s="129"/>
      <c r="BR41" s="129"/>
    </row>
    <row r="42" spans="1:70" x14ac:dyDescent="0.2">
      <c r="A42" s="133" t="s">
        <v>664</v>
      </c>
      <c r="B42" s="133">
        <f t="shared" si="8"/>
        <v>1981</v>
      </c>
      <c r="D42" s="136">
        <f>'Passenger-based Energy Use'!I39</f>
        <v>15.6</v>
      </c>
      <c r="E42" s="136">
        <f>'Passenger-based Energy Use'!J39</f>
        <v>25.792623769230769</v>
      </c>
      <c r="F42" s="136">
        <f>'Passenger-based Energy Use'!K39</f>
        <v>1.6574212307692315</v>
      </c>
      <c r="G42" s="136">
        <f t="shared" ref="G42:G61" si="47">D42+E42+F42</f>
        <v>43.050044999999997</v>
      </c>
      <c r="I42" s="4">
        <f>'Passenger-based Activity'!I40</f>
        <v>6236</v>
      </c>
      <c r="J42" s="4">
        <f>'Passenger-based Activity'!J40</f>
        <v>10244</v>
      </c>
      <c r="K42" s="21">
        <f>'Passenger-based Activity'!K40</f>
        <v>346</v>
      </c>
      <c r="L42" s="4">
        <f t="shared" ref="L42:L68" si="48">I42+J42+K42</f>
        <v>16826</v>
      </c>
      <c r="N42" s="125">
        <f t="shared" ref="N42:N68" si="49">D42/I42*1000000</f>
        <v>2501.6035920461836</v>
      </c>
      <c r="O42" s="125">
        <f t="shared" ref="O42:O68" si="50">E42/J42*1000000</f>
        <v>2517.8273886402549</v>
      </c>
      <c r="P42" s="125">
        <f t="shared" ref="P42:P68" si="51">F42/K42*1000000</f>
        <v>4790.23477100934</v>
      </c>
      <c r="Q42" s="125">
        <f t="shared" ref="Q42:Q68" si="52">G42/L42*1000000</f>
        <v>2558.5430286461428</v>
      </c>
      <c r="S42" s="129">
        <f t="shared" si="30"/>
        <v>0.88527767559134618</v>
      </c>
      <c r="T42" s="129">
        <f t="shared" si="31"/>
        <v>0.92084219851512406</v>
      </c>
      <c r="U42" s="129">
        <f t="shared" si="32"/>
        <v>0.95130527326224401</v>
      </c>
      <c r="V42" s="129">
        <f t="shared" si="33"/>
        <v>0.9087881068723288</v>
      </c>
      <c r="X42" s="131">
        <f t="shared" si="34"/>
        <v>0.97198313211252962</v>
      </c>
      <c r="Y42" s="131">
        <f t="shared" ref="Y42:Y62" si="53">V42</f>
        <v>0.9087881068723288</v>
      </c>
      <c r="Z42" s="131">
        <f t="shared" ref="Z42:Z62" si="54">BP42</f>
        <v>0.99988601164352775</v>
      </c>
      <c r="AA42" s="131">
        <f t="shared" ref="AA42:AA62" si="55">BL42</f>
        <v>0.9088917099445567</v>
      </c>
      <c r="AB42" s="131">
        <f t="shared" ref="AB42:AB62" si="56">X42*Z42*AA42</f>
        <v>0.8833267105443825</v>
      </c>
      <c r="AC42" s="131">
        <f t="shared" si="39"/>
        <v>0.88332671054438239</v>
      </c>
      <c r="AD42" s="131"/>
      <c r="AE42" s="131">
        <f t="shared" ref="AE42:AE62" si="57">Z42*AA42</f>
        <v>0.90878810687232892</v>
      </c>
      <c r="AH42" s="134"/>
      <c r="AJ42" s="129">
        <f t="shared" ref="AJ42:AJ68" si="58">D42/G42</f>
        <v>0.36236895919620993</v>
      </c>
      <c r="AK42" s="129">
        <f t="shared" ref="AK42:AK68" si="59">E42/G42</f>
        <v>0.59913116860228066</v>
      </c>
      <c r="AL42" s="129">
        <f t="shared" ref="AL42:AL68" si="60">F42/G42</f>
        <v>3.8499872201509466E-2</v>
      </c>
      <c r="AN42" s="129">
        <f t="shared" si="9"/>
        <v>0.37624123691669153</v>
      </c>
      <c r="AO42" s="129">
        <f t="shared" si="10"/>
        <v>0.58455704024789512</v>
      </c>
      <c r="AP42" s="129">
        <f t="shared" si="11"/>
        <v>3.8906353008444375E-2</v>
      </c>
      <c r="AQ42" s="129">
        <f t="shared" si="12"/>
        <v>0.99970463017303102</v>
      </c>
      <c r="AR42" s="129"/>
      <c r="AS42" s="129">
        <f t="shared" si="13"/>
        <v>0.37635240005997661</v>
      </c>
      <c r="AT42" s="129">
        <f t="shared" si="14"/>
        <v>0.58472975177350006</v>
      </c>
      <c r="AU42" s="129">
        <f t="shared" si="15"/>
        <v>3.8917848166523328E-2</v>
      </c>
      <c r="AV42" s="129"/>
      <c r="AW42" s="129"/>
      <c r="AX42" s="129">
        <f t="shared" si="16"/>
        <v>6.1814115614218365E-3</v>
      </c>
      <c r="AY42" s="129">
        <f t="shared" si="17"/>
        <v>0.1165781669831947</v>
      </c>
      <c r="AZ42" s="129">
        <f t="shared" si="18"/>
        <v>0.11232224486985382</v>
      </c>
      <c r="BA42" s="129"/>
      <c r="BB42" s="129">
        <f t="shared" ref="BB42:BB68" si="61">I42/L42</f>
        <v>0.37061690241293238</v>
      </c>
      <c r="BC42" s="129">
        <f t="shared" ref="BC42:BC68" si="62">J42/L42</f>
        <v>0.60881968382265539</v>
      </c>
      <c r="BD42" s="129">
        <f t="shared" ref="BD42:BD68" si="63">K42/L42</f>
        <v>2.056341376441222E-2</v>
      </c>
      <c r="BE42" s="129"/>
      <c r="BF42" s="129">
        <f t="shared" si="19"/>
        <v>-7.2209081158910657E-3</v>
      </c>
      <c r="BG42" s="129">
        <f t="shared" si="20"/>
        <v>6.5091333642317457E-3</v>
      </c>
      <c r="BH42" s="129">
        <f t="shared" si="21"/>
        <v>-5.9659768640599166E-2</v>
      </c>
      <c r="BI42" s="129"/>
      <c r="BJ42" s="129">
        <f t="shared" si="45"/>
        <v>1.0777380555199179</v>
      </c>
      <c r="BK42" s="129">
        <f t="shared" si="23"/>
        <v>0.79547940176623222</v>
      </c>
      <c r="BL42" s="129">
        <f t="shared" ref="BL42:BL72" si="64">BK42/BK$74</f>
        <v>0.9088917099445567</v>
      </c>
      <c r="BM42" s="129"/>
      <c r="BN42" s="129">
        <f t="shared" si="46"/>
        <v>0.99876740828465915</v>
      </c>
      <c r="BO42" s="129">
        <f t="shared" si="25"/>
        <v>0.99514686031155564</v>
      </c>
      <c r="BP42" s="129">
        <f t="shared" ref="BP42:BP69" si="65">BO42/BO$74</f>
        <v>0.99988601164352775</v>
      </c>
      <c r="BQ42" s="129"/>
      <c r="BR42" s="129"/>
    </row>
    <row r="43" spans="1:70" x14ac:dyDescent="0.2">
      <c r="A43" s="133" t="s">
        <v>664</v>
      </c>
      <c r="B43" s="133">
        <f t="shared" ref="B43:B72" si="66">B42+1</f>
        <v>1982</v>
      </c>
      <c r="D43" s="136">
        <f>'Passenger-based Energy Use'!I40</f>
        <v>15.3</v>
      </c>
      <c r="E43" s="136">
        <f>'Passenger-based Energy Use'!J40</f>
        <v>26.459091615384615</v>
      </c>
      <c r="F43" s="136">
        <f>'Passenger-based Energy Use'!K40</f>
        <v>1.6836663846153854</v>
      </c>
      <c r="G43" s="136">
        <f t="shared" si="47"/>
        <v>43.442758000000005</v>
      </c>
      <c r="I43" s="4">
        <f>'Passenger-based Activity'!I41</f>
        <v>6027</v>
      </c>
      <c r="J43" s="4">
        <f>'Passenger-based Activity'!J41</f>
        <v>10049</v>
      </c>
      <c r="K43" s="21">
        <f>'Passenger-based Activity'!K41</f>
        <v>379</v>
      </c>
      <c r="L43" s="4">
        <f t="shared" si="48"/>
        <v>16455</v>
      </c>
      <c r="N43" s="125">
        <f t="shared" si="49"/>
        <v>2538.5764061722252</v>
      </c>
      <c r="O43" s="125">
        <f t="shared" si="50"/>
        <v>2633.007425155201</v>
      </c>
      <c r="P43" s="125">
        <f t="shared" si="51"/>
        <v>4442.3915161355817</v>
      </c>
      <c r="Q43" s="125">
        <f t="shared" si="52"/>
        <v>2640.0946824673356</v>
      </c>
      <c r="S43" s="129">
        <f t="shared" si="30"/>
        <v>0.89836176575400883</v>
      </c>
      <c r="T43" s="129">
        <f t="shared" si="31"/>
        <v>0.96296686461733616</v>
      </c>
      <c r="U43" s="129">
        <f t="shared" si="32"/>
        <v>0.88222616995132541</v>
      </c>
      <c r="V43" s="129">
        <f t="shared" si="33"/>
        <v>0.93775505105058887</v>
      </c>
      <c r="X43" s="131">
        <f t="shared" si="34"/>
        <v>0.95055167234706262</v>
      </c>
      <c r="Y43" s="131">
        <f t="shared" si="53"/>
        <v>0.93775505105058887</v>
      </c>
      <c r="Z43" s="131">
        <f t="shared" si="54"/>
        <v>1.0019133998785474</v>
      </c>
      <c r="AA43" s="131">
        <f t="shared" si="55"/>
        <v>0.93596417730740411</v>
      </c>
      <c r="AB43" s="131">
        <f t="shared" si="56"/>
        <v>0.8913846320280423</v>
      </c>
      <c r="AC43" s="131">
        <f t="shared" si="39"/>
        <v>0.89138463202804219</v>
      </c>
      <c r="AD43" s="131"/>
      <c r="AE43" s="131">
        <f t="shared" si="57"/>
        <v>0.93775505105058887</v>
      </c>
      <c r="AH43" s="134"/>
      <c r="AJ43" s="129">
        <f t="shared" si="58"/>
        <v>0.35218758440704889</v>
      </c>
      <c r="AK43" s="129">
        <f t="shared" si="59"/>
        <v>0.60905644193641229</v>
      </c>
      <c r="AL43" s="129">
        <f t="shared" si="60"/>
        <v>3.8755973656538684E-2</v>
      </c>
      <c r="AN43" s="129">
        <f t="shared" ref="AN43:AN68" si="67">(AJ43-AJ42)/LN(AJ43/AJ42)</f>
        <v>0.35725409223502275</v>
      </c>
      <c r="AO43" s="129">
        <f t="shared" ref="AO43:AO68" si="68">(AK43-AK42)/LN(AK43/AK42)</f>
        <v>0.60408021565478953</v>
      </c>
      <c r="AP43" s="129">
        <f t="shared" ref="AP43:AP68" si="69">(AL43-AL42)/LN(AL43/AL42)</f>
        <v>3.8627781433479953E-2</v>
      </c>
      <c r="AQ43" s="129">
        <f t="shared" ref="AQ43:AQ68" si="70">AN43+AO43+AP43</f>
        <v>0.99996208932329222</v>
      </c>
      <c r="AR43" s="129"/>
      <c r="AS43" s="129">
        <f t="shared" ref="AS43:AS68" si="71">AN43/AQ43</f>
        <v>0.35726763649288795</v>
      </c>
      <c r="AT43" s="129">
        <f t="shared" ref="AT43:AT68" si="72">AO43/AQ43</f>
        <v>0.60410311761277946</v>
      </c>
      <c r="AU43" s="129">
        <f t="shared" ref="AU43:AU68" si="73">AP43/AQ43</f>
        <v>3.8629245894332517E-2</v>
      </c>
      <c r="AV43" s="129"/>
      <c r="AW43" s="129"/>
      <c r="AX43" s="129">
        <f t="shared" ref="AX43:AX68" si="74">LN(S43/S42)</f>
        <v>1.4671490837521534E-2</v>
      </c>
      <c r="AY43" s="129">
        <f t="shared" ref="AY43:AY68" si="75">LN(T43/T42)</f>
        <v>4.4730318250787708E-2</v>
      </c>
      <c r="AZ43" s="129">
        <f t="shared" ref="AZ43:AZ68" si="76">LN(U43/U42)</f>
        <v>-7.5386561763094384E-2</v>
      </c>
      <c r="BA43" s="129"/>
      <c r="BB43" s="129">
        <f t="shared" si="61"/>
        <v>0.36627164995442113</v>
      </c>
      <c r="BC43" s="129">
        <f t="shared" si="62"/>
        <v>0.61069583713157094</v>
      </c>
      <c r="BD43" s="129">
        <f t="shared" si="63"/>
        <v>2.3032512914007899E-2</v>
      </c>
      <c r="BE43" s="129"/>
      <c r="BF43" s="129">
        <f t="shared" ref="BF43:BF68" si="77">LN(BB43/BB42)</f>
        <v>-1.1793649961304527E-2</v>
      </c>
      <c r="BG43" s="129">
        <f t="shared" ref="BG43:BG68" si="78">LN(BC43/BC42)</f>
        <v>3.0768854628613496E-3</v>
      </c>
      <c r="BH43" s="129">
        <f t="shared" ref="BH43:BH68" si="79">LN(BD43/BD42)</f>
        <v>0.11339335675802058</v>
      </c>
      <c r="BI43" s="129"/>
      <c r="BJ43" s="129">
        <f t="shared" si="45"/>
        <v>1.0297862408322536</v>
      </c>
      <c r="BK43" s="129">
        <f t="shared" ref="BK43:BK68" si="80">IF(ISERR(BJ43),BK42,BJ43*BK42)</f>
        <v>0.81917374280433819</v>
      </c>
      <c r="BL43" s="129">
        <f t="shared" si="64"/>
        <v>0.93596417730740411</v>
      </c>
      <c r="BM43" s="129"/>
      <c r="BN43" s="129">
        <f t="shared" si="46"/>
        <v>1.0020276193600182</v>
      </c>
      <c r="BO43" s="129">
        <f t="shared" ref="BO43:BO68" si="81">IF(ISERR(BN43),BO42,BN43*BO42)</f>
        <v>0.99716463935158461</v>
      </c>
      <c r="BP43" s="129">
        <f t="shared" si="65"/>
        <v>1.0019133998785474</v>
      </c>
      <c r="BQ43" s="129"/>
      <c r="BR43" s="129"/>
    </row>
    <row r="44" spans="1:70" x14ac:dyDescent="0.2">
      <c r="A44" s="133" t="s">
        <v>664</v>
      </c>
      <c r="B44" s="133">
        <f t="shared" si="66"/>
        <v>1983</v>
      </c>
      <c r="D44" s="136">
        <f>'Passenger-based Energy Use'!I41</f>
        <v>18.857719500000002</v>
      </c>
      <c r="E44" s="136">
        <f>'Passenger-based Energy Use'!J41</f>
        <v>28.583358461538463</v>
      </c>
      <c r="F44" s="136">
        <f>'Passenger-based Energy Use'!K41</f>
        <v>1.7099115384615395</v>
      </c>
      <c r="G44" s="136">
        <f t="shared" si="47"/>
        <v>49.150989500000009</v>
      </c>
      <c r="I44" s="4">
        <f>'Passenger-based Activity'!I42</f>
        <v>6097</v>
      </c>
      <c r="J44" s="4">
        <f>'Passenger-based Activity'!J42</f>
        <v>10350</v>
      </c>
      <c r="K44" s="21">
        <f>'Passenger-based Activity'!K42</f>
        <v>391</v>
      </c>
      <c r="L44" s="4">
        <f t="shared" si="48"/>
        <v>16838</v>
      </c>
      <c r="N44" s="125">
        <f t="shared" si="49"/>
        <v>3092.9505494505497</v>
      </c>
      <c r="O44" s="125">
        <f t="shared" si="50"/>
        <v>2761.6771460423638</v>
      </c>
      <c r="P44" s="125">
        <f t="shared" si="51"/>
        <v>4373.175290182965</v>
      </c>
      <c r="Q44" s="125">
        <f t="shared" si="52"/>
        <v>2919.0515203705909</v>
      </c>
      <c r="S44" s="129">
        <f t="shared" si="30"/>
        <v>1.0945459471845889</v>
      </c>
      <c r="T44" s="129">
        <f t="shared" si="31"/>
        <v>1.0100250979174552</v>
      </c>
      <c r="U44" s="129">
        <f t="shared" si="32"/>
        <v>0.86848033829761684</v>
      </c>
      <c r="V44" s="129">
        <f t="shared" si="33"/>
        <v>1.0368398246028778</v>
      </c>
      <c r="X44" s="131">
        <f t="shared" si="34"/>
        <v>0.97267633296747735</v>
      </c>
      <c r="Y44" s="131">
        <f t="shared" si="53"/>
        <v>1.0368398246028778</v>
      </c>
      <c r="Z44" s="131">
        <f t="shared" si="54"/>
        <v>1.0018702294626172</v>
      </c>
      <c r="AA44" s="131">
        <f t="shared" si="55"/>
        <v>1.0349043160599929</v>
      </c>
      <c r="AB44" s="131">
        <f t="shared" si="56"/>
        <v>1.0085095584693697</v>
      </c>
      <c r="AC44" s="131">
        <f t="shared" si="39"/>
        <v>1.0085095584693695</v>
      </c>
      <c r="AD44" s="131"/>
      <c r="AE44" s="131">
        <f t="shared" si="57"/>
        <v>1.036839824602878</v>
      </c>
      <c r="AH44" s="134"/>
      <c r="AJ44" s="129">
        <f t="shared" si="58"/>
        <v>0.38366917313027843</v>
      </c>
      <c r="AK44" s="129">
        <f t="shared" si="59"/>
        <v>0.58154187234701471</v>
      </c>
      <c r="AL44" s="129">
        <f t="shared" si="60"/>
        <v>3.4788954522706798E-2</v>
      </c>
      <c r="AN44" s="129">
        <f t="shared" si="67"/>
        <v>0.36770379370300837</v>
      </c>
      <c r="AO44" s="129">
        <f t="shared" si="68"/>
        <v>0.59519316570051406</v>
      </c>
      <c r="AP44" s="129">
        <f t="shared" si="69"/>
        <v>3.6736772823579053E-2</v>
      </c>
      <c r="AQ44" s="129">
        <f t="shared" si="70"/>
        <v>0.99963373222710139</v>
      </c>
      <c r="AR44" s="129"/>
      <c r="AS44" s="129">
        <f t="shared" si="71"/>
        <v>0.36783852109891757</v>
      </c>
      <c r="AT44" s="129">
        <f t="shared" si="72"/>
        <v>0.59541124565141756</v>
      </c>
      <c r="AU44" s="129">
        <f t="shared" si="73"/>
        <v>3.6750233249664914E-2</v>
      </c>
      <c r="AV44" s="129"/>
      <c r="AW44" s="129"/>
      <c r="AX44" s="129">
        <f t="shared" si="74"/>
        <v>0.19752205178580554</v>
      </c>
      <c r="AY44" s="129">
        <f t="shared" si="75"/>
        <v>4.7711456240701486E-2</v>
      </c>
      <c r="AZ44" s="129">
        <f t="shared" si="76"/>
        <v>-1.5703504916096196E-2</v>
      </c>
      <c r="BA44" s="129"/>
      <c r="BB44" s="129">
        <f t="shared" si="61"/>
        <v>0.36209763629884784</v>
      </c>
      <c r="BC44" s="129">
        <f t="shared" si="62"/>
        <v>0.61468107851288756</v>
      </c>
      <c r="BD44" s="129">
        <f t="shared" si="63"/>
        <v>2.3221285188264641E-2</v>
      </c>
      <c r="BE44" s="129"/>
      <c r="BF44" s="129">
        <f t="shared" si="77"/>
        <v>-1.1461382095397012E-2</v>
      </c>
      <c r="BG44" s="129">
        <f t="shared" si="78"/>
        <v>6.5045381243874836E-3</v>
      </c>
      <c r="BH44" s="129">
        <f t="shared" si="79"/>
        <v>8.1625003827705146E-3</v>
      </c>
      <c r="BI44" s="129"/>
      <c r="BJ44" s="129">
        <f t="shared" si="45"/>
        <v>1.1057093221636123</v>
      </c>
      <c r="BK44" s="129">
        <f t="shared" si="80"/>
        <v>0.9057680438904141</v>
      </c>
      <c r="BL44" s="129">
        <f t="shared" si="64"/>
        <v>1.0349043160599929</v>
      </c>
      <c r="BM44" s="129"/>
      <c r="BN44" s="129">
        <f t="shared" si="46"/>
        <v>0.99995691202858883</v>
      </c>
      <c r="BO44" s="129">
        <f t="shared" si="81"/>
        <v>0.99712167355011205</v>
      </c>
      <c r="BP44" s="129">
        <f t="shared" si="65"/>
        <v>1.0018702294626172</v>
      </c>
      <c r="BQ44" s="129"/>
      <c r="BR44" s="129"/>
    </row>
    <row r="45" spans="1:70" x14ac:dyDescent="0.2">
      <c r="A45" s="133" t="s">
        <v>664</v>
      </c>
      <c r="B45" s="133">
        <f t="shared" si="66"/>
        <v>1984</v>
      </c>
      <c r="D45" s="136">
        <f>'Passenger-based Energy Use'!I42</f>
        <v>17.404423000000001</v>
      </c>
      <c r="E45" s="136">
        <f>'Passenger-based Energy Use'!J42</f>
        <v>30.232031307692303</v>
      </c>
      <c r="F45" s="136">
        <f>'Passenger-based Energy Use'!K42</f>
        <v>1.7361566923076934</v>
      </c>
      <c r="G45" s="136">
        <f t="shared" si="47"/>
        <v>49.372610999999999</v>
      </c>
      <c r="I45" s="4">
        <f>'Passenger-based Activity'!I43</f>
        <v>6207</v>
      </c>
      <c r="J45" s="4">
        <f>'Passenger-based Activity'!J43</f>
        <v>10111</v>
      </c>
      <c r="K45" s="21">
        <f>'Passenger-based Activity'!K43</f>
        <v>416</v>
      </c>
      <c r="L45" s="4">
        <f t="shared" si="48"/>
        <v>16734</v>
      </c>
      <c r="N45" s="125">
        <f t="shared" si="49"/>
        <v>2803.9991944578705</v>
      </c>
      <c r="O45" s="125">
        <f t="shared" si="50"/>
        <v>2990.0139756396302</v>
      </c>
      <c r="P45" s="125">
        <f t="shared" si="51"/>
        <v>4173.4535872781098</v>
      </c>
      <c r="Q45" s="125">
        <f t="shared" si="52"/>
        <v>2950.4368949444242</v>
      </c>
      <c r="S45" s="129">
        <f t="shared" si="30"/>
        <v>0.99229066392539911</v>
      </c>
      <c r="T45" s="129">
        <f t="shared" si="31"/>
        <v>1.0935344715611628</v>
      </c>
      <c r="U45" s="129">
        <f t="shared" si="32"/>
        <v>0.82881708206053895</v>
      </c>
      <c r="V45" s="129">
        <f t="shared" si="33"/>
        <v>1.0479878314267168</v>
      </c>
      <c r="X45" s="131">
        <f t="shared" si="34"/>
        <v>0.96666859222459711</v>
      </c>
      <c r="Y45" s="131">
        <f t="shared" si="53"/>
        <v>1.0479878314267168</v>
      </c>
      <c r="Z45" s="131">
        <f t="shared" si="54"/>
        <v>1.0028692026719024</v>
      </c>
      <c r="AA45" s="131">
        <f t="shared" si="55"/>
        <v>1.0449895446331454</v>
      </c>
      <c r="AB45" s="131">
        <f t="shared" si="56"/>
        <v>1.0130569216737728</v>
      </c>
      <c r="AC45" s="131">
        <f t="shared" si="39"/>
        <v>1.0130569216737726</v>
      </c>
      <c r="AD45" s="131"/>
      <c r="AE45" s="131">
        <f t="shared" si="57"/>
        <v>1.0479878314267168</v>
      </c>
      <c r="AH45" s="134"/>
      <c r="AJ45" s="129">
        <f t="shared" si="58"/>
        <v>0.35251169924961029</v>
      </c>
      <c r="AK45" s="129">
        <f t="shared" si="59"/>
        <v>0.61232393214311276</v>
      </c>
      <c r="AL45" s="129">
        <f t="shared" si="60"/>
        <v>3.5164368607276883E-2</v>
      </c>
      <c r="AN45" s="129">
        <f t="shared" si="67"/>
        <v>0.36787055084134418</v>
      </c>
      <c r="AO45" s="129">
        <f t="shared" si="68"/>
        <v>0.59680060049100636</v>
      </c>
      <c r="AP45" s="129">
        <f t="shared" si="69"/>
        <v>3.4976325777233752E-2</v>
      </c>
      <c r="AQ45" s="129">
        <f t="shared" si="70"/>
        <v>0.99964747710958424</v>
      </c>
      <c r="AR45" s="129"/>
      <c r="AS45" s="129">
        <f t="shared" si="71"/>
        <v>0.36800027936349922</v>
      </c>
      <c r="AT45" s="129">
        <f t="shared" si="72"/>
        <v>0.59701106055568365</v>
      </c>
      <c r="AU45" s="129">
        <f t="shared" si="73"/>
        <v>3.4988660080817219E-2</v>
      </c>
      <c r="AV45" s="129"/>
      <c r="AW45" s="129"/>
      <c r="AX45" s="129">
        <f t="shared" si="74"/>
        <v>-9.8078823794199119E-2</v>
      </c>
      <c r="AY45" s="129">
        <f t="shared" si="75"/>
        <v>7.9439904731583397E-2</v>
      </c>
      <c r="AZ45" s="129">
        <f t="shared" si="76"/>
        <v>-4.6745464847661691E-2</v>
      </c>
      <c r="BA45" s="129"/>
      <c r="BB45" s="129">
        <f t="shared" si="61"/>
        <v>0.37092147723198277</v>
      </c>
      <c r="BC45" s="129">
        <f t="shared" si="62"/>
        <v>0.60421895542010273</v>
      </c>
      <c r="BD45" s="129">
        <f t="shared" si="63"/>
        <v>2.4859567347914426E-2</v>
      </c>
      <c r="BE45" s="129"/>
      <c r="BF45" s="129">
        <f t="shared" si="77"/>
        <v>2.407649954790201E-2</v>
      </c>
      <c r="BG45" s="129">
        <f t="shared" si="78"/>
        <v>-1.7166920560050848E-2</v>
      </c>
      <c r="BH45" s="129">
        <f t="shared" si="79"/>
        <v>6.8173359317962812E-2</v>
      </c>
      <c r="BI45" s="129"/>
      <c r="BJ45" s="129">
        <f t="shared" si="45"/>
        <v>1.0097450831121744</v>
      </c>
      <c r="BK45" s="129">
        <f t="shared" si="80"/>
        <v>0.91459482875847775</v>
      </c>
      <c r="BL45" s="129">
        <f t="shared" si="64"/>
        <v>1.0449895446331454</v>
      </c>
      <c r="BM45" s="129"/>
      <c r="BN45" s="129">
        <f t="shared" si="46"/>
        <v>1.0009971083878009</v>
      </c>
      <c r="BO45" s="129">
        <f t="shared" si="81"/>
        <v>0.99811591193446692</v>
      </c>
      <c r="BP45" s="129">
        <f t="shared" si="65"/>
        <v>1.0028692026719024</v>
      </c>
      <c r="BQ45" s="129"/>
      <c r="BR45" s="129"/>
    </row>
    <row r="46" spans="1:70" x14ac:dyDescent="0.2">
      <c r="A46" s="133" t="s">
        <v>664</v>
      </c>
      <c r="B46" s="133">
        <f t="shared" si="66"/>
        <v>1985</v>
      </c>
      <c r="D46" s="136">
        <f>'Passenger-based Energy Use'!I43</f>
        <v>18.463673399999998</v>
      </c>
      <c r="E46" s="136">
        <f>'Passenger-based Energy Use'!J43</f>
        <v>28.510190153846153</v>
      </c>
      <c r="F46" s="136">
        <f>'Passenger-based Energy Use'!K43</f>
        <v>1.7624018461538471</v>
      </c>
      <c r="G46" s="136">
        <f t="shared" si="47"/>
        <v>48.736265400000001</v>
      </c>
      <c r="I46" s="4">
        <f>'Passenger-based Activity'!I44</f>
        <v>6534</v>
      </c>
      <c r="J46" s="4">
        <f>'Passenger-based Activity'!J44</f>
        <v>10427</v>
      </c>
      <c r="K46" s="21">
        <f>'Passenger-based Activity'!K44</f>
        <v>350</v>
      </c>
      <c r="L46" s="4">
        <f t="shared" si="48"/>
        <v>17311</v>
      </c>
      <c r="N46" s="125">
        <f t="shared" si="49"/>
        <v>2825.7841138659314</v>
      </c>
      <c r="O46" s="125">
        <f t="shared" si="50"/>
        <v>2734.2658630331021</v>
      </c>
      <c r="P46" s="125">
        <f t="shared" si="51"/>
        <v>5035.4338461538491</v>
      </c>
      <c r="Q46" s="125">
        <f t="shared" si="52"/>
        <v>2815.3350701865866</v>
      </c>
      <c r="S46" s="129">
        <f t="shared" si="30"/>
        <v>1</v>
      </c>
      <c r="T46" s="129">
        <f t="shared" si="31"/>
        <v>1</v>
      </c>
      <c r="U46" s="129">
        <f t="shared" si="32"/>
        <v>1</v>
      </c>
      <c r="V46" s="129">
        <f t="shared" si="33"/>
        <v>1</v>
      </c>
      <c r="X46" s="131">
        <f t="shared" si="34"/>
        <v>1</v>
      </c>
      <c r="Y46" s="131">
        <f t="shared" si="53"/>
        <v>1</v>
      </c>
      <c r="Z46" s="131">
        <f t="shared" si="54"/>
        <v>1</v>
      </c>
      <c r="AA46" s="131">
        <f t="shared" si="55"/>
        <v>1</v>
      </c>
      <c r="AB46" s="131">
        <f t="shared" si="56"/>
        <v>1</v>
      </c>
      <c r="AC46" s="131">
        <f t="shared" si="39"/>
        <v>1</v>
      </c>
      <c r="AD46" s="131"/>
      <c r="AE46" s="131">
        <f t="shared" si="57"/>
        <v>1</v>
      </c>
      <c r="AH46" s="134"/>
      <c r="AJ46" s="129">
        <f t="shared" si="58"/>
        <v>0.37884875356083392</v>
      </c>
      <c r="AK46" s="129">
        <f t="shared" si="59"/>
        <v>0.58498922557669253</v>
      </c>
      <c r="AL46" s="129">
        <f t="shared" si="60"/>
        <v>3.6162020862473533E-2</v>
      </c>
      <c r="AN46" s="129">
        <f t="shared" si="67"/>
        <v>0.36552210089646286</v>
      </c>
      <c r="AO46" s="129">
        <f t="shared" si="68"/>
        <v>0.59855255566184096</v>
      </c>
      <c r="AP46" s="129">
        <f t="shared" si="69"/>
        <v>3.5660868896427902E-2</v>
      </c>
      <c r="AQ46" s="129">
        <f t="shared" si="70"/>
        <v>0.99973552545473177</v>
      </c>
      <c r="AS46" s="129">
        <f t="shared" si="71"/>
        <v>0.36561879776174244</v>
      </c>
      <c r="AT46" s="129">
        <f t="shared" si="72"/>
        <v>0.59871089945472133</v>
      </c>
      <c r="AU46" s="129">
        <f t="shared" si="73"/>
        <v>3.5670302783536161E-2</v>
      </c>
      <c r="AV46" s="129"/>
      <c r="AW46" s="129"/>
      <c r="AX46" s="129">
        <f t="shared" si="74"/>
        <v>7.739206626408061E-3</v>
      </c>
      <c r="AY46" s="129">
        <f t="shared" si="75"/>
        <v>-8.9415084699232664E-2</v>
      </c>
      <c r="AZ46" s="129">
        <f t="shared" si="76"/>
        <v>0.18775579709503426</v>
      </c>
      <c r="BB46" s="129">
        <f t="shared" si="61"/>
        <v>0.37744786551903414</v>
      </c>
      <c r="BC46" s="129">
        <f t="shared" si="62"/>
        <v>0.60233377621165729</v>
      </c>
      <c r="BD46" s="129">
        <f t="shared" si="63"/>
        <v>2.0218358269308533E-2</v>
      </c>
      <c r="BE46" s="129"/>
      <c r="BF46" s="129">
        <f t="shared" si="77"/>
        <v>1.7442066026177303E-2</v>
      </c>
      <c r="BG46" s="129">
        <f t="shared" si="78"/>
        <v>-3.1249040229914858E-3</v>
      </c>
      <c r="BH46" s="129">
        <f t="shared" si="79"/>
        <v>-0.20665166549898947</v>
      </c>
      <c r="BJ46" s="129">
        <f t="shared" si="45"/>
        <v>0.95694737343143521</v>
      </c>
      <c r="BK46" s="129">
        <f t="shared" si="80"/>
        <v>0.87521911913439854</v>
      </c>
      <c r="BL46" s="129">
        <f t="shared" si="64"/>
        <v>1</v>
      </c>
      <c r="BM46" s="129"/>
      <c r="BN46" s="129">
        <f t="shared" si="46"/>
        <v>0.9971390060994415</v>
      </c>
      <c r="BO46" s="129">
        <f t="shared" si="81"/>
        <v>0.99526030839837198</v>
      </c>
      <c r="BP46" s="129">
        <f t="shared" si="65"/>
        <v>1</v>
      </c>
    </row>
    <row r="47" spans="1:70" x14ac:dyDescent="0.2">
      <c r="A47" s="133" t="s">
        <v>664</v>
      </c>
      <c r="B47" s="133">
        <f t="shared" si="66"/>
        <v>1986</v>
      </c>
      <c r="D47" s="136">
        <f>'Passenger-based Energy Use'!I44</f>
        <v>19.6707596</v>
      </c>
      <c r="E47" s="136">
        <f>'Passenger-based Energy Use'!J44</f>
        <v>31.699373999999999</v>
      </c>
      <c r="F47" s="136">
        <f>'Passenger-based Energy Use'!K44</f>
        <v>1.7886470000000001</v>
      </c>
      <c r="G47" s="136">
        <f t="shared" si="47"/>
        <v>53.1587806</v>
      </c>
      <c r="I47" s="4">
        <f>'Passenger-based Activity'!I45</f>
        <v>6723</v>
      </c>
      <c r="J47" s="4">
        <f>'Passenger-based Activity'!J45</f>
        <v>10649</v>
      </c>
      <c r="K47" s="21">
        <f>'Passenger-based Activity'!K45</f>
        <v>361</v>
      </c>
      <c r="L47" s="4">
        <f t="shared" si="48"/>
        <v>17733</v>
      </c>
      <c r="N47" s="125">
        <f t="shared" si="49"/>
        <v>2925.8901680797262</v>
      </c>
      <c r="O47" s="125">
        <f t="shared" si="50"/>
        <v>2976.7465489717342</v>
      </c>
      <c r="P47" s="125">
        <f t="shared" si="51"/>
        <v>4954.7008310249312</v>
      </c>
      <c r="Q47" s="125">
        <f t="shared" si="52"/>
        <v>2997.7319460892122</v>
      </c>
      <c r="S47" s="129">
        <f t="shared" si="30"/>
        <v>1.0354259384935252</v>
      </c>
      <c r="T47" s="129">
        <f t="shared" si="31"/>
        <v>1.0886821904252024</v>
      </c>
      <c r="U47" s="129">
        <f t="shared" si="32"/>
        <v>0.98396701901056982</v>
      </c>
      <c r="V47" s="129">
        <f t="shared" si="33"/>
        <v>1.0647869157153422</v>
      </c>
      <c r="X47" s="131">
        <f t="shared" si="34"/>
        <v>1.0243775633989949</v>
      </c>
      <c r="Y47" s="131">
        <f t="shared" si="53"/>
        <v>1.0647869157153422</v>
      </c>
      <c r="Z47" s="131">
        <f t="shared" si="54"/>
        <v>1.0001156460730123</v>
      </c>
      <c r="AA47" s="131">
        <f t="shared" si="55"/>
        <v>1.0646637915287738</v>
      </c>
      <c r="AB47" s="131">
        <f t="shared" si="56"/>
        <v>1.0907438262596134</v>
      </c>
      <c r="AC47" s="131">
        <f t="shared" si="39"/>
        <v>1.0907438262596132</v>
      </c>
      <c r="AD47" s="131"/>
      <c r="AE47" s="131">
        <f t="shared" si="57"/>
        <v>1.0647869157153425</v>
      </c>
      <c r="AH47" s="134"/>
      <c r="AJ47" s="129">
        <f t="shared" si="58"/>
        <v>0.37003782588647266</v>
      </c>
      <c r="AK47" s="129">
        <f t="shared" si="59"/>
        <v>0.5963149199852037</v>
      </c>
      <c r="AL47" s="129">
        <f t="shared" si="60"/>
        <v>3.3647254128323631E-2</v>
      </c>
      <c r="AN47" s="129">
        <f t="shared" si="67"/>
        <v>0.37442601178186746</v>
      </c>
      <c r="AO47" s="129">
        <f t="shared" si="68"/>
        <v>0.59063397491588643</v>
      </c>
      <c r="AP47" s="129">
        <f t="shared" si="69"/>
        <v>3.4889533863275923E-2</v>
      </c>
      <c r="AQ47" s="129">
        <f t="shared" si="70"/>
        <v>0.99994952056102981</v>
      </c>
      <c r="AS47" s="129">
        <f t="shared" si="71"/>
        <v>0.37444491355102877</v>
      </c>
      <c r="AT47" s="129">
        <f t="shared" si="72"/>
        <v>0.59066379129269087</v>
      </c>
      <c r="AU47" s="129">
        <f t="shared" si="73"/>
        <v>3.4891295156280352E-2</v>
      </c>
      <c r="AV47" s="129"/>
      <c r="AW47" s="129"/>
      <c r="AX47" s="129">
        <f t="shared" si="74"/>
        <v>3.4812876836474591E-2</v>
      </c>
      <c r="AY47" s="129">
        <f t="shared" si="75"/>
        <v>8.4967965201526399E-2</v>
      </c>
      <c r="AZ47" s="129">
        <f t="shared" si="76"/>
        <v>-1.6162899757280805E-2</v>
      </c>
      <c r="BB47" s="129">
        <f t="shared" si="61"/>
        <v>0.3791236677381154</v>
      </c>
      <c r="BC47" s="129">
        <f t="shared" si="62"/>
        <v>0.60051880674448765</v>
      </c>
      <c r="BD47" s="129">
        <f t="shared" si="63"/>
        <v>2.0357525517396943E-2</v>
      </c>
      <c r="BE47" s="129"/>
      <c r="BF47" s="129">
        <f t="shared" si="77"/>
        <v>4.4299973922715986E-3</v>
      </c>
      <c r="BG47" s="129">
        <f t="shared" si="78"/>
        <v>-3.0177776899589699E-3</v>
      </c>
      <c r="BH47" s="129">
        <f t="shared" si="79"/>
        <v>6.8596309336717868E-3</v>
      </c>
      <c r="BJ47" s="129">
        <f t="shared" si="45"/>
        <v>1.0646637915287738</v>
      </c>
      <c r="BK47" s="129">
        <f t="shared" si="80"/>
        <v>0.93181410579610235</v>
      </c>
      <c r="BL47" s="129">
        <f t="shared" si="64"/>
        <v>1.0646637915287738</v>
      </c>
      <c r="BM47" s="129"/>
      <c r="BN47" s="129">
        <f t="shared" si="46"/>
        <v>1.0001156460730123</v>
      </c>
      <c r="BO47" s="129">
        <f t="shared" si="81"/>
        <v>0.99537540634466326</v>
      </c>
      <c r="BP47" s="129">
        <f t="shared" si="65"/>
        <v>1.0001156460730123</v>
      </c>
    </row>
    <row r="48" spans="1:70" x14ac:dyDescent="0.2">
      <c r="A48" s="133" t="s">
        <v>664</v>
      </c>
      <c r="B48" s="133">
        <f t="shared" si="66"/>
        <v>1987</v>
      </c>
      <c r="D48" s="136">
        <f>'Passenger-based Energy Use'!I45</f>
        <v>19.0976328</v>
      </c>
      <c r="E48" s="136">
        <f>'Passenger-based Energy Use'!J45</f>
        <v>33.281241000000001</v>
      </c>
      <c r="F48" s="136">
        <f>'Passenger-based Energy Use'!K45</f>
        <v>1.9747490000000001</v>
      </c>
      <c r="G48" s="136">
        <f t="shared" si="47"/>
        <v>54.353622800000004</v>
      </c>
      <c r="I48" s="4">
        <f>'Passenger-based Activity'!I46</f>
        <v>6818</v>
      </c>
      <c r="J48" s="4">
        <f>'Passenger-based Activity'!J46</f>
        <v>11198</v>
      </c>
      <c r="K48" s="21">
        <f>'Passenger-based Activity'!K46</f>
        <v>405</v>
      </c>
      <c r="L48" s="4">
        <f t="shared" si="48"/>
        <v>18421</v>
      </c>
      <c r="N48" s="125">
        <f t="shared" si="49"/>
        <v>2801.0608389557055</v>
      </c>
      <c r="O48" s="125">
        <f t="shared" si="50"/>
        <v>2972.0701018038935</v>
      </c>
      <c r="P48" s="125">
        <f t="shared" si="51"/>
        <v>4875.923456790124</v>
      </c>
      <c r="Q48" s="125">
        <f t="shared" si="52"/>
        <v>2950.6336680961949</v>
      </c>
      <c r="S48" s="129">
        <f t="shared" si="30"/>
        <v>0.99125082670367126</v>
      </c>
      <c r="T48" s="129">
        <f t="shared" si="31"/>
        <v>1.0869718786259492</v>
      </c>
      <c r="U48" s="129">
        <f t="shared" si="32"/>
        <v>0.96832241386994644</v>
      </c>
      <c r="V48" s="129">
        <f t="shared" si="33"/>
        <v>1.0480577247597891</v>
      </c>
      <c r="X48" s="131">
        <f t="shared" si="34"/>
        <v>1.0641210790826643</v>
      </c>
      <c r="Y48" s="131">
        <f t="shared" si="53"/>
        <v>1.0480577247597891</v>
      </c>
      <c r="Z48" s="131">
        <f t="shared" si="54"/>
        <v>1.0015167506710141</v>
      </c>
      <c r="AA48" s="131">
        <f t="shared" si="55"/>
        <v>1.0464704899419734</v>
      </c>
      <c r="AB48" s="131">
        <f t="shared" si="56"/>
        <v>1.115260317012309</v>
      </c>
      <c r="AC48" s="131">
        <f t="shared" si="39"/>
        <v>1.1152603170123085</v>
      </c>
      <c r="AD48" s="131"/>
      <c r="AE48" s="131">
        <f t="shared" si="57"/>
        <v>1.0480577247597893</v>
      </c>
      <c r="AH48" s="134"/>
      <c r="AJ48" s="129">
        <f t="shared" si="58"/>
        <v>0.35135896774115299</v>
      </c>
      <c r="AK48" s="129">
        <f t="shared" si="59"/>
        <v>0.61230952575989106</v>
      </c>
      <c r="AL48" s="129">
        <f t="shared" si="60"/>
        <v>3.6331506498955946E-2</v>
      </c>
      <c r="AN48" s="129">
        <f t="shared" si="67"/>
        <v>0.36061777494634711</v>
      </c>
      <c r="AO48" s="129">
        <f t="shared" si="68"/>
        <v>0.60427694318421332</v>
      </c>
      <c r="AP48" s="129">
        <f t="shared" si="69"/>
        <v>3.4972213104784038E-2</v>
      </c>
      <c r="AQ48" s="129">
        <f t="shared" si="70"/>
        <v>0.99986693123534454</v>
      </c>
      <c r="AS48" s="129">
        <f t="shared" si="71"/>
        <v>0.36066576829458757</v>
      </c>
      <c r="AT48" s="129">
        <f t="shared" si="72"/>
        <v>0.60435736427208742</v>
      </c>
      <c r="AU48" s="129">
        <f t="shared" si="73"/>
        <v>3.4976867433324905E-2</v>
      </c>
      <c r="AV48" s="129"/>
      <c r="AW48" s="129"/>
      <c r="AX48" s="129">
        <f t="shared" si="74"/>
        <v>-4.3600548868720126E-2</v>
      </c>
      <c r="AY48" s="129">
        <f t="shared" si="75"/>
        <v>-1.5722280264060273E-3</v>
      </c>
      <c r="AZ48" s="129">
        <f t="shared" si="76"/>
        <v>-1.6027275224807326E-2</v>
      </c>
      <c r="BB48" s="129">
        <f t="shared" si="61"/>
        <v>0.37012105748873569</v>
      </c>
      <c r="BC48" s="129">
        <f t="shared" si="62"/>
        <v>0.60789316540904403</v>
      </c>
      <c r="BD48" s="129">
        <f t="shared" si="63"/>
        <v>2.1985777102220293E-2</v>
      </c>
      <c r="BE48" s="129"/>
      <c r="BF48" s="129">
        <f t="shared" si="77"/>
        <v>-2.4032317430926313E-2</v>
      </c>
      <c r="BG48" s="129">
        <f t="shared" si="78"/>
        <v>1.2205192233716973E-2</v>
      </c>
      <c r="BH48" s="129">
        <f t="shared" si="79"/>
        <v>7.6945101113920361E-2</v>
      </c>
      <c r="BJ48" s="129">
        <f t="shared" si="45"/>
        <v>0.98291169312645055</v>
      </c>
      <c r="BK48" s="129">
        <f t="shared" si="80"/>
        <v>0.91589098040715644</v>
      </c>
      <c r="BL48" s="129">
        <f t="shared" si="64"/>
        <v>1.0464704899419734</v>
      </c>
      <c r="BM48" s="129"/>
      <c r="BN48" s="129">
        <f t="shared" si="46"/>
        <v>1.0014009425844934</v>
      </c>
      <c r="BO48" s="129">
        <f t="shared" si="81"/>
        <v>0.99676987013896889</v>
      </c>
      <c r="BP48" s="129">
        <f t="shared" si="65"/>
        <v>1.0015167506710141</v>
      </c>
    </row>
    <row r="49" spans="1:68" x14ac:dyDescent="0.2">
      <c r="A49" s="133" t="s">
        <v>664</v>
      </c>
      <c r="B49" s="133">
        <f t="shared" si="66"/>
        <v>1988</v>
      </c>
      <c r="D49" s="136">
        <f>'Passenger-based Energy Use'!I46</f>
        <v>19.713694800000003</v>
      </c>
      <c r="E49" s="136">
        <f>'Passenger-based Energy Use'!J46</f>
        <v>33.663784</v>
      </c>
      <c r="F49" s="136">
        <f>'Passenger-based Energy Use'!K46</f>
        <v>2.5123769999999999</v>
      </c>
      <c r="G49" s="136">
        <f t="shared" si="47"/>
        <v>55.889855800000007</v>
      </c>
      <c r="I49" s="4">
        <f>'Passenger-based Activity'!I47</f>
        <v>6964</v>
      </c>
      <c r="J49" s="4">
        <f>'Passenger-based Activity'!J47</f>
        <v>11300</v>
      </c>
      <c r="K49" s="21">
        <f>'Passenger-based Activity'!K47</f>
        <v>477</v>
      </c>
      <c r="L49" s="4">
        <f t="shared" si="48"/>
        <v>18741</v>
      </c>
      <c r="N49" s="125">
        <f t="shared" si="49"/>
        <v>2830.8005169442854</v>
      </c>
      <c r="O49" s="125">
        <f t="shared" si="50"/>
        <v>2979.09592920354</v>
      </c>
      <c r="P49" s="125">
        <f t="shared" si="51"/>
        <v>5267.0377358490568</v>
      </c>
      <c r="Q49" s="125">
        <f t="shared" si="52"/>
        <v>2982.2237767461716</v>
      </c>
      <c r="S49" s="129">
        <f t="shared" si="30"/>
        <v>1.0017752251680299</v>
      </c>
      <c r="T49" s="129">
        <f t="shared" si="31"/>
        <v>1.0895414266331986</v>
      </c>
      <c r="U49" s="129">
        <f t="shared" si="32"/>
        <v>1.0459948232409231</v>
      </c>
      <c r="V49" s="129">
        <f t="shared" si="33"/>
        <v>1.0592784526171957</v>
      </c>
      <c r="X49" s="131">
        <f t="shared" si="34"/>
        <v>1.0826064352146034</v>
      </c>
      <c r="Y49" s="131">
        <f t="shared" si="53"/>
        <v>1.0592784526171957</v>
      </c>
      <c r="Z49" s="131">
        <f t="shared" si="54"/>
        <v>1.0038950537436944</v>
      </c>
      <c r="AA49" s="131">
        <f t="shared" si="55"/>
        <v>1.0551685145443912</v>
      </c>
      <c r="AB49" s="131">
        <f t="shared" si="56"/>
        <v>1.1467816694875437</v>
      </c>
      <c r="AC49" s="131">
        <f t="shared" si="39"/>
        <v>1.1467816694875437</v>
      </c>
      <c r="AD49" s="131"/>
      <c r="AE49" s="131">
        <f t="shared" si="57"/>
        <v>1.0592784526171957</v>
      </c>
      <c r="AH49" s="134"/>
      <c r="AJ49" s="129">
        <f t="shared" si="58"/>
        <v>0.35272402331014779</v>
      </c>
      <c r="AK49" s="129">
        <f t="shared" si="59"/>
        <v>0.60232368679684434</v>
      </c>
      <c r="AL49" s="129">
        <f t="shared" si="60"/>
        <v>4.495228989300773E-2</v>
      </c>
      <c r="AN49" s="129">
        <f t="shared" si="67"/>
        <v>0.35204105443688305</v>
      </c>
      <c r="AO49" s="129">
        <f t="shared" si="68"/>
        <v>0.60730292330311297</v>
      </c>
      <c r="AP49" s="129">
        <f t="shared" si="69"/>
        <v>4.0489054800286195E-2</v>
      </c>
      <c r="AQ49" s="129">
        <f t="shared" si="70"/>
        <v>0.99983303254028222</v>
      </c>
      <c r="AS49" s="129">
        <f t="shared" si="71"/>
        <v>0.3520998436533449</v>
      </c>
      <c r="AT49" s="129">
        <f t="shared" si="72"/>
        <v>0.60740434006279487</v>
      </c>
      <c r="AU49" s="129">
        <f t="shared" si="73"/>
        <v>4.0495816283860307E-2</v>
      </c>
      <c r="AV49" s="129"/>
      <c r="AW49" s="129"/>
      <c r="AX49" s="129">
        <f t="shared" si="74"/>
        <v>1.0561323350426612E-2</v>
      </c>
      <c r="AY49" s="129">
        <f t="shared" si="75"/>
        <v>2.3611610320294772E-3</v>
      </c>
      <c r="AZ49" s="129">
        <f t="shared" si="76"/>
        <v>7.7158591512116487E-2</v>
      </c>
      <c r="BB49" s="129">
        <f t="shared" si="61"/>
        <v>0.37159169734806041</v>
      </c>
      <c r="BC49" s="129">
        <f t="shared" si="62"/>
        <v>0.60295608558774882</v>
      </c>
      <c r="BD49" s="129">
        <f t="shared" si="63"/>
        <v>2.5452217064190812E-2</v>
      </c>
      <c r="BE49" s="129"/>
      <c r="BF49" s="129">
        <f t="shared" si="77"/>
        <v>3.9655291807688675E-3</v>
      </c>
      <c r="BG49" s="129">
        <f t="shared" si="78"/>
        <v>-8.1547842178690162E-3</v>
      </c>
      <c r="BH49" s="129">
        <f t="shared" si="79"/>
        <v>0.14640710477233959</v>
      </c>
      <c r="BJ49" s="129">
        <f t="shared" si="45"/>
        <v>1.0083117724637416</v>
      </c>
      <c r="BK49" s="129">
        <f t="shared" si="80"/>
        <v>0.9235036578378939</v>
      </c>
      <c r="BL49" s="129">
        <f t="shared" si="64"/>
        <v>1.0551685145443912</v>
      </c>
      <c r="BM49" s="129"/>
      <c r="BN49" s="129">
        <f t="shared" si="46"/>
        <v>1.0023747012429767</v>
      </c>
      <c r="BO49" s="129">
        <f t="shared" si="81"/>
        <v>0.99913690078854955</v>
      </c>
      <c r="BP49" s="129">
        <f t="shared" si="65"/>
        <v>1.0038950537436944</v>
      </c>
    </row>
    <row r="50" spans="1:68" x14ac:dyDescent="0.2">
      <c r="A50" s="133" t="s">
        <v>664</v>
      </c>
      <c r="B50" s="133">
        <f t="shared" si="66"/>
        <v>1989</v>
      </c>
      <c r="D50" s="136">
        <f>'Passenger-based Energy Use'!I47</f>
        <v>20.652296199999999</v>
      </c>
      <c r="E50" s="136">
        <f>'Passenger-based Energy Use'!J47</f>
        <v>33.973953999999999</v>
      </c>
      <c r="F50" s="136">
        <f>'Passenger-based Energy Use'!K47</f>
        <v>2.5020380000000002</v>
      </c>
      <c r="G50" s="136">
        <f t="shared" si="47"/>
        <v>57.1282882</v>
      </c>
      <c r="I50" s="4">
        <f>'Passenger-based Activity'!I48</f>
        <v>7211</v>
      </c>
      <c r="J50" s="4">
        <f>'Passenger-based Activity'!J48</f>
        <v>12030</v>
      </c>
      <c r="K50" s="21">
        <f>'Passenger-based Activity'!K48</f>
        <v>509</v>
      </c>
      <c r="L50" s="4">
        <f t="shared" si="48"/>
        <v>19750</v>
      </c>
      <c r="N50" s="125">
        <f t="shared" si="49"/>
        <v>2863.9989183192342</v>
      </c>
      <c r="O50" s="125">
        <f t="shared" si="50"/>
        <v>2824.1025768911054</v>
      </c>
      <c r="P50" s="125">
        <f t="shared" si="51"/>
        <v>4915.5952848722991</v>
      </c>
      <c r="Q50" s="125">
        <f t="shared" si="52"/>
        <v>2892.5715544303798</v>
      </c>
      <c r="S50" s="129">
        <f t="shared" si="30"/>
        <v>1.0135236107619776</v>
      </c>
      <c r="T50" s="129">
        <f t="shared" si="31"/>
        <v>1.0328558810145654</v>
      </c>
      <c r="U50" s="129">
        <f t="shared" si="32"/>
        <v>0.97620094614626207</v>
      </c>
      <c r="V50" s="129">
        <f t="shared" si="33"/>
        <v>1.0274342066994797</v>
      </c>
      <c r="X50" s="131">
        <f t="shared" si="34"/>
        <v>1.1408930737681242</v>
      </c>
      <c r="Y50" s="131">
        <f t="shared" si="53"/>
        <v>1.0274342066994797</v>
      </c>
      <c r="Z50" s="131">
        <f t="shared" si="54"/>
        <v>1.0042521342093205</v>
      </c>
      <c r="AA50" s="131">
        <f t="shared" si="55"/>
        <v>1.0230839165787895</v>
      </c>
      <c r="AB50" s="131">
        <f t="shared" si="56"/>
        <v>1.1721925701758837</v>
      </c>
      <c r="AC50" s="131">
        <f t="shared" si="39"/>
        <v>1.1721925701758837</v>
      </c>
      <c r="AD50" s="131"/>
      <c r="AE50" s="131">
        <f t="shared" si="57"/>
        <v>1.0274342066994797</v>
      </c>
      <c r="AH50" s="134"/>
      <c r="AJ50" s="129">
        <f t="shared" si="58"/>
        <v>0.36150735214922819</v>
      </c>
      <c r="AK50" s="129">
        <f t="shared" si="59"/>
        <v>0.59469581656395576</v>
      </c>
      <c r="AL50" s="129">
        <f t="shared" si="60"/>
        <v>4.3796831286815982E-2</v>
      </c>
      <c r="AN50" s="129">
        <f t="shared" si="67"/>
        <v>0.35709768469883463</v>
      </c>
      <c r="AO50" s="129">
        <f t="shared" si="68"/>
        <v>0.59850165030385416</v>
      </c>
      <c r="AP50" s="129">
        <f t="shared" si="69"/>
        <v>4.4372053250636166E-2</v>
      </c>
      <c r="AQ50" s="129">
        <f t="shared" si="70"/>
        <v>0.99997138825332499</v>
      </c>
      <c r="AS50" s="129">
        <f t="shared" si="71"/>
        <v>0.35710790217966742</v>
      </c>
      <c r="AT50" s="129">
        <f t="shared" si="72"/>
        <v>0.59851877497142392</v>
      </c>
      <c r="AU50" s="129">
        <f t="shared" si="73"/>
        <v>4.4373322848908645E-2</v>
      </c>
      <c r="AV50" s="129"/>
      <c r="AW50" s="129"/>
      <c r="AX50" s="129">
        <f t="shared" si="74"/>
        <v>1.1659331582817602E-2</v>
      </c>
      <c r="AY50" s="129">
        <f t="shared" si="75"/>
        <v>-5.3429232793510251E-2</v>
      </c>
      <c r="AZ50" s="129">
        <f t="shared" si="76"/>
        <v>-6.905524284604353E-2</v>
      </c>
      <c r="BB50" s="129">
        <f t="shared" si="61"/>
        <v>0.36511392405063292</v>
      </c>
      <c r="BC50" s="129">
        <f t="shared" si="62"/>
        <v>0.60911392405063292</v>
      </c>
      <c r="BD50" s="129">
        <f t="shared" si="63"/>
        <v>2.5772151898734177E-2</v>
      </c>
      <c r="BE50" s="129"/>
      <c r="BF50" s="129">
        <f t="shared" si="77"/>
        <v>-1.7586238138908455E-2</v>
      </c>
      <c r="BG50" s="129">
        <f t="shared" si="78"/>
        <v>1.0160950100704291E-2</v>
      </c>
      <c r="BH50" s="129">
        <f t="shared" si="79"/>
        <v>1.2491671494593222E-2</v>
      </c>
      <c r="BJ50" s="129">
        <f t="shared" si="45"/>
        <v>0.96959291570649686</v>
      </c>
      <c r="BK50" s="129">
        <f t="shared" si="80"/>
        <v>0.89542260426865861</v>
      </c>
      <c r="BL50" s="129">
        <f t="shared" si="64"/>
        <v>1.0230839165787895</v>
      </c>
      <c r="BM50" s="129"/>
      <c r="BN50" s="129">
        <f t="shared" si="46"/>
        <v>1.0003556950144286</v>
      </c>
      <c r="BO50" s="129">
        <f t="shared" si="81"/>
        <v>0.99949228880289165</v>
      </c>
      <c r="BP50" s="129">
        <f t="shared" si="65"/>
        <v>1.0042521342093205</v>
      </c>
    </row>
    <row r="51" spans="1:68" x14ac:dyDescent="0.2">
      <c r="A51" s="133" t="s">
        <v>664</v>
      </c>
      <c r="B51" s="133">
        <f t="shared" si="66"/>
        <v>1990</v>
      </c>
      <c r="D51" s="136">
        <f>'Passenger-based Energy Use'!I48</f>
        <v>19.982468699999998</v>
      </c>
      <c r="E51" s="136">
        <f>'Passenger-based Energy Use'!J48</f>
        <v>33.953276000000002</v>
      </c>
      <c r="F51" s="136">
        <f>'Passenger-based Energy Use'!K48</f>
        <v>2.4710209999999999</v>
      </c>
      <c r="G51" s="136">
        <f t="shared" si="47"/>
        <v>56.406765700000001</v>
      </c>
      <c r="I51" s="4">
        <f>'Passenger-based Activity'!I49</f>
        <v>7082</v>
      </c>
      <c r="J51" s="4">
        <f>'Passenger-based Activity'!J49</f>
        <v>11475</v>
      </c>
      <c r="K51" s="21">
        <f>'Passenger-based Activity'!K49</f>
        <v>571</v>
      </c>
      <c r="L51" s="4">
        <f t="shared" si="48"/>
        <v>19128</v>
      </c>
      <c r="N51" s="125">
        <f t="shared" si="49"/>
        <v>2821.5855266873759</v>
      </c>
      <c r="O51" s="125">
        <f t="shared" si="50"/>
        <v>2958.8911546840964</v>
      </c>
      <c r="P51" s="125">
        <f t="shared" si="51"/>
        <v>4327.5323992994745</v>
      </c>
      <c r="Q51" s="125">
        <f t="shared" si="52"/>
        <v>2948.9107956921794</v>
      </c>
      <c r="S51" s="129">
        <f t="shared" si="30"/>
        <v>0.99851418685597626</v>
      </c>
      <c r="T51" s="129">
        <f t="shared" si="31"/>
        <v>1.0821519570162863</v>
      </c>
      <c r="U51" s="129">
        <f t="shared" si="32"/>
        <v>0.85941599701581184</v>
      </c>
      <c r="V51" s="129">
        <f t="shared" si="33"/>
        <v>1.0474457647759632</v>
      </c>
      <c r="X51" s="131">
        <f t="shared" si="34"/>
        <v>1.1049621627866675</v>
      </c>
      <c r="Y51" s="131">
        <f t="shared" si="53"/>
        <v>1.0474457647759632</v>
      </c>
      <c r="Z51" s="131">
        <f t="shared" si="54"/>
        <v>1.0065792144979953</v>
      </c>
      <c r="AA51" s="131">
        <f t="shared" si="55"/>
        <v>1.0405994378677381</v>
      </c>
      <c r="AB51" s="131">
        <f t="shared" si="56"/>
        <v>1.1573879376485834</v>
      </c>
      <c r="AC51" s="131">
        <f t="shared" si="39"/>
        <v>1.1573879376485832</v>
      </c>
      <c r="AD51" s="131"/>
      <c r="AE51" s="131">
        <f t="shared" si="57"/>
        <v>1.0474457647759632</v>
      </c>
      <c r="AH51" s="134"/>
      <c r="AJ51" s="129">
        <f t="shared" si="58"/>
        <v>0.35425659408087634</v>
      </c>
      <c r="AK51" s="129">
        <f t="shared" si="59"/>
        <v>0.60193623191552714</v>
      </c>
      <c r="AL51" s="129">
        <f t="shared" si="60"/>
        <v>4.3807174003596523E-2</v>
      </c>
      <c r="AN51" s="129">
        <f t="shared" si="67"/>
        <v>0.35786973096650704</v>
      </c>
      <c r="AO51" s="129">
        <f t="shared" si="68"/>
        <v>0.59830872261817236</v>
      </c>
      <c r="AP51" s="129">
        <f t="shared" si="69"/>
        <v>4.3802002441682933E-2</v>
      </c>
      <c r="AQ51" s="129">
        <f t="shared" si="70"/>
        <v>0.99998045602636232</v>
      </c>
      <c r="AS51" s="129">
        <f t="shared" si="71"/>
        <v>0.35787672529979186</v>
      </c>
      <c r="AT51" s="129">
        <f t="shared" si="72"/>
        <v>0.59832041617661302</v>
      </c>
      <c r="AU51" s="129">
        <f t="shared" si="73"/>
        <v>4.3802858523595174E-2</v>
      </c>
      <c r="AV51" s="129"/>
      <c r="AW51" s="129"/>
      <c r="AX51" s="129">
        <f t="shared" si="74"/>
        <v>-1.4919900959972287E-2</v>
      </c>
      <c r="AY51" s="129">
        <f t="shared" si="75"/>
        <v>4.6623946015084218E-2</v>
      </c>
      <c r="AZ51" s="129">
        <f t="shared" si="76"/>
        <v>-0.12741536733066336</v>
      </c>
      <c r="BB51" s="129">
        <f t="shared" si="61"/>
        <v>0.37024257632789626</v>
      </c>
      <c r="BC51" s="129">
        <f t="shared" si="62"/>
        <v>0.59990589711417819</v>
      </c>
      <c r="BD51" s="129">
        <f t="shared" si="63"/>
        <v>2.9851526557925553E-2</v>
      </c>
      <c r="BE51" s="129"/>
      <c r="BF51" s="129">
        <f t="shared" si="77"/>
        <v>1.394897694619671E-2</v>
      </c>
      <c r="BG51" s="129">
        <f t="shared" si="78"/>
        <v>-1.5232512848871385E-2</v>
      </c>
      <c r="BH51" s="129">
        <f t="shared" si="79"/>
        <v>0.14694145429659475</v>
      </c>
      <c r="BJ51" s="129">
        <f t="shared" si="45"/>
        <v>1.0171203173123089</v>
      </c>
      <c r="BK51" s="129">
        <f t="shared" si="80"/>
        <v>0.91075252338235202</v>
      </c>
      <c r="BL51" s="129">
        <f t="shared" si="64"/>
        <v>1.0405994378677381</v>
      </c>
      <c r="BM51" s="129"/>
      <c r="BN51" s="129">
        <f t="shared" si="46"/>
        <v>1.0023172271279333</v>
      </c>
      <c r="BO51" s="129">
        <f t="shared" si="81"/>
        <v>1.0018083394486659</v>
      </c>
      <c r="BP51" s="129">
        <f t="shared" si="65"/>
        <v>1.0065792144979953</v>
      </c>
    </row>
    <row r="52" spans="1:68" x14ac:dyDescent="0.2">
      <c r="A52" s="133" t="s">
        <v>664</v>
      </c>
      <c r="B52" s="133">
        <f t="shared" si="66"/>
        <v>1991</v>
      </c>
      <c r="D52" s="136">
        <f>'Passenger-based Energy Use'!I49</f>
        <v>20.343511500000002</v>
      </c>
      <c r="E52" s="136">
        <f>'Passenger-based Energy Use'!J49</f>
        <v>33.581071999999999</v>
      </c>
      <c r="F52" s="136">
        <f>'Passenger-based Energy Use'!K49</f>
        <v>2.8328859999999998</v>
      </c>
      <c r="G52" s="136">
        <f t="shared" si="47"/>
        <v>56.757469499999999</v>
      </c>
      <c r="I52" s="4">
        <f>'Passenger-based Activity'!I50</f>
        <v>7344</v>
      </c>
      <c r="J52" s="4">
        <f>'Passenger-based Activity'!J50</f>
        <v>10528</v>
      </c>
      <c r="K52" s="21">
        <f>'Passenger-based Activity'!K50</f>
        <v>662</v>
      </c>
      <c r="L52" s="4">
        <f t="shared" si="48"/>
        <v>18534</v>
      </c>
      <c r="N52" s="125">
        <f t="shared" si="49"/>
        <v>2770.0859885620916</v>
      </c>
      <c r="O52" s="125">
        <f t="shared" si="50"/>
        <v>3189.6914893617018</v>
      </c>
      <c r="P52" s="125">
        <f t="shared" si="51"/>
        <v>4279.2839879154071</v>
      </c>
      <c r="Q52" s="125">
        <f t="shared" si="52"/>
        <v>3062.343234056329</v>
      </c>
      <c r="S52" s="129">
        <f t="shared" si="30"/>
        <v>0.98028932039410477</v>
      </c>
      <c r="T52" s="129">
        <f t="shared" si="31"/>
        <v>1.1665623056213705</v>
      </c>
      <c r="U52" s="129">
        <f t="shared" si="32"/>
        <v>0.84983421859151176</v>
      </c>
      <c r="V52" s="129">
        <f t="shared" si="33"/>
        <v>1.0877366841643372</v>
      </c>
      <c r="X52" s="131">
        <f t="shared" si="34"/>
        <v>1.0706487204667552</v>
      </c>
      <c r="Y52" s="131">
        <f t="shared" si="53"/>
        <v>1.0877366841643372</v>
      </c>
      <c r="Z52" s="131">
        <f t="shared" si="54"/>
        <v>1.0065850216170398</v>
      </c>
      <c r="AA52" s="131">
        <f t="shared" si="55"/>
        <v>1.0806207730142166</v>
      </c>
      <c r="AB52" s="131">
        <f t="shared" si="56"/>
        <v>1.1645838891052986</v>
      </c>
      <c r="AC52" s="131">
        <f t="shared" si="39"/>
        <v>1.1645838891052986</v>
      </c>
      <c r="AD52" s="131"/>
      <c r="AE52" s="131">
        <f t="shared" si="57"/>
        <v>1.0877366841643374</v>
      </c>
      <c r="AH52" s="134"/>
      <c r="AJ52" s="129">
        <f t="shared" si="58"/>
        <v>0.35842879675951728</v>
      </c>
      <c r="AK52" s="129">
        <f t="shared" si="59"/>
        <v>0.59165907669650419</v>
      </c>
      <c r="AL52" s="129">
        <f t="shared" si="60"/>
        <v>4.9912126543978495E-2</v>
      </c>
      <c r="AN52" s="129">
        <f t="shared" si="67"/>
        <v>0.35633862456497439</v>
      </c>
      <c r="AO52" s="129">
        <f t="shared" si="68"/>
        <v>0.59678290586674199</v>
      </c>
      <c r="AP52" s="129">
        <f t="shared" si="69"/>
        <v>4.6793294832917331E-2</v>
      </c>
      <c r="AQ52" s="129">
        <f t="shared" si="70"/>
        <v>0.99991482526463371</v>
      </c>
      <c r="AS52" s="129">
        <f t="shared" si="71"/>
        <v>0.3563689781983852</v>
      </c>
      <c r="AT52" s="129">
        <f t="shared" si="72"/>
        <v>0.59683374102269127</v>
      </c>
      <c r="AU52" s="129">
        <f t="shared" si="73"/>
        <v>4.679728077892354E-2</v>
      </c>
      <c r="AV52" s="129"/>
      <c r="AW52" s="129"/>
      <c r="AX52" s="129">
        <f t="shared" si="74"/>
        <v>-1.8420607936895414E-2</v>
      </c>
      <c r="AY52" s="129">
        <f t="shared" si="75"/>
        <v>7.510961207289707E-2</v>
      </c>
      <c r="AZ52" s="129">
        <f t="shared" si="76"/>
        <v>-1.1211791824438625E-2</v>
      </c>
      <c r="BB52" s="129">
        <f t="shared" si="61"/>
        <v>0.39624473939786337</v>
      </c>
      <c r="BC52" s="129">
        <f t="shared" si="62"/>
        <v>0.56803712096687164</v>
      </c>
      <c r="BD52" s="129">
        <f t="shared" si="63"/>
        <v>3.571813963526492E-2</v>
      </c>
      <c r="BE52" s="129"/>
      <c r="BF52" s="129">
        <f t="shared" si="77"/>
        <v>6.7873646620001241E-2</v>
      </c>
      <c r="BG52" s="129">
        <f t="shared" si="78"/>
        <v>-5.4586034372123678E-2</v>
      </c>
      <c r="BH52" s="129">
        <f t="shared" si="79"/>
        <v>0.17942269327252205</v>
      </c>
      <c r="BJ52" s="129">
        <f t="shared" si="45"/>
        <v>1.038459885418048</v>
      </c>
      <c r="BK52" s="129">
        <f t="shared" si="80"/>
        <v>0.9457799610758354</v>
      </c>
      <c r="BL52" s="129">
        <f t="shared" si="64"/>
        <v>1.0806207730142166</v>
      </c>
      <c r="BM52" s="129"/>
      <c r="BN52" s="129">
        <f t="shared" si="46"/>
        <v>1.0000057691624868</v>
      </c>
      <c r="BO52" s="129">
        <f t="shared" si="81"/>
        <v>1.0018141190437568</v>
      </c>
      <c r="BP52" s="129">
        <f t="shared" si="65"/>
        <v>1.0065850216170398</v>
      </c>
    </row>
    <row r="53" spans="1:68" x14ac:dyDescent="0.2">
      <c r="A53" s="133" t="s">
        <v>664</v>
      </c>
      <c r="B53" s="133">
        <f t="shared" si="66"/>
        <v>1992</v>
      </c>
      <c r="D53" s="136">
        <f>'Passenger-based Energy Use'!I50</f>
        <v>19.242739699999998</v>
      </c>
      <c r="E53" s="136">
        <f>'Passenger-based Energy Use'!J50</f>
        <v>33.012427000000002</v>
      </c>
      <c r="F53" s="136">
        <f>'Passenger-based Energy Use'!K50</f>
        <v>3.0706829999999998</v>
      </c>
      <c r="G53" s="136">
        <f t="shared" si="47"/>
        <v>55.325849700000006</v>
      </c>
      <c r="I53" s="4">
        <f>'Passenger-based Activity'!I51</f>
        <v>7320</v>
      </c>
      <c r="J53" s="4">
        <f>'Passenger-based Activity'!J51</f>
        <v>10737</v>
      </c>
      <c r="K53" s="21">
        <f>'Passenger-based Activity'!K51</f>
        <v>701</v>
      </c>
      <c r="L53" s="4">
        <f t="shared" si="48"/>
        <v>18758</v>
      </c>
      <c r="N53" s="125">
        <f t="shared" si="49"/>
        <v>2628.789576502732</v>
      </c>
      <c r="O53" s="125">
        <f t="shared" si="50"/>
        <v>3074.6416131135329</v>
      </c>
      <c r="P53" s="125">
        <f t="shared" si="51"/>
        <v>4380.4322396576317</v>
      </c>
      <c r="Q53" s="125">
        <f t="shared" si="52"/>
        <v>2949.4535504851265</v>
      </c>
      <c r="S53" s="129">
        <f t="shared" si="30"/>
        <v>0.93028677017590955</v>
      </c>
      <c r="T53" s="129">
        <f t="shared" si="31"/>
        <v>1.124485242888142</v>
      </c>
      <c r="U53" s="129">
        <f t="shared" si="32"/>
        <v>0.86992151490650227</v>
      </c>
      <c r="V53" s="129">
        <f t="shared" si="33"/>
        <v>1.0476385499256582</v>
      </c>
      <c r="X53" s="131">
        <f t="shared" si="34"/>
        <v>1.0835884697591127</v>
      </c>
      <c r="Y53" s="131">
        <f t="shared" si="53"/>
        <v>1.0476385499256582</v>
      </c>
      <c r="Z53" s="131">
        <f t="shared" si="54"/>
        <v>1.0081221637165911</v>
      </c>
      <c r="AA53" s="131">
        <f t="shared" si="55"/>
        <v>1.0391980135258452</v>
      </c>
      <c r="AB53" s="131">
        <f t="shared" si="56"/>
        <v>1.1352090531746</v>
      </c>
      <c r="AC53" s="131">
        <f t="shared" si="39"/>
        <v>1.1352090531745997</v>
      </c>
      <c r="AD53" s="131"/>
      <c r="AE53" s="131">
        <f t="shared" si="57"/>
        <v>1.0476385499256584</v>
      </c>
      <c r="AH53" s="134"/>
      <c r="AJ53" s="129">
        <f t="shared" si="58"/>
        <v>0.3478073957172319</v>
      </c>
      <c r="AK53" s="129">
        <f t="shared" si="59"/>
        <v>0.59669082678363272</v>
      </c>
      <c r="AL53" s="129">
        <f t="shared" si="60"/>
        <v>5.5501777499135263E-2</v>
      </c>
      <c r="AN53" s="129">
        <f t="shared" si="67"/>
        <v>0.35309147130123031</v>
      </c>
      <c r="AO53" s="129">
        <f t="shared" si="68"/>
        <v>0.59417140078958164</v>
      </c>
      <c r="AP53" s="129">
        <f t="shared" si="69"/>
        <v>5.2657515691846742E-2</v>
      </c>
      <c r="AQ53" s="129">
        <f t="shared" si="70"/>
        <v>0.99992038778265868</v>
      </c>
      <c r="AS53" s="129">
        <f t="shared" si="71"/>
        <v>0.35311958393429393</v>
      </c>
      <c r="AT53" s="129">
        <f t="shared" si="72"/>
        <v>0.59421870785849995</v>
      </c>
      <c r="AU53" s="129">
        <f t="shared" si="73"/>
        <v>5.2661708207206101E-2</v>
      </c>
      <c r="AV53" s="129"/>
      <c r="AW53" s="129"/>
      <c r="AX53" s="129">
        <f t="shared" si="74"/>
        <v>-5.2354859342747431E-2</v>
      </c>
      <c r="AY53" s="129">
        <f t="shared" si="75"/>
        <v>-3.6735854435823535E-2</v>
      </c>
      <c r="AZ53" s="129">
        <f t="shared" si="76"/>
        <v>2.3361701317047671E-2</v>
      </c>
      <c r="BB53" s="129">
        <f t="shared" si="61"/>
        <v>0.39023350037317411</v>
      </c>
      <c r="BC53" s="129">
        <f t="shared" si="62"/>
        <v>0.57239577780147133</v>
      </c>
      <c r="BD53" s="129">
        <f t="shared" si="63"/>
        <v>3.7370721825354516E-2</v>
      </c>
      <c r="BE53" s="129"/>
      <c r="BF53" s="129">
        <f t="shared" si="77"/>
        <v>-1.5286770267216232E-2</v>
      </c>
      <c r="BG53" s="129">
        <f t="shared" si="78"/>
        <v>7.6439009467898743E-3</v>
      </c>
      <c r="BH53" s="129">
        <f t="shared" si="79"/>
        <v>4.5228886175334812E-2</v>
      </c>
      <c r="BJ53" s="129">
        <f t="shared" si="45"/>
        <v>0.96166762612490841</v>
      </c>
      <c r="BK53" s="129">
        <f t="shared" si="80"/>
        <v>0.90952597000430691</v>
      </c>
      <c r="BL53" s="129">
        <f t="shared" si="64"/>
        <v>1.0391980135258452</v>
      </c>
      <c r="BM53" s="129"/>
      <c r="BN53" s="129">
        <f t="shared" si="46"/>
        <v>1.0015270862038876</v>
      </c>
      <c r="BO53" s="129">
        <f t="shared" si="81"/>
        <v>1.0033439755638085</v>
      </c>
      <c r="BP53" s="129">
        <f t="shared" si="65"/>
        <v>1.0081221637165911</v>
      </c>
    </row>
    <row r="54" spans="1:68" x14ac:dyDescent="0.2">
      <c r="A54" s="133" t="s">
        <v>664</v>
      </c>
      <c r="B54" s="133">
        <f t="shared" si="66"/>
        <v>1993</v>
      </c>
      <c r="D54" s="136">
        <f>'Passenger-based Energy Use'!I51</f>
        <v>20.654988199999998</v>
      </c>
      <c r="E54" s="136">
        <f>'Passenger-based Energy Use'!J51</f>
        <v>33.984293000000001</v>
      </c>
      <c r="F54" s="136">
        <f>'Passenger-based Energy Use'!K51</f>
        <v>2.905259</v>
      </c>
      <c r="G54" s="136">
        <f t="shared" si="47"/>
        <v>57.5445402</v>
      </c>
      <c r="I54" s="4">
        <f>'Passenger-based Activity'!I52</f>
        <v>6940</v>
      </c>
      <c r="J54" s="4">
        <f>'Passenger-based Activity'!J52</f>
        <v>10231</v>
      </c>
      <c r="K54" s="21">
        <f>'Passenger-based Activity'!K52</f>
        <v>705</v>
      </c>
      <c r="L54" s="4">
        <f t="shared" si="48"/>
        <v>17876</v>
      </c>
      <c r="N54" s="125">
        <f t="shared" si="49"/>
        <v>2976.2230835734867</v>
      </c>
      <c r="O54" s="125">
        <f t="shared" si="50"/>
        <v>3321.6980744795228</v>
      </c>
      <c r="P54" s="125">
        <f t="shared" si="51"/>
        <v>4120.9347517730494</v>
      </c>
      <c r="Q54" s="125">
        <f t="shared" si="52"/>
        <v>3219.0948869993285</v>
      </c>
      <c r="S54" s="129">
        <f t="shared" si="30"/>
        <v>1.0532379557834448</v>
      </c>
      <c r="T54" s="129">
        <f t="shared" si="31"/>
        <v>1.214840926549398</v>
      </c>
      <c r="U54" s="129">
        <f t="shared" si="32"/>
        <v>0.81838722892183169</v>
      </c>
      <c r="V54" s="129">
        <f t="shared" si="33"/>
        <v>1.1434144806024751</v>
      </c>
      <c r="X54" s="131">
        <f t="shared" si="34"/>
        <v>1.0326382069204552</v>
      </c>
      <c r="Y54" s="131">
        <f t="shared" si="53"/>
        <v>1.1434144806024751</v>
      </c>
      <c r="Z54" s="131">
        <f t="shared" si="54"/>
        <v>1.0090969450884968</v>
      </c>
      <c r="AA54" s="131">
        <f t="shared" si="55"/>
        <v>1.1331066714330396</v>
      </c>
      <c r="AB54" s="131">
        <f t="shared" si="56"/>
        <v>1.1807334790162236</v>
      </c>
      <c r="AC54" s="131">
        <f t="shared" si="39"/>
        <v>1.1807334790162236</v>
      </c>
      <c r="AD54" s="131"/>
      <c r="AE54" s="131">
        <f t="shared" si="57"/>
        <v>1.1434144806024753</v>
      </c>
      <c r="AH54" s="134"/>
      <c r="AJ54" s="129">
        <f t="shared" si="58"/>
        <v>0.35893914745364491</v>
      </c>
      <c r="AK54" s="129">
        <f t="shared" si="59"/>
        <v>0.59057371701790051</v>
      </c>
      <c r="AL54" s="129">
        <f t="shared" si="60"/>
        <v>5.0487135528454533E-2</v>
      </c>
      <c r="AN54" s="129">
        <f t="shared" si="67"/>
        <v>0.35334404750769211</v>
      </c>
      <c r="AO54" s="129">
        <f t="shared" si="68"/>
        <v>0.59362701902810711</v>
      </c>
      <c r="AP54" s="129">
        <f t="shared" si="69"/>
        <v>5.2954890012715694E-2</v>
      </c>
      <c r="AQ54" s="129">
        <f t="shared" si="70"/>
        <v>0.9999259565485149</v>
      </c>
      <c r="AS54" s="129">
        <f t="shared" si="71"/>
        <v>0.35337021225785969</v>
      </c>
      <c r="AT54" s="129">
        <f t="shared" si="72"/>
        <v>0.59367097647625189</v>
      </c>
      <c r="AU54" s="129">
        <f t="shared" si="73"/>
        <v>5.2958811265888368E-2</v>
      </c>
      <c r="AV54" s="129"/>
      <c r="AW54" s="129"/>
      <c r="AX54" s="129">
        <f t="shared" si="74"/>
        <v>0.12413157186272598</v>
      </c>
      <c r="AY54" s="129">
        <f t="shared" si="75"/>
        <v>7.7287774504632825E-2</v>
      </c>
      <c r="AZ54" s="129">
        <f t="shared" si="76"/>
        <v>-6.1067385246632397E-2</v>
      </c>
      <c r="BB54" s="129">
        <f t="shared" si="61"/>
        <v>0.38823002908928173</v>
      </c>
      <c r="BC54" s="129">
        <f t="shared" si="62"/>
        <v>0.57233161781159092</v>
      </c>
      <c r="BD54" s="129">
        <f t="shared" si="63"/>
        <v>3.943835309912732E-2</v>
      </c>
      <c r="BE54" s="129"/>
      <c r="BF54" s="129">
        <f t="shared" si="77"/>
        <v>-5.1472564389653782E-3</v>
      </c>
      <c r="BG54" s="129">
        <f t="shared" si="78"/>
        <v>-1.1209653965383142E-4</v>
      </c>
      <c r="BH54" s="129">
        <f t="shared" si="79"/>
        <v>5.3851212793220256E-2</v>
      </c>
      <c r="BJ54" s="129">
        <f t="shared" si="45"/>
        <v>1.0903664717261885</v>
      </c>
      <c r="BK54" s="129">
        <f t="shared" si="80"/>
        <v>0.99171662285693529</v>
      </c>
      <c r="BL54" s="129">
        <f t="shared" si="64"/>
        <v>1.1331066714330396</v>
      </c>
      <c r="BM54" s="129"/>
      <c r="BN54" s="129">
        <f t="shared" si="46"/>
        <v>1.0009669278258022</v>
      </c>
      <c r="BO54" s="129">
        <f t="shared" si="81"/>
        <v>1.0043141367726323</v>
      </c>
      <c r="BP54" s="129">
        <f t="shared" si="65"/>
        <v>1.0090969450884968</v>
      </c>
    </row>
    <row r="55" spans="1:68" x14ac:dyDescent="0.2">
      <c r="A55" s="133" t="s">
        <v>664</v>
      </c>
      <c r="B55" s="133">
        <f t="shared" si="66"/>
        <v>1994</v>
      </c>
      <c r="D55" s="136">
        <f>'Passenger-based Energy Use'!I52</f>
        <v>21.447246</v>
      </c>
      <c r="E55" s="136">
        <f>'Passenger-based Energy Use'!J52</f>
        <v>35.473109000000001</v>
      </c>
      <c r="F55" s="136">
        <f>'Passenger-based Energy Use'!K52</f>
        <v>2.9155980000000001</v>
      </c>
      <c r="G55" s="136">
        <f t="shared" si="47"/>
        <v>59.835953000000003</v>
      </c>
      <c r="I55" s="4">
        <f>'Passenger-based Activity'!I53</f>
        <v>7996</v>
      </c>
      <c r="J55" s="4">
        <f>'Passenger-based Activity'!J53</f>
        <v>10668</v>
      </c>
      <c r="K55" s="21">
        <f>'Passenger-based Activity'!K53</f>
        <v>833</v>
      </c>
      <c r="L55" s="4">
        <f t="shared" si="48"/>
        <v>19497</v>
      </c>
      <c r="N55" s="125">
        <f t="shared" si="49"/>
        <v>2682.2468734367185</v>
      </c>
      <c r="O55" s="125">
        <f t="shared" si="50"/>
        <v>3325.1883202099739</v>
      </c>
      <c r="P55" s="125">
        <f t="shared" si="51"/>
        <v>3500.1176470588239</v>
      </c>
      <c r="Q55" s="125">
        <f t="shared" si="52"/>
        <v>3068.9825614197057</v>
      </c>
      <c r="S55" s="129">
        <f t="shared" si="30"/>
        <v>0.94920445630475259</v>
      </c>
      <c r="T55" s="129">
        <f t="shared" si="31"/>
        <v>1.2161174102219034</v>
      </c>
      <c r="U55" s="129">
        <f t="shared" si="32"/>
        <v>0.69509753359827653</v>
      </c>
      <c r="V55" s="129">
        <f t="shared" si="33"/>
        <v>1.0900949566959746</v>
      </c>
      <c r="X55" s="131">
        <f t="shared" si="34"/>
        <v>1.1262780890763098</v>
      </c>
      <c r="Y55" s="131">
        <f t="shared" si="53"/>
        <v>1.0900949566959746</v>
      </c>
      <c r="Z55" s="131">
        <f t="shared" si="54"/>
        <v>1.0061017007611126</v>
      </c>
      <c r="AA55" s="131">
        <f t="shared" si="55"/>
        <v>1.0834838623881875</v>
      </c>
      <c r="AB55" s="131">
        <f t="shared" si="56"/>
        <v>1.227750064739265</v>
      </c>
      <c r="AC55" s="131">
        <f t="shared" si="39"/>
        <v>1.227750064739265</v>
      </c>
      <c r="AD55" s="131"/>
      <c r="AE55" s="131">
        <f t="shared" si="57"/>
        <v>1.0900949566959748</v>
      </c>
      <c r="AH55" s="134"/>
      <c r="AJ55" s="129">
        <f t="shared" si="58"/>
        <v>0.35843410064848469</v>
      </c>
      <c r="AK55" s="129">
        <f t="shared" si="59"/>
        <v>0.59283937535013442</v>
      </c>
      <c r="AL55" s="129">
        <f t="shared" si="60"/>
        <v>4.872652400138091E-2</v>
      </c>
      <c r="AN55" s="129">
        <f t="shared" si="67"/>
        <v>0.35868656479034033</v>
      </c>
      <c r="AO55" s="129">
        <f t="shared" si="68"/>
        <v>0.59170582324503118</v>
      </c>
      <c r="AP55" s="129">
        <f t="shared" si="69"/>
        <v>4.9601622126321826E-2</v>
      </c>
      <c r="AQ55" s="129">
        <f t="shared" si="70"/>
        <v>0.99999401016169331</v>
      </c>
      <c r="AS55" s="129">
        <f t="shared" si="71"/>
        <v>0.35868871327773533</v>
      </c>
      <c r="AT55" s="129">
        <f t="shared" si="72"/>
        <v>0.59170936748846703</v>
      </c>
      <c r="AU55" s="129">
        <f t="shared" si="73"/>
        <v>4.9601919233797739E-2</v>
      </c>
      <c r="AV55" s="129"/>
      <c r="AW55" s="129"/>
      <c r="AX55" s="129">
        <f t="shared" si="74"/>
        <v>-0.10400024615503425</v>
      </c>
      <c r="AY55" s="129">
        <f t="shared" si="75"/>
        <v>1.0501897712653771E-3</v>
      </c>
      <c r="AZ55" s="129">
        <f t="shared" si="76"/>
        <v>-0.16328343775020604</v>
      </c>
      <c r="BB55" s="129">
        <f t="shared" si="61"/>
        <v>0.4101143765707545</v>
      </c>
      <c r="BC55" s="129">
        <f t="shared" si="62"/>
        <v>0.54716110170795507</v>
      </c>
      <c r="BD55" s="129">
        <f t="shared" si="63"/>
        <v>4.2724521721290452E-2</v>
      </c>
      <c r="BE55" s="129"/>
      <c r="BF55" s="129">
        <f t="shared" si="77"/>
        <v>5.4838065610324165E-2</v>
      </c>
      <c r="BG55" s="129">
        <f t="shared" si="78"/>
        <v>-4.4975297086151424E-2</v>
      </c>
      <c r="BH55" s="129">
        <f t="shared" si="79"/>
        <v>8.0034262845457657E-2</v>
      </c>
      <c r="BJ55" s="129">
        <f t="shared" si="45"/>
        <v>0.95620640995600692</v>
      </c>
      <c r="BK55" s="129">
        <f t="shared" si="80"/>
        <v>0.94828579163572535</v>
      </c>
      <c r="BL55" s="129">
        <f t="shared" si="64"/>
        <v>1.0834838623881875</v>
      </c>
      <c r="BM55" s="129"/>
      <c r="BN55" s="129">
        <f t="shared" si="46"/>
        <v>0.99703175761064133</v>
      </c>
      <c r="BO55" s="129">
        <f t="shared" si="81"/>
        <v>1.0013330889796315</v>
      </c>
      <c r="BP55" s="129">
        <f t="shared" si="65"/>
        <v>1.0061017007611126</v>
      </c>
    </row>
    <row r="56" spans="1:68" x14ac:dyDescent="0.2">
      <c r="A56" s="133" t="s">
        <v>664</v>
      </c>
      <c r="B56" s="133">
        <f t="shared" si="66"/>
        <v>1995</v>
      </c>
      <c r="D56" s="136">
        <f>'Passenger-based Energy Use'!I53</f>
        <v>21.701743799999999</v>
      </c>
      <c r="E56" s="136">
        <f>'Passenger-based Energy Use'!J53</f>
        <v>35.162939000000001</v>
      </c>
      <c r="F56" s="136">
        <f>'Passenger-based Energy Use'!K53</f>
        <v>2.9776319999999998</v>
      </c>
      <c r="G56" s="136">
        <f t="shared" si="47"/>
        <v>59.842314799999997</v>
      </c>
      <c r="I56" s="4">
        <f>'Passenger-based Activity'!I54</f>
        <v>8244</v>
      </c>
      <c r="J56" s="4">
        <f>'Passenger-based Activity'!J54</f>
        <v>10559</v>
      </c>
      <c r="K56" s="21">
        <f>'Passenger-based Activity'!K54</f>
        <v>860</v>
      </c>
      <c r="L56" s="4">
        <f t="shared" si="48"/>
        <v>19663</v>
      </c>
      <c r="N56" s="125">
        <f t="shared" si="49"/>
        <v>2632.4288937409024</v>
      </c>
      <c r="O56" s="125">
        <f t="shared" si="50"/>
        <v>3330.1391230230138</v>
      </c>
      <c r="P56" s="125">
        <f t="shared" si="51"/>
        <v>3462.362790697674</v>
      </c>
      <c r="Q56" s="125">
        <f t="shared" si="52"/>
        <v>3043.3969790977981</v>
      </c>
      <c r="S56" s="129">
        <f t="shared" si="30"/>
        <v>0.93157466659386745</v>
      </c>
      <c r="T56" s="129">
        <f t="shared" si="31"/>
        <v>1.2179280618048289</v>
      </c>
      <c r="U56" s="129">
        <f t="shared" si="32"/>
        <v>0.68759969775837415</v>
      </c>
      <c r="V56" s="129">
        <f t="shared" si="33"/>
        <v>1.0810070216246397</v>
      </c>
      <c r="X56" s="131">
        <f t="shared" si="34"/>
        <v>1.1358673675697533</v>
      </c>
      <c r="Y56" s="131">
        <f t="shared" si="53"/>
        <v>1.0810070216246397</v>
      </c>
      <c r="Z56" s="131">
        <f t="shared" si="54"/>
        <v>1.0041352126395711</v>
      </c>
      <c r="AA56" s="131">
        <f t="shared" si="55"/>
        <v>1.0765552368022189</v>
      </c>
      <c r="AB56" s="131">
        <f t="shared" si="56"/>
        <v>1.2278805999771991</v>
      </c>
      <c r="AC56" s="131">
        <f t="shared" si="39"/>
        <v>1.2278805999771989</v>
      </c>
      <c r="AD56" s="131"/>
      <c r="AE56" s="131">
        <f t="shared" si="57"/>
        <v>1.0810070216246399</v>
      </c>
      <c r="AH56" s="134"/>
      <c r="AJ56" s="129">
        <f t="shared" si="58"/>
        <v>0.36264880248248688</v>
      </c>
      <c r="AK56" s="129">
        <f t="shared" si="59"/>
        <v>0.58759322926458724</v>
      </c>
      <c r="AL56" s="129">
        <f t="shared" si="60"/>
        <v>4.9757968252925937E-2</v>
      </c>
      <c r="AN56" s="129">
        <f t="shared" si="67"/>
        <v>0.36053734573306051</v>
      </c>
      <c r="AO56" s="129">
        <f t="shared" si="68"/>
        <v>0.59021241641648514</v>
      </c>
      <c r="AP56" s="129">
        <f t="shared" si="69"/>
        <v>4.9240445660332352E-2</v>
      </c>
      <c r="AQ56" s="129">
        <f t="shared" si="70"/>
        <v>0.99999020780987802</v>
      </c>
      <c r="AS56" s="129">
        <f t="shared" si="71"/>
        <v>0.36054087621786718</v>
      </c>
      <c r="AT56" s="129">
        <f t="shared" si="72"/>
        <v>0.59021819594527325</v>
      </c>
      <c r="AU56" s="129">
        <f t="shared" si="73"/>
        <v>4.9240927836859516E-2</v>
      </c>
      <c r="AV56" s="129"/>
      <c r="AW56" s="129"/>
      <c r="AX56" s="129">
        <f t="shared" si="74"/>
        <v>-1.8747875148014244E-2</v>
      </c>
      <c r="AY56" s="129">
        <f t="shared" si="75"/>
        <v>1.4877716441362319E-3</v>
      </c>
      <c r="AZ56" s="129">
        <f t="shared" si="76"/>
        <v>-1.0845337882878616E-2</v>
      </c>
      <c r="BB56" s="129">
        <f t="shared" si="61"/>
        <v>0.41926460865585108</v>
      </c>
      <c r="BC56" s="129">
        <f t="shared" si="62"/>
        <v>0.53699842343487769</v>
      </c>
      <c r="BD56" s="129">
        <f t="shared" si="63"/>
        <v>4.3736967909271222E-2</v>
      </c>
      <c r="BE56" s="129"/>
      <c r="BF56" s="129">
        <f t="shared" si="77"/>
        <v>2.206615679296051E-2</v>
      </c>
      <c r="BG56" s="129">
        <f t="shared" si="78"/>
        <v>-1.8748119092488899E-2</v>
      </c>
      <c r="BH56" s="129">
        <f t="shared" si="79"/>
        <v>2.342065748361254E-2</v>
      </c>
      <c r="BJ56" s="129">
        <f t="shared" si="45"/>
        <v>0.99360523416500479</v>
      </c>
      <c r="BK56" s="129">
        <f t="shared" si="80"/>
        <v>0.9422217260535618</v>
      </c>
      <c r="BL56" s="129">
        <f t="shared" si="64"/>
        <v>1.0765552368022189</v>
      </c>
      <c r="BM56" s="129"/>
      <c r="BN56" s="129">
        <f t="shared" si="46"/>
        <v>0.9980454380307141</v>
      </c>
      <c r="BO56" s="129">
        <f t="shared" si="81"/>
        <v>0.99937592140532427</v>
      </c>
      <c r="BP56" s="129">
        <f t="shared" si="65"/>
        <v>1.0041352126395711</v>
      </c>
    </row>
    <row r="57" spans="1:68" x14ac:dyDescent="0.2">
      <c r="A57" s="133" t="s">
        <v>664</v>
      </c>
      <c r="B57" s="133">
        <f t="shared" si="66"/>
        <v>1996</v>
      </c>
      <c r="D57" s="136">
        <f>'Passenger-based Energy Use'!I54</f>
        <v>21.5593106</v>
      </c>
      <c r="E57" s="136">
        <f>'Passenger-based Energy Use'!J54</f>
        <v>34.449548</v>
      </c>
      <c r="F57" s="136">
        <f>'Passenger-based Energy Use'!K54</f>
        <v>3.318819</v>
      </c>
      <c r="G57" s="136">
        <f t="shared" si="47"/>
        <v>59.327677599999994</v>
      </c>
      <c r="I57" s="4">
        <f>'Passenger-based Activity'!I55</f>
        <v>8351</v>
      </c>
      <c r="J57" s="4">
        <f>'Passenger-based Activity'!J55</f>
        <v>11530</v>
      </c>
      <c r="K57" s="21">
        <f>'Passenger-based Activity'!K55</f>
        <v>957</v>
      </c>
      <c r="L57" s="4">
        <f t="shared" si="48"/>
        <v>20838</v>
      </c>
      <c r="N57" s="125">
        <f t="shared" si="49"/>
        <v>2581.6441863249911</v>
      </c>
      <c r="O57" s="125">
        <f t="shared" si="50"/>
        <v>2987.8185602775366</v>
      </c>
      <c r="P57" s="125">
        <f t="shared" si="51"/>
        <v>3467.9404388714729</v>
      </c>
      <c r="Q57" s="125">
        <f t="shared" si="52"/>
        <v>2847.090776466071</v>
      </c>
      <c r="S57" s="129">
        <f t="shared" si="30"/>
        <v>0.91360276733705093</v>
      </c>
      <c r="T57" s="129">
        <f t="shared" si="31"/>
        <v>1.0927315447529928</v>
      </c>
      <c r="U57" s="129">
        <f t="shared" si="32"/>
        <v>0.68870737752226563</v>
      </c>
      <c r="V57" s="129">
        <f t="shared" si="33"/>
        <v>1.011279547722673</v>
      </c>
      <c r="X57" s="131">
        <f t="shared" si="34"/>
        <v>1.2037432846167178</v>
      </c>
      <c r="Y57" s="131">
        <f t="shared" si="53"/>
        <v>1.011279547722673</v>
      </c>
      <c r="Z57" s="131">
        <f t="shared" si="54"/>
        <v>1.0078322576919947</v>
      </c>
      <c r="AA57" s="131">
        <f t="shared" si="55"/>
        <v>1.0034204997948497</v>
      </c>
      <c r="AB57" s="131">
        <f t="shared" si="56"/>
        <v>1.2173209644413991</v>
      </c>
      <c r="AC57" s="131">
        <f t="shared" si="39"/>
        <v>1.2173209644413991</v>
      </c>
      <c r="AD57" s="131"/>
      <c r="AE57" s="131">
        <f t="shared" si="57"/>
        <v>1.011279547722673</v>
      </c>
      <c r="AH57" s="134"/>
      <c r="AJ57" s="129">
        <f t="shared" si="58"/>
        <v>0.36339380660334497</v>
      </c>
      <c r="AK57" s="129">
        <f t="shared" si="59"/>
        <v>0.58066570938890083</v>
      </c>
      <c r="AL57" s="129">
        <f t="shared" si="60"/>
        <v>5.5940484007754254E-2</v>
      </c>
      <c r="AN57" s="129">
        <f t="shared" si="67"/>
        <v>0.36302117713275683</v>
      </c>
      <c r="AO57" s="129">
        <f t="shared" si="68"/>
        <v>0.58412262281637417</v>
      </c>
      <c r="AP57" s="129">
        <f t="shared" si="69"/>
        <v>5.2788899739358915E-2</v>
      </c>
      <c r="AQ57" s="129">
        <f t="shared" si="70"/>
        <v>0.99993269968848997</v>
      </c>
      <c r="AS57" s="129">
        <f t="shared" si="71"/>
        <v>0.3630456102154167</v>
      </c>
      <c r="AT57" s="129">
        <f t="shared" si="72"/>
        <v>0.58416193709671305</v>
      </c>
      <c r="AU57" s="129">
        <f t="shared" si="73"/>
        <v>5.2792452687870188E-2</v>
      </c>
      <c r="AV57" s="129"/>
      <c r="AW57" s="129"/>
      <c r="AX57" s="129">
        <f t="shared" si="74"/>
        <v>-1.9480476259355294E-2</v>
      </c>
      <c r="AY57" s="129">
        <f t="shared" si="75"/>
        <v>-0.10847053917705267</v>
      </c>
      <c r="AZ57" s="129">
        <f t="shared" si="76"/>
        <v>1.6096407886689666E-3</v>
      </c>
      <c r="BB57" s="129">
        <f t="shared" si="61"/>
        <v>0.40075823015644496</v>
      </c>
      <c r="BC57" s="129">
        <f t="shared" si="62"/>
        <v>0.55331605720318644</v>
      </c>
      <c r="BD57" s="129">
        <f t="shared" si="63"/>
        <v>4.5925712640368557E-2</v>
      </c>
      <c r="BE57" s="129"/>
      <c r="BF57" s="129">
        <f t="shared" si="77"/>
        <v>-4.5143916669692183E-2</v>
      </c>
      <c r="BG57" s="129">
        <f t="shared" si="78"/>
        <v>2.9934211644018129E-2</v>
      </c>
      <c r="BH57" s="129">
        <f t="shared" si="79"/>
        <v>4.88314563928288E-2</v>
      </c>
      <c r="BJ57" s="129">
        <f t="shared" si="45"/>
        <v>0.93206596883536852</v>
      </c>
      <c r="BK57" s="129">
        <f t="shared" si="80"/>
        <v>0.87821280595184625</v>
      </c>
      <c r="BL57" s="129">
        <f t="shared" si="64"/>
        <v>1.0034204997948497</v>
      </c>
      <c r="BM57" s="129"/>
      <c r="BN57" s="129">
        <f t="shared" si="46"/>
        <v>1.0036818199440545</v>
      </c>
      <c r="BO57" s="129">
        <f t="shared" si="81"/>
        <v>1.0030554436043622</v>
      </c>
      <c r="BP57" s="129">
        <f t="shared" si="65"/>
        <v>1.0078322576919947</v>
      </c>
    </row>
    <row r="58" spans="1:68" x14ac:dyDescent="0.2">
      <c r="A58" s="133" t="s">
        <v>664</v>
      </c>
      <c r="B58" s="133">
        <f t="shared" si="66"/>
        <v>1997</v>
      </c>
      <c r="D58" s="136">
        <f>'Passenger-based Energy Use'!I55</f>
        <v>21.8956765</v>
      </c>
      <c r="E58" s="136">
        <f>'Passenger-based Energy Use'!J55</f>
        <v>33.632767000000001</v>
      </c>
      <c r="F58" s="136">
        <f>'Passenger-based Energy Use'!K55</f>
        <v>3.7323789999999999</v>
      </c>
      <c r="G58" s="136">
        <f t="shared" si="47"/>
        <v>59.260822500000003</v>
      </c>
      <c r="I58" s="4">
        <f>'Passenger-based Activity'!I56</f>
        <v>8038</v>
      </c>
      <c r="J58" s="4">
        <f>'Passenger-based Activity'!J56</f>
        <v>12056</v>
      </c>
      <c r="K58" s="21">
        <f>'Passenger-based Activity'!K56</f>
        <v>1035</v>
      </c>
      <c r="L58" s="4">
        <f t="shared" si="48"/>
        <v>21129</v>
      </c>
      <c r="N58" s="125">
        <f t="shared" si="49"/>
        <v>2724.0204652898733</v>
      </c>
      <c r="O58" s="125">
        <f t="shared" si="50"/>
        <v>2789.711927670869</v>
      </c>
      <c r="P58" s="125">
        <f t="shared" si="51"/>
        <v>3606.1632850241544</v>
      </c>
      <c r="Q58" s="125">
        <f t="shared" si="52"/>
        <v>2804.7149652136873</v>
      </c>
      <c r="S58" s="129">
        <f t="shared" si="30"/>
        <v>0.96398746525726764</v>
      </c>
      <c r="T58" s="129">
        <f t="shared" si="31"/>
        <v>1.0202782272884983</v>
      </c>
      <c r="U58" s="129">
        <f t="shared" si="32"/>
        <v>0.71615741467413063</v>
      </c>
      <c r="V58" s="129">
        <f t="shared" si="33"/>
        <v>0.99622776518313483</v>
      </c>
      <c r="X58" s="131">
        <f t="shared" si="34"/>
        <v>1.2205534053492</v>
      </c>
      <c r="Y58" s="131">
        <f t="shared" si="53"/>
        <v>0.99622776518313483</v>
      </c>
      <c r="Z58" s="131">
        <f t="shared" si="54"/>
        <v>1.0102526158159126</v>
      </c>
      <c r="AA58" s="131">
        <f t="shared" si="55"/>
        <v>0.98611748149600087</v>
      </c>
      <c r="AB58" s="131">
        <f t="shared" si="56"/>
        <v>1.2159491912976981</v>
      </c>
      <c r="AC58" s="131">
        <f t="shared" si="39"/>
        <v>1.2159491912976985</v>
      </c>
      <c r="AD58" s="131"/>
      <c r="AE58" s="131">
        <f t="shared" si="57"/>
        <v>0.99622776518313472</v>
      </c>
      <c r="AH58" s="134"/>
      <c r="AJ58" s="129">
        <f t="shared" si="58"/>
        <v>0.36947979417599208</v>
      </c>
      <c r="AK58" s="129">
        <f t="shared" si="59"/>
        <v>0.56753797165066344</v>
      </c>
      <c r="AL58" s="129">
        <f t="shared" si="60"/>
        <v>6.2982234173344448E-2</v>
      </c>
      <c r="AN58" s="129">
        <f t="shared" si="67"/>
        <v>0.36642837694396868</v>
      </c>
      <c r="AO58" s="129">
        <f t="shared" si="68"/>
        <v>0.5740768241240497</v>
      </c>
      <c r="AP58" s="129">
        <f t="shared" si="69"/>
        <v>5.939180034205211E-2</v>
      </c>
      <c r="AQ58" s="129">
        <f t="shared" si="70"/>
        <v>0.99989700141007054</v>
      </c>
      <c r="AS58" s="129">
        <f t="shared" si="71"/>
        <v>0.36646612243783672</v>
      </c>
      <c r="AT58" s="129">
        <f t="shared" si="72"/>
        <v>0.57413595931828731</v>
      </c>
      <c r="AU58" s="129">
        <f t="shared" si="73"/>
        <v>5.9397918243875976E-2</v>
      </c>
      <c r="AV58" s="129"/>
      <c r="AW58" s="129"/>
      <c r="AX58" s="129">
        <f t="shared" si="74"/>
        <v>5.3682423737007212E-2</v>
      </c>
      <c r="AY58" s="129">
        <f t="shared" si="75"/>
        <v>-6.8605203856608551E-2</v>
      </c>
      <c r="AZ58" s="129">
        <f t="shared" si="76"/>
        <v>3.9083520956349968E-2</v>
      </c>
      <c r="BB58" s="129">
        <f t="shared" si="61"/>
        <v>0.3804250082824554</v>
      </c>
      <c r="BC58" s="129">
        <f t="shared" si="62"/>
        <v>0.57059018410715134</v>
      </c>
      <c r="BD58" s="129">
        <f t="shared" si="63"/>
        <v>4.8984807610393297E-2</v>
      </c>
      <c r="BE58" s="129"/>
      <c r="BF58" s="129">
        <f t="shared" si="77"/>
        <v>-5.2069257585473983E-2</v>
      </c>
      <c r="BG58" s="129">
        <f t="shared" si="78"/>
        <v>3.07418656018358E-2</v>
      </c>
      <c r="BH58" s="129">
        <f t="shared" si="79"/>
        <v>6.4485052805124121E-2</v>
      </c>
      <c r="BJ58" s="129">
        <f t="shared" si="45"/>
        <v>0.98275596491960615</v>
      </c>
      <c r="BK58" s="129">
        <f t="shared" si="80"/>
        <v>0.86306887351796147</v>
      </c>
      <c r="BL58" s="129">
        <f t="shared" si="64"/>
        <v>0.98611748149600087</v>
      </c>
      <c r="BM58" s="129"/>
      <c r="BN58" s="129">
        <f t="shared" si="46"/>
        <v>1.0024015485766062</v>
      </c>
      <c r="BO58" s="129">
        <f t="shared" si="81"/>
        <v>1.0054643299772072</v>
      </c>
      <c r="BP58" s="129">
        <f t="shared" si="65"/>
        <v>1.0102526158159126</v>
      </c>
    </row>
    <row r="59" spans="1:68" x14ac:dyDescent="0.2">
      <c r="A59" s="133" t="s">
        <v>664</v>
      </c>
      <c r="B59" s="133">
        <f t="shared" si="66"/>
        <v>1998</v>
      </c>
      <c r="D59" s="136">
        <f>'Passenger-based Energy Use'!I56</f>
        <v>23.018062</v>
      </c>
      <c r="E59" s="136">
        <f>'Passenger-based Energy Use'!J56</f>
        <v>33.911920000000002</v>
      </c>
      <c r="F59" s="136">
        <f>'Passenger-based Energy Use'!K56</f>
        <v>3.9391590000000001</v>
      </c>
      <c r="G59" s="136">
        <f t="shared" si="47"/>
        <v>60.869140999999999</v>
      </c>
      <c r="I59" s="4">
        <f>'Passenger-based Activity'!I57</f>
        <v>8704</v>
      </c>
      <c r="J59" s="4">
        <f>'Passenger-based Activity'!J57</f>
        <v>12284</v>
      </c>
      <c r="K59" s="21">
        <f>'Passenger-based Activity'!K57</f>
        <v>1128</v>
      </c>
      <c r="L59" s="4">
        <f t="shared" si="48"/>
        <v>22116</v>
      </c>
      <c r="N59" s="125">
        <f t="shared" si="49"/>
        <v>2644.5383731617644</v>
      </c>
      <c r="O59" s="125">
        <f t="shared" si="50"/>
        <v>2760.6577661999354</v>
      </c>
      <c r="P59" s="125">
        <f t="shared" si="51"/>
        <v>3492.1622340425533</v>
      </c>
      <c r="Q59" s="125">
        <f t="shared" si="52"/>
        <v>2752.2671821305839</v>
      </c>
      <c r="S59" s="129">
        <f t="shared" si="30"/>
        <v>0.93586001852908496</v>
      </c>
      <c r="T59" s="129">
        <f t="shared" si="31"/>
        <v>1.0096522812662982</v>
      </c>
      <c r="U59" s="129">
        <f t="shared" si="32"/>
        <v>0.6935176472847373</v>
      </c>
      <c r="V59" s="129">
        <f t="shared" si="33"/>
        <v>0.97759844335266888</v>
      </c>
      <c r="X59" s="131">
        <f t="shared" si="34"/>
        <v>1.27756917566865</v>
      </c>
      <c r="Y59" s="131">
        <f t="shared" si="53"/>
        <v>0.97759844335266888</v>
      </c>
      <c r="Z59" s="131">
        <f t="shared" si="54"/>
        <v>1.0103849080717311</v>
      </c>
      <c r="AA59" s="131">
        <f t="shared" si="55"/>
        <v>0.96755052014619491</v>
      </c>
      <c r="AB59" s="131">
        <f t="shared" si="56"/>
        <v>1.2489496374090243</v>
      </c>
      <c r="AC59" s="131">
        <f t="shared" si="39"/>
        <v>1.2489496374090248</v>
      </c>
      <c r="AD59" s="131"/>
      <c r="AE59" s="131">
        <f t="shared" si="57"/>
        <v>0.97759844335266877</v>
      </c>
      <c r="AH59" s="134"/>
      <c r="AJ59" s="129">
        <f t="shared" si="58"/>
        <v>0.37815651119505694</v>
      </c>
      <c r="AK59" s="129">
        <f t="shared" si="59"/>
        <v>0.55712828278618232</v>
      </c>
      <c r="AL59" s="129">
        <f t="shared" si="60"/>
        <v>6.471520601876081E-2</v>
      </c>
      <c r="AN59" s="129">
        <f t="shared" si="67"/>
        <v>0.37380136909661116</v>
      </c>
      <c r="AO59" s="129">
        <f t="shared" si="68"/>
        <v>0.56231706851397112</v>
      </c>
      <c r="AP59" s="129">
        <f t="shared" si="69"/>
        <v>6.3844800232925117E-2</v>
      </c>
      <c r="AQ59" s="129">
        <f t="shared" si="70"/>
        <v>0.99996323784350738</v>
      </c>
      <c r="AS59" s="129">
        <f t="shared" si="71"/>
        <v>0.3738151113462338</v>
      </c>
      <c r="AT59" s="129">
        <f t="shared" si="72"/>
        <v>0.56233774126201708</v>
      </c>
      <c r="AU59" s="129">
        <f t="shared" si="73"/>
        <v>6.384714739174914E-2</v>
      </c>
      <c r="AV59" s="129"/>
      <c r="AW59" s="129"/>
      <c r="AX59" s="129">
        <f t="shared" si="74"/>
        <v>-2.9612379240942559E-2</v>
      </c>
      <c r="AY59" s="129">
        <f t="shared" si="75"/>
        <v>-1.0469366349543487E-2</v>
      </c>
      <c r="AZ59" s="129">
        <f t="shared" si="76"/>
        <v>-3.2123309564714646E-2</v>
      </c>
      <c r="BB59" s="129">
        <f t="shared" si="61"/>
        <v>0.39356122264423948</v>
      </c>
      <c r="BC59" s="129">
        <f t="shared" si="62"/>
        <v>0.55543497920057872</v>
      </c>
      <c r="BD59" s="129">
        <f t="shared" si="63"/>
        <v>5.1003798155181766E-2</v>
      </c>
      <c r="BE59" s="129"/>
      <c r="BF59" s="129">
        <f t="shared" si="77"/>
        <v>3.3947570042273827E-2</v>
      </c>
      <c r="BG59" s="129">
        <f t="shared" si="78"/>
        <v>-2.6919682789922121E-2</v>
      </c>
      <c r="BH59" s="129">
        <f t="shared" si="79"/>
        <v>4.0389902314231264E-2</v>
      </c>
      <c r="BJ59" s="129">
        <f t="shared" si="45"/>
        <v>0.98117165378547122</v>
      </c>
      <c r="BK59" s="129">
        <f t="shared" si="80"/>
        <v>0.84681871396038189</v>
      </c>
      <c r="BL59" s="129">
        <f t="shared" si="64"/>
        <v>0.96755052014619491</v>
      </c>
      <c r="BM59" s="129"/>
      <c r="BN59" s="129">
        <f t="shared" si="46"/>
        <v>1.0001309496790678</v>
      </c>
      <c r="BO59" s="129">
        <f t="shared" si="81"/>
        <v>1.0055959952085318</v>
      </c>
      <c r="BP59" s="129">
        <f t="shared" si="65"/>
        <v>1.0103849080717311</v>
      </c>
    </row>
    <row r="60" spans="1:68" x14ac:dyDescent="0.2">
      <c r="A60" s="133" t="s">
        <v>664</v>
      </c>
      <c r="B60" s="133">
        <f t="shared" si="66"/>
        <v>1999</v>
      </c>
      <c r="D60" s="136">
        <f>'Passenger-based Energy Use'!I57</f>
        <v>23.793951499999999</v>
      </c>
      <c r="E60" s="136">
        <f>'Passenger-based Energy Use'!J57</f>
        <v>34.997515</v>
      </c>
      <c r="F60" s="136">
        <f>'Passenger-based Energy Use'!K57</f>
        <v>4.301024</v>
      </c>
      <c r="G60" s="136">
        <f t="shared" si="47"/>
        <v>63.092490499999997</v>
      </c>
      <c r="I60" s="4">
        <f>'Passenger-based Activity'!I58</f>
        <v>8766</v>
      </c>
      <c r="J60" s="4">
        <f>'Passenger-based Activity'!J58</f>
        <v>12902</v>
      </c>
      <c r="K60" s="21">
        <f>'Passenger-based Activity'!K58</f>
        <v>1206</v>
      </c>
      <c r="L60" s="4">
        <f t="shared" si="48"/>
        <v>22874</v>
      </c>
      <c r="N60" s="125">
        <f t="shared" si="49"/>
        <v>2714.3453684690849</v>
      </c>
      <c r="O60" s="125">
        <f t="shared" si="50"/>
        <v>2712.5651061850876</v>
      </c>
      <c r="P60" s="125">
        <f t="shared" si="51"/>
        <v>3566.3548922056384</v>
      </c>
      <c r="Q60" s="125">
        <f t="shared" si="52"/>
        <v>2758.2622409722831</v>
      </c>
      <c r="S60" s="129">
        <f t="shared" si="30"/>
        <v>0.96056360255901219</v>
      </c>
      <c r="T60" s="129">
        <f t="shared" si="31"/>
        <v>0.99206340643702373</v>
      </c>
      <c r="U60" s="129">
        <f t="shared" si="32"/>
        <v>0.70825176164903481</v>
      </c>
      <c r="V60" s="129">
        <f t="shared" si="33"/>
        <v>0.97972787331117894</v>
      </c>
      <c r="X60" s="131">
        <f t="shared" si="34"/>
        <v>1.3213563630061811</v>
      </c>
      <c r="Y60" s="131">
        <f t="shared" si="53"/>
        <v>0.97972787331117894</v>
      </c>
      <c r="Z60" s="131">
        <f t="shared" si="54"/>
        <v>1.011102442936036</v>
      </c>
      <c r="AA60" s="131">
        <f t="shared" si="55"/>
        <v>0.96896993984728974</v>
      </c>
      <c r="AB60" s="131">
        <f t="shared" si="56"/>
        <v>1.2945696594142395</v>
      </c>
      <c r="AC60" s="131">
        <f t="shared" si="39"/>
        <v>1.2945696594142397</v>
      </c>
      <c r="AD60" s="131"/>
      <c r="AE60" s="131">
        <f t="shared" si="57"/>
        <v>0.9797278733111785</v>
      </c>
      <c r="AH60" s="134"/>
      <c r="AJ60" s="129">
        <f t="shared" si="58"/>
        <v>0.37712810687034143</v>
      </c>
      <c r="AK60" s="129">
        <f t="shared" si="59"/>
        <v>0.55470175170847003</v>
      </c>
      <c r="AL60" s="129">
        <f t="shared" si="60"/>
        <v>6.8170141421188629E-2</v>
      </c>
      <c r="AN60" s="129">
        <f t="shared" si="67"/>
        <v>0.37764207565136343</v>
      </c>
      <c r="AO60" s="129">
        <f t="shared" si="68"/>
        <v>0.55591413460934225</v>
      </c>
      <c r="AP60" s="129">
        <f t="shared" si="69"/>
        <v>6.6427699996021272E-2</v>
      </c>
      <c r="AQ60" s="129">
        <f t="shared" si="70"/>
        <v>0.99998391025672695</v>
      </c>
      <c r="AS60" s="129">
        <f t="shared" si="71"/>
        <v>0.37764815191317525</v>
      </c>
      <c r="AT60" s="129">
        <f t="shared" si="72"/>
        <v>0.55592307926896722</v>
      </c>
      <c r="AU60" s="129">
        <f t="shared" si="73"/>
        <v>6.6428768817857503E-2</v>
      </c>
      <c r="AV60" s="129"/>
      <c r="AW60" s="129"/>
      <c r="AX60" s="129">
        <f t="shared" si="74"/>
        <v>2.605428575338125E-2</v>
      </c>
      <c r="AY60" s="129">
        <f t="shared" si="75"/>
        <v>-1.7574251563288117E-2</v>
      </c>
      <c r="AZ60" s="129">
        <f t="shared" si="76"/>
        <v>2.1022939905435668E-2</v>
      </c>
      <c r="BB60" s="129">
        <f t="shared" si="61"/>
        <v>0.38322986797237035</v>
      </c>
      <c r="BC60" s="129">
        <f t="shared" si="62"/>
        <v>0.56404651569467523</v>
      </c>
      <c r="BD60" s="129">
        <f t="shared" si="63"/>
        <v>5.2723616332954443E-2</v>
      </c>
      <c r="BE60" s="129"/>
      <c r="BF60" s="129">
        <f t="shared" si="77"/>
        <v>-2.6601654000307982E-2</v>
      </c>
      <c r="BG60" s="129">
        <f t="shared" si="78"/>
        <v>1.5385169648135664E-2</v>
      </c>
      <c r="BH60" s="129">
        <f t="shared" si="79"/>
        <v>3.3163379345788023E-2</v>
      </c>
      <c r="BJ60" s="129">
        <f t="shared" si="45"/>
        <v>1.0014670238623615</v>
      </c>
      <c r="BK60" s="129">
        <f t="shared" si="80"/>
        <v>0.84806101722085603</v>
      </c>
      <c r="BL60" s="129">
        <f t="shared" si="64"/>
        <v>0.96896993984728974</v>
      </c>
      <c r="BM60" s="129"/>
      <c r="BN60" s="129">
        <f t="shared" si="46"/>
        <v>1.0007101599188317</v>
      </c>
      <c r="BO60" s="129">
        <f t="shared" si="81"/>
        <v>1.0063101291788665</v>
      </c>
      <c r="BP60" s="129">
        <f t="shared" si="65"/>
        <v>1.011102442936036</v>
      </c>
    </row>
    <row r="61" spans="1:68" x14ac:dyDescent="0.2">
      <c r="A61" s="133" t="s">
        <v>664</v>
      </c>
      <c r="B61" s="133">
        <f t="shared" si="66"/>
        <v>2000</v>
      </c>
      <c r="D61" s="136">
        <f>'Passenger-based Energy Use'!I58</f>
        <v>23.986886600000002</v>
      </c>
      <c r="E61" s="136">
        <f>'Passenger-based Energy Use'!J58</f>
        <v>36.693111000000002</v>
      </c>
      <c r="F61" s="136">
        <f>'Passenger-based Energy Use'!K58</f>
        <v>4.7869570000000001</v>
      </c>
      <c r="G61" s="136">
        <f t="shared" si="47"/>
        <v>65.466954600000008</v>
      </c>
      <c r="I61" s="4">
        <f>'Passenger-based Activity'!I59</f>
        <v>9402</v>
      </c>
      <c r="J61" s="4">
        <f>'Passenger-based Activity'!J59</f>
        <v>13844</v>
      </c>
      <c r="K61" s="21">
        <f>'Passenger-based Activity'!K59</f>
        <v>1356</v>
      </c>
      <c r="L61" s="4">
        <f t="shared" si="48"/>
        <v>24602</v>
      </c>
      <c r="N61" s="125">
        <f t="shared" si="49"/>
        <v>2551.2536268878966</v>
      </c>
      <c r="O61" s="125">
        <f t="shared" si="50"/>
        <v>2650.470312048541</v>
      </c>
      <c r="P61" s="125">
        <f t="shared" si="51"/>
        <v>3530.2042772861359</v>
      </c>
      <c r="Q61" s="125">
        <f t="shared" si="52"/>
        <v>2661.0419721973826</v>
      </c>
      <c r="S61" s="129">
        <f t="shared" si="30"/>
        <v>0.90284803229272459</v>
      </c>
      <c r="T61" s="129">
        <f t="shared" si="31"/>
        <v>0.96935354673535401</v>
      </c>
      <c r="U61" s="129">
        <f t="shared" si="32"/>
        <v>0.70107251632003198</v>
      </c>
      <c r="V61" s="129">
        <f t="shared" si="33"/>
        <v>0.94519547615375732</v>
      </c>
      <c r="X61" s="131">
        <f t="shared" si="34"/>
        <v>1.4211772861186529</v>
      </c>
      <c r="Y61" s="131">
        <f t="shared" si="53"/>
        <v>0.94519547615375732</v>
      </c>
      <c r="Z61" s="131">
        <f t="shared" si="54"/>
        <v>1.0118974496195816</v>
      </c>
      <c r="AA61" s="131">
        <f t="shared" si="55"/>
        <v>0.9340822792952973</v>
      </c>
      <c r="AB61" s="131">
        <f t="shared" si="56"/>
        <v>1.3432903416518243</v>
      </c>
      <c r="AC61" s="131">
        <f t="shared" si="39"/>
        <v>1.3432903416518247</v>
      </c>
      <c r="AD61" s="131"/>
      <c r="AE61" s="131">
        <f t="shared" si="57"/>
        <v>0.9451954761537571</v>
      </c>
      <c r="AH61" s="134"/>
      <c r="AJ61" s="129">
        <f t="shared" si="58"/>
        <v>0.36639686001218086</v>
      </c>
      <c r="AK61" s="129">
        <f t="shared" si="59"/>
        <v>0.5604829371427642</v>
      </c>
      <c r="AL61" s="129">
        <f t="shared" si="60"/>
        <v>7.3120202845054896E-2</v>
      </c>
      <c r="AN61" s="129">
        <f t="shared" si="67"/>
        <v>0.37173666811068717</v>
      </c>
      <c r="AO61" s="129">
        <f t="shared" si="68"/>
        <v>0.55758734938684662</v>
      </c>
      <c r="AP61" s="129">
        <f t="shared" si="69"/>
        <v>7.061625870004784E-2</v>
      </c>
      <c r="AQ61" s="129">
        <f t="shared" si="70"/>
        <v>0.99994027619758163</v>
      </c>
      <c r="AS61" s="129">
        <f t="shared" si="71"/>
        <v>0.37175887096404392</v>
      </c>
      <c r="AT61" s="129">
        <f t="shared" si="72"/>
        <v>0.55762065261252769</v>
      </c>
      <c r="AU61" s="129">
        <f t="shared" si="73"/>
        <v>7.0620476423428447E-2</v>
      </c>
      <c r="AV61" s="129"/>
      <c r="AW61" s="129"/>
      <c r="AX61" s="129">
        <f t="shared" si="74"/>
        <v>-6.1965950973631535E-2</v>
      </c>
      <c r="AY61" s="129">
        <f t="shared" si="75"/>
        <v>-2.3157620362926734E-2</v>
      </c>
      <c r="AZ61" s="129">
        <f t="shared" si="76"/>
        <v>-1.0188297388239309E-2</v>
      </c>
      <c r="BB61" s="129">
        <f t="shared" si="61"/>
        <v>0.38216405170311357</v>
      </c>
      <c r="BC61" s="129">
        <f t="shared" si="62"/>
        <v>0.56271847817250631</v>
      </c>
      <c r="BD61" s="129">
        <f t="shared" si="63"/>
        <v>5.5117470124380133E-2</v>
      </c>
      <c r="BE61" s="129"/>
      <c r="BF61" s="129">
        <f t="shared" si="77"/>
        <v>-2.7850154822468619E-3</v>
      </c>
      <c r="BG61" s="129">
        <f t="shared" si="78"/>
        <v>-2.3572584245204259E-3</v>
      </c>
      <c r="BH61" s="129">
        <f t="shared" si="79"/>
        <v>4.4403245125642019E-2</v>
      </c>
      <c r="BJ61" s="129">
        <f t="shared" si="45"/>
        <v>0.96399510540286648</v>
      </c>
      <c r="BK61" s="129">
        <f t="shared" si="80"/>
        <v>0.81752666968388132</v>
      </c>
      <c r="BL61" s="129">
        <f t="shared" si="64"/>
        <v>0.9340822792952973</v>
      </c>
      <c r="BM61" s="129"/>
      <c r="BN61" s="129">
        <f t="shared" si="46"/>
        <v>1.0007862770870546</v>
      </c>
      <c r="BO61" s="129">
        <f t="shared" si="81"/>
        <v>1.0071013677759109</v>
      </c>
      <c r="BP61" s="129">
        <f t="shared" si="65"/>
        <v>1.0118974496195816</v>
      </c>
    </row>
    <row r="62" spans="1:68" x14ac:dyDescent="0.2">
      <c r="A62" s="133" t="s">
        <v>664</v>
      </c>
      <c r="B62" s="133">
        <f t="shared" si="66"/>
        <v>2001</v>
      </c>
      <c r="D62" s="136">
        <f>'Passenger-based Energy Use'!I59</f>
        <v>24.013700799999999</v>
      </c>
      <c r="E62" s="136">
        <f>'Passenger-based Energy Use'!J59</f>
        <v>37.695993999999999</v>
      </c>
      <c r="F62" s="136">
        <f>'Passenger-based Energy Use'!K59</f>
        <v>5.0350929999999998</v>
      </c>
      <c r="G62" s="136">
        <f t="shared" ref="G62:G67" si="82">D62+E62+F62</f>
        <v>66.744787799999997</v>
      </c>
      <c r="I62" s="4">
        <f>'Passenger-based Activity'!I60</f>
        <v>9548</v>
      </c>
      <c r="J62" s="4">
        <f>'Passenger-based Activity'!J60</f>
        <v>14178</v>
      </c>
      <c r="K62" s="21">
        <f>'Passenger-based Activity'!K60</f>
        <v>1437</v>
      </c>
      <c r="L62" s="4">
        <f t="shared" ref="L62:L67" si="83">I62+J62+K62</f>
        <v>25163</v>
      </c>
      <c r="N62" s="125">
        <f t="shared" si="49"/>
        <v>2515.0503560955171</v>
      </c>
      <c r="O62" s="125">
        <f t="shared" si="50"/>
        <v>2658.7666807730284</v>
      </c>
      <c r="P62" s="125">
        <f t="shared" si="51"/>
        <v>3503.8921363952677</v>
      </c>
      <c r="Q62" s="125">
        <f t="shared" si="52"/>
        <v>2652.4972300600084</v>
      </c>
      <c r="S62" s="129">
        <f t="shared" si="30"/>
        <v>0.89003627126160678</v>
      </c>
      <c r="T62" s="129">
        <f t="shared" si="31"/>
        <v>0.97238776840218344</v>
      </c>
      <c r="U62" s="129">
        <f t="shared" si="32"/>
        <v>0.69584711932450483</v>
      </c>
      <c r="V62" s="129">
        <f t="shared" si="33"/>
        <v>0.94216040504344445</v>
      </c>
      <c r="X62" s="131">
        <f t="shared" si="34"/>
        <v>1.4535844260874589</v>
      </c>
      <c r="Y62" s="131">
        <f t="shared" si="53"/>
        <v>0.94216040504344445</v>
      </c>
      <c r="Z62" s="131">
        <f t="shared" si="54"/>
        <v>1.0126772316727566</v>
      </c>
      <c r="AA62" s="131">
        <f t="shared" si="55"/>
        <v>0.93036594047559285</v>
      </c>
      <c r="AB62" s="131">
        <f t="shared" si="56"/>
        <v>1.3695096916474023</v>
      </c>
      <c r="AC62" s="131">
        <f t="shared" si="39"/>
        <v>1.369509691647403</v>
      </c>
      <c r="AD62" s="131"/>
      <c r="AE62" s="131">
        <f t="shared" si="57"/>
        <v>0.942160405043444</v>
      </c>
      <c r="AH62" s="134"/>
      <c r="AJ62" s="129">
        <f t="shared" si="58"/>
        <v>0.35978391109665048</v>
      </c>
      <c r="AK62" s="129">
        <f t="shared" si="59"/>
        <v>0.5647780934288924</v>
      </c>
      <c r="AL62" s="129">
        <f t="shared" si="60"/>
        <v>7.5437995474457106E-2</v>
      </c>
      <c r="AN62" s="129">
        <f t="shared" si="67"/>
        <v>0.36308034855393795</v>
      </c>
      <c r="AO62" s="129">
        <f t="shared" si="68"/>
        <v>0.56262778281772963</v>
      </c>
      <c r="AP62" s="129">
        <f t="shared" si="69"/>
        <v>7.4273071767241544E-2</v>
      </c>
      <c r="AQ62" s="129">
        <f t="shared" si="70"/>
        <v>0.99998120313890904</v>
      </c>
      <c r="AS62" s="129">
        <f t="shared" si="71"/>
        <v>0.36308717345310126</v>
      </c>
      <c r="AT62" s="129">
        <f t="shared" si="72"/>
        <v>0.56263835865280165</v>
      </c>
      <c r="AU62" s="129">
        <f t="shared" si="73"/>
        <v>7.4274467894097154E-2</v>
      </c>
      <c r="AV62" s="129"/>
      <c r="AW62" s="129"/>
      <c r="AX62" s="129">
        <f t="shared" si="74"/>
        <v>-1.4292031097377896E-2</v>
      </c>
      <c r="AY62" s="129">
        <f t="shared" si="75"/>
        <v>3.1252609323836945E-3</v>
      </c>
      <c r="AZ62" s="129">
        <f t="shared" si="76"/>
        <v>-7.4813485823283779E-3</v>
      </c>
      <c r="BB62" s="129">
        <f t="shared" si="61"/>
        <v>0.3794460120017486</v>
      </c>
      <c r="BC62" s="129">
        <f t="shared" si="62"/>
        <v>0.56344632992886379</v>
      </c>
      <c r="BD62" s="129">
        <f t="shared" si="63"/>
        <v>5.7107658069387592E-2</v>
      </c>
      <c r="BF62" s="129">
        <f t="shared" si="77"/>
        <v>-7.1376452867921783E-3</v>
      </c>
      <c r="BG62" s="129">
        <f t="shared" si="78"/>
        <v>1.2926204982907769E-3</v>
      </c>
      <c r="BH62" s="129">
        <f t="shared" si="79"/>
        <v>3.5471496417246902E-2</v>
      </c>
      <c r="BJ62" s="129">
        <f t="shared" si="45"/>
        <v>0.99602140100280223</v>
      </c>
      <c r="BK62" s="129">
        <f t="shared" si="80"/>
        <v>0.8142740588956946</v>
      </c>
      <c r="BL62" s="129">
        <f t="shared" si="64"/>
        <v>0.93036594047559285</v>
      </c>
      <c r="BM62" s="129"/>
      <c r="BN62" s="129">
        <f t="shared" si="46"/>
        <v>1.0007706137153209</v>
      </c>
      <c r="BO62" s="129">
        <f t="shared" si="81"/>
        <v>1.0078774539026374</v>
      </c>
      <c r="BP62" s="129">
        <f t="shared" si="65"/>
        <v>1.0126772316727566</v>
      </c>
    </row>
    <row r="63" spans="1:68" x14ac:dyDescent="0.2">
      <c r="A63" s="133" t="s">
        <v>664</v>
      </c>
      <c r="B63" s="133">
        <f t="shared" si="66"/>
        <v>2002</v>
      </c>
      <c r="D63" s="136">
        <f>'Passenger-based Energy Use'!I60</f>
        <v>23.896104899999997</v>
      </c>
      <c r="E63" s="136">
        <f>'Passenger-based Energy Use'!J60</f>
        <v>38.078536999999997</v>
      </c>
      <c r="F63" s="136">
        <f>'Passenger-based Energy Use'!K60</f>
        <v>5.2728900000000003</v>
      </c>
      <c r="G63" s="136">
        <f t="shared" si="82"/>
        <v>67.247531899999998</v>
      </c>
      <c r="I63" s="4">
        <f>'Passenger-based Activity'!I61</f>
        <v>9504</v>
      </c>
      <c r="J63" s="4">
        <f>'Passenger-based Activity'!J61</f>
        <v>13663</v>
      </c>
      <c r="K63" s="21">
        <f>'Passenger-based Activity'!K61</f>
        <v>1432</v>
      </c>
      <c r="L63" s="4">
        <f t="shared" si="83"/>
        <v>24599</v>
      </c>
      <c r="N63" s="125">
        <f t="shared" ref="N63:Q64" si="84">D63/I63*1000000</f>
        <v>2514.3208017676766</v>
      </c>
      <c r="O63" s="125">
        <f t="shared" si="84"/>
        <v>2786.9821415501715</v>
      </c>
      <c r="P63" s="125">
        <f t="shared" si="84"/>
        <v>3682.185754189944</v>
      </c>
      <c r="Q63" s="125">
        <f t="shared" si="84"/>
        <v>2733.7506362047234</v>
      </c>
      <c r="S63" s="129">
        <f t="shared" si="30"/>
        <v>0.88977809360243576</v>
      </c>
      <c r="T63" s="129">
        <f t="shared" si="31"/>
        <v>1.0192798656596589</v>
      </c>
      <c r="U63" s="129">
        <f t="shared" si="32"/>
        <v>0.73125491599943482</v>
      </c>
      <c r="V63" s="129">
        <f t="shared" si="33"/>
        <v>0.97102141239037099</v>
      </c>
      <c r="X63" s="131">
        <f t="shared" si="34"/>
        <v>1.4210039859049159</v>
      </c>
      <c r="Y63" s="131">
        <f t="shared" ref="Y63:Y68" si="85">V63</f>
        <v>0.97102141239037099</v>
      </c>
      <c r="Z63" s="131">
        <f t="shared" ref="Z63:Z68" si="86">BP63</f>
        <v>1.0125000141833889</v>
      </c>
      <c r="AA63" s="131">
        <f t="shared" ref="AA63:AA68" si="87">BL63</f>
        <v>0.95903348028447011</v>
      </c>
      <c r="AB63" s="131">
        <f t="shared" ref="AB63:AB68" si="88">X63*Z63*AA63</f>
        <v>1.3798252974057381</v>
      </c>
      <c r="AC63" s="131">
        <f t="shared" si="39"/>
        <v>1.3798252974057383</v>
      </c>
      <c r="AD63" s="131"/>
      <c r="AE63" s="131">
        <f t="shared" ref="AE63:AE68" si="89">Z63*AA63</f>
        <v>0.97102141239037076</v>
      </c>
      <c r="AH63" s="134"/>
      <c r="AJ63" s="129">
        <f>D63/G63</f>
        <v>0.35534545618022895</v>
      </c>
      <c r="AK63" s="129">
        <f>E63/G63</f>
        <v>0.56624437989225296</v>
      </c>
      <c r="AL63" s="129">
        <f>F63/G63</f>
        <v>7.8410163927518067E-2</v>
      </c>
      <c r="AN63" s="129">
        <f t="shared" ref="AN63:AP64" si="90">(AJ63-AJ62)/LN(AJ63/AJ62)</f>
        <v>0.35756009237488384</v>
      </c>
      <c r="AO63" s="129">
        <f t="shared" si="90"/>
        <v>0.56551091983855872</v>
      </c>
      <c r="AP63" s="129">
        <f t="shared" si="90"/>
        <v>7.6914508939032358E-2</v>
      </c>
      <c r="AQ63" s="129">
        <f>AN63+AO63+AP63</f>
        <v>0.99998552115247497</v>
      </c>
      <c r="AS63" s="129">
        <f>AN63/AQ63</f>
        <v>0.3575652695079013</v>
      </c>
      <c r="AT63" s="129">
        <f>AO63/AQ63</f>
        <v>0.56551910790349458</v>
      </c>
      <c r="AU63" s="129">
        <f>AP63/AQ63</f>
        <v>7.6915622588604113E-2</v>
      </c>
      <c r="AV63" s="129"/>
      <c r="AW63" s="129"/>
      <c r="AX63" s="129">
        <f t="shared" ref="AX63:AZ64" si="91">LN(S63/S62)</f>
        <v>-2.9011751571246031E-4</v>
      </c>
      <c r="AY63" s="129">
        <f t="shared" si="91"/>
        <v>4.7096979282931835E-2</v>
      </c>
      <c r="AZ63" s="129">
        <f t="shared" si="91"/>
        <v>4.9632141194215655E-2</v>
      </c>
      <c r="BB63" s="129">
        <f>I63/L63</f>
        <v>0.3863571689906094</v>
      </c>
      <c r="BC63" s="129">
        <f>J63/L63</f>
        <v>0.5554290824830278</v>
      </c>
      <c r="BD63" s="129">
        <f>K63/L63</f>
        <v>5.8213748526362859E-2</v>
      </c>
      <c r="BF63" s="129">
        <f t="shared" ref="BF63:BH64" si="92">LN(BB63/BB62)</f>
        <v>1.8049924046172915E-2</v>
      </c>
      <c r="BG63" s="129">
        <f t="shared" si="92"/>
        <v>-1.4331148174007399E-2</v>
      </c>
      <c r="BH63" s="129">
        <f t="shared" si="92"/>
        <v>1.9183331344033525E-2</v>
      </c>
      <c r="BJ63" s="129">
        <f t="shared" si="45"/>
        <v>1.0308131871145485</v>
      </c>
      <c r="BK63" s="129">
        <f>IF(ISERR(BJ63),BK62,BJ63*BK62)</f>
        <v>0.8393644378349705</v>
      </c>
      <c r="BL63" s="129">
        <f t="shared" si="64"/>
        <v>0.95903348028447011</v>
      </c>
      <c r="BM63" s="129"/>
      <c r="BN63" s="129">
        <f t="shared" si="46"/>
        <v>0.99982500101332861</v>
      </c>
      <c r="BO63" s="129">
        <f>IF(ISERR(BN63),BO62,BN63*BO62)</f>
        <v>1.0077010763695156</v>
      </c>
      <c r="BP63" s="129">
        <f t="shared" si="65"/>
        <v>1.0125000141833889</v>
      </c>
    </row>
    <row r="64" spans="1:68" x14ac:dyDescent="0.2">
      <c r="A64" s="133" t="s">
        <v>664</v>
      </c>
      <c r="B64" s="133">
        <f t="shared" si="66"/>
        <v>2003</v>
      </c>
      <c r="D64" s="136">
        <f>'Passenger-based Energy Use'!I61</f>
        <v>24.321853799999996</v>
      </c>
      <c r="E64" s="136">
        <f>'Passenger-based Energy Use'!J61</f>
        <v>37.551248000000001</v>
      </c>
      <c r="F64" s="136">
        <f>'Passenger-based Energy Use'!K61</f>
        <v>5.241873</v>
      </c>
      <c r="G64" s="136">
        <f t="shared" si="82"/>
        <v>67.114974799999999</v>
      </c>
      <c r="I64" s="4">
        <f>'Passenger-based Activity'!I62</f>
        <v>9559</v>
      </c>
      <c r="J64" s="4">
        <f>'Passenger-based Activity'!J62</f>
        <v>13606</v>
      </c>
      <c r="K64" s="21">
        <f>'Passenger-based Activity'!K62</f>
        <v>1476</v>
      </c>
      <c r="L64" s="4">
        <f t="shared" si="83"/>
        <v>24641</v>
      </c>
      <c r="N64" s="125">
        <f t="shared" si="84"/>
        <v>2544.3931164347732</v>
      </c>
      <c r="O64" s="125">
        <f t="shared" si="84"/>
        <v>2759.90357195355</v>
      </c>
      <c r="P64" s="125">
        <f t="shared" si="84"/>
        <v>3551.4044715447153</v>
      </c>
      <c r="Q64" s="125">
        <f t="shared" si="84"/>
        <v>2723.7114889817785</v>
      </c>
      <c r="S64" s="129">
        <f t="shared" si="30"/>
        <v>0.90042020689040203</v>
      </c>
      <c r="T64" s="129">
        <f t="shared" si="31"/>
        <v>1.0093764506469785</v>
      </c>
      <c r="U64" s="129">
        <f t="shared" si="32"/>
        <v>0.7052827184409024</v>
      </c>
      <c r="V64" s="129">
        <f t="shared" si="33"/>
        <v>0.96745553231831272</v>
      </c>
      <c r="X64" s="131">
        <f t="shared" si="34"/>
        <v>1.4234301888972329</v>
      </c>
      <c r="Y64" s="131">
        <f t="shared" si="85"/>
        <v>0.96745553231831272</v>
      </c>
      <c r="Z64" s="131">
        <f t="shared" si="86"/>
        <v>1.0128848861868678</v>
      </c>
      <c r="AA64" s="131">
        <f t="shared" si="87"/>
        <v>0.95514855193507708</v>
      </c>
      <c r="AB64" s="131">
        <f t="shared" si="88"/>
        <v>1.377105411117528</v>
      </c>
      <c r="AC64" s="131">
        <f t="shared" si="39"/>
        <v>1.3771054111175289</v>
      </c>
      <c r="AD64" s="131"/>
      <c r="AE64" s="131">
        <f t="shared" si="89"/>
        <v>0.96745553231831216</v>
      </c>
      <c r="AH64" s="134"/>
      <c r="AJ64" s="129">
        <f>D64/G64</f>
        <v>0.36239086541383903</v>
      </c>
      <c r="AK64" s="129">
        <f>E64/G64</f>
        <v>0.55950625194900616</v>
      </c>
      <c r="AL64" s="129">
        <f>F64/G64</f>
        <v>7.8102882637154772E-2</v>
      </c>
      <c r="AN64" s="129">
        <f t="shared" si="90"/>
        <v>0.3588566340321907</v>
      </c>
      <c r="AO64" s="129">
        <f t="shared" si="90"/>
        <v>0.56286859406461343</v>
      </c>
      <c r="AP64" s="129">
        <f t="shared" si="90"/>
        <v>7.8256422734926639E-2</v>
      </c>
      <c r="AQ64" s="129">
        <f>AN64+AO64+AP64</f>
        <v>0.99998165083173074</v>
      </c>
      <c r="AS64" s="129">
        <f>AN64/AQ64</f>
        <v>0.35886321887377948</v>
      </c>
      <c r="AT64" s="129">
        <f>AO64/AQ64</f>
        <v>0.56287892242467619</v>
      </c>
      <c r="AU64" s="129">
        <f>AP64/AQ64</f>
        <v>7.825785870154435E-2</v>
      </c>
      <c r="AV64" s="129"/>
      <c r="AW64" s="129"/>
      <c r="AX64" s="129">
        <f t="shared" si="91"/>
        <v>1.1889452300358228E-2</v>
      </c>
      <c r="AY64" s="129">
        <f t="shared" si="91"/>
        <v>-9.7635992903994592E-3</v>
      </c>
      <c r="AZ64" s="129">
        <f t="shared" si="91"/>
        <v>-3.61633797670151E-2</v>
      </c>
      <c r="BB64" s="129">
        <f>I64/L64</f>
        <v>0.38793068463130553</v>
      </c>
      <c r="BC64" s="129">
        <f>J64/L64</f>
        <v>0.55216914897934333</v>
      </c>
      <c r="BD64" s="129">
        <f>K64/L64</f>
        <v>5.9900166389351084E-2</v>
      </c>
      <c r="BF64" s="129">
        <f t="shared" si="92"/>
        <v>4.0644259095209516E-3</v>
      </c>
      <c r="BG64" s="129">
        <f t="shared" si="92"/>
        <v>-5.8865079852974027E-3</v>
      </c>
      <c r="BH64" s="129">
        <f t="shared" si="92"/>
        <v>2.8557727088011402E-2</v>
      </c>
      <c r="BJ64" s="129">
        <f t="shared" si="45"/>
        <v>0.99594912124627744</v>
      </c>
      <c r="BK64" s="129">
        <f>IF(ISERR(BJ64),BK63,BJ64*BK63)</f>
        <v>0.8359642742671145</v>
      </c>
      <c r="BL64" s="129">
        <f t="shared" si="64"/>
        <v>0.95514855193507708</v>
      </c>
      <c r="BM64" s="129"/>
      <c r="BN64" s="129">
        <f t="shared" si="46"/>
        <v>1.0003801204919385</v>
      </c>
      <c r="BO64" s="129">
        <f>IF(ISERR(BN64),BO63,BN64*BO63)</f>
        <v>1.008084124198392</v>
      </c>
      <c r="BP64" s="129">
        <f t="shared" si="65"/>
        <v>1.0128848861868678</v>
      </c>
    </row>
    <row r="65" spans="1:68" x14ac:dyDescent="0.2">
      <c r="A65" s="133" t="s">
        <v>664</v>
      </c>
      <c r="B65" s="133">
        <f t="shared" si="66"/>
        <v>2004</v>
      </c>
      <c r="D65" s="136">
        <f>'Passenger-based Energy Use'!I62</f>
        <v>24.967472299999997</v>
      </c>
      <c r="E65" s="136">
        <f>'Passenger-based Energy Use'!J62</f>
        <v>38.078536999999997</v>
      </c>
      <c r="F65" s="136">
        <f>'Passenger-based Energy Use'!K62</f>
        <v>5.7174670000000001</v>
      </c>
      <c r="G65" s="136">
        <f t="shared" si="82"/>
        <v>68.763476299999994</v>
      </c>
      <c r="I65" s="4">
        <f>'Passenger-based Activity'!I63</f>
        <v>9719</v>
      </c>
      <c r="J65" s="4">
        <f>'Passenger-based Activity'!J63</f>
        <v>14354</v>
      </c>
      <c r="K65" s="21">
        <f>'Passenger-based Activity'!K63</f>
        <v>1576</v>
      </c>
      <c r="L65" s="4">
        <f t="shared" si="83"/>
        <v>25649</v>
      </c>
      <c r="N65" s="125">
        <f t="shared" ref="N65:Q66" si="93">D65/I65*1000000</f>
        <v>2568.9342833624855</v>
      </c>
      <c r="O65" s="125">
        <f t="shared" si="93"/>
        <v>2652.8171241465793</v>
      </c>
      <c r="P65" s="125">
        <f t="shared" si="93"/>
        <v>3627.8343908629445</v>
      </c>
      <c r="Q65" s="125">
        <f t="shared" si="93"/>
        <v>2680.9418027993293</v>
      </c>
      <c r="S65" s="129">
        <f t="shared" si="30"/>
        <v>0.90910493507161383</v>
      </c>
      <c r="T65" s="129">
        <f t="shared" si="31"/>
        <v>0.97021184370265579</v>
      </c>
      <c r="U65" s="129">
        <f t="shared" si="32"/>
        <v>0.72046113635947118</v>
      </c>
      <c r="V65" s="129">
        <f t="shared" si="33"/>
        <v>0.9522638463853077</v>
      </c>
      <c r="X65" s="131">
        <f t="shared" si="34"/>
        <v>1.4816590607128415</v>
      </c>
      <c r="Y65" s="131">
        <f t="shared" si="85"/>
        <v>0.9522638463853077</v>
      </c>
      <c r="Z65" s="131">
        <f t="shared" si="86"/>
        <v>1.0139012225495385</v>
      </c>
      <c r="AA65" s="131">
        <f t="shared" si="87"/>
        <v>0.93920771097480371</v>
      </c>
      <c r="AB65" s="131">
        <f t="shared" si="88"/>
        <v>1.4109303561860518</v>
      </c>
      <c r="AC65" s="131">
        <f t="shared" si="39"/>
        <v>1.4109303561860527</v>
      </c>
      <c r="AD65" s="131"/>
      <c r="AE65" s="131">
        <f t="shared" si="89"/>
        <v>0.95226384638530714</v>
      </c>
      <c r="AH65" s="134"/>
      <c r="AJ65" s="129">
        <f t="shared" si="58"/>
        <v>0.36309206054493787</v>
      </c>
      <c r="AK65" s="129">
        <f t="shared" si="59"/>
        <v>0.55376108144782665</v>
      </c>
      <c r="AL65" s="129">
        <f t="shared" si="60"/>
        <v>8.3146858007235452E-2</v>
      </c>
      <c r="AN65" s="129">
        <f t="shared" si="67"/>
        <v>0.36274135002593555</v>
      </c>
      <c r="AO65" s="129">
        <f t="shared" si="68"/>
        <v>0.55662872520510209</v>
      </c>
      <c r="AP65" s="129">
        <f t="shared" si="69"/>
        <v>8.0598567097124416E-2</v>
      </c>
      <c r="AQ65" s="129">
        <f t="shared" si="70"/>
        <v>0.99996864232816207</v>
      </c>
      <c r="AS65" s="129">
        <f t="shared" si="71"/>
        <v>0.36275272510684775</v>
      </c>
      <c r="AT65" s="129">
        <f t="shared" si="72"/>
        <v>0.55664618033335478</v>
      </c>
      <c r="AU65" s="129">
        <f t="shared" si="73"/>
        <v>8.0601094559797401E-2</v>
      </c>
      <c r="AX65" s="129">
        <f t="shared" si="74"/>
        <v>9.5989767306431713E-3</v>
      </c>
      <c r="AY65" s="129">
        <f t="shared" si="75"/>
        <v>-3.9573600361129758E-2</v>
      </c>
      <c r="AZ65" s="129">
        <f t="shared" si="76"/>
        <v>2.1292732673745089E-2</v>
      </c>
      <c r="BB65" s="129">
        <f t="shared" si="61"/>
        <v>0.37892315489882644</v>
      </c>
      <c r="BC65" s="129">
        <f t="shared" si="62"/>
        <v>0.5596319544621623</v>
      </c>
      <c r="BD65" s="129">
        <f t="shared" si="63"/>
        <v>6.144489063901127E-2</v>
      </c>
      <c r="BF65" s="129">
        <f t="shared" si="77"/>
        <v>-2.3493248804928674E-2</v>
      </c>
      <c r="BG65" s="129">
        <f t="shared" si="78"/>
        <v>1.3424914840374438E-2</v>
      </c>
      <c r="BH65" s="129">
        <f t="shared" si="79"/>
        <v>2.5461403012769994E-2</v>
      </c>
      <c r="BJ65" s="129">
        <f t="shared" si="45"/>
        <v>0.98331061600001579</v>
      </c>
      <c r="BK65" s="129">
        <f t="shared" si="80"/>
        <v>0.82201254548360247</v>
      </c>
      <c r="BL65" s="129">
        <f t="shared" si="64"/>
        <v>0.93920771097480371</v>
      </c>
      <c r="BM65" s="129"/>
      <c r="BN65" s="129">
        <f t="shared" si="46"/>
        <v>1.001003407570328</v>
      </c>
      <c r="BO65" s="129">
        <f t="shared" si="81"/>
        <v>1.0090956434401401</v>
      </c>
      <c r="BP65" s="129">
        <f t="shared" si="65"/>
        <v>1.0139012225495385</v>
      </c>
    </row>
    <row r="66" spans="1:68" x14ac:dyDescent="0.2">
      <c r="A66" s="133" t="s">
        <v>664</v>
      </c>
      <c r="B66" s="133">
        <f t="shared" si="66"/>
        <v>2005</v>
      </c>
      <c r="D66" s="136">
        <f>'Passenger-based Energy Use'!I63</f>
        <v>25.983307799999999</v>
      </c>
      <c r="E66" s="136">
        <f>'Passenger-based Energy Use'!J63</f>
        <v>38.967691000000002</v>
      </c>
      <c r="F66" s="136">
        <f>'Passenger-based Energy Use'!K63</f>
        <v>5.9035690000000001</v>
      </c>
      <c r="G66" s="136">
        <f t="shared" si="82"/>
        <v>70.854567800000012</v>
      </c>
      <c r="I66" s="4">
        <f>'Passenger-based Activity'!I64</f>
        <v>9473</v>
      </c>
      <c r="J66" s="4">
        <f>'Passenger-based Activity'!J64</f>
        <v>14418</v>
      </c>
      <c r="K66" s="21">
        <f>'Passenger-based Activity'!K64</f>
        <v>1700</v>
      </c>
      <c r="L66" s="4">
        <f t="shared" si="83"/>
        <v>25591</v>
      </c>
      <c r="N66" s="125">
        <f t="shared" si="93"/>
        <v>2742.8805869312782</v>
      </c>
      <c r="O66" s="125">
        <f t="shared" si="93"/>
        <v>2702.7112636981551</v>
      </c>
      <c r="P66" s="125">
        <f t="shared" si="93"/>
        <v>3472.6876470588236</v>
      </c>
      <c r="Q66" s="125">
        <f t="shared" si="93"/>
        <v>2768.7299363057327</v>
      </c>
      <c r="S66" s="129">
        <f t="shared" si="30"/>
        <v>0.97066176197684351</v>
      </c>
      <c r="T66" s="129">
        <f t="shared" si="31"/>
        <v>0.98845957163070319</v>
      </c>
      <c r="U66" s="129">
        <f t="shared" si="32"/>
        <v>0.68965013803355235</v>
      </c>
      <c r="V66" s="129">
        <f t="shared" si="33"/>
        <v>0.9834459726039767</v>
      </c>
      <c r="X66" s="131">
        <f t="shared" si="34"/>
        <v>1.4783085899139277</v>
      </c>
      <c r="Y66" s="131">
        <f t="shared" si="85"/>
        <v>0.9834459726039767</v>
      </c>
      <c r="Z66" s="131">
        <f t="shared" si="86"/>
        <v>1.0155937563455228</v>
      </c>
      <c r="AA66" s="131">
        <f t="shared" si="87"/>
        <v>0.96834582376990352</v>
      </c>
      <c r="AB66" s="131">
        <f t="shared" si="88"/>
        <v>1.4538366290167148</v>
      </c>
      <c r="AC66" s="131">
        <f t="shared" si="39"/>
        <v>1.453836629016716</v>
      </c>
      <c r="AD66" s="131"/>
      <c r="AE66" s="131">
        <f t="shared" si="89"/>
        <v>0.98344597260397604</v>
      </c>
      <c r="AH66" s="134"/>
      <c r="AJ66" s="129">
        <f>D66/G66</f>
        <v>0.36671323538861517</v>
      </c>
      <c r="AK66" s="129">
        <f>E66/G66</f>
        <v>0.54996723866827391</v>
      </c>
      <c r="AL66" s="129">
        <f>F66/G66</f>
        <v>8.3319525943110748E-2</v>
      </c>
      <c r="AN66" s="129">
        <f t="shared" ref="AN66:AP67" si="94">(AJ66-AJ65)/LN(AJ66/AJ65)</f>
        <v>0.36489965333395746</v>
      </c>
      <c r="AO66" s="129">
        <f t="shared" si="94"/>
        <v>0.55186198662337838</v>
      </c>
      <c r="AP66" s="129">
        <f t="shared" si="94"/>
        <v>8.3233162125080432E-2</v>
      </c>
      <c r="AQ66" s="129">
        <f>AN66+AO66+AP66</f>
        <v>0.99999480208241631</v>
      </c>
      <c r="AS66" s="129">
        <f>AN66/AQ66</f>
        <v>0.36490155006214087</v>
      </c>
      <c r="AT66" s="129">
        <f>AO66/AQ66</f>
        <v>0.55186485517141293</v>
      </c>
      <c r="AU66" s="129">
        <f>AP66/AQ66</f>
        <v>8.323359476644622E-2</v>
      </c>
      <c r="AX66" s="129">
        <f t="shared" ref="AX66:AZ67" si="95">LN(S66/S65)</f>
        <v>6.5517540089661166E-2</v>
      </c>
      <c r="AY66" s="129">
        <f t="shared" si="95"/>
        <v>1.8633299847563491E-2</v>
      </c>
      <c r="AZ66" s="129">
        <f t="shared" si="95"/>
        <v>-4.3707051492807812E-2</v>
      </c>
      <c r="BB66" s="129">
        <f>I66/L66</f>
        <v>0.37016920010941345</v>
      </c>
      <c r="BC66" s="129">
        <f>J66/L66</f>
        <v>0.56340119573287484</v>
      </c>
      <c r="BD66" s="129">
        <f>K66/L66</f>
        <v>6.6429604157711694E-2</v>
      </c>
      <c r="BF66" s="129">
        <f t="shared" ref="BF66:BH67" si="96">LN(BB66/BB65)</f>
        <v>-2.3373228298854382E-2</v>
      </c>
      <c r="BG66" s="129">
        <f t="shared" si="96"/>
        <v>6.7126343035882824E-3</v>
      </c>
      <c r="BH66" s="129">
        <f t="shared" si="96"/>
        <v>7.800211695556461E-2</v>
      </c>
      <c r="BJ66" s="129">
        <f t="shared" si="45"/>
        <v>1.0310241413636365</v>
      </c>
      <c r="BK66" s="129">
        <f>IF(ISERR(BJ66),BK65,BJ66*BK65)</f>
        <v>0.84751477889736848</v>
      </c>
      <c r="BL66" s="129">
        <f t="shared" si="64"/>
        <v>0.96834582376990352</v>
      </c>
      <c r="BM66" s="129"/>
      <c r="BN66" s="129">
        <f t="shared" si="46"/>
        <v>1.0016693280946325</v>
      </c>
      <c r="BO66" s="129">
        <f>IF(ISERR(BN66),BO65,BN66*BO65)</f>
        <v>1.0107801551479061</v>
      </c>
      <c r="BP66" s="129">
        <f t="shared" si="65"/>
        <v>1.0155937563455228</v>
      </c>
    </row>
    <row r="67" spans="1:68" x14ac:dyDescent="0.2">
      <c r="A67" s="133" t="s">
        <v>664</v>
      </c>
      <c r="B67" s="133">
        <f t="shared" si="66"/>
        <v>2006</v>
      </c>
      <c r="D67" s="136">
        <f>'Passenger-based Energy Use'!I64</f>
        <v>26.182862</v>
      </c>
      <c r="E67" s="136">
        <f>'Passenger-based Energy Use'!J64</f>
        <v>38.347351000000003</v>
      </c>
      <c r="F67" s="136">
        <f>'Passenger-based Energy Use'!K64</f>
        <v>6.554926</v>
      </c>
      <c r="G67" s="136">
        <f t="shared" si="82"/>
        <v>71.085138999999998</v>
      </c>
      <c r="I67" s="4">
        <f>'Passenger-based Activity'!I65</f>
        <v>10361</v>
      </c>
      <c r="J67" s="4">
        <f>'Passenger-based Activity'!J65</f>
        <v>14721</v>
      </c>
      <c r="K67" s="21">
        <f>'Passenger-based Activity'!K65</f>
        <v>1866</v>
      </c>
      <c r="L67" s="4">
        <f t="shared" si="83"/>
        <v>26948</v>
      </c>
      <c r="N67" s="125">
        <f>D67/I67*1000000</f>
        <v>2527.0593572049033</v>
      </c>
      <c r="O67" s="125">
        <f>E67/J67*1000000</f>
        <v>2604.9419876367097</v>
      </c>
      <c r="P67" s="125">
        <f>F67/K67*1000000</f>
        <v>3512.8220793140408</v>
      </c>
      <c r="Q67" s="125">
        <f>G67/L67*1000000</f>
        <v>2637.8632551580822</v>
      </c>
      <c r="S67" s="129">
        <f t="shared" si="30"/>
        <v>0.89428606552241341</v>
      </c>
      <c r="T67" s="129">
        <f t="shared" si="31"/>
        <v>0.95270252350189011</v>
      </c>
      <c r="U67" s="129">
        <f t="shared" si="32"/>
        <v>0.69762054008458374</v>
      </c>
      <c r="V67" s="129">
        <f t="shared" si="33"/>
        <v>0.93696245363194286</v>
      </c>
      <c r="X67" s="131">
        <f t="shared" si="34"/>
        <v>1.5566980532609322</v>
      </c>
      <c r="Y67" s="131">
        <f t="shared" si="85"/>
        <v>0.93696245363194286</v>
      </c>
      <c r="Z67" s="131">
        <f t="shared" si="86"/>
        <v>1.0163719832397422</v>
      </c>
      <c r="AA67" s="131">
        <f t="shared" si="87"/>
        <v>0.92186961966948611</v>
      </c>
      <c r="AB67" s="131">
        <f t="shared" si="88"/>
        <v>1.4585676275474313</v>
      </c>
      <c r="AC67" s="131">
        <f t="shared" si="39"/>
        <v>1.458567627547432</v>
      </c>
      <c r="AD67" s="131"/>
      <c r="AE67" s="131">
        <f t="shared" si="89"/>
        <v>0.93696245363194242</v>
      </c>
      <c r="AH67" s="134"/>
      <c r="AJ67" s="129">
        <f>D67/G67</f>
        <v>0.36833102345062591</v>
      </c>
      <c r="AK67" s="129">
        <f>E67/G67</f>
        <v>0.53945665070725968</v>
      </c>
      <c r="AL67" s="129">
        <f>F67/G67</f>
        <v>9.2212325842114487E-2</v>
      </c>
      <c r="AN67" s="129">
        <f t="shared" si="94"/>
        <v>0.36752153597653603</v>
      </c>
      <c r="AO67" s="129">
        <f t="shared" si="94"/>
        <v>0.54469504352214593</v>
      </c>
      <c r="AP67" s="129">
        <f t="shared" si="94"/>
        <v>8.7690786548238905E-2</v>
      </c>
      <c r="AQ67" s="129">
        <f>AN67+AO67+AP67</f>
        <v>0.99990736604692088</v>
      </c>
      <c r="AS67" s="129">
        <f>AN67/AQ67</f>
        <v>0.36755558410326783</v>
      </c>
      <c r="AT67" s="129">
        <f>AO67/AQ67</f>
        <v>0.54474550545173805</v>
      </c>
      <c r="AU67" s="129">
        <f>AP67/AQ67</f>
        <v>8.7698910444994158E-2</v>
      </c>
      <c r="AX67" s="129">
        <f t="shared" si="95"/>
        <v>-8.1952359931783125E-2</v>
      </c>
      <c r="AY67" s="129">
        <f t="shared" si="95"/>
        <v>-3.6845035571033649E-2</v>
      </c>
      <c r="AZ67" s="129">
        <f t="shared" si="95"/>
        <v>1.1490893418234106E-2</v>
      </c>
      <c r="BB67" s="129">
        <f>I67/L67</f>
        <v>0.3844812230963337</v>
      </c>
      <c r="BC67" s="129">
        <f>J67/L67</f>
        <v>0.54627430607095151</v>
      </c>
      <c r="BD67" s="129">
        <f>K67/L67</f>
        <v>6.9244470832714858E-2</v>
      </c>
      <c r="BF67" s="129">
        <f t="shared" si="96"/>
        <v>3.793475445073731E-2</v>
      </c>
      <c r="BG67" s="129">
        <f t="shared" si="96"/>
        <v>-3.0870736131990806E-2</v>
      </c>
      <c r="BH67" s="129">
        <f t="shared" si="96"/>
        <v>4.1500495437501672E-2</v>
      </c>
      <c r="BJ67" s="129">
        <f t="shared" si="45"/>
        <v>0.95200453912272864</v>
      </c>
      <c r="BK67" s="129">
        <f>IF(ISERR(BJ67),BK66,BJ67*BK66)</f>
        <v>0.80683791648389058</v>
      </c>
      <c r="BL67" s="129">
        <f t="shared" si="64"/>
        <v>0.92186961966948611</v>
      </c>
      <c r="BM67" s="129"/>
      <c r="BN67" s="129">
        <f t="shared" si="46"/>
        <v>1.0007662777457591</v>
      </c>
      <c r="BO67" s="129">
        <f>IF(ISERR(BN67),BO66,BN67*BO66)</f>
        <v>1.0115546934866508</v>
      </c>
      <c r="BP67" s="129">
        <f t="shared" si="65"/>
        <v>1.0163719832397422</v>
      </c>
    </row>
    <row r="68" spans="1:68" x14ac:dyDescent="0.2">
      <c r="A68" s="133" t="s">
        <v>664</v>
      </c>
      <c r="B68" s="133">
        <f t="shared" si="66"/>
        <v>2007</v>
      </c>
      <c r="D68" s="136">
        <f>'Passenger-based Energy Use'!I65</f>
        <v>29.419713100000003</v>
      </c>
      <c r="E68" s="136">
        <f>'Passenger-based Energy Use'!J65</f>
        <v>39.466030799999999</v>
      </c>
      <c r="F68" s="136">
        <f>'Passenger-based Energy Use'!K65</f>
        <v>7.1059946999999992</v>
      </c>
      <c r="G68" s="136">
        <f>D68+E68+F68</f>
        <v>75.991738599999991</v>
      </c>
      <c r="I68" s="4">
        <f>'Passenger-based Activity'!I66</f>
        <v>11153</v>
      </c>
      <c r="J68" s="4">
        <f>'Passenger-based Activity'!J66</f>
        <v>16138</v>
      </c>
      <c r="K68" s="21">
        <f>'Passenger-based Activity'!K66</f>
        <v>1932</v>
      </c>
      <c r="L68" s="4">
        <f t="shared" si="48"/>
        <v>29223</v>
      </c>
      <c r="N68" s="125">
        <f t="shared" si="49"/>
        <v>2637.8295615529455</v>
      </c>
      <c r="O68" s="125">
        <f t="shared" si="50"/>
        <v>2445.5341925889206</v>
      </c>
      <c r="P68" s="125">
        <f t="shared" si="51"/>
        <v>3678.0510869565214</v>
      </c>
      <c r="Q68" s="125">
        <f t="shared" si="52"/>
        <v>2600.4085343736092</v>
      </c>
      <c r="S68" s="129">
        <f t="shared" si="30"/>
        <v>0.93348587693210328</v>
      </c>
      <c r="T68" s="129">
        <f t="shared" si="31"/>
        <v>0.89440248867244632</v>
      </c>
      <c r="U68" s="129">
        <f t="shared" si="32"/>
        <v>0.73043380160100402</v>
      </c>
      <c r="V68" s="129">
        <f t="shared" si="33"/>
        <v>0.92365863016129979</v>
      </c>
      <c r="X68" s="131">
        <f t="shared" si="34"/>
        <v>1.6881173820114379</v>
      </c>
      <c r="Y68" s="131">
        <f t="shared" si="85"/>
        <v>0.92365863016129979</v>
      </c>
      <c r="Z68" s="131">
        <f t="shared" si="86"/>
        <v>1.0150083566831525</v>
      </c>
      <c r="AA68" s="131">
        <f t="shared" si="87"/>
        <v>0.91000101041496229</v>
      </c>
      <c r="AB68" s="131">
        <f t="shared" si="88"/>
        <v>1.5592441886201633</v>
      </c>
      <c r="AC68" s="131">
        <f t="shared" si="39"/>
        <v>1.5592441886201645</v>
      </c>
      <c r="AD68" s="131"/>
      <c r="AE68" s="131">
        <f t="shared" si="89"/>
        <v>0.92365863016129923</v>
      </c>
      <c r="AH68" s="134"/>
      <c r="AJ68" s="129">
        <f t="shared" si="58"/>
        <v>0.38714357168293562</v>
      </c>
      <c r="AK68" s="129">
        <f t="shared" si="59"/>
        <v>0.51934633326049473</v>
      </c>
      <c r="AL68" s="129">
        <f t="shared" si="60"/>
        <v>9.3510095056569736E-2</v>
      </c>
      <c r="AN68" s="129">
        <f t="shared" si="67"/>
        <v>0.37765920746855292</v>
      </c>
      <c r="AO68" s="129">
        <f t="shared" si="68"/>
        <v>0.52933782515333516</v>
      </c>
      <c r="AP68" s="129">
        <f t="shared" si="69"/>
        <v>9.2859699029902307E-2</v>
      </c>
      <c r="AQ68" s="129">
        <f t="shared" si="70"/>
        <v>0.99985673165179045</v>
      </c>
      <c r="AS68" s="129">
        <f t="shared" si="71"/>
        <v>0.37771332183226858</v>
      </c>
      <c r="AT68" s="129">
        <f t="shared" si="72"/>
        <v>0.52941367337583922</v>
      </c>
      <c r="AU68" s="129">
        <f t="shared" si="73"/>
        <v>9.2873004791892103E-2</v>
      </c>
      <c r="AX68" s="129">
        <f t="shared" si="74"/>
        <v>4.2900125915058783E-2</v>
      </c>
      <c r="AY68" s="129">
        <f t="shared" si="75"/>
        <v>-6.3146822596930954E-2</v>
      </c>
      <c r="AZ68" s="129">
        <f t="shared" si="76"/>
        <v>4.5963290325159251E-2</v>
      </c>
      <c r="BB68" s="129">
        <f t="shared" si="61"/>
        <v>0.38165143893508535</v>
      </c>
      <c r="BC68" s="129">
        <f t="shared" si="62"/>
        <v>0.55223625226704998</v>
      </c>
      <c r="BD68" s="129">
        <f t="shared" si="63"/>
        <v>6.6112308797864699E-2</v>
      </c>
      <c r="BF68" s="129">
        <f t="shared" si="77"/>
        <v>-7.3872246157298416E-3</v>
      </c>
      <c r="BG68" s="129">
        <f t="shared" si="78"/>
        <v>1.0854706291923826E-2</v>
      </c>
      <c r="BH68" s="129">
        <f t="shared" si="79"/>
        <v>-4.6288353993340685E-2</v>
      </c>
      <c r="BJ68" s="129">
        <f t="shared" si="45"/>
        <v>0.98712550126255505</v>
      </c>
      <c r="BK68" s="129">
        <f t="shared" si="80"/>
        <v>0.79645028274679597</v>
      </c>
      <c r="BL68" s="129">
        <f t="shared" si="64"/>
        <v>0.91000101041496229</v>
      </c>
      <c r="BM68" s="129"/>
      <c r="BN68" s="129">
        <f t="shared" si="46"/>
        <v>0.99865833909328838</v>
      </c>
      <c r="BO68" s="129">
        <f t="shared" si="81"/>
        <v>1.0101975300993991</v>
      </c>
      <c r="BP68" s="129">
        <f t="shared" si="65"/>
        <v>1.0150083566831525</v>
      </c>
    </row>
    <row r="69" spans="1:68" x14ac:dyDescent="0.2">
      <c r="A69" s="133" t="s">
        <v>664</v>
      </c>
      <c r="B69" s="133">
        <f t="shared" si="66"/>
        <v>2008</v>
      </c>
      <c r="D69" s="136">
        <f>'Passenger-based Energy Use'!I66</f>
        <v>29.3407503</v>
      </c>
      <c r="E69" s="136">
        <f>'Passenger-based Energy Use'!J66</f>
        <v>40.2983203</v>
      </c>
      <c r="F69" s="136">
        <f>'Passenger-based Energy Use'!K66</f>
        <v>7.4533850999999993</v>
      </c>
      <c r="G69" s="136">
        <f>D69+E69+F69</f>
        <v>77.092455700000002</v>
      </c>
      <c r="I69" s="4">
        <f>'Passenger-based Activity'!I67</f>
        <v>11049</v>
      </c>
      <c r="J69" s="4">
        <f>'Passenger-based Activity'!J67</f>
        <v>16848</v>
      </c>
      <c r="K69" s="21">
        <f>'Passenger-based Activity'!K67</f>
        <v>2093</v>
      </c>
      <c r="L69" s="4">
        <f>I69+J69+K69</f>
        <v>29990</v>
      </c>
      <c r="N69" s="125">
        <f t="shared" ref="N69:Q71" si="97">D69/I69*1000000</f>
        <v>2655.5118381754005</v>
      </c>
      <c r="O69" s="125">
        <f t="shared" si="97"/>
        <v>2391.8756113485283</v>
      </c>
      <c r="P69" s="125">
        <f t="shared" si="97"/>
        <v>3561.1013377926415</v>
      </c>
      <c r="Q69" s="125">
        <f t="shared" si="97"/>
        <v>2570.6053917972658</v>
      </c>
      <c r="S69" s="129">
        <f t="shared" si="30"/>
        <v>0.93974335305552315</v>
      </c>
      <c r="T69" s="129">
        <f t="shared" si="31"/>
        <v>0.87477799569030834</v>
      </c>
      <c r="U69" s="129">
        <f t="shared" si="32"/>
        <v>0.7072084445142045</v>
      </c>
      <c r="V69" s="129">
        <f t="shared" si="33"/>
        <v>0.91307262819942026</v>
      </c>
      <c r="X69" s="131">
        <f t="shared" si="34"/>
        <v>1.7324244699901796</v>
      </c>
      <c r="Y69" s="131">
        <f>V69</f>
        <v>0.91307262819942026</v>
      </c>
      <c r="Z69" s="131">
        <f>BP69</f>
        <v>1.0155572879676702</v>
      </c>
      <c r="AA69" s="131">
        <f>BL69</f>
        <v>0.89908529929085268</v>
      </c>
      <c r="AB69" s="131">
        <f>X69*Z69*AA69</f>
        <v>1.5818293639709193</v>
      </c>
      <c r="AC69" s="131">
        <f t="shared" si="39"/>
        <v>1.5818293639709209</v>
      </c>
      <c r="AD69" s="131"/>
      <c r="AE69" s="131">
        <f>Z69*AA69</f>
        <v>0.91307262819941937</v>
      </c>
      <c r="AH69" s="134"/>
      <c r="AJ69" s="129">
        <f>D69/G69</f>
        <v>0.38059171981986817</v>
      </c>
      <c r="AK69" s="129">
        <f>E69/G69</f>
        <v>0.52272715837225558</v>
      </c>
      <c r="AL69" s="129">
        <f>F69/G69</f>
        <v>9.6681121807876191E-2</v>
      </c>
      <c r="AN69" s="129">
        <f>(AJ69-AJ68)/LN(AJ69/AJ68)</f>
        <v>0.38385832665469566</v>
      </c>
      <c r="AO69" s="129">
        <f>(AK69-AK68)/LN(AK69/AK68)</f>
        <v>0.52103491772865262</v>
      </c>
      <c r="AP69" s="129">
        <f>(AL69-AL68)/LN(AL69/AL68)</f>
        <v>9.5086796111366112E-2</v>
      </c>
      <c r="AQ69" s="129">
        <f>AN69+AO69+AP69</f>
        <v>0.99998004049471434</v>
      </c>
      <c r="AS69" s="129">
        <f>AN69/AQ69</f>
        <v>0.3838659884299207</v>
      </c>
      <c r="AT69" s="129">
        <f>AO69/AQ69</f>
        <v>0.52104531753542205</v>
      </c>
      <c r="AU69" s="129">
        <f>AP69/AQ69</f>
        <v>9.5088694034657306E-2</v>
      </c>
      <c r="AX69" s="129">
        <f>LN(S69/S68)</f>
        <v>6.6809756100961269E-3</v>
      </c>
      <c r="AY69" s="129">
        <f>LN(T69/T68)</f>
        <v>-2.2185749947560944E-2</v>
      </c>
      <c r="AZ69" s="129">
        <f>LN(U69/U68)</f>
        <v>-3.231315439056294E-2</v>
      </c>
      <c r="BB69" s="129">
        <f>I69/L69</f>
        <v>0.36842280760253415</v>
      </c>
      <c r="BC69" s="129">
        <f>J69/L69</f>
        <v>0.5617872624208069</v>
      </c>
      <c r="BD69" s="129">
        <f>K69/L69</f>
        <v>6.9789929976658893E-2</v>
      </c>
      <c r="BF69" s="129">
        <f>LN(BB69/BB68)</f>
        <v>-3.5276516185351332E-2</v>
      </c>
      <c r="BG69" s="129">
        <f>LN(BC69/BC68)</f>
        <v>1.7147293661315371E-2</v>
      </c>
      <c r="BH69" s="129">
        <f>LN(BD69/BD68)</f>
        <v>5.4134785369547099E-2</v>
      </c>
      <c r="BJ69" s="129">
        <f t="shared" si="45"/>
        <v>0.98800472636933434</v>
      </c>
      <c r="BK69" s="129">
        <f>IF(ISERR(BJ69),BK68,BJ69*BK68)</f>
        <v>0.78689664367202716</v>
      </c>
      <c r="BL69" s="129">
        <f t="shared" si="64"/>
        <v>0.89908529929085268</v>
      </c>
      <c r="BM69" s="129"/>
      <c r="BN69" s="129">
        <f t="shared" si="46"/>
        <v>1.0005408145468986</v>
      </c>
      <c r="BO69" s="129">
        <f>IF(ISERR(BN69),BO68,BN69*BO68)</f>
        <v>1.0107438596189178</v>
      </c>
      <c r="BP69" s="129">
        <f t="shared" si="65"/>
        <v>1.0155572879676702</v>
      </c>
    </row>
    <row r="70" spans="1:68" x14ac:dyDescent="0.2">
      <c r="A70" s="133" t="s">
        <v>664</v>
      </c>
      <c r="B70" s="133">
        <f t="shared" si="66"/>
        <v>2009</v>
      </c>
      <c r="D70" s="136">
        <f>'Passenger-based Energy Use'!I67</f>
        <v>31.579920000000001</v>
      </c>
      <c r="E70" s="136">
        <f>'Passenger-based Energy Use'!J67</f>
        <v>40.177354000000001</v>
      </c>
      <c r="F70" s="136">
        <f>'Passenger-based Energy Use'!K67</f>
        <v>7.6301819999999996</v>
      </c>
      <c r="G70" s="136">
        <f>D70+E70+F70</f>
        <v>79.387456</v>
      </c>
      <c r="I70" s="4">
        <f>'Passenger-based Activity'!I68</f>
        <v>11232</v>
      </c>
      <c r="J70" s="4">
        <f>'Passenger-based Activity'!J68</f>
        <v>16805</v>
      </c>
      <c r="K70" s="21">
        <f>'Passenger-based Activity'!K68</f>
        <v>2199</v>
      </c>
      <c r="L70" s="4">
        <f>I70+J70+K70</f>
        <v>30236</v>
      </c>
      <c r="N70" s="125">
        <f t="shared" si="97"/>
        <v>2811.6025641025644</v>
      </c>
      <c r="O70" s="125">
        <f t="shared" si="97"/>
        <v>2390.7976197560251</v>
      </c>
      <c r="P70" s="125">
        <f t="shared" si="97"/>
        <v>3469.8417462482944</v>
      </c>
      <c r="Q70" s="125">
        <f t="shared" si="97"/>
        <v>2625.5938616219078</v>
      </c>
      <c r="S70" s="129">
        <f t="shared" si="30"/>
        <v>0.99498137536629949</v>
      </c>
      <c r="T70" s="129">
        <f t="shared" si="31"/>
        <v>0.87438374302926414</v>
      </c>
      <c r="U70" s="129">
        <f t="shared" si="32"/>
        <v>0.68908496313552392</v>
      </c>
      <c r="V70" s="129">
        <f t="shared" si="33"/>
        <v>0.93260439562808284</v>
      </c>
      <c r="X70" s="131">
        <f t="shared" si="34"/>
        <v>1.7466350875166079</v>
      </c>
      <c r="Y70" s="131">
        <f>V70</f>
        <v>0.93260439562808284</v>
      </c>
      <c r="Z70" s="131">
        <f>BP70</f>
        <v>1.0172566797704241</v>
      </c>
      <c r="AA70" s="131">
        <f>BL70</f>
        <v>0.91678375200107187</v>
      </c>
      <c r="AB70" s="131">
        <f>X70*Z70*AA70</f>
        <v>1.6289195601762287</v>
      </c>
      <c r="AC70" s="131">
        <f t="shared" si="39"/>
        <v>1.6289195601762296</v>
      </c>
      <c r="AD70" s="131"/>
      <c r="AE70" s="131">
        <f>Z70*AA70</f>
        <v>0.93260439562808228</v>
      </c>
      <c r="AH70" s="134"/>
      <c r="AJ70" s="129">
        <f t="shared" ref="AJ70:AJ71" si="98">D70/G70</f>
        <v>0.39779483549642908</v>
      </c>
      <c r="AK70" s="129">
        <f t="shared" ref="AK70:AK71" si="99">E70/G70</f>
        <v>0.50609196999586437</v>
      </c>
      <c r="AL70" s="129">
        <f t="shared" ref="AL70:AL71" si="100">F70/G70</f>
        <v>9.6113194507706598E-2</v>
      </c>
      <c r="AN70" s="129">
        <f t="shared" ref="AN70:AN71" si="101">(AJ70-AJ69)/LN(AJ70/AJ69)</f>
        <v>0.38912990174609136</v>
      </c>
      <c r="AO70" s="129">
        <f t="shared" ref="AO70:AO71" si="102">(AK70-AK69)/LN(AK70/AK69)</f>
        <v>0.51436473142703321</v>
      </c>
      <c r="AP70" s="129">
        <f t="shared" ref="AP70:AP71" si="103">(AL70-AL69)/LN(AL70/AL69)</f>
        <v>9.6396879326815871E-2</v>
      </c>
      <c r="AQ70" s="129">
        <f t="shared" ref="AQ70:AQ71" si="104">AN70+AO70+AP70</f>
        <v>0.99989151249994046</v>
      </c>
      <c r="AS70" s="129">
        <f t="shared" ref="AS70:AS71" si="105">AN70/AQ70</f>
        <v>0.38917212205670615</v>
      </c>
      <c r="AT70" s="129">
        <f t="shared" ref="AT70:AT71" si="106">AO70/AQ70</f>
        <v>0.51442053962535639</v>
      </c>
      <c r="AU70" s="129">
        <f t="shared" ref="AU70:AU71" si="107">AP70/AQ70</f>
        <v>9.640733831793738E-2</v>
      </c>
      <c r="AX70" s="129">
        <f t="shared" ref="AX70:AX71" si="108">LN(S70/S69)</f>
        <v>5.711720943797885E-2</v>
      </c>
      <c r="AY70" s="129">
        <f t="shared" ref="AY70:AY71" si="109">LN(T70/T69)</f>
        <v>-4.507904089066579E-4</v>
      </c>
      <c r="AZ70" s="129">
        <f t="shared" ref="AZ70:AZ71" si="110">LN(U70/U69)</f>
        <v>-2.5960874918821854E-2</v>
      </c>
      <c r="BB70" s="129">
        <f t="shared" ref="BB70:BB71" si="111">I70/L70</f>
        <v>0.37147770869162589</v>
      </c>
      <c r="BC70" s="129">
        <f t="shared" ref="BC70:BC71" si="112">J70/L70</f>
        <v>0.55579441725095913</v>
      </c>
      <c r="BD70" s="129">
        <f t="shared" ref="BD70:BD71" si="113">K70/L70</f>
        <v>7.2727874057415001E-2</v>
      </c>
      <c r="BF70" s="129">
        <f t="shared" ref="BF70:BF71" si="114">LN(BB70/BB69)</f>
        <v>8.2576464834048808E-3</v>
      </c>
      <c r="BG70" s="129">
        <f t="shared" ref="BG70:BG71" si="115">LN(BC70/BC69)</f>
        <v>-1.072476888356318E-2</v>
      </c>
      <c r="BH70" s="129">
        <f t="shared" ref="BH70:BH71" si="116">LN(BD70/BD69)</f>
        <v>4.1234993439748811E-2</v>
      </c>
      <c r="BJ70" s="129">
        <f t="shared" si="45"/>
        <v>1.0196849539461703</v>
      </c>
      <c r="BK70" s="129">
        <f t="shared" ref="BK70:BK71" si="117">IF(ISERR(BJ70),BK69,BJ70*BK69)</f>
        <v>0.80238666786310697</v>
      </c>
      <c r="BL70" s="129">
        <f t="shared" si="64"/>
        <v>0.91678375200107187</v>
      </c>
      <c r="BM70" s="129"/>
      <c r="BN70" s="129">
        <f t="shared" si="46"/>
        <v>1.0016733588768336</v>
      </c>
      <c r="BO70" s="129">
        <f t="shared" ref="BO70:BO71" si="118">IF(ISERR(BN70),BO69,BN70*BO69)</f>
        <v>1.0124351968286163</v>
      </c>
      <c r="BP70" s="129">
        <f t="shared" ref="BP70:BP71" si="119">BO70/BO$74</f>
        <v>1.0172566797704241</v>
      </c>
    </row>
    <row r="71" spans="1:68" x14ac:dyDescent="0.2">
      <c r="A71" s="133" t="s">
        <v>664</v>
      </c>
      <c r="B71" s="133">
        <f t="shared" si="66"/>
        <v>2010</v>
      </c>
      <c r="D71" s="136">
        <f>'Passenger-based Energy Use'!I68</f>
        <v>31.506022999999999</v>
      </c>
      <c r="E71" s="136">
        <f>'Passenger-based Energy Use'!J68</f>
        <v>39.081420000000001</v>
      </c>
      <c r="F71" s="136">
        <f>'Passenger-based Energy Use'!K68</f>
        <v>7.7439109999999998</v>
      </c>
      <c r="G71" s="136">
        <f>D71+E71+F71</f>
        <v>78.331354000000005</v>
      </c>
      <c r="I71" s="4">
        <f>'Passenger-based Activity'!I69</f>
        <v>10874</v>
      </c>
      <c r="J71" s="4">
        <f>'Passenger-based Activity'!J69</f>
        <v>16407</v>
      </c>
      <c r="K71" s="21">
        <f>'Passenger-based Activity'!K69</f>
        <v>2173</v>
      </c>
      <c r="L71" s="4">
        <f>I71+J71+K71</f>
        <v>29454</v>
      </c>
      <c r="N71" s="125">
        <f t="shared" si="97"/>
        <v>2897.3719882288028</v>
      </c>
      <c r="O71" s="125">
        <f t="shared" si="97"/>
        <v>2381.996708721887</v>
      </c>
      <c r="P71" s="125">
        <f t="shared" si="97"/>
        <v>3563.6958122411411</v>
      </c>
      <c r="Q71" s="125">
        <f t="shared" si="97"/>
        <v>2659.4470700074694</v>
      </c>
      <c r="S71" s="129">
        <f t="shared" si="30"/>
        <v>1.0253338087688988</v>
      </c>
      <c r="T71" s="129">
        <f t="shared" si="31"/>
        <v>0.87116499566708361</v>
      </c>
      <c r="U71" s="129">
        <f t="shared" si="32"/>
        <v>0.70772368799227758</v>
      </c>
      <c r="V71" s="129">
        <f t="shared" si="33"/>
        <v>0.94462897087102826</v>
      </c>
      <c r="X71" s="131">
        <f t="shared" si="34"/>
        <v>1.7014614984691814</v>
      </c>
      <c r="Y71" s="131">
        <f>V71</f>
        <v>0.94462897087102826</v>
      </c>
      <c r="Z71" s="131">
        <f>BP71</f>
        <v>1.0173000044972933</v>
      </c>
      <c r="AA71" s="131">
        <f>BL71</f>
        <v>0.92856479572888961</v>
      </c>
      <c r="AB71" s="131">
        <f>X71*Z71*AA71</f>
        <v>1.6072498242756195</v>
      </c>
      <c r="AC71" s="131">
        <f t="shared" si="39"/>
        <v>1.6072498242756206</v>
      </c>
      <c r="AD71" s="131"/>
      <c r="AE71" s="131">
        <f>Z71*AA71</f>
        <v>0.9446289708710276</v>
      </c>
      <c r="AH71" s="134"/>
      <c r="AJ71" s="129">
        <f t="shared" si="98"/>
        <v>0.40221471213174737</v>
      </c>
      <c r="AK71" s="129">
        <f t="shared" si="99"/>
        <v>0.49892435154382753</v>
      </c>
      <c r="AL71" s="129">
        <f t="shared" si="100"/>
        <v>9.8860936324425081E-2</v>
      </c>
      <c r="AN71" s="129">
        <f t="shared" si="101"/>
        <v>0.40000070397339416</v>
      </c>
      <c r="AO71" s="129">
        <f t="shared" si="102"/>
        <v>0.50249964093290311</v>
      </c>
      <c r="AP71" s="129">
        <f t="shared" si="103"/>
        <v>9.7480611153842489E-2</v>
      </c>
      <c r="AQ71" s="129">
        <f t="shared" si="104"/>
        <v>0.99998095606013981</v>
      </c>
      <c r="AS71" s="129">
        <f t="shared" si="105"/>
        <v>0.40000832170781636</v>
      </c>
      <c r="AT71" s="129">
        <f t="shared" si="106"/>
        <v>0.50250921068809062</v>
      </c>
      <c r="AU71" s="129">
        <f t="shared" si="107"/>
        <v>9.7482467604092959E-2</v>
      </c>
      <c r="AX71" s="129">
        <f t="shared" si="108"/>
        <v>3.0049486887520269E-2</v>
      </c>
      <c r="AY71" s="129">
        <f t="shared" si="109"/>
        <v>-3.6879531794283878E-3</v>
      </c>
      <c r="AZ71" s="129">
        <f t="shared" si="110"/>
        <v>2.6689169215078558E-2</v>
      </c>
      <c r="BB71" s="129">
        <f t="shared" si="111"/>
        <v>0.36918584912066271</v>
      </c>
      <c r="BC71" s="129">
        <f t="shared" si="112"/>
        <v>0.55703809329802401</v>
      </c>
      <c r="BD71" s="129">
        <f t="shared" si="113"/>
        <v>7.377605758131324E-2</v>
      </c>
      <c r="BF71" s="129">
        <f t="shared" si="114"/>
        <v>-6.1886854337666565E-3</v>
      </c>
      <c r="BG71" s="129">
        <f t="shared" si="115"/>
        <v>2.235154981636189E-3</v>
      </c>
      <c r="BH71" s="129">
        <f t="shared" si="116"/>
        <v>1.4309532827628323E-2</v>
      </c>
      <c r="BJ71" s="129">
        <f t="shared" si="45"/>
        <v>1.012850406327668</v>
      </c>
      <c r="BK71" s="129">
        <f t="shared" si="117"/>
        <v>0.81269766257705145</v>
      </c>
      <c r="BL71" s="129">
        <f t="shared" si="64"/>
        <v>0.92856479572888961</v>
      </c>
      <c r="BM71" s="129"/>
      <c r="BN71" s="129">
        <f t="shared" si="46"/>
        <v>1.0000425897688663</v>
      </c>
      <c r="BO71" s="129">
        <f t="shared" si="118"/>
        <v>1.0124783162096413</v>
      </c>
      <c r="BP71" s="129">
        <f t="shared" si="119"/>
        <v>1.0173000044972933</v>
      </c>
    </row>
    <row r="72" spans="1:68" x14ac:dyDescent="0.2">
      <c r="A72" s="133" t="s">
        <v>664</v>
      </c>
      <c r="B72" s="133">
        <f t="shared" si="66"/>
        <v>2011</v>
      </c>
      <c r="D72" s="136">
        <f>'Passenger-based Energy Use'!I69</f>
        <v>31.921106999999999</v>
      </c>
      <c r="E72" s="136">
        <f>'Passenger-based Energy Use'!J69</f>
        <v>39.846505999999998</v>
      </c>
      <c r="F72" s="136">
        <f>'Passenger-based Energy Use'!K69</f>
        <v>8.1574709999999993</v>
      </c>
      <c r="G72" s="136">
        <f>D72+E72+F72</f>
        <v>79.925083999999998</v>
      </c>
      <c r="I72" s="4">
        <f>'Passenger-based Activity'!I70</f>
        <v>11427</v>
      </c>
      <c r="J72" s="4">
        <f>'Passenger-based Activity'!J70</f>
        <v>17317</v>
      </c>
      <c r="K72" s="21">
        <f>'Passenger-based Activity'!K70</f>
        <v>2203</v>
      </c>
      <c r="L72" s="4">
        <f>I72+J72+K72</f>
        <v>30947</v>
      </c>
      <c r="N72" s="125">
        <f t="shared" ref="N72" si="120">D72/I72*1000000</f>
        <v>2793.4809661328432</v>
      </c>
      <c r="O72" s="125">
        <f t="shared" ref="O72" si="121">E72/J72*1000000</f>
        <v>2301.0051394583356</v>
      </c>
      <c r="P72" s="125">
        <f t="shared" ref="P72" si="122">F72/K72*1000000</f>
        <v>3702.8919655015884</v>
      </c>
      <c r="Q72" s="125">
        <f t="shared" ref="Q72" si="123">G72/L72*1000000</f>
        <v>2582.6440042653571</v>
      </c>
      <c r="S72" s="129">
        <f t="shared" si="30"/>
        <v>0.98856843041385256</v>
      </c>
      <c r="T72" s="129">
        <f t="shared" si="31"/>
        <v>0.84154403950530499</v>
      </c>
      <c r="U72" s="129">
        <f t="shared" si="32"/>
        <v>0.7353670167526718</v>
      </c>
      <c r="V72" s="129">
        <f t="shared" si="33"/>
        <v>0.91734871334309498</v>
      </c>
      <c r="X72" s="131">
        <f t="shared" si="34"/>
        <v>1.7877072381722605</v>
      </c>
      <c r="Y72" s="131">
        <f>V72</f>
        <v>0.91734871334309498</v>
      </c>
      <c r="Z72" s="131">
        <f>BP72</f>
        <v>1.0160139379039428</v>
      </c>
      <c r="AA72" s="131">
        <f>BL72</f>
        <v>0.90288989069933756</v>
      </c>
      <c r="AB72" s="131">
        <f>X72*Z72*AA72</f>
        <v>1.63995093477146</v>
      </c>
      <c r="AC72" s="131">
        <f t="shared" si="39"/>
        <v>1.6399509347714607</v>
      </c>
      <c r="AD72" s="131"/>
      <c r="AE72" s="131">
        <f>Z72*AA72</f>
        <v>0.91734871334309442</v>
      </c>
      <c r="AH72" s="134"/>
      <c r="AJ72" s="129">
        <f t="shared" ref="AJ72" si="124">D72/G72</f>
        <v>0.39938784424674484</v>
      </c>
      <c r="AK72" s="129">
        <f t="shared" ref="AK72" si="125">E72/G72</f>
        <v>0.49854819045294962</v>
      </c>
      <c r="AL72" s="129">
        <f t="shared" ref="AL72" si="126">F72/G72</f>
        <v>0.10206396530030547</v>
      </c>
      <c r="AN72" s="129">
        <f t="shared" ref="AN72" si="127">(AJ72-AJ71)/LN(AJ72/AJ71)</f>
        <v>0.40079961668245373</v>
      </c>
      <c r="AO72" s="129">
        <f t="shared" ref="AO72" si="128">(AK72-AK71)/LN(AK72/AK71)</f>
        <v>0.4987362473557907</v>
      </c>
      <c r="AP72" s="129">
        <f t="shared" ref="AP72" si="129">(AL72-AL71)/LN(AL72/AL71)</f>
        <v>0.10045394009527166</v>
      </c>
      <c r="AQ72" s="129">
        <f t="shared" ref="AQ72" si="130">AN72+AO72+AP72</f>
        <v>0.99998980413351612</v>
      </c>
      <c r="AS72" s="129">
        <f t="shared" ref="AS72" si="131">AN72/AQ72</f>
        <v>0.40080370322349806</v>
      </c>
      <c r="AT72" s="129">
        <f t="shared" ref="AT72" si="132">AO72/AQ72</f>
        <v>0.49874133245582641</v>
      </c>
      <c r="AU72" s="129">
        <f t="shared" ref="AU72" si="133">AP72/AQ72</f>
        <v>0.10045496432067551</v>
      </c>
      <c r="AX72" s="129">
        <f t="shared" ref="AX72" si="134">LN(S72/S71)</f>
        <v>-3.6515638912654594E-2</v>
      </c>
      <c r="AY72" s="129">
        <f t="shared" ref="AY72" si="135">LN(T72/T71)</f>
        <v>-3.4593044576590078E-2</v>
      </c>
      <c r="AZ72" s="129">
        <f t="shared" ref="AZ72" si="136">LN(U72/U71)</f>
        <v>3.8315970782741127E-2</v>
      </c>
      <c r="BB72" s="129">
        <f t="shared" ref="BB72" si="137">I72/L72</f>
        <v>0.36924419168255407</v>
      </c>
      <c r="BC72" s="129">
        <f t="shared" ref="BC72" si="138">J72/L72</f>
        <v>0.55956958671276702</v>
      </c>
      <c r="BD72" s="129">
        <f t="shared" ref="BD72" si="139">K72/L72</f>
        <v>7.1186221604678968E-2</v>
      </c>
      <c r="BF72" s="129">
        <f t="shared" ref="BF72" si="140">LN(BB72/BB71)</f>
        <v>1.5801784539876918E-4</v>
      </c>
      <c r="BG72" s="129">
        <f t="shared" ref="BG72" si="141">LN(BC72/BC71)</f>
        <v>4.5342653418196238E-3</v>
      </c>
      <c r="BH72" s="129">
        <f t="shared" ref="BH72" si="142">LN(BD72/BD71)</f>
        <v>-3.5734973049535608E-2</v>
      </c>
      <c r="BJ72" s="129">
        <f t="shared" ref="BJ72" si="143">EXP(SUMPRODUCT($AS72:$AU72,AX72:AZ72))</f>
        <v>0.97234990476954475</v>
      </c>
      <c r="BK72" s="129">
        <f t="shared" ref="BK72" si="144">IF(ISERR(BJ72),BK71,BJ72*BK71)</f>
        <v>0.7902264948132276</v>
      </c>
      <c r="BL72" s="129">
        <f t="shared" si="64"/>
        <v>0.90288989069933756</v>
      </c>
      <c r="BM72" s="129"/>
      <c r="BN72" s="129">
        <f t="shared" ref="BN72" si="145">EXP(SUMPRODUCT($AS72:$AU72,BF72:BH72))</f>
        <v>0.99873580400308148</v>
      </c>
      <c r="BO72" s="129">
        <f t="shared" ref="BO72" si="146">IF(ISERR(BN72),BO71,BN72*BO71)</f>
        <v>1.0111983451753224</v>
      </c>
      <c r="BP72" s="129">
        <f t="shared" ref="BP72" si="147">BO72/BO$74</f>
        <v>1.0160139379039428</v>
      </c>
    </row>
    <row r="73" spans="1:68" hidden="1" x14ac:dyDescent="0.2">
      <c r="A73" s="133"/>
      <c r="B73" s="133"/>
      <c r="K73" s="143"/>
      <c r="AH73" s="134"/>
      <c r="BJ73" s="129"/>
      <c r="BK73" s="129"/>
      <c r="BL73" s="129"/>
      <c r="BM73" s="129"/>
      <c r="BN73" s="129"/>
      <c r="BO73" s="129"/>
      <c r="BP73" s="129"/>
    </row>
    <row r="74" spans="1:68" hidden="1" x14ac:dyDescent="0.2">
      <c r="A74" s="133" t="s">
        <v>684</v>
      </c>
      <c r="B74" s="133">
        <f>Base_year</f>
        <v>1985</v>
      </c>
      <c r="G74" s="129">
        <f>INDEX(G10:G71,Base_row,0)</f>
        <v>48.736265400000001</v>
      </c>
      <c r="K74" s="143"/>
      <c r="L74" s="138">
        <f>INDEX(L10:L71,Base_row,0)</f>
        <v>17311</v>
      </c>
      <c r="N74" s="129">
        <f>INDEX(N10:N71,Base_row,0)</f>
        <v>2825.7841138659314</v>
      </c>
      <c r="O74" s="129">
        <f>INDEX(O10:O71,Base_row,0)</f>
        <v>2734.2658630331021</v>
      </c>
      <c r="P74" s="129">
        <f>INDEX(P10:P71,Base_row,0)</f>
        <v>5035.4338461538491</v>
      </c>
      <c r="Q74" s="129">
        <f>INDEX(Q10:Q71,Base_row,0)</f>
        <v>2815.3350701865866</v>
      </c>
      <c r="AH74" s="134"/>
      <c r="BJ74" s="129"/>
      <c r="BK74" s="129">
        <f>INDEX(BK10:BK71,Base_row,1)</f>
        <v>0.87521911913439854</v>
      </c>
      <c r="BL74" s="129"/>
      <c r="BM74" s="129"/>
      <c r="BN74" s="129"/>
      <c r="BO74" s="129">
        <f>INDEX(BO10:BO71,Base_row,1)</f>
        <v>0.99526030839837198</v>
      </c>
      <c r="BP74" s="129"/>
    </row>
    <row r="75" spans="1:68" hidden="1" x14ac:dyDescent="0.2">
      <c r="A75" s="133" t="s">
        <v>683</v>
      </c>
      <c r="B75" s="133">
        <f>Base_year2</f>
        <v>1996</v>
      </c>
      <c r="K75" s="143"/>
      <c r="L75" s="138">
        <f>INDEX(L10:L71,Base_row2,0)</f>
        <v>20838</v>
      </c>
      <c r="N75" s="129">
        <f>INDEX(N10:N71,Base_row2,0)</f>
        <v>2581.6441863249911</v>
      </c>
      <c r="O75" s="129">
        <f>INDEX(O10:O71,Base_row2,0)</f>
        <v>2987.8185602775366</v>
      </c>
      <c r="P75" s="129">
        <f>INDEX(P10:P71,Base_row2,0)</f>
        <v>3467.9404388714729</v>
      </c>
      <c r="Q75" s="129">
        <f>INDEX(Q10:Q71,Base_row2,0)</f>
        <v>2847.090776466071</v>
      </c>
      <c r="AH75" s="134"/>
    </row>
    <row r="76" spans="1:68" x14ac:dyDescent="0.2">
      <c r="A76" s="133"/>
      <c r="B76" s="133"/>
      <c r="K76" s="143"/>
      <c r="AH76" s="134"/>
    </row>
    <row r="77" spans="1:68" x14ac:dyDescent="0.2">
      <c r="A77" s="133"/>
      <c r="B77" s="133"/>
      <c r="D77" s="165"/>
      <c r="E77" s="143" t="s">
        <v>9</v>
      </c>
      <c r="J77" s="165"/>
      <c r="K77" s="143" t="s">
        <v>9</v>
      </c>
      <c r="AH77" s="134"/>
    </row>
    <row r="78" spans="1:68" x14ac:dyDescent="0.2">
      <c r="A78" s="133"/>
      <c r="B78" s="133"/>
      <c r="AH78" s="134"/>
    </row>
    <row r="79" spans="1:68" x14ac:dyDescent="0.2">
      <c r="A79" s="133"/>
      <c r="B79" s="133"/>
      <c r="O79">
        <f>(E72+F72)/(J72+K72)*1000000</f>
        <v>2459.2201331967212</v>
      </c>
      <c r="P79" t="s">
        <v>1271</v>
      </c>
      <c r="AH79" s="134"/>
    </row>
    <row r="80" spans="1:68" x14ac:dyDescent="0.2">
      <c r="A80" s="133"/>
      <c r="B80" s="133"/>
      <c r="AH80" s="134"/>
    </row>
    <row r="81" spans="1:34" x14ac:dyDescent="0.2">
      <c r="A81" s="133"/>
      <c r="B81" s="133"/>
      <c r="AH81" s="134"/>
    </row>
    <row r="82" spans="1:34" x14ac:dyDescent="0.2">
      <c r="A82" s="133"/>
      <c r="B82" s="133"/>
      <c r="AH82" s="134"/>
    </row>
    <row r="83" spans="1:34" x14ac:dyDescent="0.2">
      <c r="A83" s="133"/>
      <c r="B83" s="133"/>
      <c r="AH83" s="134"/>
    </row>
    <row r="84" spans="1:34" x14ac:dyDescent="0.2">
      <c r="A84" s="133"/>
      <c r="B84" s="133"/>
      <c r="AH84" s="134"/>
    </row>
    <row r="85" spans="1:34" x14ac:dyDescent="0.2">
      <c r="A85" s="133"/>
      <c r="B85" s="133"/>
      <c r="AH85" s="134"/>
    </row>
    <row r="86" spans="1:34" x14ac:dyDescent="0.2">
      <c r="A86" s="133"/>
      <c r="B86" s="133"/>
      <c r="AH86" s="134"/>
    </row>
    <row r="87" spans="1:34" x14ac:dyDescent="0.2">
      <c r="A87" s="133"/>
      <c r="B87" s="133"/>
      <c r="AH87" s="134"/>
    </row>
    <row r="88" spans="1:34" x14ac:dyDescent="0.2">
      <c r="A88" s="133"/>
      <c r="B88" s="133"/>
      <c r="AH88" s="134"/>
    </row>
    <row r="89" spans="1:34" x14ac:dyDescent="0.2">
      <c r="A89" s="133"/>
      <c r="B89" s="133"/>
      <c r="AH89" s="134"/>
    </row>
    <row r="90" spans="1:34" x14ac:dyDescent="0.2">
      <c r="A90" s="133"/>
      <c r="B90" s="133"/>
      <c r="AH90" s="134"/>
    </row>
    <row r="91" spans="1:34" x14ac:dyDescent="0.2">
      <c r="A91" s="133"/>
      <c r="B91" s="133"/>
      <c r="AH91" s="134"/>
    </row>
    <row r="92" spans="1:34" x14ac:dyDescent="0.2">
      <c r="A92" s="133"/>
      <c r="B92" s="133"/>
      <c r="AH92" s="134"/>
    </row>
    <row r="93" spans="1:34" x14ac:dyDescent="0.2">
      <c r="A93" s="133"/>
      <c r="B93" s="133"/>
      <c r="AH93" s="134"/>
    </row>
    <row r="94" spans="1:34" x14ac:dyDescent="0.2">
      <c r="A94" s="133"/>
      <c r="B94" s="133"/>
      <c r="AH94" s="134"/>
    </row>
    <row r="95" spans="1:34" x14ac:dyDescent="0.2">
      <c r="A95" s="133"/>
      <c r="B95" s="133"/>
      <c r="AH95" s="134"/>
    </row>
    <row r="96" spans="1:34" x14ac:dyDescent="0.2">
      <c r="A96" s="133"/>
      <c r="B96" s="133"/>
      <c r="AH96" s="134"/>
    </row>
    <row r="97" spans="1:34" x14ac:dyDescent="0.2">
      <c r="A97" s="133"/>
      <c r="B97" s="133"/>
      <c r="AH97" s="134"/>
    </row>
    <row r="98" spans="1:34" x14ac:dyDescent="0.2">
      <c r="A98" s="133"/>
      <c r="B98" s="133"/>
      <c r="AH98" s="134"/>
    </row>
    <row r="99" spans="1:34" x14ac:dyDescent="0.2">
      <c r="A99" s="133"/>
      <c r="B99" s="133"/>
      <c r="AH99" s="134"/>
    </row>
    <row r="100" spans="1:34" x14ac:dyDescent="0.2">
      <c r="A100" s="133"/>
      <c r="B100" s="133"/>
      <c r="AH100" s="134"/>
    </row>
    <row r="101" spans="1:34" x14ac:dyDescent="0.2">
      <c r="A101" s="133"/>
      <c r="B101" s="133"/>
      <c r="AH101" s="134"/>
    </row>
    <row r="102" spans="1:34" x14ac:dyDescent="0.2">
      <c r="A102" s="133"/>
      <c r="B102" s="133"/>
      <c r="AH102" s="134"/>
    </row>
    <row r="103" spans="1:34" x14ac:dyDescent="0.2">
      <c r="A103" s="133"/>
      <c r="B103" s="133"/>
      <c r="AH103" s="134"/>
    </row>
    <row r="104" spans="1:34" x14ac:dyDescent="0.2">
      <c r="A104" s="133"/>
      <c r="B104" s="133"/>
      <c r="AH104" s="134"/>
    </row>
    <row r="105" spans="1:34" x14ac:dyDescent="0.2">
      <c r="A105" s="133"/>
      <c r="B105" s="133"/>
      <c r="AH105" s="134"/>
    </row>
    <row r="106" spans="1:34" x14ac:dyDescent="0.2">
      <c r="A106" s="133"/>
      <c r="B106" s="133"/>
      <c r="AH106" s="134"/>
    </row>
    <row r="107" spans="1:34" x14ac:dyDescent="0.2">
      <c r="A107" s="133"/>
      <c r="B107" s="133"/>
      <c r="AH107" s="134"/>
    </row>
    <row r="108" spans="1:34" x14ac:dyDescent="0.2">
      <c r="A108" s="133"/>
      <c r="B108" s="133"/>
      <c r="AH108" s="134"/>
    </row>
    <row r="109" spans="1:34" x14ac:dyDescent="0.2">
      <c r="A109" s="133"/>
      <c r="B109" s="133"/>
      <c r="AH109" s="134"/>
    </row>
    <row r="110" spans="1:34" x14ac:dyDescent="0.2">
      <c r="A110" s="133"/>
      <c r="B110" s="133"/>
      <c r="AH110" s="134"/>
    </row>
    <row r="111" spans="1:34" x14ac:dyDescent="0.2">
      <c r="A111" s="133"/>
      <c r="B111" s="133"/>
      <c r="AH111" s="134"/>
    </row>
    <row r="112" spans="1:34" x14ac:dyDescent="0.2">
      <c r="A112" s="133"/>
      <c r="B112" s="133"/>
      <c r="AH112" s="134"/>
    </row>
    <row r="113" spans="1:34" x14ac:dyDescent="0.2">
      <c r="A113" s="133"/>
      <c r="B113" s="133"/>
      <c r="AH113" s="134"/>
    </row>
    <row r="114" spans="1:34" x14ac:dyDescent="0.2">
      <c r="A114" s="133"/>
      <c r="B114" s="133"/>
      <c r="AH114" s="134"/>
    </row>
    <row r="115" spans="1:34" x14ac:dyDescent="0.2">
      <c r="A115" s="133"/>
      <c r="B115" s="133"/>
      <c r="AH115" s="134"/>
    </row>
    <row r="116" spans="1:34" x14ac:dyDescent="0.2">
      <c r="A116" s="133"/>
      <c r="B116" s="133"/>
      <c r="AH116" s="134"/>
    </row>
    <row r="117" spans="1:34" x14ac:dyDescent="0.2">
      <c r="A117" s="133"/>
      <c r="B117" s="133"/>
      <c r="AH117" s="134"/>
    </row>
    <row r="118" spans="1:34" x14ac:dyDescent="0.2">
      <c r="A118" s="133"/>
      <c r="B118" s="133"/>
      <c r="AH118" s="134"/>
    </row>
    <row r="119" spans="1:34" x14ac:dyDescent="0.2">
      <c r="A119" s="133"/>
      <c r="B119" s="133"/>
      <c r="AH119" s="134"/>
    </row>
    <row r="120" spans="1:34" x14ac:dyDescent="0.2">
      <c r="A120" s="133"/>
      <c r="B120" s="133"/>
      <c r="AH120" s="134"/>
    </row>
    <row r="121" spans="1:34" x14ac:dyDescent="0.2">
      <c r="A121" s="133"/>
      <c r="B121" s="133"/>
      <c r="AH121" s="134"/>
    </row>
    <row r="122" spans="1:34" x14ac:dyDescent="0.2">
      <c r="A122" s="133"/>
      <c r="B122" s="133"/>
      <c r="AH122" s="134"/>
    </row>
    <row r="123" spans="1:34" x14ac:dyDescent="0.2">
      <c r="A123" s="133"/>
      <c r="B123" s="133"/>
      <c r="AH123" s="134"/>
    </row>
    <row r="124" spans="1:34" x14ac:dyDescent="0.2">
      <c r="A124" s="133"/>
      <c r="B124" s="133"/>
      <c r="AH124" s="134"/>
    </row>
    <row r="125" spans="1:34" x14ac:dyDescent="0.2">
      <c r="A125" s="133"/>
      <c r="B125" s="133"/>
      <c r="AH125" s="134"/>
    </row>
    <row r="126" spans="1:34" x14ac:dyDescent="0.2">
      <c r="A126" s="133"/>
      <c r="B126" s="133"/>
      <c r="AH126" s="134"/>
    </row>
    <row r="127" spans="1:34" x14ac:dyDescent="0.2">
      <c r="A127" s="133"/>
      <c r="B127" s="133"/>
      <c r="AH127" s="134"/>
    </row>
    <row r="128" spans="1:34" x14ac:dyDescent="0.2">
      <c r="A128" s="133"/>
      <c r="B128" s="133"/>
      <c r="AH128" s="134"/>
    </row>
    <row r="129" spans="1:34" x14ac:dyDescent="0.2">
      <c r="A129" s="133"/>
      <c r="B129" s="133"/>
      <c r="AH129" s="134"/>
    </row>
    <row r="130" spans="1:34" x14ac:dyDescent="0.2">
      <c r="A130" s="133"/>
      <c r="B130" s="133"/>
      <c r="AH130" s="134"/>
    </row>
    <row r="131" spans="1:34" x14ac:dyDescent="0.2">
      <c r="A131" s="133"/>
      <c r="B131" s="133"/>
      <c r="AH131" s="134"/>
    </row>
    <row r="132" spans="1:34" x14ac:dyDescent="0.2">
      <c r="A132" s="133"/>
      <c r="B132" s="133"/>
      <c r="AH132" s="134"/>
    </row>
    <row r="133" spans="1:34" x14ac:dyDescent="0.2">
      <c r="A133" s="133"/>
      <c r="B133" s="133"/>
      <c r="AH133" s="134"/>
    </row>
    <row r="134" spans="1:34" x14ac:dyDescent="0.2">
      <c r="A134" s="133"/>
      <c r="B134" s="133"/>
      <c r="AH134" s="134"/>
    </row>
    <row r="135" spans="1:34" x14ac:dyDescent="0.2">
      <c r="A135" s="133"/>
      <c r="B135" s="133"/>
      <c r="AH135" s="134"/>
    </row>
    <row r="136" spans="1:34" x14ac:dyDescent="0.2">
      <c r="A136" s="133"/>
      <c r="B136" s="133"/>
      <c r="AH136" s="134"/>
    </row>
    <row r="137" spans="1:34" x14ac:dyDescent="0.2">
      <c r="A137" s="133"/>
      <c r="B137" s="133"/>
      <c r="AH137" s="134"/>
    </row>
    <row r="138" spans="1:34" x14ac:dyDescent="0.2">
      <c r="A138" s="133"/>
      <c r="B138" s="133"/>
      <c r="AH138" s="134"/>
    </row>
    <row r="139" spans="1:34" x14ac:dyDescent="0.2">
      <c r="A139" s="133"/>
      <c r="B139" s="133"/>
      <c r="AH139" s="134"/>
    </row>
    <row r="140" spans="1:34" x14ac:dyDescent="0.2">
      <c r="A140" s="133"/>
      <c r="B140" s="133"/>
      <c r="AH140" s="134"/>
    </row>
    <row r="141" spans="1:34" x14ac:dyDescent="0.2">
      <c r="A141" s="133"/>
      <c r="B141" s="133"/>
      <c r="AH141" s="134"/>
    </row>
    <row r="142" spans="1:34" x14ac:dyDescent="0.2">
      <c r="A142" s="133"/>
      <c r="B142" s="133"/>
      <c r="AH142" s="134"/>
    </row>
    <row r="143" spans="1:34" x14ac:dyDescent="0.2">
      <c r="A143" s="133"/>
      <c r="B143" s="133"/>
      <c r="AH143" s="134"/>
    </row>
    <row r="144" spans="1:34" x14ac:dyDescent="0.2">
      <c r="A144" s="133"/>
      <c r="B144" s="133"/>
      <c r="AH144" s="134"/>
    </row>
    <row r="145" spans="1:34" x14ac:dyDescent="0.2">
      <c r="A145" s="133"/>
      <c r="B145" s="133"/>
      <c r="AH145" s="134"/>
    </row>
    <row r="146" spans="1:34" x14ac:dyDescent="0.2">
      <c r="A146" s="133"/>
      <c r="B146" s="133"/>
      <c r="AH146" s="134"/>
    </row>
    <row r="147" spans="1:34" x14ac:dyDescent="0.2">
      <c r="A147" s="133"/>
      <c r="B147" s="133"/>
      <c r="AH147" s="134"/>
    </row>
    <row r="148" spans="1:34" x14ac:dyDescent="0.2">
      <c r="A148" s="133"/>
      <c r="B148" s="133"/>
      <c r="AH148" s="134"/>
    </row>
    <row r="149" spans="1:34" x14ac:dyDescent="0.2">
      <c r="A149" s="133"/>
      <c r="B149" s="133"/>
      <c r="AH149" s="134"/>
    </row>
    <row r="150" spans="1:34" x14ac:dyDescent="0.2">
      <c r="A150" s="133"/>
      <c r="B150" s="133"/>
      <c r="AH150" s="134"/>
    </row>
    <row r="151" spans="1:34" x14ac:dyDescent="0.2">
      <c r="A151" s="133"/>
      <c r="B151" s="133"/>
      <c r="AH151" s="134"/>
    </row>
    <row r="152" spans="1:34" x14ac:dyDescent="0.2">
      <c r="A152" s="133"/>
      <c r="B152" s="133"/>
      <c r="AH152" s="134"/>
    </row>
    <row r="153" spans="1:34" x14ac:dyDescent="0.2">
      <c r="A153" s="133"/>
      <c r="B153" s="133"/>
      <c r="AH153" s="134"/>
    </row>
    <row r="154" spans="1:34" x14ac:dyDescent="0.2">
      <c r="A154" s="133"/>
      <c r="B154" s="133"/>
      <c r="AH154" s="134"/>
    </row>
    <row r="155" spans="1:34" x14ac:dyDescent="0.2">
      <c r="A155" s="133"/>
      <c r="B155" s="133"/>
      <c r="AH155" s="134"/>
    </row>
    <row r="156" spans="1:34" x14ac:dyDescent="0.2">
      <c r="A156" s="133"/>
      <c r="B156" s="133"/>
      <c r="AH156" s="134"/>
    </row>
    <row r="157" spans="1:34" x14ac:dyDescent="0.2">
      <c r="A157" s="133"/>
      <c r="B157" s="133"/>
      <c r="AH157" s="134"/>
    </row>
    <row r="158" spans="1:34" x14ac:dyDescent="0.2">
      <c r="A158" s="133"/>
      <c r="B158" s="133"/>
      <c r="AH158" s="134"/>
    </row>
    <row r="159" spans="1:34" x14ac:dyDescent="0.2">
      <c r="A159" s="133"/>
      <c r="B159" s="133"/>
      <c r="AH159" s="134"/>
    </row>
    <row r="160" spans="1:34" x14ac:dyDescent="0.2">
      <c r="A160" s="133"/>
      <c r="B160" s="133"/>
      <c r="AH160" s="134"/>
    </row>
    <row r="161" spans="1:34" x14ac:dyDescent="0.2">
      <c r="A161" s="133"/>
      <c r="B161" s="133"/>
      <c r="AH161" s="134"/>
    </row>
    <row r="162" spans="1:34" x14ac:dyDescent="0.2">
      <c r="A162" s="133"/>
      <c r="B162" s="133"/>
      <c r="AH162" s="134"/>
    </row>
    <row r="163" spans="1:34" x14ac:dyDescent="0.2">
      <c r="A163" s="133"/>
      <c r="B163" s="133"/>
      <c r="AH163" s="134"/>
    </row>
    <row r="164" spans="1:34" x14ac:dyDescent="0.2">
      <c r="A164" s="133"/>
      <c r="B164" s="133"/>
      <c r="AH164" s="134"/>
    </row>
    <row r="165" spans="1:34" x14ac:dyDescent="0.2">
      <c r="A165" s="133"/>
      <c r="B165" s="133"/>
      <c r="AH165" s="134"/>
    </row>
    <row r="166" spans="1:34" x14ac:dyDescent="0.2">
      <c r="A166" s="133"/>
      <c r="B166" s="133"/>
      <c r="AH166" s="134"/>
    </row>
    <row r="167" spans="1:34" x14ac:dyDescent="0.2">
      <c r="A167" s="133"/>
      <c r="B167" s="133"/>
      <c r="AH167" s="134"/>
    </row>
    <row r="168" spans="1:34" x14ac:dyDescent="0.2">
      <c r="A168" s="133"/>
      <c r="B168" s="133"/>
      <c r="AH168" s="134"/>
    </row>
    <row r="169" spans="1:34" x14ac:dyDescent="0.2">
      <c r="A169" s="133"/>
      <c r="B169" s="133"/>
      <c r="AH169" s="134"/>
    </row>
    <row r="170" spans="1:34" x14ac:dyDescent="0.2">
      <c r="A170" s="133"/>
      <c r="B170" s="133"/>
      <c r="AH170" s="134"/>
    </row>
    <row r="171" spans="1:34" x14ac:dyDescent="0.2">
      <c r="A171" s="133"/>
      <c r="B171" s="133"/>
      <c r="AH171" s="134"/>
    </row>
    <row r="172" spans="1:34" x14ac:dyDescent="0.2">
      <c r="A172" s="133"/>
      <c r="B172" s="133"/>
      <c r="AH172" s="134"/>
    </row>
    <row r="173" spans="1:34" x14ac:dyDescent="0.2">
      <c r="A173" s="133"/>
      <c r="B173" s="133"/>
      <c r="AH173" s="134"/>
    </row>
    <row r="174" spans="1:34" x14ac:dyDescent="0.2">
      <c r="A174" s="133"/>
      <c r="B174" s="133"/>
      <c r="AH174" s="134"/>
    </row>
    <row r="175" spans="1:34" x14ac:dyDescent="0.2">
      <c r="A175" s="133"/>
      <c r="B175" s="133"/>
      <c r="AH175" s="134"/>
    </row>
    <row r="176" spans="1:34" x14ac:dyDescent="0.2">
      <c r="A176" s="133"/>
      <c r="B176" s="133"/>
      <c r="AH176" s="134"/>
    </row>
    <row r="177" spans="1:34" x14ac:dyDescent="0.2">
      <c r="A177" s="133"/>
      <c r="B177" s="133"/>
      <c r="AH177" s="134"/>
    </row>
    <row r="178" spans="1:34" x14ac:dyDescent="0.2">
      <c r="A178" s="133"/>
      <c r="B178" s="133"/>
      <c r="AH178" s="134"/>
    </row>
    <row r="179" spans="1:34" x14ac:dyDescent="0.2">
      <c r="A179" s="133"/>
      <c r="B179" s="133"/>
      <c r="AH179" s="134"/>
    </row>
    <row r="180" spans="1:34" x14ac:dyDescent="0.2">
      <c r="A180" s="133"/>
      <c r="B180" s="133"/>
      <c r="AH180" s="134"/>
    </row>
    <row r="181" spans="1:34" x14ac:dyDescent="0.2">
      <c r="A181" s="133"/>
      <c r="B181" s="133"/>
      <c r="AH181" s="134"/>
    </row>
    <row r="182" spans="1:34" x14ac:dyDescent="0.2">
      <c r="A182" s="133"/>
      <c r="B182" s="133"/>
      <c r="AH182" s="134"/>
    </row>
    <row r="183" spans="1:34" x14ac:dyDescent="0.2">
      <c r="A183" s="133"/>
      <c r="B183" s="133"/>
      <c r="AH183" s="134"/>
    </row>
    <row r="184" spans="1:34" x14ac:dyDescent="0.2">
      <c r="A184" s="133"/>
      <c r="B184" s="133"/>
      <c r="AH184" s="134"/>
    </row>
    <row r="185" spans="1:34" x14ac:dyDescent="0.2">
      <c r="A185" s="133"/>
      <c r="B185" s="133"/>
      <c r="AH185" s="134"/>
    </row>
    <row r="186" spans="1:34" x14ac:dyDescent="0.2">
      <c r="A186" s="133"/>
      <c r="B186" s="133"/>
      <c r="AH186" s="134"/>
    </row>
    <row r="187" spans="1:34" x14ac:dyDescent="0.2">
      <c r="A187" s="133"/>
      <c r="B187" s="133"/>
      <c r="AH187" s="134"/>
    </row>
    <row r="188" spans="1:34" x14ac:dyDescent="0.2">
      <c r="A188" s="133"/>
      <c r="B188" s="133"/>
      <c r="AH188" s="134"/>
    </row>
    <row r="189" spans="1:34" x14ac:dyDescent="0.2">
      <c r="A189" s="133"/>
      <c r="B189" s="133"/>
      <c r="AH189" s="134"/>
    </row>
    <row r="190" spans="1:34" x14ac:dyDescent="0.2">
      <c r="A190" s="133"/>
      <c r="B190" s="133"/>
      <c r="AH190" s="134"/>
    </row>
    <row r="191" spans="1:34" x14ac:dyDescent="0.2">
      <c r="A191" s="133"/>
      <c r="B191" s="133"/>
      <c r="AH191" s="134"/>
    </row>
    <row r="192" spans="1:34" x14ac:dyDescent="0.2">
      <c r="A192" s="133"/>
      <c r="B192" s="133"/>
      <c r="AH192" s="134"/>
    </row>
    <row r="193" spans="1:34" x14ac:dyDescent="0.2">
      <c r="A193" s="133"/>
      <c r="B193" s="133"/>
      <c r="AH193" s="134"/>
    </row>
    <row r="194" spans="1:34" x14ac:dyDescent="0.2">
      <c r="A194" s="133"/>
      <c r="B194" s="133"/>
      <c r="AH194" s="134"/>
    </row>
    <row r="195" spans="1:34" x14ac:dyDescent="0.2">
      <c r="A195" s="133"/>
      <c r="B195" s="133"/>
      <c r="AH195" s="134"/>
    </row>
    <row r="196" spans="1:34" x14ac:dyDescent="0.2">
      <c r="A196" s="133"/>
      <c r="B196" s="133"/>
      <c r="AH196" s="134"/>
    </row>
    <row r="197" spans="1:34" x14ac:dyDescent="0.2">
      <c r="A197" s="133"/>
      <c r="B197" s="133"/>
      <c r="AH197" s="134"/>
    </row>
    <row r="198" spans="1:34" x14ac:dyDescent="0.2">
      <c r="A198" s="133"/>
      <c r="B198" s="133"/>
      <c r="AH198" s="134"/>
    </row>
    <row r="199" spans="1:34" x14ac:dyDescent="0.2">
      <c r="A199" s="133"/>
      <c r="B199" s="133"/>
      <c r="AH199" s="134"/>
    </row>
    <row r="200" spans="1:34" x14ac:dyDescent="0.2">
      <c r="A200" s="133"/>
      <c r="B200" s="133"/>
      <c r="AH200" s="134"/>
    </row>
    <row r="201" spans="1:34" x14ac:dyDescent="0.2">
      <c r="A201" s="133"/>
      <c r="B201" s="133"/>
      <c r="AH201" s="134"/>
    </row>
    <row r="202" spans="1:34" x14ac:dyDescent="0.2">
      <c r="A202" s="133"/>
      <c r="B202" s="133"/>
      <c r="AH202" s="134"/>
    </row>
    <row r="203" spans="1:34" x14ac:dyDescent="0.2">
      <c r="A203" s="133"/>
      <c r="B203" s="133"/>
      <c r="AH203" s="134"/>
    </row>
    <row r="204" spans="1:34" x14ac:dyDescent="0.2">
      <c r="A204" s="133"/>
      <c r="B204" s="133"/>
      <c r="AH204" s="134"/>
    </row>
    <row r="205" spans="1:34" x14ac:dyDescent="0.2">
      <c r="A205" s="133"/>
      <c r="B205" s="133"/>
      <c r="AH205" s="134"/>
    </row>
    <row r="206" spans="1:34" x14ac:dyDescent="0.2">
      <c r="A206" s="133"/>
      <c r="B206" s="133"/>
      <c r="AH206" s="134"/>
    </row>
    <row r="207" spans="1:34" x14ac:dyDescent="0.2">
      <c r="A207" s="133"/>
      <c r="B207" s="133"/>
      <c r="AH207" s="134"/>
    </row>
    <row r="208" spans="1:34" x14ac:dyDescent="0.2">
      <c r="A208" s="133"/>
      <c r="B208" s="133"/>
      <c r="AH208" s="134"/>
    </row>
    <row r="209" spans="1:34" x14ac:dyDescent="0.2">
      <c r="A209" s="133"/>
      <c r="B209" s="133"/>
      <c r="AH209" s="134"/>
    </row>
    <row r="210" spans="1:34" x14ac:dyDescent="0.2">
      <c r="A210" s="133"/>
      <c r="B210" s="133"/>
      <c r="AH210" s="134"/>
    </row>
    <row r="211" spans="1:34" x14ac:dyDescent="0.2">
      <c r="A211" s="133"/>
      <c r="B211" s="133"/>
      <c r="AH211" s="134"/>
    </row>
    <row r="212" spans="1:34" x14ac:dyDescent="0.2">
      <c r="A212" s="133"/>
      <c r="B212" s="133"/>
      <c r="AH212" s="134"/>
    </row>
    <row r="213" spans="1:34" x14ac:dyDescent="0.2">
      <c r="A213" s="133"/>
      <c r="B213" s="133"/>
      <c r="AH213" s="134"/>
    </row>
    <row r="214" spans="1:34" x14ac:dyDescent="0.2">
      <c r="A214" s="133"/>
      <c r="B214" s="133"/>
      <c r="AH214" s="134"/>
    </row>
    <row r="215" spans="1:34" x14ac:dyDescent="0.2">
      <c r="A215" s="133"/>
      <c r="B215" s="133"/>
      <c r="AH215" s="134"/>
    </row>
    <row r="216" spans="1:34" x14ac:dyDescent="0.2">
      <c r="A216" s="133"/>
      <c r="B216" s="133"/>
      <c r="AH216" s="134"/>
    </row>
    <row r="217" spans="1:34" x14ac:dyDescent="0.2">
      <c r="A217" s="133"/>
      <c r="B217" s="133"/>
      <c r="AH217" s="134"/>
    </row>
    <row r="218" spans="1:34" x14ac:dyDescent="0.2">
      <c r="A218" s="133"/>
      <c r="B218" s="133"/>
      <c r="AH218" s="134"/>
    </row>
    <row r="219" spans="1:34" x14ac:dyDescent="0.2">
      <c r="A219" s="133"/>
      <c r="B219" s="133"/>
      <c r="AH219" s="134"/>
    </row>
    <row r="220" spans="1:34" x14ac:dyDescent="0.2">
      <c r="A220" s="133"/>
      <c r="B220" s="133"/>
      <c r="AH220" s="134"/>
    </row>
    <row r="221" spans="1:34" x14ac:dyDescent="0.2">
      <c r="A221" s="133"/>
      <c r="B221" s="133"/>
      <c r="AH221" s="134"/>
    </row>
    <row r="222" spans="1:34" x14ac:dyDescent="0.2">
      <c r="A222" s="133"/>
      <c r="B222" s="133"/>
      <c r="AH222" s="134"/>
    </row>
    <row r="223" spans="1:34" x14ac:dyDescent="0.2">
      <c r="A223" s="133"/>
      <c r="B223" s="133"/>
      <c r="AH223" s="134"/>
    </row>
    <row r="224" spans="1:34" x14ac:dyDescent="0.2">
      <c r="A224" s="133"/>
      <c r="B224" s="133"/>
      <c r="AH224" s="134"/>
    </row>
    <row r="225" spans="1:34" x14ac:dyDescent="0.2">
      <c r="A225" s="133"/>
      <c r="B225" s="133"/>
      <c r="AH225" s="134"/>
    </row>
    <row r="226" spans="1:34" x14ac:dyDescent="0.2">
      <c r="A226" s="133"/>
      <c r="B226" s="133"/>
      <c r="AH226" s="134"/>
    </row>
    <row r="227" spans="1:34" x14ac:dyDescent="0.2">
      <c r="A227" s="133"/>
      <c r="B227" s="133"/>
      <c r="AH227" s="134"/>
    </row>
    <row r="228" spans="1:34" x14ac:dyDescent="0.2">
      <c r="A228" s="133"/>
      <c r="B228" s="133"/>
      <c r="AH228" s="134"/>
    </row>
    <row r="229" spans="1:34" x14ac:dyDescent="0.2">
      <c r="A229" s="133"/>
      <c r="B229" s="133"/>
      <c r="AH229" s="134"/>
    </row>
    <row r="230" spans="1:34" x14ac:dyDescent="0.2">
      <c r="A230" s="133"/>
      <c r="B230" s="133"/>
      <c r="AH230" s="134"/>
    </row>
    <row r="231" spans="1:34" x14ac:dyDescent="0.2">
      <c r="A231" s="133"/>
      <c r="B231" s="133"/>
      <c r="AH231" s="134"/>
    </row>
    <row r="232" spans="1:34" x14ac:dyDescent="0.2">
      <c r="A232" s="133"/>
      <c r="B232" s="133"/>
      <c r="AH232" s="134"/>
    </row>
    <row r="233" spans="1:34" x14ac:dyDescent="0.2">
      <c r="A233" s="133"/>
      <c r="B233" s="133"/>
      <c r="AH233" s="134"/>
    </row>
    <row r="234" spans="1:34" x14ac:dyDescent="0.2">
      <c r="A234" s="133"/>
      <c r="B234" s="133"/>
      <c r="AH234" s="134"/>
    </row>
    <row r="235" spans="1:34" x14ac:dyDescent="0.2">
      <c r="A235" s="133"/>
      <c r="B235" s="133"/>
      <c r="AH235" s="134"/>
    </row>
    <row r="236" spans="1:34" x14ac:dyDescent="0.2">
      <c r="A236" s="133"/>
      <c r="B236" s="133"/>
      <c r="AH236" s="134"/>
    </row>
    <row r="237" spans="1:34" x14ac:dyDescent="0.2">
      <c r="A237" s="133"/>
      <c r="B237" s="133"/>
      <c r="AH237" s="134"/>
    </row>
    <row r="238" spans="1:34" x14ac:dyDescent="0.2">
      <c r="A238" s="133"/>
      <c r="B238" s="133"/>
      <c r="AH238" s="134"/>
    </row>
    <row r="239" spans="1:34" x14ac:dyDescent="0.2">
      <c r="A239" s="133"/>
      <c r="B239" s="133"/>
      <c r="AH239" s="134"/>
    </row>
    <row r="240" spans="1:34" x14ac:dyDescent="0.2">
      <c r="A240" s="133"/>
      <c r="B240" s="133"/>
      <c r="AH240" s="134"/>
    </row>
    <row r="241" spans="1:34" x14ac:dyDescent="0.2">
      <c r="A241" s="133"/>
      <c r="B241" s="133"/>
      <c r="AH241" s="134"/>
    </row>
    <row r="242" spans="1:34" x14ac:dyDescent="0.2">
      <c r="A242" s="133"/>
      <c r="B242" s="133"/>
      <c r="AH242" s="134"/>
    </row>
    <row r="243" spans="1:34" x14ac:dyDescent="0.2">
      <c r="A243" s="133"/>
      <c r="B243" s="133"/>
      <c r="AH243" s="134"/>
    </row>
    <row r="244" spans="1:34" x14ac:dyDescent="0.2">
      <c r="A244" s="133"/>
      <c r="B244" s="133"/>
      <c r="AH244" s="134"/>
    </row>
    <row r="245" spans="1:34" x14ac:dyDescent="0.2">
      <c r="A245" s="133"/>
      <c r="B245" s="133"/>
      <c r="AH245" s="134"/>
    </row>
    <row r="246" spans="1:34" x14ac:dyDescent="0.2">
      <c r="A246" s="133"/>
      <c r="B246" s="133"/>
      <c r="AH246" s="134"/>
    </row>
    <row r="247" spans="1:34" x14ac:dyDescent="0.2">
      <c r="A247" s="133"/>
      <c r="B247" s="133"/>
      <c r="AH247" s="134"/>
    </row>
    <row r="248" spans="1:34" x14ac:dyDescent="0.2">
      <c r="A248" s="133"/>
      <c r="B248" s="133"/>
      <c r="AH248" s="134"/>
    </row>
    <row r="249" spans="1:34" x14ac:dyDescent="0.2">
      <c r="A249" s="133"/>
      <c r="B249" s="133"/>
      <c r="AH249" s="134"/>
    </row>
    <row r="250" spans="1:34" x14ac:dyDescent="0.2">
      <c r="A250" s="133"/>
      <c r="B250" s="133"/>
      <c r="AH250" s="134"/>
    </row>
    <row r="251" spans="1:34" x14ac:dyDescent="0.2">
      <c r="A251" s="133"/>
      <c r="B251" s="133"/>
      <c r="AH251" s="134"/>
    </row>
    <row r="252" spans="1:34" x14ac:dyDescent="0.2">
      <c r="A252" s="133"/>
      <c r="B252" s="133"/>
      <c r="AH252" s="134"/>
    </row>
    <row r="253" spans="1:34" x14ac:dyDescent="0.2">
      <c r="A253" s="133"/>
      <c r="B253" s="133"/>
      <c r="AH253" s="134"/>
    </row>
    <row r="254" spans="1:34" x14ac:dyDescent="0.2">
      <c r="A254" s="133"/>
      <c r="B254" s="133"/>
      <c r="AH254" s="134"/>
    </row>
    <row r="255" spans="1:34" x14ac:dyDescent="0.2">
      <c r="A255" s="133"/>
      <c r="B255" s="133"/>
      <c r="AH255" s="134"/>
    </row>
    <row r="256" spans="1:34" x14ac:dyDescent="0.2">
      <c r="A256" s="133"/>
      <c r="B256" s="133"/>
      <c r="AH256" s="134"/>
    </row>
    <row r="257" spans="1:34" x14ac:dyDescent="0.2">
      <c r="A257" s="133"/>
      <c r="B257" s="133"/>
      <c r="AH257" s="134"/>
    </row>
    <row r="258" spans="1:34" x14ac:dyDescent="0.2">
      <c r="AH258" s="134"/>
    </row>
    <row r="259" spans="1:34" x14ac:dyDescent="0.2">
      <c r="AH259" s="134"/>
    </row>
    <row r="260" spans="1:34" x14ac:dyDescent="0.2">
      <c r="AH260" s="134"/>
    </row>
    <row r="261" spans="1:34" x14ac:dyDescent="0.2">
      <c r="AH261" s="134"/>
    </row>
    <row r="262" spans="1:34" x14ac:dyDescent="0.2">
      <c r="AH262" s="134"/>
    </row>
    <row r="263" spans="1:34" x14ac:dyDescent="0.2">
      <c r="AH263" s="134"/>
    </row>
    <row r="264" spans="1:34" x14ac:dyDescent="0.2">
      <c r="AH264" s="134"/>
    </row>
    <row r="265" spans="1:34" x14ac:dyDescent="0.2">
      <c r="AH265" s="134"/>
    </row>
    <row r="266" spans="1:34" x14ac:dyDescent="0.2">
      <c r="AH266" s="134"/>
    </row>
    <row r="267" spans="1:34" x14ac:dyDescent="0.2">
      <c r="AH267" s="134"/>
    </row>
    <row r="268" spans="1:34" x14ac:dyDescent="0.2">
      <c r="AH268" s="134"/>
    </row>
    <row r="269" spans="1:34" x14ac:dyDescent="0.2">
      <c r="AH269" s="134"/>
    </row>
    <row r="270" spans="1:34" x14ac:dyDescent="0.2">
      <c r="AH270" s="134"/>
    </row>
    <row r="271" spans="1:34" x14ac:dyDescent="0.2">
      <c r="AH271" s="134"/>
    </row>
    <row r="272" spans="1:34" x14ac:dyDescent="0.2">
      <c r="AH272" s="134"/>
    </row>
    <row r="273" spans="34:34" x14ac:dyDescent="0.2">
      <c r="AH273" s="134"/>
    </row>
    <row r="274" spans="34:34" x14ac:dyDescent="0.2">
      <c r="AH274" s="134"/>
    </row>
    <row r="275" spans="34:34" x14ac:dyDescent="0.2">
      <c r="AH275" s="134"/>
    </row>
    <row r="276" spans="34:34" x14ac:dyDescent="0.2">
      <c r="AH276" s="134"/>
    </row>
    <row r="277" spans="34:34" x14ac:dyDescent="0.2">
      <c r="AH277" s="134"/>
    </row>
    <row r="278" spans="34:34" x14ac:dyDescent="0.2">
      <c r="AH278" s="134"/>
    </row>
    <row r="279" spans="34:34" x14ac:dyDescent="0.2">
      <c r="AH279" s="134"/>
    </row>
    <row r="280" spans="34:34" x14ac:dyDescent="0.2">
      <c r="AH280" s="134"/>
    </row>
    <row r="281" spans="34:34" x14ac:dyDescent="0.2">
      <c r="AH281" s="134"/>
    </row>
    <row r="282" spans="34:34" x14ac:dyDescent="0.2">
      <c r="AH282" s="134"/>
    </row>
    <row r="283" spans="34:34" x14ac:dyDescent="0.2">
      <c r="AH283" s="134"/>
    </row>
    <row r="284" spans="34:34" x14ac:dyDescent="0.2">
      <c r="AH284" s="134"/>
    </row>
    <row r="285" spans="34:34" x14ac:dyDescent="0.2">
      <c r="AH285" s="134"/>
    </row>
    <row r="286" spans="34:34" x14ac:dyDescent="0.2">
      <c r="AH286" s="134"/>
    </row>
    <row r="287" spans="34:34" x14ac:dyDescent="0.2">
      <c r="AH287" s="134"/>
    </row>
    <row r="288" spans="34:34" x14ac:dyDescent="0.2">
      <c r="AH288" s="134"/>
    </row>
    <row r="289" spans="34:34" x14ac:dyDescent="0.2">
      <c r="AH289" s="134"/>
    </row>
    <row r="290" spans="34:34" x14ac:dyDescent="0.2">
      <c r="AH290" s="134"/>
    </row>
    <row r="291" spans="34:34" x14ac:dyDescent="0.2">
      <c r="AH291" s="134"/>
    </row>
    <row r="292" spans="34:34" x14ac:dyDescent="0.2">
      <c r="AH292" s="134"/>
    </row>
    <row r="293" spans="34:34" x14ac:dyDescent="0.2">
      <c r="AH293" s="134"/>
    </row>
    <row r="294" spans="34:34" x14ac:dyDescent="0.2">
      <c r="AH294" s="134"/>
    </row>
    <row r="295" spans="34:34" x14ac:dyDescent="0.2">
      <c r="AH295" s="134"/>
    </row>
    <row r="296" spans="34:34" x14ac:dyDescent="0.2">
      <c r="AH296" s="134"/>
    </row>
    <row r="297" spans="34:34" x14ac:dyDescent="0.2">
      <c r="AH297" s="134"/>
    </row>
    <row r="298" spans="34:34" x14ac:dyDescent="0.2">
      <c r="AH298" s="134"/>
    </row>
    <row r="299" spans="34:34" x14ac:dyDescent="0.2">
      <c r="AH299" s="134"/>
    </row>
    <row r="300" spans="34:34" x14ac:dyDescent="0.2">
      <c r="AH300" s="134"/>
    </row>
    <row r="301" spans="34:34" x14ac:dyDescent="0.2">
      <c r="AH301" s="134"/>
    </row>
    <row r="302" spans="34:34" x14ac:dyDescent="0.2">
      <c r="AH302" s="134"/>
    </row>
    <row r="303" spans="34:34" x14ac:dyDescent="0.2">
      <c r="AH303" s="134"/>
    </row>
    <row r="304" spans="34:34" x14ac:dyDescent="0.2">
      <c r="AH304" s="134"/>
    </row>
    <row r="305" spans="34:34" x14ac:dyDescent="0.2">
      <c r="AH305" s="134"/>
    </row>
    <row r="306" spans="34:34" x14ac:dyDescent="0.2">
      <c r="AH306" s="134"/>
    </row>
    <row r="307" spans="34:34" x14ac:dyDescent="0.2">
      <c r="AH307" s="134"/>
    </row>
    <row r="308" spans="34:34" x14ac:dyDescent="0.2">
      <c r="AH308" s="134"/>
    </row>
    <row r="309" spans="34:34" x14ac:dyDescent="0.2">
      <c r="AH309" s="134"/>
    </row>
    <row r="310" spans="34:34" x14ac:dyDescent="0.2">
      <c r="AH310" s="134"/>
    </row>
    <row r="311" spans="34:34" x14ac:dyDescent="0.2">
      <c r="AH311" s="134"/>
    </row>
    <row r="312" spans="34:34" x14ac:dyDescent="0.2">
      <c r="AH312" s="134"/>
    </row>
    <row r="313" spans="34:34" x14ac:dyDescent="0.2">
      <c r="AH313" s="134"/>
    </row>
    <row r="314" spans="34:34" x14ac:dyDescent="0.2">
      <c r="AH314" s="134"/>
    </row>
    <row r="315" spans="34:34" x14ac:dyDescent="0.2">
      <c r="AH315" s="134"/>
    </row>
    <row r="316" spans="34:34" x14ac:dyDescent="0.2">
      <c r="AH316" s="134"/>
    </row>
    <row r="317" spans="34:34" x14ac:dyDescent="0.2">
      <c r="AH317" s="134"/>
    </row>
    <row r="318" spans="34:34" x14ac:dyDescent="0.2">
      <c r="AH318" s="134"/>
    </row>
    <row r="319" spans="34:34" x14ac:dyDescent="0.2">
      <c r="AH319" s="134"/>
    </row>
    <row r="320" spans="34:34" x14ac:dyDescent="0.2">
      <c r="AH320" s="134"/>
    </row>
    <row r="321" spans="34:34" x14ac:dyDescent="0.2">
      <c r="AH321" s="134"/>
    </row>
    <row r="322" spans="34:34" x14ac:dyDescent="0.2">
      <c r="AH322" s="134"/>
    </row>
    <row r="323" spans="34:34" x14ac:dyDescent="0.2">
      <c r="AH323" s="134"/>
    </row>
    <row r="324" spans="34:34" x14ac:dyDescent="0.2">
      <c r="AH324" s="134"/>
    </row>
    <row r="325" spans="34:34" x14ac:dyDescent="0.2">
      <c r="AH325" s="134"/>
    </row>
    <row r="326" spans="34:34" x14ac:dyDescent="0.2">
      <c r="AH326" s="134"/>
    </row>
    <row r="327" spans="34:34" x14ac:dyDescent="0.2">
      <c r="AH327" s="134"/>
    </row>
    <row r="328" spans="34:34" x14ac:dyDescent="0.2">
      <c r="AH328" s="134"/>
    </row>
    <row r="329" spans="34:34" x14ac:dyDescent="0.2">
      <c r="AH329" s="134"/>
    </row>
    <row r="330" spans="34:34" x14ac:dyDescent="0.2">
      <c r="AH330" s="134"/>
    </row>
    <row r="331" spans="34:34" x14ac:dyDescent="0.2">
      <c r="AH331" s="134"/>
    </row>
    <row r="332" spans="34:34" x14ac:dyDescent="0.2">
      <c r="AH332" s="134"/>
    </row>
    <row r="333" spans="34:34" x14ac:dyDescent="0.2">
      <c r="AH333" s="134"/>
    </row>
    <row r="334" spans="34:34" x14ac:dyDescent="0.2">
      <c r="AH334" s="134"/>
    </row>
    <row r="335" spans="34:34" x14ac:dyDescent="0.2">
      <c r="AH335" s="134"/>
    </row>
    <row r="336" spans="34:34" x14ac:dyDescent="0.2">
      <c r="AH336" s="134"/>
    </row>
    <row r="337" spans="34:34" x14ac:dyDescent="0.2">
      <c r="AH337" s="134"/>
    </row>
    <row r="338" spans="34:34" x14ac:dyDescent="0.2">
      <c r="AH338" s="134"/>
    </row>
    <row r="339" spans="34:34" x14ac:dyDescent="0.2">
      <c r="AH339" s="134"/>
    </row>
    <row r="340" spans="34:34" x14ac:dyDescent="0.2">
      <c r="AH340" s="134"/>
    </row>
    <row r="341" spans="34:34" x14ac:dyDescent="0.2">
      <c r="AH341" s="134"/>
    </row>
    <row r="342" spans="34:34" x14ac:dyDescent="0.2">
      <c r="AH342" s="134"/>
    </row>
    <row r="343" spans="34:34" x14ac:dyDescent="0.2">
      <c r="AH343" s="134"/>
    </row>
    <row r="344" spans="34:34" x14ac:dyDescent="0.2">
      <c r="AH344" s="134"/>
    </row>
    <row r="345" spans="34:34" x14ac:dyDescent="0.2">
      <c r="AH345" s="134"/>
    </row>
    <row r="346" spans="34:34" x14ac:dyDescent="0.2">
      <c r="AH346" s="134"/>
    </row>
    <row r="347" spans="34:34" x14ac:dyDescent="0.2">
      <c r="AH347" s="134"/>
    </row>
    <row r="348" spans="34:34" x14ac:dyDescent="0.2">
      <c r="AH348" s="134"/>
    </row>
    <row r="349" spans="34:34" x14ac:dyDescent="0.2">
      <c r="AH349" s="134"/>
    </row>
    <row r="350" spans="34:34" x14ac:dyDescent="0.2">
      <c r="AH350" s="134"/>
    </row>
    <row r="351" spans="34:34" x14ac:dyDescent="0.2">
      <c r="AH351" s="134"/>
    </row>
    <row r="352" spans="34:34" x14ac:dyDescent="0.2">
      <c r="AH352" s="134"/>
    </row>
    <row r="353" spans="34:34" x14ac:dyDescent="0.2">
      <c r="AH353" s="134"/>
    </row>
    <row r="354" spans="34:34" x14ac:dyDescent="0.2">
      <c r="AH354" s="134"/>
    </row>
    <row r="355" spans="34:34" x14ac:dyDescent="0.2">
      <c r="AH355" s="134"/>
    </row>
    <row r="356" spans="34:34" x14ac:dyDescent="0.2">
      <c r="AH356" s="134"/>
    </row>
    <row r="357" spans="34:34" x14ac:dyDescent="0.2">
      <c r="AH357" s="134"/>
    </row>
    <row r="358" spans="34:34" x14ac:dyDescent="0.2">
      <c r="AH358" s="134"/>
    </row>
    <row r="359" spans="34:34" x14ac:dyDescent="0.2">
      <c r="AH359" s="134"/>
    </row>
    <row r="360" spans="34:34" x14ac:dyDescent="0.2">
      <c r="AH360" s="134"/>
    </row>
    <row r="361" spans="34:34" x14ac:dyDescent="0.2">
      <c r="AH361" s="134"/>
    </row>
    <row r="362" spans="34:34" x14ac:dyDescent="0.2">
      <c r="AH362" s="134"/>
    </row>
    <row r="363" spans="34:34" x14ac:dyDescent="0.2">
      <c r="AH363" s="134"/>
    </row>
    <row r="364" spans="34:34" x14ac:dyDescent="0.2">
      <c r="AH364" s="134"/>
    </row>
    <row r="365" spans="34:34" x14ac:dyDescent="0.2">
      <c r="AH365" s="134"/>
    </row>
    <row r="366" spans="34:34" x14ac:dyDescent="0.2">
      <c r="AH366" s="134"/>
    </row>
    <row r="367" spans="34:34" x14ac:dyDescent="0.2">
      <c r="AH367" s="134"/>
    </row>
    <row r="368" spans="34:34" x14ac:dyDescent="0.2">
      <c r="AH368" s="134"/>
    </row>
    <row r="369" spans="34:34" x14ac:dyDescent="0.2">
      <c r="AH369" s="134"/>
    </row>
    <row r="370" spans="34:34" x14ac:dyDescent="0.2">
      <c r="AH370" s="134"/>
    </row>
    <row r="371" spans="34:34" x14ac:dyDescent="0.2">
      <c r="AH371" s="134"/>
    </row>
    <row r="372" spans="34:34" x14ac:dyDescent="0.2">
      <c r="AH372" s="134"/>
    </row>
    <row r="373" spans="34:34" x14ac:dyDescent="0.2">
      <c r="AH373" s="134"/>
    </row>
    <row r="374" spans="34:34" x14ac:dyDescent="0.2">
      <c r="AH374" s="134"/>
    </row>
    <row r="375" spans="34:34" x14ac:dyDescent="0.2">
      <c r="AH375" s="134"/>
    </row>
    <row r="376" spans="34:34" x14ac:dyDescent="0.2">
      <c r="AH376" s="134"/>
    </row>
    <row r="377" spans="34:34" x14ac:dyDescent="0.2">
      <c r="AH377" s="134"/>
    </row>
    <row r="378" spans="34:34" x14ac:dyDescent="0.2">
      <c r="AH378" s="134"/>
    </row>
    <row r="379" spans="34:34" x14ac:dyDescent="0.2">
      <c r="AH379" s="134"/>
    </row>
    <row r="380" spans="34:34" x14ac:dyDescent="0.2">
      <c r="AH380" s="134"/>
    </row>
    <row r="381" spans="34:34" x14ac:dyDescent="0.2">
      <c r="AH381" s="134"/>
    </row>
    <row r="382" spans="34:34" x14ac:dyDescent="0.2">
      <c r="AH382" s="134"/>
    </row>
    <row r="383" spans="34:34" x14ac:dyDescent="0.2">
      <c r="AH383" s="134"/>
    </row>
    <row r="384" spans="34:34" x14ac:dyDescent="0.2">
      <c r="AH384" s="134"/>
    </row>
    <row r="385" spans="34:34" x14ac:dyDescent="0.2">
      <c r="AH385" s="134"/>
    </row>
    <row r="386" spans="34:34" x14ac:dyDescent="0.2">
      <c r="AH386" s="134"/>
    </row>
    <row r="387" spans="34:34" x14ac:dyDescent="0.2">
      <c r="AH387" s="134"/>
    </row>
    <row r="388" spans="34:34" x14ac:dyDescent="0.2">
      <c r="AH388" s="134"/>
    </row>
    <row r="389" spans="34:34" x14ac:dyDescent="0.2">
      <c r="AH389" s="134"/>
    </row>
    <row r="390" spans="34:34" x14ac:dyDescent="0.2">
      <c r="AH390" s="134"/>
    </row>
    <row r="391" spans="34:34" x14ac:dyDescent="0.2">
      <c r="AH391" s="134"/>
    </row>
    <row r="392" spans="34:34" x14ac:dyDescent="0.2">
      <c r="AH392" s="134"/>
    </row>
    <row r="393" spans="34:34" x14ac:dyDescent="0.2">
      <c r="AH393" s="134"/>
    </row>
    <row r="394" spans="34:34" x14ac:dyDescent="0.2">
      <c r="AH394" s="134"/>
    </row>
    <row r="395" spans="34:34" x14ac:dyDescent="0.2">
      <c r="AH395" s="134"/>
    </row>
    <row r="396" spans="34:34" x14ac:dyDescent="0.2">
      <c r="AH396" s="134"/>
    </row>
    <row r="397" spans="34:34" x14ac:dyDescent="0.2">
      <c r="AH397" s="134"/>
    </row>
    <row r="398" spans="34:34" x14ac:dyDescent="0.2">
      <c r="AH398" s="134"/>
    </row>
    <row r="399" spans="34:34" x14ac:dyDescent="0.2">
      <c r="AH399" s="134"/>
    </row>
    <row r="400" spans="34:34" x14ac:dyDescent="0.2">
      <c r="AH400" s="134"/>
    </row>
    <row r="401" spans="34:34" x14ac:dyDescent="0.2">
      <c r="AH401" s="134"/>
    </row>
    <row r="402" spans="34:34" x14ac:dyDescent="0.2">
      <c r="AH402" s="134"/>
    </row>
    <row r="403" spans="34:34" x14ac:dyDescent="0.2">
      <c r="AH403" s="134"/>
    </row>
    <row r="404" spans="34:34" x14ac:dyDescent="0.2">
      <c r="AH404" s="134"/>
    </row>
    <row r="405" spans="34:34" x14ac:dyDescent="0.2">
      <c r="AH405" s="134"/>
    </row>
    <row r="406" spans="34:34" x14ac:dyDescent="0.2">
      <c r="AH406" s="134"/>
    </row>
    <row r="407" spans="34:34" x14ac:dyDescent="0.2">
      <c r="AH407" s="134"/>
    </row>
    <row r="408" spans="34:34" x14ac:dyDescent="0.2">
      <c r="AH408" s="134"/>
    </row>
    <row r="409" spans="34:34" x14ac:dyDescent="0.2">
      <c r="AH409" s="134"/>
    </row>
    <row r="410" spans="34:34" x14ac:dyDescent="0.2">
      <c r="AH410" s="134"/>
    </row>
    <row r="411" spans="34:34" x14ac:dyDescent="0.2">
      <c r="AH411" s="134"/>
    </row>
    <row r="412" spans="34:34" x14ac:dyDescent="0.2">
      <c r="AH412" s="134"/>
    </row>
    <row r="413" spans="34:34" x14ac:dyDescent="0.2">
      <c r="AH413" s="134"/>
    </row>
    <row r="414" spans="34:34" x14ac:dyDescent="0.2">
      <c r="AH414" s="134"/>
    </row>
    <row r="415" spans="34:34" x14ac:dyDescent="0.2">
      <c r="AH415" s="134"/>
    </row>
    <row r="416" spans="34:34" x14ac:dyDescent="0.2">
      <c r="AH416" s="134"/>
    </row>
    <row r="417" spans="34:34" x14ac:dyDescent="0.2">
      <c r="AH417" s="134"/>
    </row>
    <row r="418" spans="34:34" x14ac:dyDescent="0.2">
      <c r="AH418" s="134"/>
    </row>
    <row r="419" spans="34:34" x14ac:dyDescent="0.2">
      <c r="AH419" s="134"/>
    </row>
    <row r="420" spans="34:34" x14ac:dyDescent="0.2">
      <c r="AH420" s="134"/>
    </row>
    <row r="421" spans="34:34" x14ac:dyDescent="0.2">
      <c r="AH421" s="134"/>
    </row>
    <row r="422" spans="34:34" x14ac:dyDescent="0.2">
      <c r="AH422" s="134"/>
    </row>
    <row r="423" spans="34:34" x14ac:dyDescent="0.2">
      <c r="AH423" s="134"/>
    </row>
    <row r="424" spans="34:34" x14ac:dyDescent="0.2">
      <c r="AH424" s="134"/>
    </row>
    <row r="425" spans="34:34" x14ac:dyDescent="0.2">
      <c r="AH425" s="134"/>
    </row>
    <row r="426" spans="34:34" x14ac:dyDescent="0.2">
      <c r="AH426" s="134"/>
    </row>
    <row r="427" spans="34:34" x14ac:dyDescent="0.2">
      <c r="AH427" s="134"/>
    </row>
    <row r="428" spans="34:34" x14ac:dyDescent="0.2">
      <c r="AH428" s="134"/>
    </row>
    <row r="429" spans="34:34" x14ac:dyDescent="0.2">
      <c r="AH429" s="134"/>
    </row>
    <row r="430" spans="34:34" x14ac:dyDescent="0.2">
      <c r="AH430" s="134"/>
    </row>
    <row r="431" spans="34:34" x14ac:dyDescent="0.2">
      <c r="AH431" s="134"/>
    </row>
    <row r="432" spans="34:34" x14ac:dyDescent="0.2">
      <c r="AH432" s="134"/>
    </row>
    <row r="433" spans="34:34" x14ac:dyDescent="0.2">
      <c r="AH433" s="134"/>
    </row>
    <row r="434" spans="34:34" x14ac:dyDescent="0.2">
      <c r="AH434" s="134"/>
    </row>
    <row r="435" spans="34:34" x14ac:dyDescent="0.2">
      <c r="AH435" s="134"/>
    </row>
    <row r="436" spans="34:34" x14ac:dyDescent="0.2">
      <c r="AH436" s="134"/>
    </row>
    <row r="437" spans="34:34" x14ac:dyDescent="0.2">
      <c r="AH437" s="134"/>
    </row>
    <row r="438" spans="34:34" x14ac:dyDescent="0.2">
      <c r="AH438" s="134"/>
    </row>
    <row r="439" spans="34:34" x14ac:dyDescent="0.2">
      <c r="AH439" s="134"/>
    </row>
    <row r="440" spans="34:34" x14ac:dyDescent="0.2">
      <c r="AH440" s="134"/>
    </row>
    <row r="441" spans="34:34" x14ac:dyDescent="0.2">
      <c r="AH441" s="134"/>
    </row>
    <row r="442" spans="34:34" x14ac:dyDescent="0.2">
      <c r="AH442" s="134"/>
    </row>
    <row r="443" spans="34:34" x14ac:dyDescent="0.2">
      <c r="AH443" s="134"/>
    </row>
    <row r="444" spans="34:34" x14ac:dyDescent="0.2">
      <c r="AH444" s="134"/>
    </row>
    <row r="445" spans="34:34" x14ac:dyDescent="0.2">
      <c r="AH445" s="134"/>
    </row>
    <row r="446" spans="34:34" x14ac:dyDescent="0.2">
      <c r="AH446" s="134"/>
    </row>
    <row r="447" spans="34:34" x14ac:dyDescent="0.2">
      <c r="AH447" s="134"/>
    </row>
    <row r="448" spans="34:34" x14ac:dyDescent="0.2">
      <c r="AH448" s="134"/>
    </row>
    <row r="449" spans="34:34" x14ac:dyDescent="0.2">
      <c r="AH449" s="134"/>
    </row>
    <row r="450" spans="34:34" x14ac:dyDescent="0.2">
      <c r="AH450" s="134"/>
    </row>
    <row r="451" spans="34:34" x14ac:dyDescent="0.2">
      <c r="AH451" s="134"/>
    </row>
    <row r="452" spans="34:34" x14ac:dyDescent="0.2">
      <c r="AH452" s="134"/>
    </row>
    <row r="453" spans="34:34" x14ac:dyDescent="0.2">
      <c r="AH453" s="134"/>
    </row>
    <row r="454" spans="34:34" x14ac:dyDescent="0.2">
      <c r="AH454" s="134"/>
    </row>
    <row r="455" spans="34:34" x14ac:dyDescent="0.2">
      <c r="AH455" s="134"/>
    </row>
    <row r="456" spans="34:34" x14ac:dyDescent="0.2">
      <c r="AH456" s="134"/>
    </row>
    <row r="457" spans="34:34" x14ac:dyDescent="0.2">
      <c r="AH457" s="134"/>
    </row>
    <row r="458" spans="34:34" x14ac:dyDescent="0.2">
      <c r="AH458" s="134"/>
    </row>
    <row r="459" spans="34:34" x14ac:dyDescent="0.2">
      <c r="AH459" s="134"/>
    </row>
    <row r="460" spans="34:34" x14ac:dyDescent="0.2">
      <c r="AH460" s="134"/>
    </row>
    <row r="461" spans="34:34" x14ac:dyDescent="0.2">
      <c r="AH461" s="134"/>
    </row>
    <row r="462" spans="34:34" x14ac:dyDescent="0.2">
      <c r="AH462" s="134"/>
    </row>
    <row r="463" spans="34:34" x14ac:dyDescent="0.2">
      <c r="AH463" s="134"/>
    </row>
    <row r="464" spans="34:34" x14ac:dyDescent="0.2">
      <c r="AH464" s="134"/>
    </row>
    <row r="465" spans="34:34" x14ac:dyDescent="0.2">
      <c r="AH465" s="134"/>
    </row>
    <row r="466" spans="34:34" x14ac:dyDescent="0.2">
      <c r="AH466" s="134"/>
    </row>
    <row r="467" spans="34:34" x14ac:dyDescent="0.2">
      <c r="AH467" s="134"/>
    </row>
    <row r="468" spans="34:34" x14ac:dyDescent="0.2">
      <c r="AH468" s="134"/>
    </row>
    <row r="469" spans="34:34" x14ac:dyDescent="0.2">
      <c r="AH469" s="134"/>
    </row>
    <row r="470" spans="34:34" x14ac:dyDescent="0.2">
      <c r="AH470" s="134"/>
    </row>
    <row r="471" spans="34:34" x14ac:dyDescent="0.2">
      <c r="AH471" s="134"/>
    </row>
    <row r="472" spans="34:34" x14ac:dyDescent="0.2">
      <c r="AH472" s="134"/>
    </row>
    <row r="473" spans="34:34" x14ac:dyDescent="0.2">
      <c r="AH473" s="134"/>
    </row>
    <row r="474" spans="34:34" x14ac:dyDescent="0.2">
      <c r="AH474" s="134"/>
    </row>
    <row r="475" spans="34:34" x14ac:dyDescent="0.2">
      <c r="AH475" s="134"/>
    </row>
    <row r="476" spans="34:34" x14ac:dyDescent="0.2">
      <c r="AH476" s="134"/>
    </row>
    <row r="477" spans="34:34" x14ac:dyDescent="0.2">
      <c r="AH477" s="134"/>
    </row>
    <row r="478" spans="34:34" x14ac:dyDescent="0.2">
      <c r="AH478" s="134"/>
    </row>
    <row r="479" spans="34:34" x14ac:dyDescent="0.2">
      <c r="AH479" s="134"/>
    </row>
    <row r="480" spans="34:34" x14ac:dyDescent="0.2">
      <c r="AH480" s="134"/>
    </row>
    <row r="481" spans="34:34" x14ac:dyDescent="0.2">
      <c r="AH481" s="134"/>
    </row>
    <row r="482" spans="34:34" x14ac:dyDescent="0.2">
      <c r="AH482" s="134"/>
    </row>
    <row r="483" spans="34:34" x14ac:dyDescent="0.2">
      <c r="AH483" s="134"/>
    </row>
    <row r="484" spans="34:34" x14ac:dyDescent="0.2">
      <c r="AH484" s="134"/>
    </row>
    <row r="485" spans="34:34" x14ac:dyDescent="0.2">
      <c r="AH485" s="134"/>
    </row>
    <row r="486" spans="34:34" x14ac:dyDescent="0.2">
      <c r="AH486" s="134"/>
    </row>
    <row r="487" spans="34:34" x14ac:dyDescent="0.2">
      <c r="AH487" s="134"/>
    </row>
    <row r="488" spans="34:34" x14ac:dyDescent="0.2">
      <c r="AH488" s="134"/>
    </row>
    <row r="489" spans="34:34" x14ac:dyDescent="0.2">
      <c r="AH489" s="134"/>
    </row>
    <row r="490" spans="34:34" x14ac:dyDescent="0.2">
      <c r="AH490" s="134"/>
    </row>
    <row r="491" spans="34:34" x14ac:dyDescent="0.2">
      <c r="AH491" s="134"/>
    </row>
    <row r="492" spans="34:34" x14ac:dyDescent="0.2">
      <c r="AH492" s="134"/>
    </row>
    <row r="493" spans="34:34" x14ac:dyDescent="0.2">
      <c r="AH493" s="134"/>
    </row>
    <row r="494" spans="34:34" x14ac:dyDescent="0.2">
      <c r="AH494" s="134"/>
    </row>
    <row r="495" spans="34:34" x14ac:dyDescent="0.2">
      <c r="AH495" s="134"/>
    </row>
    <row r="496" spans="34:34" x14ac:dyDescent="0.2">
      <c r="AH496" s="134"/>
    </row>
    <row r="497" spans="34:34" x14ac:dyDescent="0.2">
      <c r="AH497" s="134"/>
    </row>
    <row r="498" spans="34:34" x14ac:dyDescent="0.2">
      <c r="AH498" s="134"/>
    </row>
    <row r="499" spans="34:34" x14ac:dyDescent="0.2">
      <c r="AH499" s="134"/>
    </row>
    <row r="500" spans="34:34" x14ac:dyDescent="0.2">
      <c r="AH500" s="134"/>
    </row>
    <row r="501" spans="34:34" x14ac:dyDescent="0.2">
      <c r="AH501" s="134"/>
    </row>
    <row r="502" spans="34:34" x14ac:dyDescent="0.2">
      <c r="AH502" s="134"/>
    </row>
    <row r="503" spans="34:34" x14ac:dyDescent="0.2">
      <c r="AH503" s="134"/>
    </row>
    <row r="504" spans="34:34" x14ac:dyDescent="0.2">
      <c r="AH504" s="134"/>
    </row>
    <row r="505" spans="34:34" x14ac:dyDescent="0.2">
      <c r="AH505" s="134"/>
    </row>
    <row r="506" spans="34:34" x14ac:dyDescent="0.2">
      <c r="AH506" s="134"/>
    </row>
    <row r="507" spans="34:34" x14ac:dyDescent="0.2">
      <c r="AH507" s="134"/>
    </row>
    <row r="508" spans="34:34" x14ac:dyDescent="0.2">
      <c r="AH508" s="134"/>
    </row>
    <row r="509" spans="34:34" x14ac:dyDescent="0.2">
      <c r="AH509" s="134"/>
    </row>
    <row r="510" spans="34:34" x14ac:dyDescent="0.2">
      <c r="AH510" s="134"/>
    </row>
    <row r="511" spans="34:34" x14ac:dyDescent="0.2">
      <c r="AH511" s="134"/>
    </row>
    <row r="512" spans="34:34" x14ac:dyDescent="0.2">
      <c r="AH512" s="134"/>
    </row>
    <row r="513" spans="34:34" x14ac:dyDescent="0.2">
      <c r="AH513" s="134"/>
    </row>
    <row r="514" spans="34:34" x14ac:dyDescent="0.2">
      <c r="AH514" s="134"/>
    </row>
    <row r="515" spans="34:34" x14ac:dyDescent="0.2">
      <c r="AH515" s="134"/>
    </row>
    <row r="516" spans="34:34" x14ac:dyDescent="0.2">
      <c r="AH516" s="134"/>
    </row>
    <row r="517" spans="34:34" x14ac:dyDescent="0.2">
      <c r="AH517" s="134"/>
    </row>
    <row r="518" spans="34:34" x14ac:dyDescent="0.2">
      <c r="AH518" s="134"/>
    </row>
    <row r="519" spans="34:34" x14ac:dyDescent="0.2">
      <c r="AH519" s="134"/>
    </row>
    <row r="520" spans="34:34" x14ac:dyDescent="0.2">
      <c r="AH520" s="134"/>
    </row>
    <row r="521" spans="34:34" x14ac:dyDescent="0.2">
      <c r="AH521" s="134"/>
    </row>
    <row r="522" spans="34:34" x14ac:dyDescent="0.2">
      <c r="AH522" s="134"/>
    </row>
    <row r="523" spans="34:34" x14ac:dyDescent="0.2">
      <c r="AH523" s="134"/>
    </row>
    <row r="524" spans="34:34" x14ac:dyDescent="0.2">
      <c r="AH524" s="134"/>
    </row>
    <row r="525" spans="34:34" x14ac:dyDescent="0.2">
      <c r="AH525" s="134"/>
    </row>
    <row r="526" spans="34:34" x14ac:dyDescent="0.2">
      <c r="AH526" s="134"/>
    </row>
    <row r="527" spans="34:34" x14ac:dyDescent="0.2">
      <c r="AH527" s="134"/>
    </row>
    <row r="528" spans="34:34" x14ac:dyDescent="0.2">
      <c r="AH528" s="134"/>
    </row>
    <row r="529" spans="34:34" x14ac:dyDescent="0.2">
      <c r="AH529" s="134"/>
    </row>
    <row r="530" spans="34:34" x14ac:dyDescent="0.2">
      <c r="AH530" s="134"/>
    </row>
    <row r="531" spans="34:34" x14ac:dyDescent="0.2">
      <c r="AH531" s="134"/>
    </row>
    <row r="532" spans="34:34" x14ac:dyDescent="0.2">
      <c r="AH532" s="134"/>
    </row>
    <row r="533" spans="34:34" x14ac:dyDescent="0.2">
      <c r="AH533" s="134"/>
    </row>
    <row r="534" spans="34:34" x14ac:dyDescent="0.2">
      <c r="AH534" s="134"/>
    </row>
    <row r="535" spans="34:34" x14ac:dyDescent="0.2">
      <c r="AH535" s="134"/>
    </row>
    <row r="536" spans="34:34" x14ac:dyDescent="0.2">
      <c r="AH536" s="134"/>
    </row>
    <row r="537" spans="34:34" x14ac:dyDescent="0.2">
      <c r="AH537" s="134"/>
    </row>
    <row r="538" spans="34:34" x14ac:dyDescent="0.2">
      <c r="AH538" s="134"/>
    </row>
    <row r="539" spans="34:34" x14ac:dyDescent="0.2">
      <c r="AH539" s="134"/>
    </row>
    <row r="540" spans="34:34" x14ac:dyDescent="0.2">
      <c r="AH540" s="134"/>
    </row>
    <row r="541" spans="34:34" x14ac:dyDescent="0.2">
      <c r="AH541" s="134"/>
    </row>
    <row r="542" spans="34:34" x14ac:dyDescent="0.2">
      <c r="AH542" s="134"/>
    </row>
    <row r="543" spans="34:34" x14ac:dyDescent="0.2">
      <c r="AH543" s="134"/>
    </row>
    <row r="544" spans="34:34" x14ac:dyDescent="0.2">
      <c r="AH544" s="134"/>
    </row>
    <row r="545" spans="34:34" x14ac:dyDescent="0.2">
      <c r="AH545" s="134"/>
    </row>
    <row r="546" spans="34:34" x14ac:dyDescent="0.2">
      <c r="AH546" s="134"/>
    </row>
    <row r="547" spans="34:34" x14ac:dyDescent="0.2">
      <c r="AH547" s="134"/>
    </row>
    <row r="548" spans="34:34" x14ac:dyDescent="0.2">
      <c r="AH548" s="134"/>
    </row>
    <row r="549" spans="34:34" x14ac:dyDescent="0.2">
      <c r="AH549" s="134"/>
    </row>
    <row r="550" spans="34:34" x14ac:dyDescent="0.2">
      <c r="AH550" s="134"/>
    </row>
    <row r="551" spans="34:34" x14ac:dyDescent="0.2">
      <c r="AH551" s="134"/>
    </row>
    <row r="552" spans="34:34" x14ac:dyDescent="0.2">
      <c r="AH552" s="134"/>
    </row>
    <row r="553" spans="34:34" x14ac:dyDescent="0.2">
      <c r="AH553" s="134"/>
    </row>
    <row r="554" spans="34:34" x14ac:dyDescent="0.2">
      <c r="AH554" s="134"/>
    </row>
    <row r="555" spans="34:34" x14ac:dyDescent="0.2">
      <c r="AH555" s="134"/>
    </row>
    <row r="556" spans="34:34" x14ac:dyDescent="0.2">
      <c r="AH556" s="134"/>
    </row>
    <row r="557" spans="34:34" x14ac:dyDescent="0.2">
      <c r="AH557" s="134"/>
    </row>
    <row r="558" spans="34:34" x14ac:dyDescent="0.2">
      <c r="AH558" s="134"/>
    </row>
    <row r="559" spans="34:34" x14ac:dyDescent="0.2">
      <c r="AH559" s="134"/>
    </row>
    <row r="560" spans="34:34" x14ac:dyDescent="0.2">
      <c r="AH560" s="134"/>
    </row>
    <row r="561" spans="34:34" x14ac:dyDescent="0.2">
      <c r="AH561" s="134"/>
    </row>
    <row r="562" spans="34:34" x14ac:dyDescent="0.2">
      <c r="AH562" s="134"/>
    </row>
    <row r="563" spans="34:34" x14ac:dyDescent="0.2">
      <c r="AH563" s="134"/>
    </row>
    <row r="564" spans="34:34" x14ac:dyDescent="0.2">
      <c r="AH564" s="134"/>
    </row>
    <row r="565" spans="34:34" x14ac:dyDescent="0.2">
      <c r="AH565" s="134"/>
    </row>
    <row r="566" spans="34:34" x14ac:dyDescent="0.2">
      <c r="AH566" s="134"/>
    </row>
    <row r="567" spans="34:34" x14ac:dyDescent="0.2">
      <c r="AH567" s="134"/>
    </row>
    <row r="568" spans="34:34" x14ac:dyDescent="0.2">
      <c r="AH568" s="134"/>
    </row>
    <row r="569" spans="34:34" x14ac:dyDescent="0.2">
      <c r="AH569" s="134"/>
    </row>
    <row r="570" spans="34:34" x14ac:dyDescent="0.2">
      <c r="AH570" s="134"/>
    </row>
    <row r="571" spans="34:34" x14ac:dyDescent="0.2">
      <c r="AH571" s="134"/>
    </row>
    <row r="572" spans="34:34" x14ac:dyDescent="0.2">
      <c r="AH572" s="134"/>
    </row>
    <row r="573" spans="34:34" x14ac:dyDescent="0.2">
      <c r="AH573" s="134"/>
    </row>
    <row r="574" spans="34:34" x14ac:dyDescent="0.2">
      <c r="AH574" s="134"/>
    </row>
    <row r="575" spans="34:34" x14ac:dyDescent="0.2">
      <c r="AH575" s="134"/>
    </row>
    <row r="576" spans="34:34" x14ac:dyDescent="0.2">
      <c r="AH576" s="134"/>
    </row>
    <row r="577" spans="34:34" x14ac:dyDescent="0.2">
      <c r="AH577" s="134"/>
    </row>
    <row r="578" spans="34:34" x14ac:dyDescent="0.2">
      <c r="AH578" s="134"/>
    </row>
    <row r="579" spans="34:34" x14ac:dyDescent="0.2">
      <c r="AH579" s="134"/>
    </row>
    <row r="580" spans="34:34" x14ac:dyDescent="0.2">
      <c r="AH580" s="134"/>
    </row>
    <row r="581" spans="34:34" x14ac:dyDescent="0.2">
      <c r="AH581" s="134"/>
    </row>
    <row r="582" spans="34:34" x14ac:dyDescent="0.2">
      <c r="AH582" s="134"/>
    </row>
    <row r="583" spans="34:34" x14ac:dyDescent="0.2">
      <c r="AH583" s="134"/>
    </row>
    <row r="584" spans="34:34" x14ac:dyDescent="0.2">
      <c r="AH584" s="134"/>
    </row>
    <row r="585" spans="34:34" x14ac:dyDescent="0.2">
      <c r="AH585" s="134"/>
    </row>
    <row r="586" spans="34:34" x14ac:dyDescent="0.2">
      <c r="AH586" s="134"/>
    </row>
    <row r="587" spans="34:34" x14ac:dyDescent="0.2">
      <c r="AH587" s="134"/>
    </row>
    <row r="588" spans="34:34" x14ac:dyDescent="0.2">
      <c r="AH588" s="134"/>
    </row>
    <row r="589" spans="34:34" x14ac:dyDescent="0.2">
      <c r="AH589" s="134"/>
    </row>
    <row r="590" spans="34:34" x14ac:dyDescent="0.2">
      <c r="AH590" s="134"/>
    </row>
    <row r="591" spans="34:34" x14ac:dyDescent="0.2">
      <c r="AH591" s="134"/>
    </row>
    <row r="592" spans="34:34" x14ac:dyDescent="0.2">
      <c r="AH592" s="134"/>
    </row>
    <row r="593" spans="34:34" x14ac:dyDescent="0.2">
      <c r="AH593" s="134"/>
    </row>
    <row r="594" spans="34:34" x14ac:dyDescent="0.2">
      <c r="AH594" s="134"/>
    </row>
    <row r="595" spans="34:34" x14ac:dyDescent="0.2">
      <c r="AH595" s="134"/>
    </row>
    <row r="596" spans="34:34" x14ac:dyDescent="0.2">
      <c r="AH596" s="134"/>
    </row>
    <row r="597" spans="34:34" x14ac:dyDescent="0.2">
      <c r="AH597" s="134"/>
    </row>
    <row r="598" spans="34:34" x14ac:dyDescent="0.2">
      <c r="AH598" s="134"/>
    </row>
    <row r="599" spans="34:34" x14ac:dyDescent="0.2">
      <c r="AH599" s="134"/>
    </row>
    <row r="600" spans="34:34" x14ac:dyDescent="0.2">
      <c r="AH600" s="134"/>
    </row>
    <row r="601" spans="34:34" x14ac:dyDescent="0.2">
      <c r="AH601" s="134"/>
    </row>
    <row r="602" spans="34:34" x14ac:dyDescent="0.2">
      <c r="AH602" s="134"/>
    </row>
    <row r="603" spans="34:34" x14ac:dyDescent="0.2">
      <c r="AH603" s="134"/>
    </row>
    <row r="604" spans="34:34" x14ac:dyDescent="0.2">
      <c r="AH604" s="134"/>
    </row>
    <row r="605" spans="34:34" x14ac:dyDescent="0.2">
      <c r="AH605" s="134"/>
    </row>
    <row r="606" spans="34:34" x14ac:dyDescent="0.2">
      <c r="AH606" s="134"/>
    </row>
    <row r="607" spans="34:34" x14ac:dyDescent="0.2">
      <c r="AH607" s="134"/>
    </row>
    <row r="608" spans="34:34" x14ac:dyDescent="0.2">
      <c r="AH608" s="134"/>
    </row>
    <row r="609" spans="34:34" x14ac:dyDescent="0.2">
      <c r="AH609" s="134"/>
    </row>
    <row r="610" spans="34:34" x14ac:dyDescent="0.2">
      <c r="AH610" s="134"/>
    </row>
    <row r="611" spans="34:34" x14ac:dyDescent="0.2">
      <c r="AH611" s="134"/>
    </row>
    <row r="612" spans="34:34" x14ac:dyDescent="0.2">
      <c r="AH612" s="134"/>
    </row>
    <row r="613" spans="34:34" x14ac:dyDescent="0.2">
      <c r="AH613" s="134"/>
    </row>
    <row r="614" spans="34:34" x14ac:dyDescent="0.2">
      <c r="AH614" s="134"/>
    </row>
    <row r="615" spans="34:34" x14ac:dyDescent="0.2">
      <c r="AH615" s="134"/>
    </row>
    <row r="616" spans="34:34" x14ac:dyDescent="0.2">
      <c r="AH616" s="134"/>
    </row>
    <row r="617" spans="34:34" x14ac:dyDescent="0.2">
      <c r="AH617" s="134"/>
    </row>
    <row r="618" spans="34:34" x14ac:dyDescent="0.2">
      <c r="AH618" s="134"/>
    </row>
    <row r="619" spans="34:34" x14ac:dyDescent="0.2">
      <c r="AH619" s="134"/>
    </row>
    <row r="620" spans="34:34" x14ac:dyDescent="0.2">
      <c r="AH620" s="134"/>
    </row>
    <row r="621" spans="34:34" x14ac:dyDescent="0.2">
      <c r="AH621" s="134"/>
    </row>
    <row r="622" spans="34:34" x14ac:dyDescent="0.2">
      <c r="AH622" s="134"/>
    </row>
    <row r="623" spans="34:34" x14ac:dyDescent="0.2">
      <c r="AH623" s="134"/>
    </row>
    <row r="624" spans="34:34" x14ac:dyDescent="0.2">
      <c r="AH624" s="134"/>
    </row>
    <row r="625" spans="34:34" x14ac:dyDescent="0.2">
      <c r="AH625" s="134"/>
    </row>
    <row r="626" spans="34:34" x14ac:dyDescent="0.2">
      <c r="AH626" s="134"/>
    </row>
    <row r="627" spans="34:34" x14ac:dyDescent="0.2">
      <c r="AH627" s="134"/>
    </row>
    <row r="628" spans="34:34" x14ac:dyDescent="0.2">
      <c r="AH628" s="134"/>
    </row>
    <row r="629" spans="34:34" x14ac:dyDescent="0.2">
      <c r="AH629" s="134"/>
    </row>
    <row r="630" spans="34:34" x14ac:dyDescent="0.2">
      <c r="AH630" s="134"/>
    </row>
    <row r="631" spans="34:34" x14ac:dyDescent="0.2">
      <c r="AH631" s="134"/>
    </row>
    <row r="632" spans="34:34" x14ac:dyDescent="0.2">
      <c r="AH632" s="134"/>
    </row>
    <row r="633" spans="34:34" x14ac:dyDescent="0.2">
      <c r="AH633" s="134"/>
    </row>
    <row r="634" spans="34:34" x14ac:dyDescent="0.2">
      <c r="AH634" s="134"/>
    </row>
    <row r="635" spans="34:34" x14ac:dyDescent="0.2">
      <c r="AH635" s="134"/>
    </row>
    <row r="636" spans="34:34" x14ac:dyDescent="0.2">
      <c r="AH636" s="134"/>
    </row>
    <row r="637" spans="34:34" x14ac:dyDescent="0.2">
      <c r="AH637" s="134"/>
    </row>
    <row r="638" spans="34:34" x14ac:dyDescent="0.2">
      <c r="AH638" s="134"/>
    </row>
    <row r="639" spans="34:34" x14ac:dyDescent="0.2">
      <c r="AH639" s="134"/>
    </row>
    <row r="640" spans="34:34" x14ac:dyDescent="0.2">
      <c r="AH640" s="134"/>
    </row>
    <row r="641" spans="34:34" x14ac:dyDescent="0.2">
      <c r="AH641" s="134"/>
    </row>
    <row r="642" spans="34:34" x14ac:dyDescent="0.2">
      <c r="AH642" s="134"/>
    </row>
    <row r="643" spans="34:34" x14ac:dyDescent="0.2">
      <c r="AH643" s="134"/>
    </row>
    <row r="644" spans="34:34" x14ac:dyDescent="0.2">
      <c r="AH644" s="134"/>
    </row>
    <row r="645" spans="34:34" x14ac:dyDescent="0.2">
      <c r="AH645" s="134"/>
    </row>
    <row r="646" spans="34:34" x14ac:dyDescent="0.2">
      <c r="AH646" s="134"/>
    </row>
    <row r="647" spans="34:34" x14ac:dyDescent="0.2">
      <c r="AH647" s="134"/>
    </row>
    <row r="648" spans="34:34" x14ac:dyDescent="0.2">
      <c r="AH648" s="134"/>
    </row>
    <row r="649" spans="34:34" x14ac:dyDescent="0.2">
      <c r="AH649" s="134"/>
    </row>
    <row r="650" spans="34:34" x14ac:dyDescent="0.2">
      <c r="AH650" s="134"/>
    </row>
    <row r="651" spans="34:34" x14ac:dyDescent="0.2">
      <c r="AH651" s="134"/>
    </row>
    <row r="652" spans="34:34" x14ac:dyDescent="0.2">
      <c r="AH652" s="134"/>
    </row>
    <row r="653" spans="34:34" x14ac:dyDescent="0.2">
      <c r="AH653" s="134"/>
    </row>
    <row r="654" spans="34:34" x14ac:dyDescent="0.2">
      <c r="AH654" s="134"/>
    </row>
    <row r="655" spans="34:34" x14ac:dyDescent="0.2">
      <c r="AH655" s="134"/>
    </row>
    <row r="656" spans="34:34" x14ac:dyDescent="0.2">
      <c r="AH656" s="134"/>
    </row>
    <row r="657" spans="34:34" x14ac:dyDescent="0.2">
      <c r="AH657" s="134"/>
    </row>
    <row r="658" spans="34:34" x14ac:dyDescent="0.2">
      <c r="AH658" s="134"/>
    </row>
    <row r="659" spans="34:34" x14ac:dyDescent="0.2">
      <c r="AH659" s="134"/>
    </row>
    <row r="660" spans="34:34" x14ac:dyDescent="0.2">
      <c r="AH660" s="134"/>
    </row>
    <row r="661" spans="34:34" x14ac:dyDescent="0.2">
      <c r="AH661" s="134"/>
    </row>
    <row r="662" spans="34:34" x14ac:dyDescent="0.2">
      <c r="AH662" s="134"/>
    </row>
    <row r="663" spans="34:34" x14ac:dyDescent="0.2">
      <c r="AH663" s="134"/>
    </row>
    <row r="664" spans="34:34" x14ac:dyDescent="0.2">
      <c r="AH664" s="134"/>
    </row>
    <row r="665" spans="34:34" x14ac:dyDescent="0.2">
      <c r="AH665" s="134"/>
    </row>
    <row r="666" spans="34:34" x14ac:dyDescent="0.2">
      <c r="AH666" s="134"/>
    </row>
    <row r="667" spans="34:34" x14ac:dyDescent="0.2">
      <c r="AH667" s="134"/>
    </row>
    <row r="668" spans="34:34" x14ac:dyDescent="0.2">
      <c r="AH668" s="134"/>
    </row>
    <row r="669" spans="34:34" x14ac:dyDescent="0.2">
      <c r="AH669" s="134"/>
    </row>
    <row r="670" spans="34:34" x14ac:dyDescent="0.2">
      <c r="AH670" s="134"/>
    </row>
    <row r="671" spans="34:34" x14ac:dyDescent="0.2">
      <c r="AH671" s="134"/>
    </row>
    <row r="672" spans="34:34" x14ac:dyDescent="0.2">
      <c r="AH672" s="134"/>
    </row>
    <row r="673" spans="34:34" x14ac:dyDescent="0.2">
      <c r="AH673" s="134"/>
    </row>
    <row r="674" spans="34:34" x14ac:dyDescent="0.2">
      <c r="AH674" s="134"/>
    </row>
    <row r="675" spans="34:34" x14ac:dyDescent="0.2">
      <c r="AH675" s="134"/>
    </row>
    <row r="676" spans="34:34" x14ac:dyDescent="0.2">
      <c r="AH676" s="134"/>
    </row>
    <row r="677" spans="34:34" x14ac:dyDescent="0.2">
      <c r="AH677" s="134"/>
    </row>
    <row r="678" spans="34:34" x14ac:dyDescent="0.2">
      <c r="AH678" s="134"/>
    </row>
    <row r="679" spans="34:34" x14ac:dyDescent="0.2">
      <c r="AH679" s="134"/>
    </row>
    <row r="680" spans="34:34" x14ac:dyDescent="0.2">
      <c r="AH680" s="134"/>
    </row>
    <row r="681" spans="34:34" x14ac:dyDescent="0.2">
      <c r="AH681" s="134"/>
    </row>
    <row r="682" spans="34:34" x14ac:dyDescent="0.2">
      <c r="AH682" s="134"/>
    </row>
    <row r="683" spans="34:34" x14ac:dyDescent="0.2">
      <c r="AH683" s="134"/>
    </row>
    <row r="684" spans="34:34" x14ac:dyDescent="0.2">
      <c r="AH684" s="134"/>
    </row>
    <row r="685" spans="34:34" x14ac:dyDescent="0.2">
      <c r="AH685" s="134"/>
    </row>
    <row r="686" spans="34:34" x14ac:dyDescent="0.2">
      <c r="AH686" s="134"/>
    </row>
    <row r="687" spans="34:34" x14ac:dyDescent="0.2">
      <c r="AH687" s="134"/>
    </row>
    <row r="688" spans="34:34" x14ac:dyDescent="0.2">
      <c r="AH688" s="134"/>
    </row>
    <row r="689" spans="34:34" x14ac:dyDescent="0.2">
      <c r="AH689" s="134"/>
    </row>
    <row r="690" spans="34:34" x14ac:dyDescent="0.2">
      <c r="AH690" s="134"/>
    </row>
    <row r="691" spans="34:34" x14ac:dyDescent="0.2">
      <c r="AH691" s="134"/>
    </row>
    <row r="692" spans="34:34" x14ac:dyDescent="0.2">
      <c r="AH692" s="134"/>
    </row>
    <row r="693" spans="34:34" x14ac:dyDescent="0.2">
      <c r="AH693" s="134"/>
    </row>
    <row r="694" spans="34:34" x14ac:dyDescent="0.2">
      <c r="AH694" s="134"/>
    </row>
    <row r="695" spans="34:34" x14ac:dyDescent="0.2">
      <c r="AH695" s="134"/>
    </row>
    <row r="696" spans="34:34" x14ac:dyDescent="0.2">
      <c r="AH696" s="134"/>
    </row>
    <row r="697" spans="34:34" x14ac:dyDescent="0.2">
      <c r="AH697" s="134"/>
    </row>
    <row r="698" spans="34:34" x14ac:dyDescent="0.2">
      <c r="AH698" s="134"/>
    </row>
    <row r="699" spans="34:34" x14ac:dyDescent="0.2">
      <c r="AH699" s="134"/>
    </row>
    <row r="700" spans="34:34" x14ac:dyDescent="0.2">
      <c r="AH700" s="134"/>
    </row>
    <row r="701" spans="34:34" x14ac:dyDescent="0.2">
      <c r="AH701" s="134"/>
    </row>
    <row r="702" spans="34:34" x14ac:dyDescent="0.2">
      <c r="AH702" s="134"/>
    </row>
    <row r="703" spans="34:34" x14ac:dyDescent="0.2">
      <c r="AH703" s="134"/>
    </row>
    <row r="704" spans="34:34" x14ac:dyDescent="0.2">
      <c r="AH704" s="134"/>
    </row>
    <row r="705" spans="34:34" x14ac:dyDescent="0.2">
      <c r="AH705" s="134"/>
    </row>
    <row r="706" spans="34:34" x14ac:dyDescent="0.2">
      <c r="AH706" s="134"/>
    </row>
    <row r="707" spans="34:34" x14ac:dyDescent="0.2">
      <c r="AH707" s="134"/>
    </row>
    <row r="708" spans="34:34" x14ac:dyDescent="0.2">
      <c r="AH708" s="134"/>
    </row>
    <row r="709" spans="34:34" x14ac:dyDescent="0.2">
      <c r="AH709" s="134"/>
    </row>
    <row r="710" spans="34:34" x14ac:dyDescent="0.2">
      <c r="AH710" s="134"/>
    </row>
    <row r="711" spans="34:34" x14ac:dyDescent="0.2">
      <c r="AH711" s="134"/>
    </row>
    <row r="712" spans="34:34" x14ac:dyDescent="0.2">
      <c r="AH712" s="134"/>
    </row>
    <row r="713" spans="34:34" x14ac:dyDescent="0.2">
      <c r="AH713" s="134"/>
    </row>
    <row r="714" spans="34:34" x14ac:dyDescent="0.2">
      <c r="AH714" s="134"/>
    </row>
    <row r="715" spans="34:34" x14ac:dyDescent="0.2">
      <c r="AH715" s="134"/>
    </row>
    <row r="716" spans="34:34" x14ac:dyDescent="0.2">
      <c r="AH716" s="134"/>
    </row>
    <row r="717" spans="34:34" x14ac:dyDescent="0.2">
      <c r="AH717" s="134"/>
    </row>
    <row r="718" spans="34:34" x14ac:dyDescent="0.2">
      <c r="AH718" s="134"/>
    </row>
    <row r="719" spans="34:34" x14ac:dyDescent="0.2">
      <c r="AH719" s="134"/>
    </row>
    <row r="720" spans="34:34" x14ac:dyDescent="0.2">
      <c r="AH720" s="134"/>
    </row>
    <row r="721" spans="34:34" x14ac:dyDescent="0.2">
      <c r="AH721" s="134"/>
    </row>
    <row r="722" spans="34:34" x14ac:dyDescent="0.2">
      <c r="AH722" s="134"/>
    </row>
    <row r="723" spans="34:34" x14ac:dyDescent="0.2">
      <c r="AH723" s="134"/>
    </row>
    <row r="724" spans="34:34" x14ac:dyDescent="0.2">
      <c r="AH724" s="134"/>
    </row>
    <row r="725" spans="34:34" x14ac:dyDescent="0.2">
      <c r="AH725" s="134"/>
    </row>
    <row r="726" spans="34:34" x14ac:dyDescent="0.2">
      <c r="AH726" s="134"/>
    </row>
    <row r="727" spans="34:34" x14ac:dyDescent="0.2">
      <c r="AH727" s="134"/>
    </row>
    <row r="728" spans="34:34" x14ac:dyDescent="0.2">
      <c r="AH728" s="134"/>
    </row>
    <row r="729" spans="34:34" x14ac:dyDescent="0.2">
      <c r="AH729" s="134"/>
    </row>
    <row r="730" spans="34:34" x14ac:dyDescent="0.2">
      <c r="AH730" s="134"/>
    </row>
    <row r="731" spans="34:34" x14ac:dyDescent="0.2">
      <c r="AH731" s="134"/>
    </row>
    <row r="732" spans="34:34" x14ac:dyDescent="0.2">
      <c r="AH732" s="134"/>
    </row>
    <row r="733" spans="34:34" x14ac:dyDescent="0.2">
      <c r="AH733" s="134"/>
    </row>
    <row r="734" spans="34:34" x14ac:dyDescent="0.2">
      <c r="AH734" s="134"/>
    </row>
    <row r="735" spans="34:34" x14ac:dyDescent="0.2">
      <c r="AH735" s="134"/>
    </row>
    <row r="736" spans="34:34" x14ac:dyDescent="0.2">
      <c r="AH736" s="134"/>
    </row>
    <row r="737" spans="34:34" x14ac:dyDescent="0.2">
      <c r="AH737" s="134"/>
    </row>
  </sheetData>
  <phoneticPr fontId="0" type="noConversion"/>
  <pageMargins left="0.75" right="0.75" top="1" bottom="1" header="0.5" footer="0.5"/>
  <pageSetup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E1:AE46"/>
  <sheetViews>
    <sheetView topLeftCell="B1" workbookViewId="0">
      <selection activeCell="B39" sqref="B39"/>
    </sheetView>
  </sheetViews>
  <sheetFormatPr defaultRowHeight="12.75" x14ac:dyDescent="0.2"/>
  <cols>
    <col min="30" max="30" width="12" customWidth="1"/>
    <col min="31" max="31" width="10.42578125" customWidth="1"/>
  </cols>
  <sheetData>
    <row r="1" spans="5:31" x14ac:dyDescent="0.2">
      <c r="F1" t="s">
        <v>997</v>
      </c>
    </row>
    <row r="4" spans="5:31" ht="25.5" x14ac:dyDescent="0.2">
      <c r="F4" t="s">
        <v>989</v>
      </c>
      <c r="G4" t="s">
        <v>990</v>
      </c>
      <c r="I4" t="s">
        <v>993</v>
      </c>
      <c r="M4" t="s">
        <v>991</v>
      </c>
      <c r="N4" t="s">
        <v>992</v>
      </c>
      <c r="AD4" s="642" t="s">
        <v>1004</v>
      </c>
      <c r="AE4" s="642" t="s">
        <v>1005</v>
      </c>
    </row>
    <row r="5" spans="5:31" x14ac:dyDescent="0.2">
      <c r="E5">
        <f>1970</f>
        <v>1970</v>
      </c>
      <c r="F5">
        <v>544.78782293076051</v>
      </c>
      <c r="G5">
        <f>LN(F5)</f>
        <v>6.300396403136828</v>
      </c>
      <c r="I5" s="136">
        <f t="array" ref="I5:J9">LINEST(G5:G31,E5:E31,1,1)</f>
        <v>-1.2846353642667492E-2</v>
      </c>
      <c r="J5" s="125">
        <v>31.510059486074596</v>
      </c>
      <c r="L5">
        <f>E5</f>
        <v>1970</v>
      </c>
      <c r="M5">
        <f>EXP(J$5+I$5*E5)</f>
        <v>494.10241327326844</v>
      </c>
      <c r="N5">
        <f>F5</f>
        <v>544.78782293076051</v>
      </c>
      <c r="AC5">
        <f>L5</f>
        <v>1970</v>
      </c>
      <c r="AD5">
        <f>'Freight-based Energy Use'!M28</f>
        <v>348.92443384575643</v>
      </c>
    </row>
    <row r="6" spans="5:31" x14ac:dyDescent="0.2">
      <c r="E6">
        <f>E5+1</f>
        <v>1971</v>
      </c>
      <c r="F6">
        <v>505.7626145545367</v>
      </c>
      <c r="G6">
        <f t="shared" ref="G6:G31" si="0">LN(F6)</f>
        <v>6.2260674180097357</v>
      </c>
      <c r="I6" s="136">
        <v>3.3217484465386709E-3</v>
      </c>
      <c r="J6">
        <v>6.5870779810415323</v>
      </c>
      <c r="L6">
        <f t="shared" ref="L6:L31" si="1">E6</f>
        <v>1971</v>
      </c>
      <c r="M6">
        <f t="shared" ref="M6:M31" si="2">EXP(J$5+I$5*E6)</f>
        <v>487.79559547619982</v>
      </c>
      <c r="N6">
        <f t="shared" ref="N6:N31" si="3">F6</f>
        <v>505.7626145545367</v>
      </c>
      <c r="AC6">
        <f>AC5+1</f>
        <v>1971</v>
      </c>
      <c r="AD6">
        <f>'Freight-based Energy Use'!M29</f>
        <v>345.43518950729884</v>
      </c>
    </row>
    <row r="7" spans="5:31" x14ac:dyDescent="0.2">
      <c r="E7">
        <f t="shared" ref="E7:E31" si="4">E6+1</f>
        <v>1972</v>
      </c>
      <c r="F7">
        <v>522.08423954962655</v>
      </c>
      <c r="G7">
        <f t="shared" si="0"/>
        <v>6.2578289533100984</v>
      </c>
      <c r="I7">
        <v>0.37431757198797533</v>
      </c>
      <c r="J7">
        <v>0.13443850962998077</v>
      </c>
      <c r="L7">
        <f t="shared" si="1"/>
        <v>1972</v>
      </c>
      <c r="M7">
        <f t="shared" si="2"/>
        <v>481.56927910890778</v>
      </c>
      <c r="N7">
        <f t="shared" si="3"/>
        <v>522.08423954962655</v>
      </c>
      <c r="AC7">
        <f t="shared" ref="AC7:AC46" si="5">AC6+1</f>
        <v>1972</v>
      </c>
      <c r="AD7">
        <f>'Freight-based Energy Use'!M30</f>
        <v>341.98083761222586</v>
      </c>
    </row>
    <row r="8" spans="5:31" x14ac:dyDescent="0.2">
      <c r="E8">
        <f t="shared" si="4"/>
        <v>1973</v>
      </c>
      <c r="F8">
        <v>576.37234301906187</v>
      </c>
      <c r="G8">
        <f t="shared" si="0"/>
        <v>6.3567538807032964</v>
      </c>
      <c r="I8">
        <v>14.956372243715208</v>
      </c>
      <c r="J8">
        <v>25</v>
      </c>
      <c r="L8">
        <f t="shared" si="1"/>
        <v>1973</v>
      </c>
      <c r="M8">
        <f t="shared" si="2"/>
        <v>475.42243663573277</v>
      </c>
      <c r="N8">
        <f t="shared" si="3"/>
        <v>576.37234301906187</v>
      </c>
      <c r="AC8">
        <f t="shared" si="5"/>
        <v>1973</v>
      </c>
      <c r="AD8">
        <f>'Freight-based Energy Use'!M31</f>
        <v>338.56102923610359</v>
      </c>
    </row>
    <row r="9" spans="5:31" x14ac:dyDescent="0.2">
      <c r="E9">
        <f t="shared" si="4"/>
        <v>1974</v>
      </c>
      <c r="F9">
        <v>483.1624429159051</v>
      </c>
      <c r="G9">
        <f t="shared" si="0"/>
        <v>6.180352917846295</v>
      </c>
      <c r="I9">
        <v>0.27031717753263607</v>
      </c>
      <c r="J9">
        <v>0.45184282178826085</v>
      </c>
      <c r="L9">
        <f t="shared" si="1"/>
        <v>1974</v>
      </c>
      <c r="M9">
        <f t="shared" si="2"/>
        <v>469.35405363667689</v>
      </c>
      <c r="N9">
        <f t="shared" si="3"/>
        <v>483.1624429159051</v>
      </c>
      <c r="AC9">
        <f t="shared" si="5"/>
        <v>1974</v>
      </c>
      <c r="AD9">
        <f>'Freight-based Energy Use'!M32</f>
        <v>335.17541894374256</v>
      </c>
    </row>
    <row r="10" spans="5:31" x14ac:dyDescent="0.2">
      <c r="E10">
        <f t="shared" si="4"/>
        <v>1975</v>
      </c>
      <c r="F10">
        <v>549.48528132382239</v>
      </c>
      <c r="G10">
        <f t="shared" si="0"/>
        <v>6.3089819879049953</v>
      </c>
      <c r="L10">
        <f t="shared" si="1"/>
        <v>1975</v>
      </c>
      <c r="M10">
        <f t="shared" si="2"/>
        <v>463.36312863998847</v>
      </c>
      <c r="N10">
        <f t="shared" si="3"/>
        <v>549.48528132382239</v>
      </c>
      <c r="AC10">
        <f t="shared" si="5"/>
        <v>1975</v>
      </c>
      <c r="AD10">
        <f>'Freight-based Energy Use'!M33</f>
        <v>331.82366475430513</v>
      </c>
    </row>
    <row r="11" spans="5:31" x14ac:dyDescent="0.2">
      <c r="E11">
        <f t="shared" si="4"/>
        <v>1976</v>
      </c>
      <c r="F11">
        <v>468.52812128931606</v>
      </c>
      <c r="G11">
        <f t="shared" si="0"/>
        <v>6.1495961239738284</v>
      </c>
      <c r="L11">
        <f t="shared" si="1"/>
        <v>1976</v>
      </c>
      <c r="M11">
        <f t="shared" si="2"/>
        <v>457.44867295689784</v>
      </c>
      <c r="N11">
        <f t="shared" si="3"/>
        <v>468.52812128931606</v>
      </c>
      <c r="AC11">
        <f t="shared" si="5"/>
        <v>1976</v>
      </c>
      <c r="AD11">
        <f>'Freight-based Energy Use'!M34</f>
        <v>328.50542810676205</v>
      </c>
    </row>
    <row r="12" spans="5:31" x14ac:dyDescent="0.2">
      <c r="E12">
        <f t="shared" si="4"/>
        <v>1977</v>
      </c>
      <c r="F12">
        <v>457.92985561690352</v>
      </c>
      <c r="G12">
        <f t="shared" si="0"/>
        <v>6.1267160187100798</v>
      </c>
      <c r="L12">
        <f t="shared" si="1"/>
        <v>1977</v>
      </c>
      <c r="M12">
        <f t="shared" si="2"/>
        <v>451.60971051844808</v>
      </c>
      <c r="N12">
        <f t="shared" si="3"/>
        <v>457.92985561690352</v>
      </c>
      <c r="AC12">
        <f t="shared" si="5"/>
        <v>1977</v>
      </c>
      <c r="AD12">
        <f>'Freight-based Energy Use'!M35</f>
        <v>325.22037382569442</v>
      </c>
    </row>
    <row r="13" spans="5:31" x14ac:dyDescent="0.2">
      <c r="E13">
        <f t="shared" si="4"/>
        <v>1978</v>
      </c>
      <c r="F13">
        <v>382.70767546788511</v>
      </c>
      <c r="G13">
        <f t="shared" si="0"/>
        <v>5.9472714483263944</v>
      </c>
      <c r="L13">
        <f t="shared" si="1"/>
        <v>1978</v>
      </c>
      <c r="M13">
        <f t="shared" si="2"/>
        <v>445.8452777144085</v>
      </c>
      <c r="N13">
        <f t="shared" si="3"/>
        <v>382.70767546788511</v>
      </c>
      <c r="AC13">
        <f t="shared" si="5"/>
        <v>1978</v>
      </c>
      <c r="AD13">
        <f>'Freight-based Energy Use'!M36</f>
        <v>321.96817008743744</v>
      </c>
    </row>
    <row r="14" spans="5:31" x14ac:dyDescent="0.2">
      <c r="E14">
        <f t="shared" si="4"/>
        <v>1979</v>
      </c>
      <c r="F14">
        <v>456.94801033288923</v>
      </c>
      <c r="G14">
        <f t="shared" si="0"/>
        <v>6.1245696214749836</v>
      </c>
      <c r="L14">
        <f t="shared" si="1"/>
        <v>1979</v>
      </c>
      <c r="M14">
        <f t="shared" si="2"/>
        <v>440.15442323425867</v>
      </c>
      <c r="N14">
        <f t="shared" si="3"/>
        <v>456.94801033288923</v>
      </c>
      <c r="AC14">
        <f t="shared" si="5"/>
        <v>1979</v>
      </c>
      <c r="AD14">
        <f>'Freight-based Energy Use'!M37</f>
        <v>318.74848838656305</v>
      </c>
    </row>
    <row r="15" spans="5:31" x14ac:dyDescent="0.2">
      <c r="E15">
        <f t="shared" si="4"/>
        <v>1980</v>
      </c>
      <c r="F15">
        <v>357.33044865473869</v>
      </c>
      <c r="G15">
        <f t="shared" si="0"/>
        <v>5.8786609801354777</v>
      </c>
      <c r="L15">
        <f t="shared" si="1"/>
        <v>1980</v>
      </c>
      <c r="M15">
        <f t="shared" si="2"/>
        <v>434.53620791018619</v>
      </c>
      <c r="N15">
        <f t="shared" si="3"/>
        <v>357.33044865473869</v>
      </c>
      <c r="AC15">
        <f t="shared" si="5"/>
        <v>1980</v>
      </c>
      <c r="AD15">
        <f>'Freight-based Energy Use'!M38</f>
        <v>315.56100350269742</v>
      </c>
    </row>
    <row r="16" spans="5:31" x14ac:dyDescent="0.2">
      <c r="E16">
        <f t="shared" si="4"/>
        <v>1981</v>
      </c>
      <c r="F16">
        <v>359.90443004157243</v>
      </c>
      <c r="G16">
        <f t="shared" si="0"/>
        <v>5.8858385240994551</v>
      </c>
      <c r="L16">
        <f t="shared" si="1"/>
        <v>1981</v>
      </c>
      <c r="M16">
        <f t="shared" si="2"/>
        <v>428.98970456209793</v>
      </c>
      <c r="N16">
        <f t="shared" si="3"/>
        <v>359.90443004157243</v>
      </c>
      <c r="AC16">
        <f t="shared" si="5"/>
        <v>1981</v>
      </c>
      <c r="AD16">
        <f>'Freight-based Energy Use'!M39</f>
        <v>312.40539346767042</v>
      </c>
    </row>
    <row r="17" spans="5:31" x14ac:dyDescent="0.2">
      <c r="E17">
        <f t="shared" si="4"/>
        <v>1982</v>
      </c>
      <c r="F17">
        <v>309.65560318147726</v>
      </c>
      <c r="G17">
        <f t="shared" si="0"/>
        <v>5.7354607224293872</v>
      </c>
      <c r="L17">
        <f t="shared" si="1"/>
        <v>1982</v>
      </c>
      <c r="M17">
        <f t="shared" si="2"/>
        <v>423.5139978446004</v>
      </c>
      <c r="N17">
        <f t="shared" si="3"/>
        <v>309.65560318147726</v>
      </c>
      <c r="AC17">
        <f t="shared" si="5"/>
        <v>1982</v>
      </c>
      <c r="AD17">
        <f>'Freight-based Energy Use'!M40</f>
        <v>309.28133953299368</v>
      </c>
    </row>
    <row r="18" spans="5:31" x14ac:dyDescent="0.2">
      <c r="E18">
        <f t="shared" si="4"/>
        <v>1983</v>
      </c>
      <c r="F18">
        <v>319.38993803160969</v>
      </c>
      <c r="G18">
        <f t="shared" si="0"/>
        <v>5.7664127325658736</v>
      </c>
      <c r="L18">
        <f t="shared" si="1"/>
        <v>1983</v>
      </c>
      <c r="M18">
        <f t="shared" si="2"/>
        <v>418.10818409594839</v>
      </c>
      <c r="N18">
        <f t="shared" si="3"/>
        <v>319.38993803160969</v>
      </c>
      <c r="AC18">
        <f t="shared" si="5"/>
        <v>1983</v>
      </c>
      <c r="AD18">
        <f>'Freight-based Energy Use'!M41</f>
        <v>306.1885261376637</v>
      </c>
    </row>
    <row r="19" spans="5:31" x14ac:dyDescent="0.2">
      <c r="E19">
        <f t="shared" si="4"/>
        <v>1984</v>
      </c>
      <c r="F19">
        <v>346.16771053935929</v>
      </c>
      <c r="G19">
        <f t="shared" si="0"/>
        <v>5.8469233701640482</v>
      </c>
      <c r="L19">
        <f t="shared" si="1"/>
        <v>1984</v>
      </c>
      <c r="M19">
        <f t="shared" si="2"/>
        <v>412.77137118890846</v>
      </c>
      <c r="N19">
        <f t="shared" si="3"/>
        <v>346.16771053935929</v>
      </c>
      <c r="AC19">
        <f t="shared" si="5"/>
        <v>1984</v>
      </c>
      <c r="AD19">
        <f>'Freight-based Energy Use'!M42</f>
        <v>303.12664087628707</v>
      </c>
    </row>
    <row r="20" spans="5:31" x14ac:dyDescent="0.2">
      <c r="E20">
        <f t="shared" si="4"/>
        <v>1985</v>
      </c>
      <c r="F20">
        <v>446.37557812692478</v>
      </c>
      <c r="G20">
        <f t="shared" si="0"/>
        <v>6.1011607010735043</v>
      </c>
      <c r="L20">
        <f t="shared" si="1"/>
        <v>1985</v>
      </c>
      <c r="M20">
        <f t="shared" si="2"/>
        <v>407.50267838352522</v>
      </c>
      <c r="N20">
        <f t="shared" si="3"/>
        <v>446.37557812692478</v>
      </c>
      <c r="AC20">
        <f t="shared" si="5"/>
        <v>1985</v>
      </c>
      <c r="AD20">
        <f>'Freight-based Energy Use'!M43</f>
        <v>300.09537446752415</v>
      </c>
    </row>
    <row r="21" spans="5:31" x14ac:dyDescent="0.2">
      <c r="E21">
        <f t="shared" si="4"/>
        <v>1986</v>
      </c>
      <c r="F21">
        <v>462.55958030732734</v>
      </c>
      <c r="G21">
        <f t="shared" si="0"/>
        <v>6.1367753709417148</v>
      </c>
      <c r="L21">
        <f t="shared" si="1"/>
        <v>1986</v>
      </c>
      <c r="M21">
        <f t="shared" si="2"/>
        <v>402.30123618178141</v>
      </c>
      <c r="N21">
        <f t="shared" si="3"/>
        <v>462.55958030732734</v>
      </c>
      <c r="AC21">
        <f t="shared" si="5"/>
        <v>1986</v>
      </c>
      <c r="AD21">
        <f>'Freight-based Energy Use'!M44</f>
        <v>297.09442072284889</v>
      </c>
    </row>
    <row r="22" spans="5:31" x14ac:dyDescent="0.2">
      <c r="E22">
        <f t="shared" si="4"/>
        <v>1987</v>
      </c>
      <c r="F22">
        <v>413.99774741446845</v>
      </c>
      <c r="G22">
        <f t="shared" si="0"/>
        <v>6.0258605327826578</v>
      </c>
      <c r="L22">
        <f t="shared" si="1"/>
        <v>1987</v>
      </c>
      <c r="M22">
        <f t="shared" si="2"/>
        <v>397.16618618409859</v>
      </c>
      <c r="N22">
        <f t="shared" si="3"/>
        <v>413.99774741446845</v>
      </c>
      <c r="AC22">
        <f t="shared" si="5"/>
        <v>1987</v>
      </c>
      <c r="AD22">
        <f>'Freight-based Energy Use'!M45</f>
        <v>294.12347651562038</v>
      </c>
    </row>
    <row r="23" spans="5:31" x14ac:dyDescent="0.2">
      <c r="E23">
        <f t="shared" si="4"/>
        <v>1988</v>
      </c>
      <c r="F23">
        <v>360.99971641354364</v>
      </c>
      <c r="G23">
        <f t="shared" si="0"/>
        <v>5.8888771727745217</v>
      </c>
      <c r="L23">
        <f t="shared" si="1"/>
        <v>1988</v>
      </c>
      <c r="M23">
        <f t="shared" si="2"/>
        <v>392.09668094767079</v>
      </c>
      <c r="N23">
        <f t="shared" si="3"/>
        <v>360.99971641354364</v>
      </c>
      <c r="AC23">
        <f t="shared" si="5"/>
        <v>1988</v>
      </c>
      <c r="AD23">
        <f>'Freight-based Energy Use'!M46</f>
        <v>291.18224175046419</v>
      </c>
    </row>
    <row r="24" spans="5:31" x14ac:dyDescent="0.2">
      <c r="E24">
        <f t="shared" si="4"/>
        <v>1989</v>
      </c>
      <c r="F24">
        <v>402.91832541454545</v>
      </c>
      <c r="G24">
        <f t="shared" si="0"/>
        <v>5.9987338749419123</v>
      </c>
      <c r="L24">
        <f t="shared" si="1"/>
        <v>1989</v>
      </c>
      <c r="M24">
        <f t="shared" si="2"/>
        <v>387.09188384661854</v>
      </c>
      <c r="N24">
        <f t="shared" si="3"/>
        <v>402.91832541454545</v>
      </c>
      <c r="AC24">
        <f t="shared" si="5"/>
        <v>1989</v>
      </c>
      <c r="AD24">
        <f>'Freight-based Energy Use'!M47</f>
        <v>288.27041933295953</v>
      </c>
    </row>
    <row r="25" spans="5:31" x14ac:dyDescent="0.2">
      <c r="E25">
        <f t="shared" si="4"/>
        <v>1990</v>
      </c>
      <c r="F25">
        <v>387.74207186233042</v>
      </c>
      <c r="G25">
        <f t="shared" si="0"/>
        <v>5.9603403553288024</v>
      </c>
      <c r="L25">
        <f t="shared" si="1"/>
        <v>1990</v>
      </c>
      <c r="M25">
        <f t="shared" si="2"/>
        <v>382.15096893391501</v>
      </c>
      <c r="N25">
        <f t="shared" si="3"/>
        <v>387.74207186233042</v>
      </c>
      <c r="AC25">
        <f t="shared" si="5"/>
        <v>1990</v>
      </c>
      <c r="AD25">
        <f>'Freight-based Energy Use'!M48</f>
        <v>285.3877151396299</v>
      </c>
    </row>
    <row r="26" spans="5:31" x14ac:dyDescent="0.2">
      <c r="E26">
        <f t="shared" si="4"/>
        <v>1991</v>
      </c>
      <c r="F26">
        <v>386.021199930693</v>
      </c>
      <c r="G26">
        <f t="shared" si="0"/>
        <v>5.9558922900569087</v>
      </c>
      <c r="L26">
        <f t="shared" si="1"/>
        <v>1991</v>
      </c>
      <c r="M26">
        <f t="shared" si="2"/>
        <v>377.27312080507551</v>
      </c>
      <c r="N26">
        <f t="shared" si="3"/>
        <v>386.021199930693</v>
      </c>
      <c r="AC26">
        <f t="shared" si="5"/>
        <v>1991</v>
      </c>
      <c r="AD26">
        <f>'Freight-based Energy Use'!M49</f>
        <v>282.53383798823359</v>
      </c>
    </row>
    <row r="27" spans="5:31" x14ac:dyDescent="0.2">
      <c r="E27">
        <f t="shared" si="4"/>
        <v>1992</v>
      </c>
      <c r="F27">
        <v>398.04614206908821</v>
      </c>
      <c r="G27">
        <f t="shared" si="0"/>
        <v>5.9865679334114681</v>
      </c>
      <c r="L27">
        <f t="shared" si="1"/>
        <v>1992</v>
      </c>
      <c r="M27">
        <f t="shared" si="2"/>
        <v>372.45753446359822</v>
      </c>
      <c r="N27">
        <f t="shared" si="3"/>
        <v>398.04614206908821</v>
      </c>
      <c r="AC27">
        <f t="shared" si="5"/>
        <v>1992</v>
      </c>
      <c r="AD27">
        <f>'Freight-based Energy Use'!M50</f>
        <v>279.70849960835125</v>
      </c>
    </row>
    <row r="28" spans="5:31" x14ac:dyDescent="0.2">
      <c r="E28">
        <f t="shared" si="4"/>
        <v>1993</v>
      </c>
      <c r="F28">
        <v>388.77594968656678</v>
      </c>
      <c r="G28">
        <f t="shared" si="0"/>
        <v>5.9630032128709711</v>
      </c>
      <c r="L28">
        <f t="shared" si="1"/>
        <v>1993</v>
      </c>
      <c r="M28">
        <f t="shared" si="2"/>
        <v>367.70341518811074</v>
      </c>
      <c r="N28">
        <f t="shared" si="3"/>
        <v>388.77594968656678</v>
      </c>
      <c r="AC28">
        <f t="shared" si="5"/>
        <v>1993</v>
      </c>
      <c r="AD28">
        <f>'Freight-based Energy Use'!M51</f>
        <v>276.91141461226772</v>
      </c>
    </row>
    <row r="29" spans="5:31" x14ac:dyDescent="0.2">
      <c r="E29">
        <f t="shared" si="4"/>
        <v>1994</v>
      </c>
      <c r="F29">
        <v>368.99363765143835</v>
      </c>
      <c r="G29">
        <f t="shared" si="0"/>
        <v>5.9107794017548567</v>
      </c>
      <c r="L29">
        <f t="shared" si="1"/>
        <v>1994</v>
      </c>
      <c r="M29">
        <f t="shared" si="2"/>
        <v>363.00997840121255</v>
      </c>
      <c r="N29">
        <f t="shared" si="3"/>
        <v>368.99363765143835</v>
      </c>
      <c r="AC29">
        <f t="shared" si="5"/>
        <v>1994</v>
      </c>
      <c r="AD29">
        <f>'Freight-based Energy Use'!M52</f>
        <v>274.142300466145</v>
      </c>
    </row>
    <row r="30" spans="5:31" x14ac:dyDescent="0.2">
      <c r="E30">
        <f t="shared" si="4"/>
        <v>1995</v>
      </c>
      <c r="F30">
        <v>374.13598666976509</v>
      </c>
      <c r="G30">
        <f t="shared" si="0"/>
        <v>5.9246193320491054</v>
      </c>
      <c r="L30">
        <f t="shared" si="1"/>
        <v>1995</v>
      </c>
      <c r="M30">
        <f t="shared" si="2"/>
        <v>358.37644954000314</v>
      </c>
      <c r="N30">
        <f t="shared" si="3"/>
        <v>374.13598666976509</v>
      </c>
      <c r="AC30">
        <f t="shared" si="5"/>
        <v>1995</v>
      </c>
      <c r="AD30">
        <f>'Freight-based Energy Use'!M53</f>
        <v>271.40087746148356</v>
      </c>
    </row>
    <row r="31" spans="5:31" x14ac:dyDescent="0.2">
      <c r="E31">
        <f t="shared" si="4"/>
        <v>1996</v>
      </c>
      <c r="F31">
        <v>411.80274530804451</v>
      </c>
      <c r="G31">
        <f t="shared" si="0"/>
        <v>6.0205444611767236</v>
      </c>
      <c r="L31">
        <f t="shared" si="1"/>
        <v>1996</v>
      </c>
      <c r="M31">
        <f t="shared" si="2"/>
        <v>353.80206392825119</v>
      </c>
      <c r="N31">
        <f t="shared" si="3"/>
        <v>411.80274530804451</v>
      </c>
      <c r="AC31">
        <f t="shared" si="5"/>
        <v>1996</v>
      </c>
      <c r="AD31">
        <f>'Freight-based Energy Use'!M54</f>
        <v>268.68686868686871</v>
      </c>
    </row>
    <row r="32" spans="5:31" x14ac:dyDescent="0.2">
      <c r="AC32">
        <f t="shared" si="5"/>
        <v>1997</v>
      </c>
      <c r="AE32">
        <f>'Freight-based Energy Use'!M55</f>
        <v>266</v>
      </c>
    </row>
    <row r="33" spans="29:31" x14ac:dyDescent="0.2">
      <c r="AC33">
        <f t="shared" si="5"/>
        <v>1998</v>
      </c>
      <c r="AE33">
        <f>'Freight-based Energy Use'!M56</f>
        <v>256</v>
      </c>
    </row>
    <row r="34" spans="29:31" x14ac:dyDescent="0.2">
      <c r="AC34">
        <f t="shared" si="5"/>
        <v>1999</v>
      </c>
      <c r="AE34">
        <f>'Freight-based Energy Use'!M57</f>
        <v>266</v>
      </c>
    </row>
    <row r="35" spans="29:31" x14ac:dyDescent="0.2">
      <c r="AC35">
        <f t="shared" si="5"/>
        <v>2000</v>
      </c>
      <c r="AE35">
        <f>'Freight-based Energy Use'!M58</f>
        <v>270</v>
      </c>
    </row>
    <row r="36" spans="29:31" x14ac:dyDescent="0.2">
      <c r="AC36">
        <f t="shared" si="5"/>
        <v>2001</v>
      </c>
      <c r="AE36">
        <f>'Freight-based Energy Use'!M59</f>
        <v>253</v>
      </c>
    </row>
    <row r="37" spans="29:31" x14ac:dyDescent="0.2">
      <c r="AC37">
        <f t="shared" si="5"/>
        <v>2002</v>
      </c>
      <c r="AE37">
        <f>'Freight-based Energy Use'!M60</f>
        <v>253</v>
      </c>
    </row>
    <row r="38" spans="29:31" x14ac:dyDescent="0.2">
      <c r="AC38">
        <f t="shared" si="5"/>
        <v>2003</v>
      </c>
      <c r="AE38">
        <f>'Freight-based Energy Use'!M61</f>
        <v>251</v>
      </c>
    </row>
    <row r="39" spans="29:31" x14ac:dyDescent="0.2">
      <c r="AC39">
        <f t="shared" si="5"/>
        <v>2004</v>
      </c>
      <c r="AE39">
        <f>'Freight-based Energy Use'!M62</f>
        <v>241</v>
      </c>
    </row>
    <row r="40" spans="29:31" x14ac:dyDescent="0.2">
      <c r="AC40">
        <f t="shared" si="5"/>
        <v>2005</v>
      </c>
      <c r="AE40">
        <f>'Freight-based Energy Use'!M63</f>
        <v>241</v>
      </c>
    </row>
    <row r="41" spans="29:31" x14ac:dyDescent="0.2">
      <c r="AC41">
        <f t="shared" si="5"/>
        <v>2006</v>
      </c>
      <c r="AE41">
        <f>'Freight-based Energy Use'!M64</f>
        <v>235</v>
      </c>
    </row>
    <row r="42" spans="29:31" x14ac:dyDescent="0.2">
      <c r="AC42">
        <f t="shared" si="5"/>
        <v>2007</v>
      </c>
      <c r="AE42">
        <f>'Freight-based Energy Use'!M65</f>
        <v>225</v>
      </c>
    </row>
    <row r="43" spans="29:31" x14ac:dyDescent="0.2">
      <c r="AC43">
        <f t="shared" si="5"/>
        <v>2008</v>
      </c>
      <c r="AE43">
        <f>'Freight-based Energy Use'!M66</f>
        <v>252</v>
      </c>
    </row>
    <row r="44" spans="29:31" x14ac:dyDescent="0.2">
      <c r="AC44">
        <f t="shared" si="5"/>
        <v>2009</v>
      </c>
      <c r="AE44">
        <f>'Freight-based Energy Use'!M67</f>
        <v>225</v>
      </c>
    </row>
    <row r="45" spans="29:31" x14ac:dyDescent="0.2">
      <c r="AC45">
        <f t="shared" si="5"/>
        <v>2010</v>
      </c>
      <c r="AE45">
        <f>'Freight-based Energy Use'!M68</f>
        <v>217</v>
      </c>
    </row>
    <row r="46" spans="29:31" x14ac:dyDescent="0.2">
      <c r="AC46">
        <f t="shared" si="5"/>
        <v>2011</v>
      </c>
      <c r="AE46">
        <f>'Freight-based Energy Use'!M69</f>
        <v>217</v>
      </c>
    </row>
  </sheetData>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736"/>
  <sheetViews>
    <sheetView zoomScale="85" zoomScaleNormal="85" workbookViewId="0">
      <pane xSplit="2" ySplit="8" topLeftCell="T29" activePane="bottomRight" state="frozen"/>
      <selection pane="topRight" activeCell="C1" sqref="C1"/>
      <selection pane="bottomLeft" activeCell="A9" sqref="A9"/>
      <selection pane="bottomRight" activeCell="AA30" sqref="AA30"/>
    </sheetView>
  </sheetViews>
  <sheetFormatPr defaultRowHeight="12.75" x14ac:dyDescent="0.2"/>
  <cols>
    <col min="1" max="1" width="5.5703125" customWidth="1"/>
    <col min="2" max="2" width="6.85546875" customWidth="1"/>
    <col min="4" max="4" width="11" customWidth="1"/>
    <col min="5" max="6" width="10.5703125" customWidth="1"/>
    <col min="7" max="7" width="11.28515625" customWidth="1"/>
    <col min="8" max="8" width="11.140625" customWidth="1"/>
    <col min="9" max="9" width="10.5703125" customWidth="1"/>
    <col min="11" max="11" width="12" customWidth="1"/>
    <col min="12" max="12" width="11.85546875" customWidth="1"/>
    <col min="13" max="14" width="12.140625" customWidth="1"/>
    <col min="15" max="15" width="12.7109375" customWidth="1"/>
    <col min="16" max="16" width="15.7109375" customWidth="1"/>
    <col min="18" max="18" width="10.7109375" customWidth="1"/>
    <col min="19" max="19" width="9.5703125" customWidth="1"/>
    <col min="20" max="20" width="10" customWidth="1"/>
    <col min="21" max="21" width="11" customWidth="1"/>
    <col min="22" max="23" width="9.85546875" customWidth="1"/>
    <col min="25" max="25" width="11.7109375" customWidth="1"/>
    <col min="26" max="29" width="11.140625" customWidth="1"/>
    <col min="30" max="33" width="10.140625" customWidth="1"/>
    <col min="34" max="34" width="10.5703125" customWidth="1"/>
    <col min="35" max="35" width="10.140625" customWidth="1"/>
    <col min="37" max="37" width="10.140625" customWidth="1"/>
    <col min="38" max="38" width="10.28515625" customWidth="1"/>
    <col min="41" max="41" width="10.42578125" customWidth="1"/>
    <col min="42" max="42" width="10.85546875" customWidth="1"/>
    <col min="44" max="44" width="5.7109375" customWidth="1"/>
    <col min="47" max="47" width="6.42578125" customWidth="1"/>
    <col min="49" max="49" width="10.28515625" customWidth="1"/>
    <col min="50" max="50" width="9.85546875" customWidth="1"/>
    <col min="51" max="51" width="9.42578125" customWidth="1"/>
    <col min="52" max="52" width="10.5703125" customWidth="1"/>
    <col min="53" max="53" width="9.42578125" customWidth="1"/>
    <col min="55" max="55" width="11.140625" customWidth="1"/>
    <col min="57" max="58" width="10.7109375" customWidth="1"/>
    <col min="59" max="60" width="9.5703125" customWidth="1"/>
    <col min="62" max="62" width="11.42578125" customWidth="1"/>
    <col min="65" max="65" width="10.28515625" customWidth="1"/>
    <col min="69" max="69" width="11.7109375" customWidth="1"/>
    <col min="70" max="73" width="10.85546875" customWidth="1"/>
    <col min="74" max="74" width="7.140625" customWidth="1"/>
    <col min="75" max="75" width="12.85546875" customWidth="1"/>
    <col min="76" max="79" width="11" customWidth="1"/>
    <col min="81" max="81" width="11.140625" customWidth="1"/>
    <col min="82" max="82" width="8.42578125" customWidth="1"/>
    <col min="84" max="84" width="10.7109375" customWidth="1"/>
    <col min="87" max="87" width="10" customWidth="1"/>
    <col min="88" max="88" width="9.85546875" customWidth="1"/>
    <col min="90" max="90" width="10.85546875" customWidth="1"/>
  </cols>
  <sheetData>
    <row r="1" spans="1:103" ht="15.75" x14ac:dyDescent="0.25">
      <c r="A1" s="133"/>
      <c r="B1" s="133"/>
      <c r="D1" s="137" t="s">
        <v>751</v>
      </c>
      <c r="AU1" s="134"/>
    </row>
    <row r="2" spans="1:103" x14ac:dyDescent="0.2">
      <c r="A2" s="133"/>
      <c r="B2" s="133"/>
      <c r="AU2" s="134"/>
    </row>
    <row r="3" spans="1:103" x14ac:dyDescent="0.2">
      <c r="A3" s="133"/>
      <c r="B3" s="133"/>
      <c r="AU3" s="134"/>
    </row>
    <row r="4" spans="1:103" x14ac:dyDescent="0.2">
      <c r="A4" s="133"/>
      <c r="B4" s="133"/>
      <c r="D4" s="6" t="s">
        <v>760</v>
      </c>
      <c r="K4" s="6" t="s">
        <v>747</v>
      </c>
      <c r="R4" s="6" t="s">
        <v>748</v>
      </c>
      <c r="Y4" s="6" t="s">
        <v>726</v>
      </c>
      <c r="AE4" s="6" t="s">
        <v>137</v>
      </c>
      <c r="AK4" s="6" t="s">
        <v>109</v>
      </c>
      <c r="AL4" s="6"/>
      <c r="AU4" s="134"/>
      <c r="AW4" s="6" t="s">
        <v>694</v>
      </c>
      <c r="BC4" s="6" t="s">
        <v>772</v>
      </c>
      <c r="BJ4" s="6" t="s">
        <v>696</v>
      </c>
      <c r="BK4" s="6"/>
      <c r="BL4" s="6"/>
      <c r="BM4" s="6"/>
      <c r="BN4" s="6"/>
      <c r="BQ4" s="6" t="s">
        <v>698</v>
      </c>
      <c r="BW4" s="6" t="s">
        <v>699</v>
      </c>
      <c r="CC4" s="6" t="s">
        <v>700</v>
      </c>
      <c r="CI4" s="6" t="s">
        <v>729</v>
      </c>
      <c r="CO4" s="6" t="s">
        <v>705</v>
      </c>
      <c r="CS4" s="6" t="s">
        <v>706</v>
      </c>
      <c r="CW4" s="6" t="s">
        <v>706</v>
      </c>
    </row>
    <row r="5" spans="1:103" x14ac:dyDescent="0.2">
      <c r="A5" s="133" t="s">
        <v>663</v>
      </c>
      <c r="B5" s="133"/>
      <c r="AK5" s="206" t="s">
        <v>711</v>
      </c>
      <c r="AL5" s="206" t="s">
        <v>712</v>
      </c>
      <c r="AM5" s="206" t="s">
        <v>713</v>
      </c>
      <c r="AN5" s="206" t="s">
        <v>714</v>
      </c>
      <c r="AO5" s="206" t="s">
        <v>715</v>
      </c>
      <c r="AP5" s="206" t="s">
        <v>716</v>
      </c>
      <c r="AQ5" s="206" t="s">
        <v>720</v>
      </c>
      <c r="AR5" s="206"/>
      <c r="AS5" s="206" t="s">
        <v>763</v>
      </c>
      <c r="AU5" s="134"/>
      <c r="BJ5" s="6" t="s">
        <v>697</v>
      </c>
      <c r="BK5" s="6"/>
      <c r="BL5" s="6"/>
      <c r="BM5" s="6"/>
      <c r="BN5" s="6"/>
      <c r="CS5" t="s">
        <v>730</v>
      </c>
      <c r="CW5" t="s">
        <v>742</v>
      </c>
    </row>
    <row r="6" spans="1:103" ht="52.9" customHeight="1" x14ac:dyDescent="0.2">
      <c r="A6" s="133"/>
      <c r="B6" s="133"/>
      <c r="D6" s="273" t="s">
        <v>753</v>
      </c>
      <c r="E6" s="273" t="s">
        <v>316</v>
      </c>
      <c r="F6" s="273" t="s">
        <v>318</v>
      </c>
      <c r="G6" s="273" t="s">
        <v>328</v>
      </c>
      <c r="H6" s="273" t="s">
        <v>330</v>
      </c>
      <c r="I6" s="273" t="s">
        <v>740</v>
      </c>
      <c r="J6" s="1"/>
      <c r="K6" s="273" t="str">
        <f>D6</f>
        <v xml:space="preserve">  Highway</v>
      </c>
      <c r="L6" s="273" t="str">
        <f>E6</f>
        <v>Rail</v>
      </c>
      <c r="M6" s="273" t="str">
        <f>F6</f>
        <v>Air</v>
      </c>
      <c r="N6" s="273" t="s">
        <v>328</v>
      </c>
      <c r="O6" s="273" t="s">
        <v>661</v>
      </c>
      <c r="P6" s="273" t="s">
        <v>740</v>
      </c>
      <c r="Q6" s="1"/>
      <c r="R6" s="273" t="str">
        <f>D6</f>
        <v xml:space="preserve">  Highway</v>
      </c>
      <c r="S6" s="273" t="str">
        <f>E6</f>
        <v>Rail</v>
      </c>
      <c r="T6" s="273" t="str">
        <f>F6</f>
        <v>Air</v>
      </c>
      <c r="U6" s="273" t="str">
        <f>G6</f>
        <v>Waterborne</v>
      </c>
      <c r="V6" s="273" t="str">
        <f>H6</f>
        <v>Pipeline</v>
      </c>
      <c r="W6" s="273" t="s">
        <v>740</v>
      </c>
      <c r="X6" s="1"/>
      <c r="Y6" s="273" t="str">
        <f>D6</f>
        <v xml:space="preserve">  Highway</v>
      </c>
      <c r="Z6" s="273" t="str">
        <f>E6</f>
        <v>Rail</v>
      </c>
      <c r="AA6" s="273" t="str">
        <f>F6</f>
        <v>Air</v>
      </c>
      <c r="AB6" s="273" t="str">
        <f>G6</f>
        <v>Waterborne</v>
      </c>
      <c r="AC6" s="273" t="str">
        <f>H6</f>
        <v>Pipeline</v>
      </c>
      <c r="AD6" s="139"/>
      <c r="AE6" s="273" t="str">
        <f>D6</f>
        <v xml:space="preserve">  Highway</v>
      </c>
      <c r="AF6" s="273" t="str">
        <f>E6</f>
        <v>Rail</v>
      </c>
      <c r="AG6" s="273" t="str">
        <f>F6</f>
        <v>Air</v>
      </c>
      <c r="AH6" s="273" t="str">
        <f>G6</f>
        <v>Waterborne</v>
      </c>
      <c r="AI6" s="273" t="str">
        <f>H6</f>
        <v>Pipeline</v>
      </c>
      <c r="AJ6" s="1"/>
      <c r="AK6" s="195" t="s">
        <v>770</v>
      </c>
      <c r="AL6" s="195" t="s">
        <v>707</v>
      </c>
      <c r="AM6" s="272" t="s">
        <v>771</v>
      </c>
      <c r="AN6" s="272" t="s">
        <v>743</v>
      </c>
      <c r="AO6" s="272" t="s">
        <v>654</v>
      </c>
      <c r="AP6" s="192" t="s">
        <v>692</v>
      </c>
      <c r="AQ6" s="272" t="s">
        <v>709</v>
      </c>
      <c r="AR6" s="192"/>
      <c r="AS6" s="192" t="s">
        <v>734</v>
      </c>
      <c r="AU6" s="134"/>
      <c r="AW6" s="273" t="str">
        <f>D6</f>
        <v xml:space="preserve">  Highway</v>
      </c>
      <c r="AX6" s="273" t="str">
        <f>E6</f>
        <v>Rail</v>
      </c>
      <c r="AY6" s="273" t="str">
        <f>F6</f>
        <v>Air</v>
      </c>
      <c r="AZ6" s="273" t="str">
        <f>G6</f>
        <v>Waterborne</v>
      </c>
      <c r="BA6" s="273" t="str">
        <f>H6</f>
        <v>Pipeline</v>
      </c>
      <c r="BC6" s="273" t="str">
        <f>D6</f>
        <v xml:space="preserve">  Highway</v>
      </c>
      <c r="BD6" s="273" t="str">
        <f>E6</f>
        <v>Rail</v>
      </c>
      <c r="BE6" s="273" t="str">
        <f>F6</f>
        <v>Air</v>
      </c>
      <c r="BF6" s="273" t="str">
        <f>G6</f>
        <v>Waterborne</v>
      </c>
      <c r="BG6" s="273" t="str">
        <f>H6</f>
        <v>Pipeline</v>
      </c>
      <c r="BH6" s="273" t="s">
        <v>740</v>
      </c>
      <c r="BI6" s="1"/>
      <c r="BJ6" s="273" t="str">
        <f>D6</f>
        <v xml:space="preserve">  Highway</v>
      </c>
      <c r="BK6" s="273" t="str">
        <f>E6</f>
        <v>Rail</v>
      </c>
      <c r="BL6" s="273" t="str">
        <f>F6</f>
        <v>Air</v>
      </c>
      <c r="BM6" s="273" t="str">
        <f>G6</f>
        <v>Waterborne</v>
      </c>
      <c r="BN6" s="273" t="str">
        <f>H6</f>
        <v>Pipeline</v>
      </c>
      <c r="BO6" s="1"/>
      <c r="BP6" s="1"/>
      <c r="BQ6" s="273" t="str">
        <f>D6</f>
        <v xml:space="preserve">  Highway</v>
      </c>
      <c r="BR6" s="273" t="str">
        <f>E6</f>
        <v>Rail</v>
      </c>
      <c r="BS6" s="273" t="str">
        <f>F6</f>
        <v>Air</v>
      </c>
      <c r="BT6" s="273" t="str">
        <f>G6</f>
        <v>Waterborne</v>
      </c>
      <c r="BU6" s="273" t="str">
        <f>H6</f>
        <v>Pipeline</v>
      </c>
      <c r="BV6" s="1"/>
      <c r="BW6" s="126" t="str">
        <f>D6</f>
        <v xml:space="preserve">  Highway</v>
      </c>
      <c r="BX6" s="126" t="str">
        <f>E6</f>
        <v>Rail</v>
      </c>
      <c r="BY6" s="126" t="str">
        <f>F6</f>
        <v>Air</v>
      </c>
      <c r="BZ6" s="126" t="str">
        <f>G6</f>
        <v>Waterborne</v>
      </c>
      <c r="CA6" s="126" t="str">
        <f>H6</f>
        <v>Pipeline</v>
      </c>
      <c r="CB6" s="1"/>
      <c r="CC6" s="126" t="str">
        <f>D6</f>
        <v xml:space="preserve">  Highway</v>
      </c>
      <c r="CD6" s="126" t="str">
        <f>E6</f>
        <v>Rail</v>
      </c>
      <c r="CE6" s="126" t="str">
        <f>F6</f>
        <v>Air</v>
      </c>
      <c r="CF6" s="126" t="str">
        <f>G6</f>
        <v>Waterborne</v>
      </c>
      <c r="CG6" s="126" t="str">
        <f>H6</f>
        <v>Pipeline</v>
      </c>
      <c r="CH6" s="1"/>
      <c r="CI6" s="126" t="str">
        <f>D6</f>
        <v xml:space="preserve">  Highway</v>
      </c>
      <c r="CJ6" s="126" t="str">
        <f>E6</f>
        <v>Rail</v>
      </c>
      <c r="CK6" s="126" t="str">
        <f>F6</f>
        <v>Air</v>
      </c>
      <c r="CL6" s="126" t="str">
        <f>G6</f>
        <v>Waterborne</v>
      </c>
      <c r="CM6" s="126" t="str">
        <f>H6</f>
        <v>Pipeline</v>
      </c>
      <c r="CN6" s="1"/>
      <c r="CO6" s="148" t="s">
        <v>701</v>
      </c>
      <c r="CP6" s="148" t="s">
        <v>702</v>
      </c>
      <c r="CQ6" s="148" t="s">
        <v>702</v>
      </c>
      <c r="CR6" s="173"/>
      <c r="CS6" s="148" t="s">
        <v>701</v>
      </c>
      <c r="CT6" s="148" t="s">
        <v>702</v>
      </c>
      <c r="CU6" s="148" t="s">
        <v>702</v>
      </c>
      <c r="CW6" s="148" t="s">
        <v>701</v>
      </c>
      <c r="CX6" s="148" t="s">
        <v>702</v>
      </c>
      <c r="CY6" s="148" t="s">
        <v>702</v>
      </c>
    </row>
    <row r="7" spans="1:103" ht="28.5" customHeight="1" x14ac:dyDescent="0.2">
      <c r="A7" s="133" t="s">
        <v>663</v>
      </c>
      <c r="B7" s="133"/>
      <c r="D7" s="135" t="s">
        <v>663</v>
      </c>
      <c r="E7" s="135" t="s">
        <v>663</v>
      </c>
      <c r="F7" s="135" t="s">
        <v>691</v>
      </c>
      <c r="G7" s="135" t="s">
        <v>691</v>
      </c>
      <c r="H7" s="135" t="s">
        <v>691</v>
      </c>
      <c r="I7" s="135" t="s">
        <v>691</v>
      </c>
      <c r="J7" s="1"/>
      <c r="K7" s="135"/>
      <c r="L7" s="135"/>
      <c r="M7" s="135"/>
      <c r="N7" s="135"/>
      <c r="O7" s="135"/>
      <c r="P7" s="135"/>
      <c r="Q7" s="1"/>
      <c r="R7" s="274"/>
      <c r="S7" s="274"/>
      <c r="T7" s="274"/>
      <c r="U7" s="274"/>
      <c r="V7" s="274"/>
      <c r="W7" s="274"/>
      <c r="X7" s="1"/>
      <c r="Y7" s="135"/>
      <c r="Z7" s="135"/>
      <c r="AA7" s="135"/>
      <c r="AB7" s="135"/>
      <c r="AC7" s="135"/>
      <c r="AD7" s="139"/>
      <c r="AE7" s="145"/>
      <c r="AF7" s="135"/>
      <c r="AG7" s="135"/>
      <c r="AH7" s="135"/>
      <c r="AI7" s="135"/>
      <c r="AJ7" s="1"/>
      <c r="AK7" s="197"/>
      <c r="AL7" s="197"/>
      <c r="AM7" s="197"/>
      <c r="AN7" s="307"/>
      <c r="AO7" s="197"/>
      <c r="AP7" s="204" t="s">
        <v>733</v>
      </c>
      <c r="AQ7" s="200" t="s">
        <v>719</v>
      </c>
      <c r="AR7" s="193"/>
      <c r="AS7" s="205" t="s">
        <v>735</v>
      </c>
      <c r="AU7" s="134"/>
      <c r="CO7" t="s">
        <v>703</v>
      </c>
      <c r="CP7" t="s">
        <v>703</v>
      </c>
      <c r="CQ7" t="s">
        <v>704</v>
      </c>
      <c r="CS7" t="s">
        <v>703</v>
      </c>
      <c r="CT7" t="s">
        <v>703</v>
      </c>
      <c r="CU7" t="s">
        <v>704</v>
      </c>
      <c r="CW7" t="s">
        <v>703</v>
      </c>
      <c r="CX7" t="s">
        <v>703</v>
      </c>
      <c r="CY7" t="s">
        <v>704</v>
      </c>
    </row>
    <row r="8" spans="1:103" ht="22.5" customHeight="1" thickBot="1" x14ac:dyDescent="0.25">
      <c r="A8" s="133"/>
      <c r="B8" s="133"/>
      <c r="D8" s="135" t="s">
        <v>761</v>
      </c>
      <c r="E8" s="135" t="s">
        <v>762</v>
      </c>
      <c r="F8" s="135" t="s">
        <v>762</v>
      </c>
      <c r="G8" s="135" t="s">
        <v>762</v>
      </c>
      <c r="H8" s="135" t="s">
        <v>762</v>
      </c>
      <c r="I8" s="135" t="s">
        <v>762</v>
      </c>
      <c r="J8" s="1"/>
      <c r="K8" s="135" t="s">
        <v>745</v>
      </c>
      <c r="L8" s="135" t="s">
        <v>752</v>
      </c>
      <c r="M8" s="135" t="s">
        <v>752</v>
      </c>
      <c r="N8" s="135" t="s">
        <v>752</v>
      </c>
      <c r="O8" s="135" t="s">
        <v>752</v>
      </c>
      <c r="P8" s="135" t="s">
        <v>752</v>
      </c>
      <c r="Q8" s="1"/>
      <c r="R8" s="274" t="s">
        <v>769</v>
      </c>
      <c r="S8" s="274" t="s">
        <v>769</v>
      </c>
      <c r="T8" s="274" t="s">
        <v>769</v>
      </c>
      <c r="U8" s="274" t="s">
        <v>769</v>
      </c>
      <c r="V8" s="274" t="s">
        <v>769</v>
      </c>
      <c r="W8" s="274" t="s">
        <v>769</v>
      </c>
      <c r="X8" s="1"/>
      <c r="Y8" s="135" t="s">
        <v>689</v>
      </c>
      <c r="Z8" s="135" t="s">
        <v>689</v>
      </c>
      <c r="AA8" s="135" t="s">
        <v>689</v>
      </c>
      <c r="AB8" s="135" t="s">
        <v>689</v>
      </c>
      <c r="AC8" s="135" t="s">
        <v>689</v>
      </c>
      <c r="AD8" s="139"/>
      <c r="AE8" s="135" t="s">
        <v>689</v>
      </c>
      <c r="AF8" s="135" t="s">
        <v>689</v>
      </c>
      <c r="AG8" s="135" t="s">
        <v>689</v>
      </c>
      <c r="AH8" s="135" t="s">
        <v>689</v>
      </c>
      <c r="AI8" s="135" t="s">
        <v>689</v>
      </c>
      <c r="AJ8" s="1"/>
      <c r="AK8" s="198"/>
      <c r="AL8" s="198"/>
      <c r="AM8" s="198"/>
      <c r="AN8" s="198"/>
      <c r="AO8" s="198"/>
      <c r="AP8" s="194"/>
      <c r="AQ8" s="198"/>
      <c r="AR8" s="194"/>
      <c r="AS8" s="194"/>
      <c r="AU8" s="134"/>
      <c r="CO8" s="130"/>
      <c r="CP8" s="130"/>
      <c r="CQ8" s="130"/>
      <c r="CR8" s="36"/>
      <c r="CS8" s="130"/>
      <c r="CT8" s="130"/>
      <c r="CU8" s="130"/>
      <c r="CW8" s="130"/>
      <c r="CX8" s="130"/>
      <c r="CY8" s="130"/>
    </row>
    <row r="9" spans="1:103" x14ac:dyDescent="0.2">
      <c r="A9" s="133" t="s">
        <v>664</v>
      </c>
      <c r="B9" s="133">
        <v>1949</v>
      </c>
      <c r="D9" s="5"/>
      <c r="E9" s="5"/>
      <c r="F9" s="5"/>
      <c r="G9" s="5"/>
      <c r="H9" s="5"/>
      <c r="I9" s="5"/>
      <c r="K9" s="4"/>
      <c r="L9" s="4">
        <f>'Freight-based Activity'!E7</f>
        <v>0</v>
      </c>
      <c r="M9" s="4">
        <f>'Freight-based Activity'!F7</f>
        <v>0</v>
      </c>
      <c r="N9" s="4">
        <f>'Freight-based Activity'!I7</f>
        <v>0</v>
      </c>
      <c r="O9" s="4">
        <f>Pipelines!J10</f>
        <v>57425.933089500002</v>
      </c>
      <c r="P9" s="4">
        <f>SUM(K9:O9)</f>
        <v>57425.933089500002</v>
      </c>
      <c r="R9" s="4"/>
      <c r="S9" s="4"/>
      <c r="T9" s="4"/>
      <c r="U9" s="4"/>
      <c r="V9" s="4"/>
      <c r="W9" s="4"/>
      <c r="Y9" s="129"/>
      <c r="Z9" s="129"/>
      <c r="AA9" s="129"/>
      <c r="AB9" s="129"/>
      <c r="AC9" s="129">
        <f t="shared" ref="AC9:AC40" si="0">V9/V$73</f>
        <v>0</v>
      </c>
      <c r="AD9" s="141"/>
      <c r="AE9" s="142"/>
      <c r="AF9" s="142"/>
      <c r="AG9" s="142"/>
      <c r="AH9" s="142"/>
      <c r="AI9" s="142"/>
      <c r="AK9" s="131"/>
      <c r="AL9" s="131"/>
      <c r="AM9" s="131"/>
      <c r="AN9" s="131"/>
      <c r="AO9" s="131"/>
      <c r="AP9" s="131"/>
      <c r="AQ9" s="131"/>
      <c r="AR9" s="131"/>
      <c r="AS9" s="131"/>
      <c r="AU9" s="134"/>
      <c r="AW9" s="129" t="e">
        <f>D9/$I9</f>
        <v>#DIV/0!</v>
      </c>
      <c r="AX9" s="129" t="e">
        <f>E9/$I9</f>
        <v>#DIV/0!</v>
      </c>
      <c r="AY9" s="129" t="e">
        <f>F9/$I9</f>
        <v>#DIV/0!</v>
      </c>
      <c r="AZ9" s="129" t="e">
        <f>G9/$I9</f>
        <v>#DIV/0!</v>
      </c>
      <c r="BA9" s="129" t="e">
        <f>H9/$I9</f>
        <v>#DIV/0!</v>
      </c>
      <c r="BC9" s="129"/>
      <c r="BD9" s="129"/>
      <c r="BE9" s="129"/>
      <c r="BF9" s="129"/>
      <c r="BG9" s="129"/>
      <c r="BH9" s="129"/>
      <c r="BI9" s="129"/>
      <c r="BJ9" s="129"/>
      <c r="BK9" s="129"/>
      <c r="BL9" s="129"/>
      <c r="BM9" s="129"/>
      <c r="BN9" s="129"/>
      <c r="BW9" s="129">
        <f>K9/$P9</f>
        <v>0</v>
      </c>
      <c r="BX9" s="129">
        <f>L9/$P9</f>
        <v>0</v>
      </c>
      <c r="BY9" s="129">
        <f>M9/$P9</f>
        <v>0</v>
      </c>
      <c r="BZ9" s="129">
        <f>N9/$P9</f>
        <v>0</v>
      </c>
      <c r="CA9" s="129">
        <f>O9/$P9</f>
        <v>1</v>
      </c>
      <c r="CC9" s="129"/>
      <c r="CD9" s="129"/>
      <c r="CE9" s="129"/>
      <c r="CF9" s="129"/>
      <c r="CG9" s="129"/>
      <c r="CO9" s="129"/>
      <c r="CP9" s="129">
        <v>1</v>
      </c>
      <c r="CQ9" s="129">
        <f t="shared" ref="CQ9:CQ40" si="1">CP9/CP$73</f>
        <v>0.98694527092068007</v>
      </c>
      <c r="CR9" s="129"/>
      <c r="CS9" s="129"/>
      <c r="CT9" s="129">
        <v>1</v>
      </c>
      <c r="CU9" s="129">
        <f t="shared" ref="CU9:CU40" si="2">CT9/CT$73</f>
        <v>0.95563097161510735</v>
      </c>
      <c r="CV9" s="129"/>
      <c r="CW9" s="129"/>
      <c r="CX9" s="129">
        <v>1</v>
      </c>
      <c r="CY9" s="129">
        <f t="shared" ref="CY9:CY40" si="3">CX9/CX$73</f>
        <v>0.98141963933468612</v>
      </c>
    </row>
    <row r="10" spans="1:103" x14ac:dyDescent="0.2">
      <c r="A10" s="133" t="s">
        <v>664</v>
      </c>
      <c r="B10" s="133">
        <f t="shared" ref="B10:B41" si="4">B9+1</f>
        <v>1950</v>
      </c>
      <c r="D10" s="5"/>
      <c r="E10" s="5"/>
      <c r="F10" s="5"/>
      <c r="G10" s="5"/>
      <c r="H10" s="5">
        <f>Pipelines!F11</f>
        <v>129.437926129</v>
      </c>
      <c r="I10" s="5">
        <f t="shared" ref="I10:I68" si="5">SUM(D10:H10)</f>
        <v>129.437926129</v>
      </c>
      <c r="K10" s="4"/>
      <c r="L10" s="4">
        <f>'Freight-based Activity'!E8</f>
        <v>0</v>
      </c>
      <c r="M10" s="4">
        <f>'Freight-based Activity'!F8</f>
        <v>0</v>
      </c>
      <c r="N10" s="4">
        <f>'Freight-based Activity'!I8</f>
        <v>0</v>
      </c>
      <c r="O10" s="4">
        <f>Pipelines!J11</f>
        <v>65445.008386500005</v>
      </c>
      <c r="P10" s="4">
        <f t="shared" ref="P10:P60" si="6">SUM(K10:O10)</f>
        <v>65445.008386500005</v>
      </c>
      <c r="R10" s="4"/>
      <c r="S10" s="4"/>
      <c r="T10" s="4"/>
      <c r="U10" s="4"/>
      <c r="V10" s="4">
        <f t="shared" ref="V10:V40" si="7">H10/O10*1000000</f>
        <v>1977.8120489277903</v>
      </c>
      <c r="W10" s="4">
        <f t="shared" ref="W10:W40" si="8">I10/P10*1000000</f>
        <v>1977.8120489277903</v>
      </c>
      <c r="Y10" s="129"/>
      <c r="Z10" s="129"/>
      <c r="AA10" s="129"/>
      <c r="AB10" s="129"/>
      <c r="AC10" s="129">
        <f t="shared" si="0"/>
        <v>0.79965341174653537</v>
      </c>
      <c r="AD10" s="129"/>
      <c r="AE10" s="142"/>
      <c r="AF10" s="142"/>
      <c r="AG10" s="142"/>
      <c r="AH10" s="142"/>
      <c r="AI10" s="142"/>
      <c r="AK10" s="131"/>
      <c r="AL10" s="131"/>
      <c r="AM10" s="131"/>
      <c r="AN10" s="131"/>
      <c r="AO10" s="131"/>
      <c r="AP10" s="131"/>
      <c r="AQ10" s="131"/>
      <c r="AR10" s="131"/>
      <c r="AS10" s="131"/>
      <c r="AU10" s="134"/>
      <c r="AW10" s="129">
        <f t="shared" ref="AW10:AW68" si="9">D10/$I10</f>
        <v>0</v>
      </c>
      <c r="AX10" s="129">
        <f t="shared" ref="AX10:AX68" si="10">E10/$I10</f>
        <v>0</v>
      </c>
      <c r="AY10" s="129">
        <f t="shared" ref="AY10:AY68" si="11">F10/$I10</f>
        <v>0</v>
      </c>
      <c r="AZ10" s="129">
        <f t="shared" ref="AZ10:AZ68" si="12">G10/$I10</f>
        <v>0</v>
      </c>
      <c r="BA10" s="129">
        <f t="shared" ref="BA10:BA68" si="13">H10/$I10</f>
        <v>1</v>
      </c>
      <c r="BC10" s="129" t="e">
        <f>(AW10-AW9)/LN(AW10/AW9)</f>
        <v>#DIV/0!</v>
      </c>
      <c r="BD10" s="129" t="e">
        <f>(AX10-AX9)/LN(AX10/AX9)</f>
        <v>#DIV/0!</v>
      </c>
      <c r="BE10" s="129" t="e">
        <f>(AY10-AY9)/LN(AY10/AY9)</f>
        <v>#DIV/0!</v>
      </c>
      <c r="BF10" s="129" t="e">
        <f>(AZ10-AZ9)/LN(AZ10/AZ9)</f>
        <v>#DIV/0!</v>
      </c>
      <c r="BG10" s="129" t="e">
        <f>(BA10-BA9)/LN(BA10/BA9)</f>
        <v>#DIV/0!</v>
      </c>
      <c r="BH10" s="129" t="e">
        <f>SUM(BC10:BG10)</f>
        <v>#DIV/0!</v>
      </c>
      <c r="BI10" s="129"/>
      <c r="BJ10" s="129" t="e">
        <f>BC10/$BH10</f>
        <v>#DIV/0!</v>
      </c>
      <c r="BK10" s="129" t="e">
        <f>BD10/$BH10</f>
        <v>#DIV/0!</v>
      </c>
      <c r="BL10" s="129" t="e">
        <f>BE10/$BH10</f>
        <v>#DIV/0!</v>
      </c>
      <c r="BM10" s="129" t="e">
        <f>BF10/$BH10</f>
        <v>#DIV/0!</v>
      </c>
      <c r="BN10" s="129" t="e">
        <f>BG10/$BH10</f>
        <v>#DIV/0!</v>
      </c>
      <c r="BQ10" s="129" t="e">
        <f>LN(Y10/Y9)</f>
        <v>#DIV/0!</v>
      </c>
      <c r="BR10" s="129" t="e">
        <f>LN(Z10/Z9)</f>
        <v>#DIV/0!</v>
      </c>
      <c r="BS10" s="129" t="e">
        <f>LN(AA10/AA9)</f>
        <v>#DIV/0!</v>
      </c>
      <c r="BT10" s="129" t="e">
        <f>LN(AB10/AB9)</f>
        <v>#DIV/0!</v>
      </c>
      <c r="BU10" s="129" t="e">
        <f>LN(AC10/AC9)</f>
        <v>#DIV/0!</v>
      </c>
      <c r="BW10" s="129">
        <f t="shared" ref="BW10:BW68" si="14">K10/$P10</f>
        <v>0</v>
      </c>
      <c r="BX10" s="129">
        <f t="shared" ref="BX10:BX68" si="15">L10/$P10</f>
        <v>0</v>
      </c>
      <c r="BY10" s="129">
        <f t="shared" ref="BY10:BY68" si="16">M10/$P10</f>
        <v>0</v>
      </c>
      <c r="BZ10" s="129">
        <f t="shared" ref="BZ10:BZ68" si="17">N10/$P10</f>
        <v>0</v>
      </c>
      <c r="CA10" s="129">
        <f t="shared" ref="CA10:CA68" si="18">O10/$P10</f>
        <v>1</v>
      </c>
      <c r="CC10" s="129" t="e">
        <f>LN(BW10/BW9)</f>
        <v>#DIV/0!</v>
      </c>
      <c r="CD10" s="129" t="e">
        <f>LN(BX10/BX9)</f>
        <v>#DIV/0!</v>
      </c>
      <c r="CE10" s="129" t="e">
        <f>LN(BY10/BY9)</f>
        <v>#DIV/0!</v>
      </c>
      <c r="CF10" s="129" t="e">
        <f>LN(BZ10/BZ9)</f>
        <v>#DIV/0!</v>
      </c>
      <c r="CG10" s="129">
        <f>LN(CA10/CA9)</f>
        <v>0</v>
      </c>
      <c r="CI10" s="129" t="e">
        <f>LN(AE10/AE9)</f>
        <v>#DIV/0!</v>
      </c>
      <c r="CJ10" s="129" t="e">
        <f>LN(AF10/AF9)</f>
        <v>#DIV/0!</v>
      </c>
      <c r="CK10" s="129" t="e">
        <f>LN(AG10/AG9)</f>
        <v>#DIV/0!</v>
      </c>
      <c r="CL10" s="129" t="e">
        <f>LN(AH10/AH9)</f>
        <v>#DIV/0!</v>
      </c>
      <c r="CM10" s="129" t="e">
        <f>LN(AI10/AI9)</f>
        <v>#DIV/0!</v>
      </c>
      <c r="CO10" s="129" t="e">
        <f>EXP(SUMPRODUCT($BJ10:$BN10,BQ10:BU10))</f>
        <v>#DIV/0!</v>
      </c>
      <c r="CP10" s="129">
        <f t="shared" ref="CP10:CP41" si="19">IF(ISERR(CO10),CP9,CO10*CP9)</f>
        <v>1</v>
      </c>
      <c r="CQ10" s="129">
        <f t="shared" si="1"/>
        <v>0.98694527092068007</v>
      </c>
      <c r="CR10" s="129"/>
      <c r="CS10" s="129" t="e">
        <f>EXP(SUMPRODUCT($BJ10:$BN10,CC10:CG10))</f>
        <v>#DIV/0!</v>
      </c>
      <c r="CT10" s="129">
        <f t="shared" ref="CT10:CT41" si="20">IF(ISERR(CS10),CT9,CS10*CT9)</f>
        <v>1</v>
      </c>
      <c r="CU10" s="129">
        <f t="shared" si="2"/>
        <v>0.95563097161510735</v>
      </c>
      <c r="CV10" s="129"/>
      <c r="CW10" s="129" t="e">
        <f t="shared" ref="CW10:CW41" si="21">EXP(SUMPRODUCT($BJ10:$BL10,CI10:CK10))</f>
        <v>#DIV/0!</v>
      </c>
      <c r="CX10" s="129">
        <f t="shared" ref="CX10:CX41" si="22">IF(ISERR(CW10),CX9,CW10*CX9)</f>
        <v>1</v>
      </c>
      <c r="CY10" s="129">
        <f t="shared" si="3"/>
        <v>0.98141963933468612</v>
      </c>
    </row>
    <row r="11" spans="1:103" x14ac:dyDescent="0.2">
      <c r="A11" s="133" t="s">
        <v>664</v>
      </c>
      <c r="B11" s="133">
        <f t="shared" si="4"/>
        <v>1951</v>
      </c>
      <c r="D11" s="5"/>
      <c r="E11" s="5"/>
      <c r="F11" s="5"/>
      <c r="G11" s="5"/>
      <c r="H11" s="5">
        <f>Pipelines!F12</f>
        <v>198.46337615200002</v>
      </c>
      <c r="I11" s="5">
        <f t="shared" si="5"/>
        <v>198.46337615200002</v>
      </c>
      <c r="K11" s="4"/>
      <c r="L11" s="4">
        <f>'Freight-based Activity'!E9</f>
        <v>646620</v>
      </c>
      <c r="M11" s="4">
        <f>'Freight-based Activity'!F9</f>
        <v>0</v>
      </c>
      <c r="N11" s="4">
        <f>'Freight-based Activity'!I9</f>
        <v>0</v>
      </c>
      <c r="O11" s="4">
        <f>Pipelines!J12</f>
        <v>75925.50664040001</v>
      </c>
      <c r="P11" s="4">
        <f t="shared" si="6"/>
        <v>722545.50664040004</v>
      </c>
      <c r="R11" s="4"/>
      <c r="S11" s="4"/>
      <c r="T11" s="4"/>
      <c r="U11" s="4"/>
      <c r="V11" s="4">
        <f t="shared" si="7"/>
        <v>2613.922315882151</v>
      </c>
      <c r="W11" s="4">
        <f t="shared" si="8"/>
        <v>274.67249374339025</v>
      </c>
      <c r="Y11" s="129"/>
      <c r="Z11" s="129"/>
      <c r="AA11" s="129"/>
      <c r="AB11" s="129"/>
      <c r="AC11" s="129">
        <f t="shared" si="0"/>
        <v>1.0568405117507103</v>
      </c>
      <c r="AD11" s="129"/>
      <c r="AE11" s="142"/>
      <c r="AF11" s="142"/>
      <c r="AG11" s="142"/>
      <c r="AH11" s="142"/>
      <c r="AI11" s="142"/>
      <c r="AK11" s="131"/>
      <c r="AL11" s="131"/>
      <c r="AM11" s="131"/>
      <c r="AN11" s="131"/>
      <c r="AO11" s="131"/>
      <c r="AP11" s="131"/>
      <c r="AQ11" s="131"/>
      <c r="AR11" s="131"/>
      <c r="AS11" s="131"/>
      <c r="AU11" s="134"/>
      <c r="AW11" s="129">
        <f t="shared" si="9"/>
        <v>0</v>
      </c>
      <c r="AX11" s="129">
        <f t="shared" si="10"/>
        <v>0</v>
      </c>
      <c r="AY11" s="129">
        <f t="shared" si="11"/>
        <v>0</v>
      </c>
      <c r="AZ11" s="129">
        <f t="shared" si="12"/>
        <v>0</v>
      </c>
      <c r="BA11" s="129">
        <f t="shared" si="13"/>
        <v>1</v>
      </c>
      <c r="BC11" s="129" t="e">
        <f t="shared" ref="BC11:BC67" si="23">(AW11-AW10)/LN(AW11/AW10)</f>
        <v>#DIV/0!</v>
      </c>
      <c r="BD11" s="129" t="e">
        <f t="shared" ref="BD11:BD67" si="24">(AX11-AX10)/LN(AX11/AX10)</f>
        <v>#DIV/0!</v>
      </c>
      <c r="BE11" s="129" t="e">
        <f t="shared" ref="BE11:BE67" si="25">(AY11-AY10)/LN(AY11/AY10)</f>
        <v>#DIV/0!</v>
      </c>
      <c r="BF11" s="129" t="e">
        <f t="shared" ref="BF11:BF67" si="26">(AZ11-AZ10)/LN(AZ11/AZ10)</f>
        <v>#DIV/0!</v>
      </c>
      <c r="BG11" s="129" t="e">
        <f t="shared" ref="BG11:BG67" si="27">(BA11-BA10)/LN(BA11/BA10)</f>
        <v>#DIV/0!</v>
      </c>
      <c r="BH11" s="129" t="e">
        <f t="shared" ref="BH11:BH67" si="28">SUM(BC11:BG11)</f>
        <v>#DIV/0!</v>
      </c>
      <c r="BI11" s="129"/>
      <c r="BJ11" s="129" t="e">
        <f t="shared" ref="BJ11:BJ67" si="29">BC11/$BH11</f>
        <v>#DIV/0!</v>
      </c>
      <c r="BK11" s="129" t="e">
        <f t="shared" ref="BK11:BK67" si="30">BD11/$BH11</f>
        <v>#DIV/0!</v>
      </c>
      <c r="BL11" s="129" t="e">
        <f t="shared" ref="BL11:BL67" si="31">BE11/$BH11</f>
        <v>#DIV/0!</v>
      </c>
      <c r="BM11" s="129" t="e">
        <f t="shared" ref="BM11:BM67" si="32">BF11/$BH11</f>
        <v>#DIV/0!</v>
      </c>
      <c r="BN11" s="129" t="e">
        <f t="shared" ref="BN11:BN67" si="33">BG11/$BH11</f>
        <v>#DIV/0!</v>
      </c>
      <c r="BQ11" s="129" t="e">
        <f t="shared" ref="BQ11:BQ67" si="34">LN(Y11/Y10)</f>
        <v>#DIV/0!</v>
      </c>
      <c r="BR11" s="129" t="e">
        <f t="shared" ref="BR11:BR67" si="35">LN(Z11/Z10)</f>
        <v>#DIV/0!</v>
      </c>
      <c r="BS11" s="129" t="e">
        <f t="shared" ref="BS11:BS67" si="36">LN(AA11/AA10)</f>
        <v>#DIV/0!</v>
      </c>
      <c r="BT11" s="129" t="e">
        <f t="shared" ref="BT11:BT67" si="37">LN(AB11/AB10)</f>
        <v>#DIV/0!</v>
      </c>
      <c r="BU11" s="129">
        <f t="shared" ref="BU11:BU67" si="38">LN(AC11/AC10)</f>
        <v>0.27886068835492267</v>
      </c>
      <c r="BW11" s="129">
        <f t="shared" si="14"/>
        <v>0</v>
      </c>
      <c r="BX11" s="129">
        <f t="shared" si="15"/>
        <v>0.89491941207491721</v>
      </c>
      <c r="BY11" s="129">
        <f t="shared" si="16"/>
        <v>0</v>
      </c>
      <c r="BZ11" s="129">
        <f t="shared" si="17"/>
        <v>0</v>
      </c>
      <c r="CA11" s="129">
        <f t="shared" si="18"/>
        <v>0.10508058792508274</v>
      </c>
      <c r="CC11" s="129" t="e">
        <f t="shared" ref="CC11:CC67" si="39">LN(BW11/BW10)</f>
        <v>#DIV/0!</v>
      </c>
      <c r="CD11" s="129" t="e">
        <f t="shared" ref="CD11:CD67" si="40">LN(BX11/BX10)</f>
        <v>#DIV/0!</v>
      </c>
      <c r="CE11" s="129" t="e">
        <f t="shared" ref="CE11:CE67" si="41">LN(BY11/BY10)</f>
        <v>#DIV/0!</v>
      </c>
      <c r="CF11" s="129" t="e">
        <f t="shared" ref="CF11:CF67" si="42">LN(BZ11/BZ10)</f>
        <v>#DIV/0!</v>
      </c>
      <c r="CG11" s="129">
        <f t="shared" ref="CG11:CG67" si="43">LN(CA11/CA10)</f>
        <v>-2.2530277191568229</v>
      </c>
      <c r="CI11" s="129" t="e">
        <f t="shared" ref="CI11:CI67" si="44">LN(AE11/AE10)</f>
        <v>#DIV/0!</v>
      </c>
      <c r="CJ11" s="129" t="e">
        <f t="shared" ref="CJ11:CJ67" si="45">LN(AF11/AF10)</f>
        <v>#DIV/0!</v>
      </c>
      <c r="CK11" s="129" t="e">
        <f t="shared" ref="CK11:CK67" si="46">LN(AG11/AG10)</f>
        <v>#DIV/0!</v>
      </c>
      <c r="CL11" s="129" t="e">
        <f t="shared" ref="CL11:CL67" si="47">LN(AH11/AH10)</f>
        <v>#DIV/0!</v>
      </c>
      <c r="CM11" s="129" t="e">
        <f t="shared" ref="CM11:CM67" si="48">LN(AI11/AI10)</f>
        <v>#DIV/0!</v>
      </c>
      <c r="CO11" s="129" t="e">
        <f t="shared" ref="CO11:CO68" si="49">EXP(SUMPRODUCT($BJ11:$BN11,BQ11:BU11))</f>
        <v>#DIV/0!</v>
      </c>
      <c r="CP11" s="129">
        <f t="shared" si="19"/>
        <v>1</v>
      </c>
      <c r="CQ11" s="129">
        <f t="shared" si="1"/>
        <v>0.98694527092068007</v>
      </c>
      <c r="CR11" s="129"/>
      <c r="CS11" s="129" t="e">
        <f t="shared" ref="CS11:CS68" si="50">EXP(SUMPRODUCT($BJ11:$BN11,CC11:CG11))</f>
        <v>#DIV/0!</v>
      </c>
      <c r="CT11" s="129">
        <f t="shared" si="20"/>
        <v>1</v>
      </c>
      <c r="CU11" s="129">
        <f t="shared" si="2"/>
        <v>0.95563097161510735</v>
      </c>
      <c r="CV11" s="129"/>
      <c r="CW11" s="129" t="e">
        <f t="shared" si="21"/>
        <v>#DIV/0!</v>
      </c>
      <c r="CX11" s="129">
        <f t="shared" si="22"/>
        <v>1</v>
      </c>
      <c r="CY11" s="129">
        <f t="shared" si="3"/>
        <v>0.98141963933468612</v>
      </c>
    </row>
    <row r="12" spans="1:103" x14ac:dyDescent="0.2">
      <c r="A12" s="133" t="s">
        <v>664</v>
      </c>
      <c r="B12" s="133">
        <f t="shared" si="4"/>
        <v>1952</v>
      </c>
      <c r="D12" s="5"/>
      <c r="E12" s="5"/>
      <c r="F12" s="5"/>
      <c r="G12" s="5"/>
      <c r="H12" s="5">
        <f>Pipelines!F13</f>
        <v>213.630417158</v>
      </c>
      <c r="I12" s="5">
        <f t="shared" si="5"/>
        <v>213.630417158</v>
      </c>
      <c r="K12" s="4"/>
      <c r="L12" s="4">
        <f>'Freight-based Activity'!E10</f>
        <v>0</v>
      </c>
      <c r="M12" s="4">
        <f>'Freight-based Activity'!F10</f>
        <v>0</v>
      </c>
      <c r="N12" s="4">
        <f>'Freight-based Activity'!I10</f>
        <v>0</v>
      </c>
      <c r="O12" s="4">
        <f>Pipelines!J13</f>
        <v>82233.7142933</v>
      </c>
      <c r="P12" s="4">
        <f t="shared" si="6"/>
        <v>82233.7142933</v>
      </c>
      <c r="R12" s="4"/>
      <c r="S12" s="4"/>
      <c r="T12" s="4"/>
      <c r="U12" s="4"/>
      <c r="V12" s="4">
        <f t="shared" si="7"/>
        <v>2597.8446795684331</v>
      </c>
      <c r="W12" s="4">
        <f t="shared" si="8"/>
        <v>2597.8446795684331</v>
      </c>
      <c r="Y12" s="129"/>
      <c r="Z12" s="129"/>
      <c r="AA12" s="129"/>
      <c r="AB12" s="129"/>
      <c r="AC12" s="129">
        <f t="shared" si="0"/>
        <v>1.0503401282900806</v>
      </c>
      <c r="AD12" s="129"/>
      <c r="AE12" s="142"/>
      <c r="AF12" s="142"/>
      <c r="AG12" s="142"/>
      <c r="AH12" s="142"/>
      <c r="AI12" s="142"/>
      <c r="AK12" s="131"/>
      <c r="AL12" s="131"/>
      <c r="AM12" s="131"/>
      <c r="AN12" s="131"/>
      <c r="AO12" s="131"/>
      <c r="AP12" s="131"/>
      <c r="AQ12" s="131"/>
      <c r="AR12" s="131"/>
      <c r="AS12" s="131"/>
      <c r="AU12" s="134"/>
      <c r="AW12" s="129">
        <f t="shared" si="9"/>
        <v>0</v>
      </c>
      <c r="AX12" s="129">
        <f t="shared" si="10"/>
        <v>0</v>
      </c>
      <c r="AY12" s="129">
        <f t="shared" si="11"/>
        <v>0</v>
      </c>
      <c r="AZ12" s="129">
        <f t="shared" si="12"/>
        <v>0</v>
      </c>
      <c r="BA12" s="129">
        <f t="shared" si="13"/>
        <v>1</v>
      </c>
      <c r="BC12" s="129" t="e">
        <f t="shared" si="23"/>
        <v>#DIV/0!</v>
      </c>
      <c r="BD12" s="129" t="e">
        <f t="shared" si="24"/>
        <v>#DIV/0!</v>
      </c>
      <c r="BE12" s="129" t="e">
        <f t="shared" si="25"/>
        <v>#DIV/0!</v>
      </c>
      <c r="BF12" s="129" t="e">
        <f t="shared" si="26"/>
        <v>#DIV/0!</v>
      </c>
      <c r="BG12" s="129" t="e">
        <f t="shared" si="27"/>
        <v>#DIV/0!</v>
      </c>
      <c r="BH12" s="129" t="e">
        <f t="shared" si="28"/>
        <v>#DIV/0!</v>
      </c>
      <c r="BI12" s="129"/>
      <c r="BJ12" s="129" t="e">
        <f t="shared" si="29"/>
        <v>#DIV/0!</v>
      </c>
      <c r="BK12" s="129" t="e">
        <f t="shared" si="30"/>
        <v>#DIV/0!</v>
      </c>
      <c r="BL12" s="129" t="e">
        <f t="shared" si="31"/>
        <v>#DIV/0!</v>
      </c>
      <c r="BM12" s="129" t="e">
        <f t="shared" si="32"/>
        <v>#DIV/0!</v>
      </c>
      <c r="BN12" s="129" t="e">
        <f t="shared" si="33"/>
        <v>#DIV/0!</v>
      </c>
      <c r="BQ12" s="129" t="e">
        <f t="shared" si="34"/>
        <v>#DIV/0!</v>
      </c>
      <c r="BR12" s="129" t="e">
        <f t="shared" si="35"/>
        <v>#DIV/0!</v>
      </c>
      <c r="BS12" s="129" t="e">
        <f t="shared" si="36"/>
        <v>#DIV/0!</v>
      </c>
      <c r="BT12" s="129" t="e">
        <f t="shared" si="37"/>
        <v>#DIV/0!</v>
      </c>
      <c r="BU12" s="129">
        <f t="shared" si="38"/>
        <v>-6.1697644306249466E-3</v>
      </c>
      <c r="BW12" s="129">
        <f t="shared" si="14"/>
        <v>0</v>
      </c>
      <c r="BX12" s="129">
        <f t="shared" si="15"/>
        <v>0</v>
      </c>
      <c r="BY12" s="129">
        <f t="shared" si="16"/>
        <v>0</v>
      </c>
      <c r="BZ12" s="129">
        <f t="shared" si="17"/>
        <v>0</v>
      </c>
      <c r="CA12" s="129">
        <f t="shared" si="18"/>
        <v>1</v>
      </c>
      <c r="CC12" s="129" t="e">
        <f t="shared" si="39"/>
        <v>#DIV/0!</v>
      </c>
      <c r="CD12" s="129" t="e">
        <f t="shared" si="40"/>
        <v>#NUM!</v>
      </c>
      <c r="CE12" s="129" t="e">
        <f t="shared" si="41"/>
        <v>#DIV/0!</v>
      </c>
      <c r="CF12" s="129" t="e">
        <f t="shared" si="42"/>
        <v>#DIV/0!</v>
      </c>
      <c r="CG12" s="129">
        <f t="shared" si="43"/>
        <v>2.2530277191568229</v>
      </c>
      <c r="CI12" s="129" t="e">
        <f t="shared" si="44"/>
        <v>#DIV/0!</v>
      </c>
      <c r="CJ12" s="129" t="e">
        <f t="shared" si="45"/>
        <v>#DIV/0!</v>
      </c>
      <c r="CK12" s="129" t="e">
        <f t="shared" si="46"/>
        <v>#DIV/0!</v>
      </c>
      <c r="CL12" s="129" t="e">
        <f t="shared" si="47"/>
        <v>#DIV/0!</v>
      </c>
      <c r="CM12" s="129" t="e">
        <f t="shared" si="48"/>
        <v>#DIV/0!</v>
      </c>
      <c r="CO12" s="129" t="e">
        <f t="shared" si="49"/>
        <v>#DIV/0!</v>
      </c>
      <c r="CP12" s="129">
        <f t="shared" si="19"/>
        <v>1</v>
      </c>
      <c r="CQ12" s="129">
        <f t="shared" si="1"/>
        <v>0.98694527092068007</v>
      </c>
      <c r="CR12" s="129"/>
      <c r="CS12" s="129" t="e">
        <f t="shared" si="50"/>
        <v>#DIV/0!</v>
      </c>
      <c r="CT12" s="129">
        <f t="shared" si="20"/>
        <v>1</v>
      </c>
      <c r="CU12" s="129">
        <f t="shared" si="2"/>
        <v>0.95563097161510735</v>
      </c>
      <c r="CV12" s="129"/>
      <c r="CW12" s="129" t="e">
        <f t="shared" si="21"/>
        <v>#DIV/0!</v>
      </c>
      <c r="CX12" s="129">
        <f t="shared" si="22"/>
        <v>1</v>
      </c>
      <c r="CY12" s="129">
        <f t="shared" si="3"/>
        <v>0.98141963933468612</v>
      </c>
    </row>
    <row r="13" spans="1:103" x14ac:dyDescent="0.2">
      <c r="A13" s="133" t="s">
        <v>664</v>
      </c>
      <c r="B13" s="133">
        <f t="shared" si="4"/>
        <v>1953</v>
      </c>
      <c r="D13" s="5"/>
      <c r="E13" s="5"/>
      <c r="F13" s="5"/>
      <c r="G13" s="5"/>
      <c r="H13" s="5">
        <f>Pipelines!F14</f>
        <v>237.45373416999999</v>
      </c>
      <c r="I13" s="5">
        <f t="shared" si="5"/>
        <v>237.45373416999999</v>
      </c>
      <c r="K13" s="4"/>
      <c r="L13" s="4">
        <f>'Freight-based Activity'!E11</f>
        <v>0</v>
      </c>
      <c r="M13" s="4">
        <f>'Freight-based Activity'!F11</f>
        <v>0</v>
      </c>
      <c r="N13" s="4">
        <f>'Freight-based Activity'!I11</f>
        <v>0</v>
      </c>
      <c r="O13" s="4">
        <f>Pipelines!J14</f>
        <v>87168.725221100016</v>
      </c>
      <c r="P13" s="4">
        <f t="shared" si="6"/>
        <v>87168.725221100016</v>
      </c>
      <c r="R13" s="4"/>
      <c r="S13" s="4"/>
      <c r="T13" s="4"/>
      <c r="U13" s="4"/>
      <c r="V13" s="4">
        <f t="shared" si="7"/>
        <v>2724.0702851591327</v>
      </c>
      <c r="W13" s="4">
        <f t="shared" si="8"/>
        <v>2724.0702851591327</v>
      </c>
      <c r="Y13" s="129"/>
      <c r="Z13" s="129"/>
      <c r="AA13" s="129"/>
      <c r="AB13" s="129"/>
      <c r="AC13" s="129">
        <f t="shared" si="0"/>
        <v>1.1013746723536053</v>
      </c>
      <c r="AD13" s="129"/>
      <c r="AE13" s="142"/>
      <c r="AF13" s="142"/>
      <c r="AG13" s="142"/>
      <c r="AH13" s="142"/>
      <c r="AI13" s="142"/>
      <c r="AK13" s="131"/>
      <c r="AL13" s="131"/>
      <c r="AM13" s="131"/>
      <c r="AN13" s="131"/>
      <c r="AO13" s="131"/>
      <c r="AP13" s="131"/>
      <c r="AQ13" s="131"/>
      <c r="AR13" s="131"/>
      <c r="AS13" s="131"/>
      <c r="AU13" s="134"/>
      <c r="AW13" s="129">
        <f t="shared" si="9"/>
        <v>0</v>
      </c>
      <c r="AX13" s="129">
        <f t="shared" si="10"/>
        <v>0</v>
      </c>
      <c r="AY13" s="129">
        <f t="shared" si="11"/>
        <v>0</v>
      </c>
      <c r="AZ13" s="129">
        <f t="shared" si="12"/>
        <v>0</v>
      </c>
      <c r="BA13" s="129">
        <f t="shared" si="13"/>
        <v>1</v>
      </c>
      <c r="BC13" s="129" t="e">
        <f t="shared" si="23"/>
        <v>#DIV/0!</v>
      </c>
      <c r="BD13" s="129" t="e">
        <f t="shared" si="24"/>
        <v>#DIV/0!</v>
      </c>
      <c r="BE13" s="129" t="e">
        <f t="shared" si="25"/>
        <v>#DIV/0!</v>
      </c>
      <c r="BF13" s="129" t="e">
        <f t="shared" si="26"/>
        <v>#DIV/0!</v>
      </c>
      <c r="BG13" s="129" t="e">
        <f t="shared" si="27"/>
        <v>#DIV/0!</v>
      </c>
      <c r="BH13" s="129" t="e">
        <f t="shared" si="28"/>
        <v>#DIV/0!</v>
      </c>
      <c r="BI13" s="129"/>
      <c r="BJ13" s="129" t="e">
        <f t="shared" si="29"/>
        <v>#DIV/0!</v>
      </c>
      <c r="BK13" s="129" t="e">
        <f t="shared" si="30"/>
        <v>#DIV/0!</v>
      </c>
      <c r="BL13" s="129" t="e">
        <f t="shared" si="31"/>
        <v>#DIV/0!</v>
      </c>
      <c r="BM13" s="129" t="e">
        <f t="shared" si="32"/>
        <v>#DIV/0!</v>
      </c>
      <c r="BN13" s="129" t="e">
        <f t="shared" si="33"/>
        <v>#DIV/0!</v>
      </c>
      <c r="BQ13" s="129" t="e">
        <f t="shared" si="34"/>
        <v>#DIV/0!</v>
      </c>
      <c r="BR13" s="129" t="e">
        <f t="shared" si="35"/>
        <v>#DIV/0!</v>
      </c>
      <c r="BS13" s="129" t="e">
        <f t="shared" si="36"/>
        <v>#DIV/0!</v>
      </c>
      <c r="BT13" s="129" t="e">
        <f t="shared" si="37"/>
        <v>#DIV/0!</v>
      </c>
      <c r="BU13" s="129">
        <f t="shared" si="38"/>
        <v>4.7445058296490962E-2</v>
      </c>
      <c r="BW13" s="129">
        <f t="shared" si="14"/>
        <v>0</v>
      </c>
      <c r="BX13" s="129">
        <f t="shared" si="15"/>
        <v>0</v>
      </c>
      <c r="BY13" s="129">
        <f t="shared" si="16"/>
        <v>0</v>
      </c>
      <c r="BZ13" s="129">
        <f t="shared" si="17"/>
        <v>0</v>
      </c>
      <c r="CA13" s="129">
        <f t="shared" si="18"/>
        <v>1</v>
      </c>
      <c r="CC13" s="129" t="e">
        <f t="shared" si="39"/>
        <v>#DIV/0!</v>
      </c>
      <c r="CD13" s="129" t="e">
        <f t="shared" si="40"/>
        <v>#DIV/0!</v>
      </c>
      <c r="CE13" s="129" t="e">
        <f t="shared" si="41"/>
        <v>#DIV/0!</v>
      </c>
      <c r="CF13" s="129" t="e">
        <f t="shared" si="42"/>
        <v>#DIV/0!</v>
      </c>
      <c r="CG13" s="129">
        <f t="shared" si="43"/>
        <v>0</v>
      </c>
      <c r="CI13" s="129" t="e">
        <f t="shared" si="44"/>
        <v>#DIV/0!</v>
      </c>
      <c r="CJ13" s="129" t="e">
        <f t="shared" si="45"/>
        <v>#DIV/0!</v>
      </c>
      <c r="CK13" s="129" t="e">
        <f t="shared" si="46"/>
        <v>#DIV/0!</v>
      </c>
      <c r="CL13" s="129" t="e">
        <f t="shared" si="47"/>
        <v>#DIV/0!</v>
      </c>
      <c r="CM13" s="129" t="e">
        <f t="shared" si="48"/>
        <v>#DIV/0!</v>
      </c>
      <c r="CO13" s="129" t="e">
        <f t="shared" si="49"/>
        <v>#DIV/0!</v>
      </c>
      <c r="CP13" s="129">
        <f t="shared" si="19"/>
        <v>1</v>
      </c>
      <c r="CQ13" s="129">
        <f t="shared" si="1"/>
        <v>0.98694527092068007</v>
      </c>
      <c r="CR13" s="129"/>
      <c r="CS13" s="129" t="e">
        <f t="shared" si="50"/>
        <v>#DIV/0!</v>
      </c>
      <c r="CT13" s="129">
        <f t="shared" si="20"/>
        <v>1</v>
      </c>
      <c r="CU13" s="129">
        <f t="shared" si="2"/>
        <v>0.95563097161510735</v>
      </c>
      <c r="CV13" s="129"/>
      <c r="CW13" s="129" t="e">
        <f t="shared" si="21"/>
        <v>#DIV/0!</v>
      </c>
      <c r="CX13" s="129">
        <f t="shared" si="22"/>
        <v>1</v>
      </c>
      <c r="CY13" s="129">
        <f t="shared" si="3"/>
        <v>0.98141963933468612</v>
      </c>
    </row>
    <row r="14" spans="1:103" x14ac:dyDescent="0.2">
      <c r="A14" s="133" t="s">
        <v>664</v>
      </c>
      <c r="B14" s="133">
        <f t="shared" si="4"/>
        <v>1954</v>
      </c>
      <c r="D14" s="5"/>
      <c r="E14" s="5"/>
      <c r="F14" s="5"/>
      <c r="G14" s="5"/>
      <c r="H14" s="5">
        <f>Pipelines!F15</f>
        <v>237.764065179</v>
      </c>
      <c r="I14" s="5">
        <f t="shared" si="5"/>
        <v>237.764065179</v>
      </c>
      <c r="K14" s="4"/>
      <c r="L14" s="4">
        <f>'Freight-based Activity'!E12</f>
        <v>0</v>
      </c>
      <c r="M14" s="4">
        <f>'Freight-based Activity'!F12</f>
        <v>0</v>
      </c>
      <c r="N14" s="4">
        <f>'Freight-based Activity'!I12</f>
        <v>0</v>
      </c>
      <c r="O14" s="4">
        <f>Pipelines!J15</f>
        <v>93242.197754600013</v>
      </c>
      <c r="P14" s="4">
        <f t="shared" si="6"/>
        <v>93242.197754600013</v>
      </c>
      <c r="R14" s="4"/>
      <c r="S14" s="4"/>
      <c r="T14" s="4"/>
      <c r="U14" s="4"/>
      <c r="V14" s="4">
        <f t="shared" si="7"/>
        <v>2549.9620440603585</v>
      </c>
      <c r="W14" s="4">
        <f t="shared" si="8"/>
        <v>2549.9620440603585</v>
      </c>
      <c r="Y14" s="129"/>
      <c r="Z14" s="129"/>
      <c r="AA14" s="129"/>
      <c r="AB14" s="129"/>
      <c r="AC14" s="129">
        <f t="shared" si="0"/>
        <v>1.0309805977076851</v>
      </c>
      <c r="AD14" s="129"/>
      <c r="AE14" s="142"/>
      <c r="AF14" s="142"/>
      <c r="AG14" s="142"/>
      <c r="AH14" s="142"/>
      <c r="AI14" s="142"/>
      <c r="AK14" s="131"/>
      <c r="AL14" s="131"/>
      <c r="AM14" s="131"/>
      <c r="AN14" s="131"/>
      <c r="AO14" s="131"/>
      <c r="AP14" s="131"/>
      <c r="AQ14" s="131"/>
      <c r="AR14" s="131"/>
      <c r="AS14" s="131"/>
      <c r="AU14" s="134"/>
      <c r="AW14" s="129">
        <f t="shared" si="9"/>
        <v>0</v>
      </c>
      <c r="AX14" s="129">
        <f t="shared" si="10"/>
        <v>0</v>
      </c>
      <c r="AY14" s="129">
        <f t="shared" si="11"/>
        <v>0</v>
      </c>
      <c r="AZ14" s="129">
        <f t="shared" si="12"/>
        <v>0</v>
      </c>
      <c r="BA14" s="129">
        <f t="shared" si="13"/>
        <v>1</v>
      </c>
      <c r="BC14" s="129" t="e">
        <f t="shared" si="23"/>
        <v>#DIV/0!</v>
      </c>
      <c r="BD14" s="129" t="e">
        <f t="shared" si="24"/>
        <v>#DIV/0!</v>
      </c>
      <c r="BE14" s="129" t="e">
        <f t="shared" si="25"/>
        <v>#DIV/0!</v>
      </c>
      <c r="BF14" s="129" t="e">
        <f t="shared" si="26"/>
        <v>#DIV/0!</v>
      </c>
      <c r="BG14" s="129" t="e">
        <f t="shared" si="27"/>
        <v>#DIV/0!</v>
      </c>
      <c r="BH14" s="129" t="e">
        <f t="shared" si="28"/>
        <v>#DIV/0!</v>
      </c>
      <c r="BI14" s="129"/>
      <c r="BJ14" s="129" t="e">
        <f t="shared" si="29"/>
        <v>#DIV/0!</v>
      </c>
      <c r="BK14" s="129" t="e">
        <f t="shared" si="30"/>
        <v>#DIV/0!</v>
      </c>
      <c r="BL14" s="129" t="e">
        <f t="shared" si="31"/>
        <v>#DIV/0!</v>
      </c>
      <c r="BM14" s="129" t="e">
        <f t="shared" si="32"/>
        <v>#DIV/0!</v>
      </c>
      <c r="BN14" s="129" t="e">
        <f t="shared" si="33"/>
        <v>#DIV/0!</v>
      </c>
      <c r="BQ14" s="129" t="e">
        <f t="shared" si="34"/>
        <v>#DIV/0!</v>
      </c>
      <c r="BR14" s="129" t="e">
        <f t="shared" si="35"/>
        <v>#DIV/0!</v>
      </c>
      <c r="BS14" s="129" t="e">
        <f t="shared" si="36"/>
        <v>#DIV/0!</v>
      </c>
      <c r="BT14" s="129" t="e">
        <f t="shared" si="37"/>
        <v>#DIV/0!</v>
      </c>
      <c r="BU14" s="129">
        <f t="shared" si="38"/>
        <v>-6.6048715764691263E-2</v>
      </c>
      <c r="BW14" s="129">
        <f t="shared" si="14"/>
        <v>0</v>
      </c>
      <c r="BX14" s="129">
        <f t="shared" si="15"/>
        <v>0</v>
      </c>
      <c r="BY14" s="129">
        <f t="shared" si="16"/>
        <v>0</v>
      </c>
      <c r="BZ14" s="129">
        <f t="shared" si="17"/>
        <v>0</v>
      </c>
      <c r="CA14" s="129">
        <f t="shared" si="18"/>
        <v>1</v>
      </c>
      <c r="CC14" s="129" t="e">
        <f t="shared" si="39"/>
        <v>#DIV/0!</v>
      </c>
      <c r="CD14" s="129" t="e">
        <f t="shared" si="40"/>
        <v>#DIV/0!</v>
      </c>
      <c r="CE14" s="129" t="e">
        <f t="shared" si="41"/>
        <v>#DIV/0!</v>
      </c>
      <c r="CF14" s="129" t="e">
        <f t="shared" si="42"/>
        <v>#DIV/0!</v>
      </c>
      <c r="CG14" s="129">
        <f t="shared" si="43"/>
        <v>0</v>
      </c>
      <c r="CI14" s="129" t="e">
        <f t="shared" si="44"/>
        <v>#DIV/0!</v>
      </c>
      <c r="CJ14" s="129" t="e">
        <f t="shared" si="45"/>
        <v>#DIV/0!</v>
      </c>
      <c r="CK14" s="129" t="e">
        <f t="shared" si="46"/>
        <v>#DIV/0!</v>
      </c>
      <c r="CL14" s="129" t="e">
        <f t="shared" si="47"/>
        <v>#DIV/0!</v>
      </c>
      <c r="CM14" s="129" t="e">
        <f t="shared" si="48"/>
        <v>#DIV/0!</v>
      </c>
      <c r="CO14" s="129" t="e">
        <f t="shared" si="49"/>
        <v>#DIV/0!</v>
      </c>
      <c r="CP14" s="129">
        <f t="shared" si="19"/>
        <v>1</v>
      </c>
      <c r="CQ14" s="129">
        <f t="shared" si="1"/>
        <v>0.98694527092068007</v>
      </c>
      <c r="CR14" s="129"/>
      <c r="CS14" s="129" t="e">
        <f t="shared" si="50"/>
        <v>#DIV/0!</v>
      </c>
      <c r="CT14" s="129">
        <f t="shared" si="20"/>
        <v>1</v>
      </c>
      <c r="CU14" s="129">
        <f t="shared" si="2"/>
        <v>0.95563097161510735</v>
      </c>
      <c r="CV14" s="129"/>
      <c r="CW14" s="129" t="e">
        <f t="shared" si="21"/>
        <v>#DIV/0!</v>
      </c>
      <c r="CX14" s="129">
        <f t="shared" si="22"/>
        <v>1</v>
      </c>
      <c r="CY14" s="129">
        <f t="shared" si="3"/>
        <v>0.98141963933468612</v>
      </c>
    </row>
    <row r="15" spans="1:103" x14ac:dyDescent="0.2">
      <c r="A15" s="133" t="s">
        <v>664</v>
      </c>
      <c r="B15" s="133">
        <f t="shared" si="4"/>
        <v>1955</v>
      </c>
      <c r="D15" s="5"/>
      <c r="E15" s="5"/>
      <c r="F15" s="5"/>
      <c r="G15" s="5"/>
      <c r="H15" s="5">
        <f>Pipelines!F16</f>
        <v>252.84862620300001</v>
      </c>
      <c r="I15" s="5">
        <f t="shared" si="5"/>
        <v>252.84862620300001</v>
      </c>
      <c r="K15" s="4"/>
      <c r="L15" s="4">
        <f>'Freight-based Activity'!E13</f>
        <v>623615</v>
      </c>
      <c r="M15" s="4">
        <f>'Freight-based Activity'!F13</f>
        <v>0</v>
      </c>
      <c r="N15" s="4">
        <f>'Freight-based Activity'!I13</f>
        <v>0</v>
      </c>
      <c r="O15" s="4">
        <f>Pipelines!J16</f>
        <v>101601.9312674</v>
      </c>
      <c r="P15" s="4">
        <f t="shared" si="6"/>
        <v>725216.93126740004</v>
      </c>
      <c r="R15" s="4"/>
      <c r="S15" s="4"/>
      <c r="T15" s="4"/>
      <c r="U15" s="4"/>
      <c r="V15" s="4">
        <f t="shared" si="7"/>
        <v>2488.6202757065998</v>
      </c>
      <c r="W15" s="4">
        <f t="shared" si="8"/>
        <v>348.65240357959919</v>
      </c>
      <c r="Y15" s="129"/>
      <c r="Z15" s="129"/>
      <c r="AA15" s="129"/>
      <c r="AB15" s="129"/>
      <c r="AC15" s="129">
        <f t="shared" si="0"/>
        <v>1.006179376391817</v>
      </c>
      <c r="AD15" s="129"/>
      <c r="AE15" s="142"/>
      <c r="AF15" s="142"/>
      <c r="AG15" s="142"/>
      <c r="AH15" s="142"/>
      <c r="AI15" s="142"/>
      <c r="AK15" s="131"/>
      <c r="AL15" s="131"/>
      <c r="AM15" s="131"/>
      <c r="AN15" s="131"/>
      <c r="AO15" s="131"/>
      <c r="AP15" s="131"/>
      <c r="AQ15" s="131"/>
      <c r="AR15" s="131"/>
      <c r="AS15" s="131"/>
      <c r="AU15" s="134"/>
      <c r="AW15" s="129">
        <f t="shared" si="9"/>
        <v>0</v>
      </c>
      <c r="AX15" s="129">
        <f t="shared" si="10"/>
        <v>0</v>
      </c>
      <c r="AY15" s="129">
        <f t="shared" si="11"/>
        <v>0</v>
      </c>
      <c r="AZ15" s="129">
        <f t="shared" si="12"/>
        <v>0</v>
      </c>
      <c r="BA15" s="129">
        <f t="shared" si="13"/>
        <v>1</v>
      </c>
      <c r="BC15" s="129" t="e">
        <f t="shared" si="23"/>
        <v>#DIV/0!</v>
      </c>
      <c r="BD15" s="129" t="e">
        <f t="shared" si="24"/>
        <v>#DIV/0!</v>
      </c>
      <c r="BE15" s="129" t="e">
        <f t="shared" si="25"/>
        <v>#DIV/0!</v>
      </c>
      <c r="BF15" s="129" t="e">
        <f t="shared" si="26"/>
        <v>#DIV/0!</v>
      </c>
      <c r="BG15" s="129" t="e">
        <f t="shared" si="27"/>
        <v>#DIV/0!</v>
      </c>
      <c r="BH15" s="129" t="e">
        <f t="shared" si="28"/>
        <v>#DIV/0!</v>
      </c>
      <c r="BI15" s="129"/>
      <c r="BJ15" s="129" t="e">
        <f t="shared" si="29"/>
        <v>#DIV/0!</v>
      </c>
      <c r="BK15" s="129" t="e">
        <f t="shared" si="30"/>
        <v>#DIV/0!</v>
      </c>
      <c r="BL15" s="129" t="e">
        <f t="shared" si="31"/>
        <v>#DIV/0!</v>
      </c>
      <c r="BM15" s="129" t="e">
        <f t="shared" si="32"/>
        <v>#DIV/0!</v>
      </c>
      <c r="BN15" s="129" t="e">
        <f t="shared" si="33"/>
        <v>#DIV/0!</v>
      </c>
      <c r="BQ15" s="129" t="e">
        <f t="shared" si="34"/>
        <v>#DIV/0!</v>
      </c>
      <c r="BR15" s="129" t="e">
        <f t="shared" si="35"/>
        <v>#DIV/0!</v>
      </c>
      <c r="BS15" s="129" t="e">
        <f t="shared" si="36"/>
        <v>#DIV/0!</v>
      </c>
      <c r="BT15" s="129" t="e">
        <f t="shared" si="37"/>
        <v>#DIV/0!</v>
      </c>
      <c r="BU15" s="129">
        <f t="shared" si="38"/>
        <v>-2.4350023616197539E-2</v>
      </c>
      <c r="BW15" s="129">
        <f t="shared" si="14"/>
        <v>0</v>
      </c>
      <c r="BX15" s="129">
        <f t="shared" si="15"/>
        <v>0.85990132484932613</v>
      </c>
      <c r="BY15" s="129">
        <f t="shared" si="16"/>
        <v>0</v>
      </c>
      <c r="BZ15" s="129">
        <f t="shared" si="17"/>
        <v>0</v>
      </c>
      <c r="CA15" s="129">
        <f t="shared" si="18"/>
        <v>0.14009867515067378</v>
      </c>
      <c r="CC15" s="129" t="e">
        <f t="shared" si="39"/>
        <v>#DIV/0!</v>
      </c>
      <c r="CD15" s="129" t="e">
        <f t="shared" si="40"/>
        <v>#DIV/0!</v>
      </c>
      <c r="CE15" s="129" t="e">
        <f t="shared" si="41"/>
        <v>#DIV/0!</v>
      </c>
      <c r="CF15" s="129" t="e">
        <f t="shared" si="42"/>
        <v>#DIV/0!</v>
      </c>
      <c r="CG15" s="129">
        <f t="shared" si="43"/>
        <v>-1.9654082821387506</v>
      </c>
      <c r="CI15" s="129" t="e">
        <f t="shared" si="44"/>
        <v>#DIV/0!</v>
      </c>
      <c r="CJ15" s="129" t="e">
        <f t="shared" si="45"/>
        <v>#DIV/0!</v>
      </c>
      <c r="CK15" s="129" t="e">
        <f t="shared" si="46"/>
        <v>#DIV/0!</v>
      </c>
      <c r="CL15" s="129" t="e">
        <f t="shared" si="47"/>
        <v>#DIV/0!</v>
      </c>
      <c r="CM15" s="129" t="e">
        <f t="shared" si="48"/>
        <v>#DIV/0!</v>
      </c>
      <c r="CO15" s="129" t="e">
        <f t="shared" si="49"/>
        <v>#DIV/0!</v>
      </c>
      <c r="CP15" s="129">
        <f t="shared" si="19"/>
        <v>1</v>
      </c>
      <c r="CQ15" s="129">
        <f t="shared" si="1"/>
        <v>0.98694527092068007</v>
      </c>
      <c r="CR15" s="129"/>
      <c r="CS15" s="129" t="e">
        <f t="shared" si="50"/>
        <v>#DIV/0!</v>
      </c>
      <c r="CT15" s="129">
        <f t="shared" si="20"/>
        <v>1</v>
      </c>
      <c r="CU15" s="129">
        <f t="shared" si="2"/>
        <v>0.95563097161510735</v>
      </c>
      <c r="CV15" s="129"/>
      <c r="CW15" s="129" t="e">
        <f t="shared" si="21"/>
        <v>#DIV/0!</v>
      </c>
      <c r="CX15" s="129">
        <f t="shared" si="22"/>
        <v>1</v>
      </c>
      <c r="CY15" s="129">
        <f t="shared" si="3"/>
        <v>0.98141963933468612</v>
      </c>
    </row>
    <row r="16" spans="1:103" x14ac:dyDescent="0.2">
      <c r="A16" s="133" t="s">
        <v>664</v>
      </c>
      <c r="B16" s="133">
        <f t="shared" si="4"/>
        <v>1956</v>
      </c>
      <c r="D16" s="5"/>
      <c r="E16" s="5"/>
      <c r="F16" s="5"/>
      <c r="G16" s="5"/>
      <c r="H16" s="5">
        <f>Pipelines!F17</f>
        <v>305.14713223000001</v>
      </c>
      <c r="I16" s="5">
        <f t="shared" si="5"/>
        <v>305.14713223000001</v>
      </c>
      <c r="K16" s="4"/>
      <c r="L16" s="4">
        <f>'Freight-based Activity'!E14</f>
        <v>0</v>
      </c>
      <c r="M16" s="4">
        <f>'Freight-based Activity'!F14</f>
        <v>0</v>
      </c>
      <c r="N16" s="4">
        <f>'Freight-based Activity'!I14</f>
        <v>0</v>
      </c>
      <c r="O16" s="4">
        <f>Pipelines!J17</f>
        <v>110945.52402440002</v>
      </c>
      <c r="P16" s="4">
        <f t="shared" si="6"/>
        <v>110945.52402440002</v>
      </c>
      <c r="R16" s="4"/>
      <c r="S16" s="4"/>
      <c r="T16" s="4"/>
      <c r="U16" s="4"/>
      <c r="V16" s="4">
        <f t="shared" si="7"/>
        <v>2750.4231010066674</v>
      </c>
      <c r="W16" s="4">
        <f t="shared" si="8"/>
        <v>2750.4231010066674</v>
      </c>
      <c r="Y16" s="129"/>
      <c r="Z16" s="129"/>
      <c r="AA16" s="129"/>
      <c r="AB16" s="129"/>
      <c r="AC16" s="129">
        <f t="shared" si="0"/>
        <v>1.1120294355870648</v>
      </c>
      <c r="AD16" s="129"/>
      <c r="AE16" s="142"/>
      <c r="AF16" s="142"/>
      <c r="AG16" s="142"/>
      <c r="AH16" s="142"/>
      <c r="AI16" s="142"/>
      <c r="AK16" s="131"/>
      <c r="AL16" s="131"/>
      <c r="AM16" s="131"/>
      <c r="AN16" s="131"/>
      <c r="AO16" s="131"/>
      <c r="AP16" s="131"/>
      <c r="AQ16" s="131"/>
      <c r="AR16" s="131"/>
      <c r="AS16" s="131"/>
      <c r="AU16" s="134"/>
      <c r="AW16" s="129">
        <f t="shared" si="9"/>
        <v>0</v>
      </c>
      <c r="AX16" s="129">
        <f t="shared" si="10"/>
        <v>0</v>
      </c>
      <c r="AY16" s="129">
        <f t="shared" si="11"/>
        <v>0</v>
      </c>
      <c r="AZ16" s="129">
        <f t="shared" si="12"/>
        <v>0</v>
      </c>
      <c r="BA16" s="129">
        <f t="shared" si="13"/>
        <v>1</v>
      </c>
      <c r="BC16" s="129" t="e">
        <f t="shared" si="23"/>
        <v>#DIV/0!</v>
      </c>
      <c r="BD16" s="129" t="e">
        <f t="shared" si="24"/>
        <v>#DIV/0!</v>
      </c>
      <c r="BE16" s="129" t="e">
        <f t="shared" si="25"/>
        <v>#DIV/0!</v>
      </c>
      <c r="BF16" s="129" t="e">
        <f t="shared" si="26"/>
        <v>#DIV/0!</v>
      </c>
      <c r="BG16" s="129" t="e">
        <f t="shared" si="27"/>
        <v>#DIV/0!</v>
      </c>
      <c r="BH16" s="129" t="e">
        <f t="shared" si="28"/>
        <v>#DIV/0!</v>
      </c>
      <c r="BI16" s="129"/>
      <c r="BJ16" s="129" t="e">
        <f t="shared" si="29"/>
        <v>#DIV/0!</v>
      </c>
      <c r="BK16" s="129" t="e">
        <f t="shared" si="30"/>
        <v>#DIV/0!</v>
      </c>
      <c r="BL16" s="129" t="e">
        <f t="shared" si="31"/>
        <v>#DIV/0!</v>
      </c>
      <c r="BM16" s="129" t="e">
        <f t="shared" si="32"/>
        <v>#DIV/0!</v>
      </c>
      <c r="BN16" s="129" t="e">
        <f t="shared" si="33"/>
        <v>#DIV/0!</v>
      </c>
      <c r="BQ16" s="129" t="e">
        <f t="shared" si="34"/>
        <v>#DIV/0!</v>
      </c>
      <c r="BR16" s="129" t="e">
        <f t="shared" si="35"/>
        <v>#DIV/0!</v>
      </c>
      <c r="BS16" s="129" t="e">
        <f t="shared" si="36"/>
        <v>#DIV/0!</v>
      </c>
      <c r="BT16" s="129" t="e">
        <f t="shared" si="37"/>
        <v>#DIV/0!</v>
      </c>
      <c r="BU16" s="129">
        <f t="shared" si="38"/>
        <v>0.1000263039943953</v>
      </c>
      <c r="BW16" s="129">
        <f t="shared" si="14"/>
        <v>0</v>
      </c>
      <c r="BX16" s="129">
        <f t="shared" si="15"/>
        <v>0</v>
      </c>
      <c r="BY16" s="129">
        <f t="shared" si="16"/>
        <v>0</v>
      </c>
      <c r="BZ16" s="129">
        <f t="shared" si="17"/>
        <v>0</v>
      </c>
      <c r="CA16" s="129">
        <f t="shared" si="18"/>
        <v>1</v>
      </c>
      <c r="CC16" s="129" t="e">
        <f t="shared" si="39"/>
        <v>#DIV/0!</v>
      </c>
      <c r="CD16" s="129" t="e">
        <f t="shared" si="40"/>
        <v>#NUM!</v>
      </c>
      <c r="CE16" s="129" t="e">
        <f t="shared" si="41"/>
        <v>#DIV/0!</v>
      </c>
      <c r="CF16" s="129" t="e">
        <f t="shared" si="42"/>
        <v>#DIV/0!</v>
      </c>
      <c r="CG16" s="129">
        <f t="shared" si="43"/>
        <v>1.9654082821387506</v>
      </c>
      <c r="CI16" s="129" t="e">
        <f t="shared" si="44"/>
        <v>#DIV/0!</v>
      </c>
      <c r="CJ16" s="129" t="e">
        <f t="shared" si="45"/>
        <v>#DIV/0!</v>
      </c>
      <c r="CK16" s="129" t="e">
        <f t="shared" si="46"/>
        <v>#DIV/0!</v>
      </c>
      <c r="CL16" s="129" t="e">
        <f t="shared" si="47"/>
        <v>#DIV/0!</v>
      </c>
      <c r="CM16" s="129" t="e">
        <f t="shared" si="48"/>
        <v>#DIV/0!</v>
      </c>
      <c r="CO16" s="129" t="e">
        <f t="shared" si="49"/>
        <v>#DIV/0!</v>
      </c>
      <c r="CP16" s="129">
        <f t="shared" si="19"/>
        <v>1</v>
      </c>
      <c r="CQ16" s="129">
        <f t="shared" si="1"/>
        <v>0.98694527092068007</v>
      </c>
      <c r="CR16" s="129"/>
      <c r="CS16" s="129" t="e">
        <f t="shared" si="50"/>
        <v>#DIV/0!</v>
      </c>
      <c r="CT16" s="129">
        <f t="shared" si="20"/>
        <v>1</v>
      </c>
      <c r="CU16" s="129">
        <f t="shared" si="2"/>
        <v>0.95563097161510735</v>
      </c>
      <c r="CV16" s="129"/>
      <c r="CW16" s="129" t="e">
        <f t="shared" si="21"/>
        <v>#DIV/0!</v>
      </c>
      <c r="CX16" s="129">
        <f t="shared" si="22"/>
        <v>1</v>
      </c>
      <c r="CY16" s="129">
        <f t="shared" si="3"/>
        <v>0.98141963933468612</v>
      </c>
    </row>
    <row r="17" spans="1:114" x14ac:dyDescent="0.2">
      <c r="A17" s="133" t="s">
        <v>664</v>
      </c>
      <c r="B17" s="133">
        <f t="shared" si="4"/>
        <v>1957</v>
      </c>
      <c r="D17" s="5"/>
      <c r="E17" s="5"/>
      <c r="F17" s="5"/>
      <c r="G17" s="5"/>
      <c r="H17" s="5">
        <f>Pipelines!F18</f>
        <v>308.51128522299996</v>
      </c>
      <c r="I17" s="5">
        <f t="shared" si="5"/>
        <v>308.51128522299996</v>
      </c>
      <c r="K17" s="4"/>
      <c r="L17" s="4">
        <f>'Freight-based Activity'!E15</f>
        <v>0</v>
      </c>
      <c r="M17" s="4">
        <f>'Freight-based Activity'!F15</f>
        <v>0</v>
      </c>
      <c r="N17" s="4">
        <f>'Freight-based Activity'!I15</f>
        <v>0</v>
      </c>
      <c r="O17" s="4">
        <f>Pipelines!J18</f>
        <v>118033.25861800001</v>
      </c>
      <c r="P17" s="4">
        <f t="shared" si="6"/>
        <v>118033.25861800001</v>
      </c>
      <c r="R17" s="4"/>
      <c r="S17" s="4"/>
      <c r="T17" s="4"/>
      <c r="U17" s="4"/>
      <c r="V17" s="4">
        <f t="shared" si="7"/>
        <v>2613.7657202319429</v>
      </c>
      <c r="W17" s="4">
        <f t="shared" si="8"/>
        <v>2613.7657202319429</v>
      </c>
      <c r="Y17" s="129"/>
      <c r="Z17" s="129"/>
      <c r="AA17" s="129"/>
      <c r="AB17" s="129"/>
      <c r="AC17" s="129">
        <f t="shared" si="0"/>
        <v>1.0567771982290735</v>
      </c>
      <c r="AD17" s="129"/>
      <c r="AE17" s="142"/>
      <c r="AF17" s="142"/>
      <c r="AG17" s="142"/>
      <c r="AH17" s="142"/>
      <c r="AI17" s="142"/>
      <c r="AK17" s="131"/>
      <c r="AL17" s="131"/>
      <c r="AM17" s="131"/>
      <c r="AN17" s="131"/>
      <c r="AO17" s="131"/>
      <c r="AP17" s="131"/>
      <c r="AQ17" s="131"/>
      <c r="AR17" s="131"/>
      <c r="AS17" s="131"/>
      <c r="AU17" s="134"/>
      <c r="AW17" s="129">
        <f t="shared" si="9"/>
        <v>0</v>
      </c>
      <c r="AX17" s="129">
        <f t="shared" si="10"/>
        <v>0</v>
      </c>
      <c r="AY17" s="129">
        <f t="shared" si="11"/>
        <v>0</v>
      </c>
      <c r="AZ17" s="129">
        <f t="shared" si="12"/>
        <v>0</v>
      </c>
      <c r="BA17" s="129">
        <f t="shared" si="13"/>
        <v>1</v>
      </c>
      <c r="BC17" s="129" t="e">
        <f t="shared" si="23"/>
        <v>#DIV/0!</v>
      </c>
      <c r="BD17" s="129" t="e">
        <f t="shared" si="24"/>
        <v>#DIV/0!</v>
      </c>
      <c r="BE17" s="129" t="e">
        <f t="shared" si="25"/>
        <v>#DIV/0!</v>
      </c>
      <c r="BF17" s="129" t="e">
        <f t="shared" si="26"/>
        <v>#DIV/0!</v>
      </c>
      <c r="BG17" s="129" t="e">
        <f t="shared" si="27"/>
        <v>#DIV/0!</v>
      </c>
      <c r="BH17" s="129" t="e">
        <f t="shared" si="28"/>
        <v>#DIV/0!</v>
      </c>
      <c r="BI17" s="129"/>
      <c r="BJ17" s="129" t="e">
        <f t="shared" si="29"/>
        <v>#DIV/0!</v>
      </c>
      <c r="BK17" s="129" t="e">
        <f t="shared" si="30"/>
        <v>#DIV/0!</v>
      </c>
      <c r="BL17" s="129" t="e">
        <f t="shared" si="31"/>
        <v>#DIV/0!</v>
      </c>
      <c r="BM17" s="129" t="e">
        <f t="shared" si="32"/>
        <v>#DIV/0!</v>
      </c>
      <c r="BN17" s="129" t="e">
        <f t="shared" si="33"/>
        <v>#DIV/0!</v>
      </c>
      <c r="BQ17" s="129" t="e">
        <f t="shared" si="34"/>
        <v>#DIV/0!</v>
      </c>
      <c r="BR17" s="129" t="e">
        <f t="shared" si="35"/>
        <v>#DIV/0!</v>
      </c>
      <c r="BS17" s="129" t="e">
        <f t="shared" si="36"/>
        <v>#DIV/0!</v>
      </c>
      <c r="BT17" s="129" t="e">
        <f t="shared" si="37"/>
        <v>#DIV/0!</v>
      </c>
      <c r="BU17" s="129">
        <f t="shared" si="38"/>
        <v>-5.0962768576980726E-2</v>
      </c>
      <c r="BW17" s="129">
        <f t="shared" si="14"/>
        <v>0</v>
      </c>
      <c r="BX17" s="129">
        <f t="shared" si="15"/>
        <v>0</v>
      </c>
      <c r="BY17" s="129">
        <f t="shared" si="16"/>
        <v>0</v>
      </c>
      <c r="BZ17" s="129">
        <f t="shared" si="17"/>
        <v>0</v>
      </c>
      <c r="CA17" s="129">
        <f t="shared" si="18"/>
        <v>1</v>
      </c>
      <c r="CC17" s="129" t="e">
        <f t="shared" si="39"/>
        <v>#DIV/0!</v>
      </c>
      <c r="CD17" s="129" t="e">
        <f t="shared" si="40"/>
        <v>#DIV/0!</v>
      </c>
      <c r="CE17" s="129" t="e">
        <f t="shared" si="41"/>
        <v>#DIV/0!</v>
      </c>
      <c r="CF17" s="129" t="e">
        <f t="shared" si="42"/>
        <v>#DIV/0!</v>
      </c>
      <c r="CG17" s="129">
        <f t="shared" si="43"/>
        <v>0</v>
      </c>
      <c r="CI17" s="129" t="e">
        <f t="shared" si="44"/>
        <v>#DIV/0!</v>
      </c>
      <c r="CJ17" s="129" t="e">
        <f t="shared" si="45"/>
        <v>#DIV/0!</v>
      </c>
      <c r="CK17" s="129" t="e">
        <f t="shared" si="46"/>
        <v>#DIV/0!</v>
      </c>
      <c r="CL17" s="129" t="e">
        <f t="shared" si="47"/>
        <v>#DIV/0!</v>
      </c>
      <c r="CM17" s="129" t="e">
        <f t="shared" si="48"/>
        <v>#DIV/0!</v>
      </c>
      <c r="CO17" s="129" t="e">
        <f t="shared" si="49"/>
        <v>#DIV/0!</v>
      </c>
      <c r="CP17" s="129">
        <f t="shared" si="19"/>
        <v>1</v>
      </c>
      <c r="CQ17" s="129">
        <f t="shared" si="1"/>
        <v>0.98694527092068007</v>
      </c>
      <c r="CR17" s="129"/>
      <c r="CS17" s="129" t="e">
        <f t="shared" si="50"/>
        <v>#DIV/0!</v>
      </c>
      <c r="CT17" s="129">
        <f t="shared" si="20"/>
        <v>1</v>
      </c>
      <c r="CU17" s="129">
        <f t="shared" si="2"/>
        <v>0.95563097161510735</v>
      </c>
      <c r="CV17" s="129"/>
      <c r="CW17" s="129" t="e">
        <f t="shared" si="21"/>
        <v>#DIV/0!</v>
      </c>
      <c r="CX17" s="129">
        <f t="shared" si="22"/>
        <v>1</v>
      </c>
      <c r="CY17" s="129">
        <f t="shared" si="3"/>
        <v>0.98141963933468612</v>
      </c>
    </row>
    <row r="18" spans="1:114" x14ac:dyDescent="0.2">
      <c r="A18" s="133" t="s">
        <v>664</v>
      </c>
      <c r="B18" s="133">
        <f t="shared" si="4"/>
        <v>1958</v>
      </c>
      <c r="D18" s="5"/>
      <c r="E18" s="5"/>
      <c r="F18" s="5"/>
      <c r="G18" s="5"/>
      <c r="H18" s="5">
        <f>Pipelines!F19</f>
        <v>321.899851211</v>
      </c>
      <c r="I18" s="5">
        <f t="shared" si="5"/>
        <v>321.899851211</v>
      </c>
      <c r="K18" s="4"/>
      <c r="L18" s="4">
        <f>'Freight-based Activity'!E16</f>
        <v>0</v>
      </c>
      <c r="M18" s="4">
        <f>'Freight-based Activity'!F16</f>
        <v>676.53200000000004</v>
      </c>
      <c r="N18" s="4">
        <f>'Freight-based Activity'!I16</f>
        <v>0</v>
      </c>
      <c r="O18" s="4">
        <f>Pipelines!J19</f>
        <v>122802.75142270001</v>
      </c>
      <c r="P18" s="4">
        <f t="shared" si="6"/>
        <v>123479.28342270001</v>
      </c>
      <c r="R18" s="4"/>
      <c r="S18" s="4"/>
      <c r="T18" s="4"/>
      <c r="U18" s="4"/>
      <c r="V18" s="4">
        <f t="shared" si="7"/>
        <v>2621.2755616768454</v>
      </c>
      <c r="W18" s="4">
        <f t="shared" si="8"/>
        <v>2606.9138262574579</v>
      </c>
      <c r="Y18" s="129"/>
      <c r="Z18" s="129"/>
      <c r="AA18" s="129"/>
      <c r="AB18" s="129"/>
      <c r="AC18" s="129">
        <f t="shared" si="0"/>
        <v>1.0598135182557147</v>
      </c>
      <c r="AD18" s="129"/>
      <c r="AE18" s="142"/>
      <c r="AF18" s="142"/>
      <c r="AG18" s="142"/>
      <c r="AH18" s="142"/>
      <c r="AI18" s="142"/>
      <c r="AK18" s="131"/>
      <c r="AL18" s="131"/>
      <c r="AM18" s="131"/>
      <c r="AN18" s="131"/>
      <c r="AO18" s="131"/>
      <c r="AP18" s="131"/>
      <c r="AQ18" s="131"/>
      <c r="AR18" s="131"/>
      <c r="AS18" s="131"/>
      <c r="AU18" s="134"/>
      <c r="AW18" s="129">
        <f t="shared" si="9"/>
        <v>0</v>
      </c>
      <c r="AX18" s="129">
        <f t="shared" si="10"/>
        <v>0</v>
      </c>
      <c r="AY18" s="129">
        <f t="shared" si="11"/>
        <v>0</v>
      </c>
      <c r="AZ18" s="129">
        <f t="shared" si="12"/>
        <v>0</v>
      </c>
      <c r="BA18" s="129">
        <f t="shared" si="13"/>
        <v>1</v>
      </c>
      <c r="BC18" s="129" t="e">
        <f t="shared" si="23"/>
        <v>#DIV/0!</v>
      </c>
      <c r="BD18" s="129" t="e">
        <f t="shared" si="24"/>
        <v>#DIV/0!</v>
      </c>
      <c r="BE18" s="129" t="e">
        <f t="shared" si="25"/>
        <v>#DIV/0!</v>
      </c>
      <c r="BF18" s="129" t="e">
        <f t="shared" si="26"/>
        <v>#DIV/0!</v>
      </c>
      <c r="BG18" s="129" t="e">
        <f t="shared" si="27"/>
        <v>#DIV/0!</v>
      </c>
      <c r="BH18" s="129" t="e">
        <f t="shared" si="28"/>
        <v>#DIV/0!</v>
      </c>
      <c r="BI18" s="129"/>
      <c r="BJ18" s="129" t="e">
        <f t="shared" si="29"/>
        <v>#DIV/0!</v>
      </c>
      <c r="BK18" s="129" t="e">
        <f t="shared" si="30"/>
        <v>#DIV/0!</v>
      </c>
      <c r="BL18" s="129" t="e">
        <f t="shared" si="31"/>
        <v>#DIV/0!</v>
      </c>
      <c r="BM18" s="129" t="e">
        <f t="shared" si="32"/>
        <v>#DIV/0!</v>
      </c>
      <c r="BN18" s="129" t="e">
        <f t="shared" si="33"/>
        <v>#DIV/0!</v>
      </c>
      <c r="BQ18" s="129" t="e">
        <f t="shared" si="34"/>
        <v>#DIV/0!</v>
      </c>
      <c r="BR18" s="129" t="e">
        <f t="shared" si="35"/>
        <v>#DIV/0!</v>
      </c>
      <c r="BS18" s="129" t="e">
        <f t="shared" si="36"/>
        <v>#DIV/0!</v>
      </c>
      <c r="BT18" s="129" t="e">
        <f t="shared" si="37"/>
        <v>#DIV/0!</v>
      </c>
      <c r="BU18" s="129">
        <f t="shared" si="38"/>
        <v>2.8690687205571268E-3</v>
      </c>
      <c r="BW18" s="129">
        <f t="shared" si="14"/>
        <v>0</v>
      </c>
      <c r="BX18" s="129">
        <f t="shared" si="15"/>
        <v>0</v>
      </c>
      <c r="BY18" s="129">
        <f t="shared" si="16"/>
        <v>5.4789109658505575E-3</v>
      </c>
      <c r="BZ18" s="129">
        <f t="shared" si="17"/>
        <v>0</v>
      </c>
      <c r="CA18" s="129">
        <f t="shared" si="18"/>
        <v>0.99452108903414937</v>
      </c>
      <c r="CC18" s="129" t="e">
        <f t="shared" si="39"/>
        <v>#DIV/0!</v>
      </c>
      <c r="CD18" s="129" t="e">
        <f t="shared" si="40"/>
        <v>#DIV/0!</v>
      </c>
      <c r="CE18" s="129" t="e">
        <f t="shared" si="41"/>
        <v>#DIV/0!</v>
      </c>
      <c r="CF18" s="129" t="e">
        <f t="shared" si="42"/>
        <v>#DIV/0!</v>
      </c>
      <c r="CG18" s="129">
        <f t="shared" si="43"/>
        <v>-5.4939752476385328E-3</v>
      </c>
      <c r="CI18" s="129" t="e">
        <f t="shared" si="44"/>
        <v>#DIV/0!</v>
      </c>
      <c r="CJ18" s="129" t="e">
        <f t="shared" si="45"/>
        <v>#DIV/0!</v>
      </c>
      <c r="CK18" s="129" t="e">
        <f t="shared" si="46"/>
        <v>#DIV/0!</v>
      </c>
      <c r="CL18" s="129" t="e">
        <f t="shared" si="47"/>
        <v>#DIV/0!</v>
      </c>
      <c r="CM18" s="129" t="e">
        <f t="shared" si="48"/>
        <v>#DIV/0!</v>
      </c>
      <c r="CO18" s="129" t="e">
        <f t="shared" si="49"/>
        <v>#DIV/0!</v>
      </c>
      <c r="CP18" s="129">
        <f t="shared" si="19"/>
        <v>1</v>
      </c>
      <c r="CQ18" s="129">
        <f t="shared" si="1"/>
        <v>0.98694527092068007</v>
      </c>
      <c r="CR18" s="129"/>
      <c r="CS18" s="129" t="e">
        <f t="shared" si="50"/>
        <v>#DIV/0!</v>
      </c>
      <c r="CT18" s="129">
        <f t="shared" si="20"/>
        <v>1</v>
      </c>
      <c r="CU18" s="129">
        <f t="shared" si="2"/>
        <v>0.95563097161510735</v>
      </c>
      <c r="CV18" s="129"/>
      <c r="CW18" s="129" t="e">
        <f t="shared" si="21"/>
        <v>#DIV/0!</v>
      </c>
      <c r="CX18" s="129">
        <f t="shared" si="22"/>
        <v>1</v>
      </c>
      <c r="CY18" s="129">
        <f t="shared" si="3"/>
        <v>0.98141963933468612</v>
      </c>
    </row>
    <row r="19" spans="1:114" x14ac:dyDescent="0.2">
      <c r="A19" s="133" t="s">
        <v>664</v>
      </c>
      <c r="B19" s="133">
        <f t="shared" si="4"/>
        <v>1959</v>
      </c>
      <c r="D19" s="5"/>
      <c r="E19" s="5"/>
      <c r="F19" s="5"/>
      <c r="G19" s="5"/>
      <c r="H19" s="5">
        <f>Pipelines!F20</f>
        <v>360.17778822700001</v>
      </c>
      <c r="I19" s="5">
        <f t="shared" si="5"/>
        <v>360.17778822700001</v>
      </c>
      <c r="K19" s="4"/>
      <c r="L19" s="4">
        <f>'Freight-based Activity'!E17</f>
        <v>0</v>
      </c>
      <c r="M19" s="4">
        <f>'Freight-based Activity'!F17</f>
        <v>795.48099999999999</v>
      </c>
      <c r="N19" s="4">
        <f>'Freight-based Activity'!I17</f>
        <v>0</v>
      </c>
      <c r="O19" s="4">
        <f>Pipelines!J20</f>
        <v>135140.40359120001</v>
      </c>
      <c r="P19" s="4">
        <f t="shared" si="6"/>
        <v>135935.88459120001</v>
      </c>
      <c r="R19" s="4"/>
      <c r="S19" s="4"/>
      <c r="T19" s="4"/>
      <c r="U19" s="4"/>
      <c r="V19" s="4">
        <f t="shared" si="7"/>
        <v>2665.2117254032964</v>
      </c>
      <c r="W19" s="4">
        <f t="shared" si="8"/>
        <v>2649.6152161010514</v>
      </c>
      <c r="Y19" s="129"/>
      <c r="Z19" s="129"/>
      <c r="AA19" s="129"/>
      <c r="AB19" s="129"/>
      <c r="AC19" s="129">
        <f t="shared" si="0"/>
        <v>1.0775774424071312</v>
      </c>
      <c r="AD19" s="129"/>
      <c r="AE19" s="142"/>
      <c r="AF19" s="142"/>
      <c r="AG19" s="142"/>
      <c r="AH19" s="142"/>
      <c r="AI19" s="142"/>
      <c r="AK19" s="131"/>
      <c r="AL19" s="131"/>
      <c r="AM19" s="131"/>
      <c r="AN19" s="131"/>
      <c r="AO19" s="131"/>
      <c r="AP19" s="131"/>
      <c r="AQ19" s="131"/>
      <c r="AR19" s="131"/>
      <c r="AS19" s="131"/>
      <c r="AU19" s="134"/>
      <c r="AW19" s="129">
        <f t="shared" si="9"/>
        <v>0</v>
      </c>
      <c r="AX19" s="129">
        <f t="shared" si="10"/>
        <v>0</v>
      </c>
      <c r="AY19" s="129">
        <f t="shared" si="11"/>
        <v>0</v>
      </c>
      <c r="AZ19" s="129">
        <f t="shared" si="12"/>
        <v>0</v>
      </c>
      <c r="BA19" s="129">
        <f t="shared" si="13"/>
        <v>1</v>
      </c>
      <c r="BC19" s="129" t="e">
        <f t="shared" si="23"/>
        <v>#DIV/0!</v>
      </c>
      <c r="BD19" s="129" t="e">
        <f t="shared" si="24"/>
        <v>#DIV/0!</v>
      </c>
      <c r="BE19" s="129" t="e">
        <f t="shared" si="25"/>
        <v>#DIV/0!</v>
      </c>
      <c r="BF19" s="129" t="e">
        <f t="shared" si="26"/>
        <v>#DIV/0!</v>
      </c>
      <c r="BG19" s="129" t="e">
        <f t="shared" si="27"/>
        <v>#DIV/0!</v>
      </c>
      <c r="BH19" s="129" t="e">
        <f t="shared" si="28"/>
        <v>#DIV/0!</v>
      </c>
      <c r="BI19" s="129"/>
      <c r="BJ19" s="129" t="e">
        <f t="shared" si="29"/>
        <v>#DIV/0!</v>
      </c>
      <c r="BK19" s="129" t="e">
        <f t="shared" si="30"/>
        <v>#DIV/0!</v>
      </c>
      <c r="BL19" s="129" t="e">
        <f t="shared" si="31"/>
        <v>#DIV/0!</v>
      </c>
      <c r="BM19" s="129" t="e">
        <f t="shared" si="32"/>
        <v>#DIV/0!</v>
      </c>
      <c r="BN19" s="129" t="e">
        <f t="shared" si="33"/>
        <v>#DIV/0!</v>
      </c>
      <c r="BQ19" s="129" t="e">
        <f t="shared" si="34"/>
        <v>#DIV/0!</v>
      </c>
      <c r="BR19" s="129" t="e">
        <f t="shared" si="35"/>
        <v>#DIV/0!</v>
      </c>
      <c r="BS19" s="129" t="e">
        <f t="shared" si="36"/>
        <v>#DIV/0!</v>
      </c>
      <c r="BT19" s="129" t="e">
        <f t="shared" si="37"/>
        <v>#DIV/0!</v>
      </c>
      <c r="BU19" s="129">
        <f t="shared" si="38"/>
        <v>1.6622446243380284E-2</v>
      </c>
      <c r="BW19" s="129">
        <f t="shared" si="14"/>
        <v>0</v>
      </c>
      <c r="BX19" s="129">
        <f t="shared" si="15"/>
        <v>0</v>
      </c>
      <c r="BY19" s="129">
        <f t="shared" si="16"/>
        <v>5.8518837935417128E-3</v>
      </c>
      <c r="BZ19" s="129">
        <f t="shared" si="17"/>
        <v>0</v>
      </c>
      <c r="CA19" s="129">
        <f t="shared" si="18"/>
        <v>0.99414811620645827</v>
      </c>
      <c r="CC19" s="129" t="e">
        <f t="shared" si="39"/>
        <v>#DIV/0!</v>
      </c>
      <c r="CD19" s="129" t="e">
        <f t="shared" si="40"/>
        <v>#DIV/0!</v>
      </c>
      <c r="CE19" s="129">
        <f t="shared" si="41"/>
        <v>6.5857273046439846E-2</v>
      </c>
      <c r="CF19" s="129" t="e">
        <f t="shared" si="42"/>
        <v>#DIV/0!</v>
      </c>
      <c r="CG19" s="129">
        <f t="shared" si="43"/>
        <v>-3.7509791078511282E-4</v>
      </c>
      <c r="CI19" s="129" t="e">
        <f t="shared" si="44"/>
        <v>#DIV/0!</v>
      </c>
      <c r="CJ19" s="129" t="e">
        <f t="shared" si="45"/>
        <v>#DIV/0!</v>
      </c>
      <c r="CK19" s="129" t="e">
        <f t="shared" si="46"/>
        <v>#DIV/0!</v>
      </c>
      <c r="CL19" s="129" t="e">
        <f t="shared" si="47"/>
        <v>#DIV/0!</v>
      </c>
      <c r="CM19" s="129" t="e">
        <f t="shared" si="48"/>
        <v>#DIV/0!</v>
      </c>
      <c r="CO19" s="129" t="e">
        <f t="shared" si="49"/>
        <v>#DIV/0!</v>
      </c>
      <c r="CP19" s="129">
        <f t="shared" si="19"/>
        <v>1</v>
      </c>
      <c r="CQ19" s="129">
        <f t="shared" si="1"/>
        <v>0.98694527092068007</v>
      </c>
      <c r="CR19" s="129"/>
      <c r="CS19" s="129" t="e">
        <f t="shared" si="50"/>
        <v>#DIV/0!</v>
      </c>
      <c r="CT19" s="129">
        <f t="shared" si="20"/>
        <v>1</v>
      </c>
      <c r="CU19" s="129">
        <f t="shared" si="2"/>
        <v>0.95563097161510735</v>
      </c>
      <c r="CV19" s="129"/>
      <c r="CW19" s="129" t="e">
        <f t="shared" si="21"/>
        <v>#DIV/0!</v>
      </c>
      <c r="CX19" s="129">
        <f t="shared" si="22"/>
        <v>1</v>
      </c>
      <c r="CY19" s="129">
        <f t="shared" si="3"/>
        <v>0.98141963933468612</v>
      </c>
    </row>
    <row r="20" spans="1:114" x14ac:dyDescent="0.2">
      <c r="A20" s="133" t="s">
        <v>664</v>
      </c>
      <c r="B20" s="133">
        <f t="shared" si="4"/>
        <v>1960</v>
      </c>
      <c r="D20" s="5"/>
      <c r="E20" s="5"/>
      <c r="F20" s="5"/>
      <c r="G20" s="5"/>
      <c r="H20" s="5">
        <f>Pipelines!F21</f>
        <v>357.834325229</v>
      </c>
      <c r="I20" s="5">
        <f t="shared" si="5"/>
        <v>357.834325229</v>
      </c>
      <c r="K20" s="4"/>
      <c r="L20" s="4">
        <f>'Freight-based Activity'!E18</f>
        <v>572309</v>
      </c>
      <c r="M20" s="4">
        <f>'Freight-based Activity'!F18</f>
        <v>820.77800000000002</v>
      </c>
      <c r="N20" s="4">
        <f>'Freight-based Activity'!I18</f>
        <v>0</v>
      </c>
      <c r="O20" s="4">
        <f>Pipelines!J21</f>
        <v>144162.71641690002</v>
      </c>
      <c r="P20" s="4">
        <f t="shared" si="6"/>
        <v>717292.4944169001</v>
      </c>
      <c r="R20" s="4"/>
      <c r="S20" s="4"/>
      <c r="T20" s="4"/>
      <c r="U20" s="4"/>
      <c r="V20" s="4">
        <f t="shared" si="7"/>
        <v>2482.155817556803</v>
      </c>
      <c r="W20" s="4">
        <f t="shared" si="8"/>
        <v>498.86807406215775</v>
      </c>
      <c r="Y20" s="129"/>
      <c r="Z20" s="129"/>
      <c r="AA20" s="129"/>
      <c r="AB20" s="129"/>
      <c r="AC20" s="129">
        <f t="shared" si="0"/>
        <v>1.0035657175169101</v>
      </c>
      <c r="AD20" s="129"/>
      <c r="AE20" s="142"/>
      <c r="AF20" s="142"/>
      <c r="AG20" s="142"/>
      <c r="AH20" s="142"/>
      <c r="AI20" s="142"/>
      <c r="AK20" s="131"/>
      <c r="AL20" s="131"/>
      <c r="AM20" s="131"/>
      <c r="AN20" s="131"/>
      <c r="AO20" s="131"/>
      <c r="AP20" s="131"/>
      <c r="AQ20" s="131"/>
      <c r="AR20" s="131"/>
      <c r="AS20" s="131"/>
      <c r="AU20" s="134"/>
      <c r="AW20" s="129">
        <f t="shared" si="9"/>
        <v>0</v>
      </c>
      <c r="AX20" s="129">
        <f t="shared" si="10"/>
        <v>0</v>
      </c>
      <c r="AY20" s="129">
        <f t="shared" si="11"/>
        <v>0</v>
      </c>
      <c r="AZ20" s="129">
        <f t="shared" si="12"/>
        <v>0</v>
      </c>
      <c r="BA20" s="129">
        <f t="shared" si="13"/>
        <v>1</v>
      </c>
      <c r="BC20" s="129" t="e">
        <f t="shared" si="23"/>
        <v>#DIV/0!</v>
      </c>
      <c r="BD20" s="129" t="e">
        <f t="shared" si="24"/>
        <v>#DIV/0!</v>
      </c>
      <c r="BE20" s="129" t="e">
        <f t="shared" si="25"/>
        <v>#DIV/0!</v>
      </c>
      <c r="BF20" s="129" t="e">
        <f t="shared" si="26"/>
        <v>#DIV/0!</v>
      </c>
      <c r="BG20" s="129" t="e">
        <f t="shared" si="27"/>
        <v>#DIV/0!</v>
      </c>
      <c r="BH20" s="129" t="e">
        <f t="shared" si="28"/>
        <v>#DIV/0!</v>
      </c>
      <c r="BI20" s="129"/>
      <c r="BJ20" s="129" t="e">
        <f t="shared" si="29"/>
        <v>#DIV/0!</v>
      </c>
      <c r="BK20" s="129" t="e">
        <f t="shared" si="30"/>
        <v>#DIV/0!</v>
      </c>
      <c r="BL20" s="129" t="e">
        <f t="shared" si="31"/>
        <v>#DIV/0!</v>
      </c>
      <c r="BM20" s="129" t="e">
        <f t="shared" si="32"/>
        <v>#DIV/0!</v>
      </c>
      <c r="BN20" s="129" t="e">
        <f t="shared" si="33"/>
        <v>#DIV/0!</v>
      </c>
      <c r="BQ20" s="129" t="e">
        <f t="shared" si="34"/>
        <v>#DIV/0!</v>
      </c>
      <c r="BR20" s="129" t="e">
        <f t="shared" si="35"/>
        <v>#DIV/0!</v>
      </c>
      <c r="BS20" s="129" t="e">
        <f t="shared" si="36"/>
        <v>#DIV/0!</v>
      </c>
      <c r="BT20" s="129" t="e">
        <f t="shared" si="37"/>
        <v>#DIV/0!</v>
      </c>
      <c r="BU20" s="129">
        <f t="shared" si="38"/>
        <v>-7.1156037298854613E-2</v>
      </c>
      <c r="BW20" s="129">
        <f t="shared" si="14"/>
        <v>0</v>
      </c>
      <c r="BX20" s="129">
        <f t="shared" si="15"/>
        <v>0.7978739558194321</v>
      </c>
      <c r="BY20" s="129">
        <f t="shared" si="16"/>
        <v>1.1442723943002153E-3</v>
      </c>
      <c r="BZ20" s="129">
        <f t="shared" si="17"/>
        <v>0</v>
      </c>
      <c r="CA20" s="129">
        <f t="shared" si="18"/>
        <v>0.20098177178626755</v>
      </c>
      <c r="CC20" s="129" t="e">
        <f t="shared" si="39"/>
        <v>#DIV/0!</v>
      </c>
      <c r="CD20" s="129" t="e">
        <f t="shared" si="40"/>
        <v>#DIV/0!</v>
      </c>
      <c r="CE20" s="129">
        <f t="shared" si="41"/>
        <v>-1.6319946538773418</v>
      </c>
      <c r="CF20" s="129" t="e">
        <f t="shared" si="42"/>
        <v>#DIV/0!</v>
      </c>
      <c r="CG20" s="129">
        <f t="shared" si="43"/>
        <v>-1.5986719895075192</v>
      </c>
      <c r="CI20" s="129" t="e">
        <f t="shared" si="44"/>
        <v>#DIV/0!</v>
      </c>
      <c r="CJ20" s="129" t="e">
        <f t="shared" si="45"/>
        <v>#DIV/0!</v>
      </c>
      <c r="CK20" s="129" t="e">
        <f t="shared" si="46"/>
        <v>#DIV/0!</v>
      </c>
      <c r="CL20" s="129" t="e">
        <f t="shared" si="47"/>
        <v>#DIV/0!</v>
      </c>
      <c r="CM20" s="129" t="e">
        <f t="shared" si="48"/>
        <v>#DIV/0!</v>
      </c>
      <c r="CO20" s="129" t="e">
        <f t="shared" si="49"/>
        <v>#DIV/0!</v>
      </c>
      <c r="CP20" s="129">
        <f t="shared" si="19"/>
        <v>1</v>
      </c>
      <c r="CQ20" s="129">
        <f t="shared" si="1"/>
        <v>0.98694527092068007</v>
      </c>
      <c r="CR20" s="129"/>
      <c r="CS20" s="129" t="e">
        <f t="shared" si="50"/>
        <v>#DIV/0!</v>
      </c>
      <c r="CT20" s="129">
        <f t="shared" si="20"/>
        <v>1</v>
      </c>
      <c r="CU20" s="129">
        <f t="shared" si="2"/>
        <v>0.95563097161510735</v>
      </c>
      <c r="CV20" s="129"/>
      <c r="CW20" s="129" t="e">
        <f t="shared" si="21"/>
        <v>#DIV/0!</v>
      </c>
      <c r="CX20" s="129">
        <f t="shared" si="22"/>
        <v>1</v>
      </c>
      <c r="CY20" s="129">
        <f t="shared" si="3"/>
        <v>0.98141963933468612</v>
      </c>
    </row>
    <row r="21" spans="1:114" x14ac:dyDescent="0.2">
      <c r="A21" s="133" t="s">
        <v>664</v>
      </c>
      <c r="B21" s="133">
        <f t="shared" si="4"/>
        <v>1961</v>
      </c>
      <c r="D21" s="5"/>
      <c r="E21" s="5"/>
      <c r="F21" s="5"/>
      <c r="G21" s="5"/>
      <c r="H21" s="5">
        <f>Pipelines!F22</f>
        <v>389.31281723299998</v>
      </c>
      <c r="I21" s="5">
        <f t="shared" si="5"/>
        <v>389.31281723299998</v>
      </c>
      <c r="K21" s="4"/>
      <c r="L21" s="4">
        <f>'Freight-based Activity'!E19</f>
        <v>563361</v>
      </c>
      <c r="M21" s="4">
        <f>'Freight-based Activity'!F19</f>
        <v>962.02099999999996</v>
      </c>
      <c r="N21" s="4">
        <f>'Freight-based Activity'!I19</f>
        <v>0</v>
      </c>
      <c r="O21" s="4">
        <f>Pipelines!J22</f>
        <v>150275.1033251</v>
      </c>
      <c r="P21" s="4">
        <f t="shared" si="6"/>
        <v>714598.12432509998</v>
      </c>
      <c r="R21" s="4"/>
      <c r="S21" s="4"/>
      <c r="T21" s="4"/>
      <c r="U21" s="4"/>
      <c r="V21" s="4">
        <f t="shared" si="7"/>
        <v>2590.6674400401107</v>
      </c>
      <c r="W21" s="4">
        <f t="shared" si="8"/>
        <v>544.79966288840353</v>
      </c>
      <c r="Y21" s="129"/>
      <c r="Z21" s="129"/>
      <c r="AA21" s="129"/>
      <c r="AB21" s="129"/>
      <c r="AC21" s="129">
        <f t="shared" si="0"/>
        <v>1.0474382832543723</v>
      </c>
      <c r="AD21" s="129"/>
      <c r="AE21" s="142"/>
      <c r="AF21" s="142"/>
      <c r="AG21" s="142"/>
      <c r="AH21" s="142"/>
      <c r="AI21" s="142"/>
      <c r="AK21" s="131"/>
      <c r="AL21" s="131"/>
      <c r="AM21" s="131"/>
      <c r="AN21" s="131"/>
      <c r="AO21" s="131"/>
      <c r="AP21" s="131"/>
      <c r="AQ21" s="131"/>
      <c r="AR21" s="131"/>
      <c r="AS21" s="131"/>
      <c r="AU21" s="134"/>
      <c r="AW21" s="129">
        <f t="shared" si="9"/>
        <v>0</v>
      </c>
      <c r="AX21" s="129">
        <f t="shared" si="10"/>
        <v>0</v>
      </c>
      <c r="AY21" s="129">
        <f t="shared" si="11"/>
        <v>0</v>
      </c>
      <c r="AZ21" s="129">
        <f t="shared" si="12"/>
        <v>0</v>
      </c>
      <c r="BA21" s="129">
        <f t="shared" si="13"/>
        <v>1</v>
      </c>
      <c r="BC21" s="129" t="e">
        <f t="shared" si="23"/>
        <v>#DIV/0!</v>
      </c>
      <c r="BD21" s="129" t="e">
        <f t="shared" si="24"/>
        <v>#DIV/0!</v>
      </c>
      <c r="BE21" s="129" t="e">
        <f t="shared" si="25"/>
        <v>#DIV/0!</v>
      </c>
      <c r="BF21" s="129" t="e">
        <f t="shared" si="26"/>
        <v>#DIV/0!</v>
      </c>
      <c r="BG21" s="129" t="e">
        <f t="shared" si="27"/>
        <v>#DIV/0!</v>
      </c>
      <c r="BH21" s="129" t="e">
        <f t="shared" si="28"/>
        <v>#DIV/0!</v>
      </c>
      <c r="BI21" s="129"/>
      <c r="BJ21" s="129" t="e">
        <f t="shared" si="29"/>
        <v>#DIV/0!</v>
      </c>
      <c r="BK21" s="129" t="e">
        <f t="shared" si="30"/>
        <v>#DIV/0!</v>
      </c>
      <c r="BL21" s="129" t="e">
        <f t="shared" si="31"/>
        <v>#DIV/0!</v>
      </c>
      <c r="BM21" s="129" t="e">
        <f t="shared" si="32"/>
        <v>#DIV/0!</v>
      </c>
      <c r="BN21" s="129" t="e">
        <f t="shared" si="33"/>
        <v>#DIV/0!</v>
      </c>
      <c r="BQ21" s="129" t="e">
        <f t="shared" si="34"/>
        <v>#DIV/0!</v>
      </c>
      <c r="BR21" s="129" t="e">
        <f t="shared" si="35"/>
        <v>#DIV/0!</v>
      </c>
      <c r="BS21" s="129" t="e">
        <f t="shared" si="36"/>
        <v>#DIV/0!</v>
      </c>
      <c r="BT21" s="129" t="e">
        <f t="shared" si="37"/>
        <v>#DIV/0!</v>
      </c>
      <c r="BU21" s="129">
        <f t="shared" si="38"/>
        <v>4.2788077526340514E-2</v>
      </c>
      <c r="BW21" s="129">
        <f t="shared" si="14"/>
        <v>0</v>
      </c>
      <c r="BX21" s="129">
        <f t="shared" si="15"/>
        <v>0.78836059153116944</v>
      </c>
      <c r="BY21" s="129">
        <f t="shared" si="16"/>
        <v>1.3462405892942662E-3</v>
      </c>
      <c r="BZ21" s="129">
        <f t="shared" si="17"/>
        <v>0</v>
      </c>
      <c r="CA21" s="129">
        <f t="shared" si="18"/>
        <v>0.21029316787953631</v>
      </c>
      <c r="CC21" s="129" t="e">
        <f t="shared" si="39"/>
        <v>#DIV/0!</v>
      </c>
      <c r="CD21" s="129">
        <f t="shared" si="40"/>
        <v>-1.1995046218121554E-2</v>
      </c>
      <c r="CE21" s="129">
        <f t="shared" si="41"/>
        <v>0.16254698763292461</v>
      </c>
      <c r="CF21" s="129" t="e">
        <f t="shared" si="42"/>
        <v>#DIV/0!</v>
      </c>
      <c r="CG21" s="129">
        <f t="shared" si="43"/>
        <v>4.5288378368468586E-2</v>
      </c>
      <c r="CI21" s="129" t="e">
        <f t="shared" si="44"/>
        <v>#DIV/0!</v>
      </c>
      <c r="CJ21" s="129" t="e">
        <f t="shared" si="45"/>
        <v>#DIV/0!</v>
      </c>
      <c r="CK21" s="129" t="e">
        <f t="shared" si="46"/>
        <v>#DIV/0!</v>
      </c>
      <c r="CL21" s="129" t="e">
        <f t="shared" si="47"/>
        <v>#DIV/0!</v>
      </c>
      <c r="CM21" s="129" t="e">
        <f t="shared" si="48"/>
        <v>#DIV/0!</v>
      </c>
      <c r="CO21" s="129" t="e">
        <f t="shared" si="49"/>
        <v>#DIV/0!</v>
      </c>
      <c r="CP21" s="129">
        <f t="shared" si="19"/>
        <v>1</v>
      </c>
      <c r="CQ21" s="129">
        <f t="shared" si="1"/>
        <v>0.98694527092068007</v>
      </c>
      <c r="CR21" s="129"/>
      <c r="CS21" s="129" t="e">
        <f t="shared" si="50"/>
        <v>#DIV/0!</v>
      </c>
      <c r="CT21" s="129">
        <f t="shared" si="20"/>
        <v>1</v>
      </c>
      <c r="CU21" s="129">
        <f t="shared" si="2"/>
        <v>0.95563097161510735</v>
      </c>
      <c r="CV21" s="129"/>
      <c r="CW21" s="129" t="e">
        <f t="shared" si="21"/>
        <v>#DIV/0!</v>
      </c>
      <c r="CX21" s="129">
        <f t="shared" si="22"/>
        <v>1</v>
      </c>
      <c r="CY21" s="129">
        <f t="shared" si="3"/>
        <v>0.98141963933468612</v>
      </c>
    </row>
    <row r="22" spans="1:114" x14ac:dyDescent="0.2">
      <c r="A22" s="133" t="s">
        <v>664</v>
      </c>
      <c r="B22" s="133">
        <f t="shared" si="4"/>
        <v>1962</v>
      </c>
      <c r="D22" s="5"/>
      <c r="E22" s="5"/>
      <c r="F22" s="5"/>
      <c r="G22" s="5"/>
      <c r="H22" s="5">
        <f>Pipelines!F23</f>
        <v>394.35337623800001</v>
      </c>
      <c r="I22" s="5">
        <f t="shared" si="5"/>
        <v>394.35337623800001</v>
      </c>
      <c r="K22" s="4"/>
      <c r="L22" s="4">
        <f>'Freight-based Activity'!E20</f>
        <v>592862</v>
      </c>
      <c r="M22" s="4">
        <f>'Freight-based Activity'!F20</f>
        <v>1318.4369999999999</v>
      </c>
      <c r="N22" s="4">
        <f>'Freight-based Activity'!G20</f>
        <v>474969.5</v>
      </c>
      <c r="O22" s="4">
        <f>Pipelines!J23</f>
        <v>159877.98847450002</v>
      </c>
      <c r="P22" s="4">
        <f t="shared" si="6"/>
        <v>1229027.9254744998</v>
      </c>
      <c r="R22" s="4"/>
      <c r="S22" s="4"/>
      <c r="T22" s="4"/>
      <c r="U22" s="4"/>
      <c r="V22" s="4">
        <f t="shared" si="7"/>
        <v>2466.5895537014339</v>
      </c>
      <c r="W22" s="4">
        <f t="shared" si="8"/>
        <v>320.86608291324961</v>
      </c>
      <c r="Y22" s="129"/>
      <c r="Z22" s="129"/>
      <c r="AA22" s="129"/>
      <c r="AB22" s="129"/>
      <c r="AC22" s="129">
        <f t="shared" si="0"/>
        <v>0.99727208814659629</v>
      </c>
      <c r="AD22" s="129"/>
      <c r="AE22" s="142"/>
      <c r="AF22" s="142"/>
      <c r="AG22" s="142"/>
      <c r="AH22" s="142"/>
      <c r="AI22" s="142"/>
      <c r="AK22" s="131"/>
      <c r="AL22" s="131"/>
      <c r="AM22" s="131"/>
      <c r="AN22" s="131"/>
      <c r="AO22" s="131"/>
      <c r="AP22" s="131"/>
      <c r="AQ22" s="131"/>
      <c r="AR22" s="131"/>
      <c r="AS22" s="131"/>
      <c r="AU22" s="134"/>
      <c r="AW22" s="129">
        <f t="shared" si="9"/>
        <v>0</v>
      </c>
      <c r="AX22" s="129">
        <f t="shared" si="10"/>
        <v>0</v>
      </c>
      <c r="AY22" s="129">
        <f t="shared" si="11"/>
        <v>0</v>
      </c>
      <c r="AZ22" s="129">
        <f t="shared" si="12"/>
        <v>0</v>
      </c>
      <c r="BA22" s="129">
        <f t="shared" si="13"/>
        <v>1</v>
      </c>
      <c r="BC22" s="129" t="e">
        <f t="shared" si="23"/>
        <v>#DIV/0!</v>
      </c>
      <c r="BD22" s="129" t="e">
        <f t="shared" si="24"/>
        <v>#DIV/0!</v>
      </c>
      <c r="BE22" s="129" t="e">
        <f t="shared" si="25"/>
        <v>#DIV/0!</v>
      </c>
      <c r="BF22" s="129" t="e">
        <f t="shared" si="26"/>
        <v>#DIV/0!</v>
      </c>
      <c r="BG22" s="129" t="e">
        <f t="shared" si="27"/>
        <v>#DIV/0!</v>
      </c>
      <c r="BH22" s="129" t="e">
        <f t="shared" si="28"/>
        <v>#DIV/0!</v>
      </c>
      <c r="BI22" s="129"/>
      <c r="BJ22" s="129" t="e">
        <f t="shared" si="29"/>
        <v>#DIV/0!</v>
      </c>
      <c r="BK22" s="129" t="e">
        <f t="shared" si="30"/>
        <v>#DIV/0!</v>
      </c>
      <c r="BL22" s="129" t="e">
        <f t="shared" si="31"/>
        <v>#DIV/0!</v>
      </c>
      <c r="BM22" s="129" t="e">
        <f t="shared" si="32"/>
        <v>#DIV/0!</v>
      </c>
      <c r="BN22" s="129" t="e">
        <f t="shared" si="33"/>
        <v>#DIV/0!</v>
      </c>
      <c r="BQ22" s="129" t="e">
        <f t="shared" si="34"/>
        <v>#DIV/0!</v>
      </c>
      <c r="BR22" s="129" t="e">
        <f t="shared" si="35"/>
        <v>#DIV/0!</v>
      </c>
      <c r="BS22" s="129" t="e">
        <f t="shared" si="36"/>
        <v>#DIV/0!</v>
      </c>
      <c r="BT22" s="129" t="e">
        <f t="shared" si="37"/>
        <v>#DIV/0!</v>
      </c>
      <c r="BU22" s="129">
        <f t="shared" si="38"/>
        <v>-4.9079092329569536E-2</v>
      </c>
      <c r="BW22" s="129">
        <f t="shared" si="14"/>
        <v>0</v>
      </c>
      <c r="BX22" s="129">
        <f t="shared" si="15"/>
        <v>0.48238285535384351</v>
      </c>
      <c r="BY22" s="129">
        <f t="shared" si="16"/>
        <v>1.0727477974033675E-3</v>
      </c>
      <c r="BZ22" s="129">
        <f t="shared" si="17"/>
        <v>0.38645948570828859</v>
      </c>
      <c r="CA22" s="129">
        <f t="shared" si="18"/>
        <v>0.13008491114046472</v>
      </c>
      <c r="CC22" s="129" t="e">
        <f t="shared" si="39"/>
        <v>#DIV/0!</v>
      </c>
      <c r="CD22" s="129">
        <f t="shared" si="40"/>
        <v>-0.49121748418515992</v>
      </c>
      <c r="CE22" s="129">
        <f t="shared" si="41"/>
        <v>-0.22709256749052079</v>
      </c>
      <c r="CF22" s="129" t="e">
        <f t="shared" si="42"/>
        <v>#DIV/0!</v>
      </c>
      <c r="CG22" s="129">
        <f t="shared" si="43"/>
        <v>-0.48031519482798557</v>
      </c>
      <c r="CI22" s="129" t="e">
        <f t="shared" si="44"/>
        <v>#DIV/0!</v>
      </c>
      <c r="CJ22" s="129" t="e">
        <f t="shared" si="45"/>
        <v>#DIV/0!</v>
      </c>
      <c r="CK22" s="129" t="e">
        <f t="shared" si="46"/>
        <v>#DIV/0!</v>
      </c>
      <c r="CL22" s="129" t="e">
        <f t="shared" si="47"/>
        <v>#DIV/0!</v>
      </c>
      <c r="CM22" s="129" t="e">
        <f t="shared" si="48"/>
        <v>#DIV/0!</v>
      </c>
      <c r="CO22" s="129" t="e">
        <f t="shared" si="49"/>
        <v>#DIV/0!</v>
      </c>
      <c r="CP22" s="129">
        <f t="shared" si="19"/>
        <v>1</v>
      </c>
      <c r="CQ22" s="129">
        <f t="shared" si="1"/>
        <v>0.98694527092068007</v>
      </c>
      <c r="CR22" s="129"/>
      <c r="CS22" s="129" t="e">
        <f t="shared" si="50"/>
        <v>#DIV/0!</v>
      </c>
      <c r="CT22" s="129">
        <f t="shared" si="20"/>
        <v>1</v>
      </c>
      <c r="CU22" s="129">
        <f t="shared" si="2"/>
        <v>0.95563097161510735</v>
      </c>
      <c r="CV22" s="129"/>
      <c r="CW22" s="129" t="e">
        <f t="shared" si="21"/>
        <v>#DIV/0!</v>
      </c>
      <c r="CX22" s="129">
        <f t="shared" si="22"/>
        <v>1</v>
      </c>
      <c r="CY22" s="129">
        <f t="shared" si="3"/>
        <v>0.98141963933468612</v>
      </c>
      <c r="DB22" s="6" t="s">
        <v>897</v>
      </c>
    </row>
    <row r="23" spans="1:114" x14ac:dyDescent="0.2">
      <c r="A23" s="133" t="s">
        <v>664</v>
      </c>
      <c r="B23" s="133">
        <f t="shared" si="4"/>
        <v>1963</v>
      </c>
      <c r="D23" s="5">
        <f>'Freight-Trucks'!F24</f>
        <v>0</v>
      </c>
      <c r="E23" s="5"/>
      <c r="F23" s="5"/>
      <c r="G23" s="5"/>
      <c r="H23" s="5">
        <f>Pipelines!F24</f>
        <v>436.920273253</v>
      </c>
      <c r="I23" s="5">
        <f t="shared" si="5"/>
        <v>436.920273253</v>
      </c>
      <c r="K23" s="4"/>
      <c r="L23" s="4">
        <f>'Freight-based Activity'!E21</f>
        <v>621737</v>
      </c>
      <c r="M23" s="4">
        <f>'Freight-based Activity'!F21</f>
        <v>1275.31</v>
      </c>
      <c r="N23" s="4">
        <f>'Freight-based Activity'!G21</f>
        <v>481576.80699999997</v>
      </c>
      <c r="O23" s="4">
        <f>Pipelines!J24</f>
        <v>168498.48529420001</v>
      </c>
      <c r="P23" s="4">
        <f t="shared" si="6"/>
        <v>1273087.6022942001</v>
      </c>
      <c r="R23" s="4"/>
      <c r="S23" s="4"/>
      <c r="T23" s="4"/>
      <c r="U23" s="4"/>
      <c r="V23" s="4">
        <f t="shared" si="7"/>
        <v>2593.0219639074671</v>
      </c>
      <c r="W23" s="4">
        <f t="shared" si="8"/>
        <v>343.19733572586574</v>
      </c>
      <c r="Y23" s="129"/>
      <c r="Z23" s="129"/>
      <c r="AA23" s="129"/>
      <c r="AB23" s="129"/>
      <c r="AC23" s="129">
        <f t="shared" si="0"/>
        <v>1.0483902458256342</v>
      </c>
      <c r="AD23" s="129"/>
      <c r="AE23" s="142"/>
      <c r="AF23" s="142"/>
      <c r="AG23" s="142"/>
      <c r="AH23" s="142"/>
      <c r="AI23" s="142"/>
      <c r="AK23" s="131"/>
      <c r="AL23" s="131"/>
      <c r="AM23" s="131"/>
      <c r="AN23" s="131"/>
      <c r="AO23" s="131"/>
      <c r="AP23" s="131"/>
      <c r="AQ23" s="131"/>
      <c r="AR23" s="131"/>
      <c r="AS23" s="131"/>
      <c r="AU23" s="134"/>
      <c r="AW23" s="129">
        <f t="shared" si="9"/>
        <v>0</v>
      </c>
      <c r="AX23" s="129">
        <f t="shared" si="10"/>
        <v>0</v>
      </c>
      <c r="AY23" s="129">
        <f t="shared" si="11"/>
        <v>0</v>
      </c>
      <c r="AZ23" s="129">
        <f t="shared" si="12"/>
        <v>0</v>
      </c>
      <c r="BA23" s="129">
        <f t="shared" si="13"/>
        <v>1</v>
      </c>
      <c r="BC23" s="129" t="e">
        <f t="shared" si="23"/>
        <v>#DIV/0!</v>
      </c>
      <c r="BD23" s="129" t="e">
        <f t="shared" si="24"/>
        <v>#DIV/0!</v>
      </c>
      <c r="BE23" s="129" t="e">
        <f t="shared" si="25"/>
        <v>#DIV/0!</v>
      </c>
      <c r="BF23" s="129" t="e">
        <f t="shared" si="26"/>
        <v>#DIV/0!</v>
      </c>
      <c r="BG23" s="129" t="e">
        <f t="shared" si="27"/>
        <v>#DIV/0!</v>
      </c>
      <c r="BH23" s="129" t="e">
        <f t="shared" si="28"/>
        <v>#DIV/0!</v>
      </c>
      <c r="BI23" s="129"/>
      <c r="BJ23" s="129" t="e">
        <f t="shared" si="29"/>
        <v>#DIV/0!</v>
      </c>
      <c r="BK23" s="129" t="e">
        <f t="shared" si="30"/>
        <v>#DIV/0!</v>
      </c>
      <c r="BL23" s="129" t="e">
        <f t="shared" si="31"/>
        <v>#DIV/0!</v>
      </c>
      <c r="BM23" s="129" t="e">
        <f t="shared" si="32"/>
        <v>#DIV/0!</v>
      </c>
      <c r="BN23" s="129" t="e">
        <f t="shared" si="33"/>
        <v>#DIV/0!</v>
      </c>
      <c r="BQ23" s="129" t="e">
        <f t="shared" si="34"/>
        <v>#DIV/0!</v>
      </c>
      <c r="BR23" s="129" t="e">
        <f t="shared" si="35"/>
        <v>#DIV/0!</v>
      </c>
      <c r="BS23" s="129" t="e">
        <f t="shared" si="36"/>
        <v>#DIV/0!</v>
      </c>
      <c r="BT23" s="129" t="e">
        <f t="shared" si="37"/>
        <v>#DIV/0!</v>
      </c>
      <c r="BU23" s="129">
        <f t="shared" si="38"/>
        <v>4.9987527942045473E-2</v>
      </c>
      <c r="BW23" s="129">
        <f t="shared" si="14"/>
        <v>0</v>
      </c>
      <c r="BX23" s="129">
        <f t="shared" si="15"/>
        <v>0.48836937762930288</v>
      </c>
      <c r="BY23" s="129">
        <f t="shared" si="16"/>
        <v>1.0017456753971957E-3</v>
      </c>
      <c r="BZ23" s="129">
        <f t="shared" si="17"/>
        <v>0.37827468128050429</v>
      </c>
      <c r="CA23" s="129">
        <f t="shared" si="18"/>
        <v>0.13235419541479551</v>
      </c>
      <c r="CC23" s="129" t="e">
        <f t="shared" si="39"/>
        <v>#DIV/0!</v>
      </c>
      <c r="CD23" s="129">
        <f t="shared" si="40"/>
        <v>1.2333936434026355E-2</v>
      </c>
      <c r="CE23" s="129">
        <f t="shared" si="41"/>
        <v>-6.8479238186014327E-2</v>
      </c>
      <c r="CF23" s="129">
        <f t="shared" si="42"/>
        <v>-2.1406437232936958E-2</v>
      </c>
      <c r="CG23" s="129">
        <f t="shared" si="43"/>
        <v>1.7294227708014948E-2</v>
      </c>
      <c r="CI23" s="129" t="e">
        <f t="shared" si="44"/>
        <v>#DIV/0!</v>
      </c>
      <c r="CJ23" s="129" t="e">
        <f t="shared" si="45"/>
        <v>#DIV/0!</v>
      </c>
      <c r="CK23" s="129" t="e">
        <f t="shared" si="46"/>
        <v>#DIV/0!</v>
      </c>
      <c r="CL23" s="129" t="e">
        <f t="shared" si="47"/>
        <v>#DIV/0!</v>
      </c>
      <c r="CM23" s="129" t="e">
        <f t="shared" si="48"/>
        <v>#DIV/0!</v>
      </c>
      <c r="CO23" s="129" t="e">
        <f t="shared" si="49"/>
        <v>#DIV/0!</v>
      </c>
      <c r="CP23" s="129">
        <f t="shared" si="19"/>
        <v>1</v>
      </c>
      <c r="CQ23" s="129">
        <f t="shared" si="1"/>
        <v>0.98694527092068007</v>
      </c>
      <c r="CR23" s="129"/>
      <c r="CS23" s="129" t="e">
        <f t="shared" si="50"/>
        <v>#DIV/0!</v>
      </c>
      <c r="CT23" s="129">
        <f t="shared" si="20"/>
        <v>1</v>
      </c>
      <c r="CU23" s="129">
        <f t="shared" si="2"/>
        <v>0.95563097161510735</v>
      </c>
      <c r="CV23" s="129"/>
      <c r="CW23" s="129" t="e">
        <f t="shared" si="21"/>
        <v>#DIV/0!</v>
      </c>
      <c r="CX23" s="129">
        <f t="shared" si="22"/>
        <v>1</v>
      </c>
      <c r="CY23" s="129">
        <f t="shared" si="3"/>
        <v>0.98141963933468612</v>
      </c>
      <c r="DB23" t="s">
        <v>894</v>
      </c>
    </row>
    <row r="24" spans="1:114" x14ac:dyDescent="0.2">
      <c r="A24" s="133" t="s">
        <v>664</v>
      </c>
      <c r="B24" s="133">
        <f t="shared" si="4"/>
        <v>1964</v>
      </c>
      <c r="D24" s="5">
        <f>'Freight-Trucks'!F25</f>
        <v>0</v>
      </c>
      <c r="E24" s="5"/>
      <c r="F24" s="5"/>
      <c r="G24" s="5"/>
      <c r="H24" s="5">
        <f>Pipelines!F25</f>
        <v>449.07267026900001</v>
      </c>
      <c r="I24" s="5">
        <f t="shared" si="5"/>
        <v>449.07267026900001</v>
      </c>
      <c r="K24" s="4"/>
      <c r="L24" s="4">
        <f>'Freight-based Activity'!E22</f>
        <v>658639</v>
      </c>
      <c r="M24" s="4">
        <f>'Freight-based Activity'!F22</f>
        <v>1555.463</v>
      </c>
      <c r="N24" s="4">
        <f>'Freight-based Activity'!G22</f>
        <v>488828.505</v>
      </c>
      <c r="O24" s="4">
        <f>Pipelines!J25</f>
        <v>180606.75891470001</v>
      </c>
      <c r="P24" s="4">
        <f t="shared" si="6"/>
        <v>1329629.7269146999</v>
      </c>
      <c r="R24" s="4"/>
      <c r="S24" s="4"/>
      <c r="T24" s="4"/>
      <c r="U24" s="4"/>
      <c r="V24" s="4">
        <f t="shared" si="7"/>
        <v>2486.4665805840386</v>
      </c>
      <c r="W24" s="4">
        <f t="shared" si="8"/>
        <v>337.74265209235165</v>
      </c>
      <c r="Y24" s="129"/>
      <c r="Z24" s="129"/>
      <c r="AA24" s="129"/>
      <c r="AB24" s="129"/>
      <c r="AC24" s="129">
        <f t="shared" si="0"/>
        <v>1.0053086113190934</v>
      </c>
      <c r="AD24" s="129"/>
      <c r="AE24" s="142"/>
      <c r="AF24" s="142"/>
      <c r="AG24" s="142"/>
      <c r="AH24" s="142"/>
      <c r="AI24" s="142"/>
      <c r="AK24" s="131"/>
      <c r="AL24" s="131"/>
      <c r="AM24" s="131"/>
      <c r="AN24" s="131"/>
      <c r="AO24" s="131"/>
      <c r="AP24" s="131"/>
      <c r="AQ24" s="131"/>
      <c r="AR24" s="131"/>
      <c r="AS24" s="131"/>
      <c r="AU24" s="134"/>
      <c r="AW24" s="129">
        <f t="shared" si="9"/>
        <v>0</v>
      </c>
      <c r="AX24" s="129">
        <f t="shared" si="10"/>
        <v>0</v>
      </c>
      <c r="AY24" s="129">
        <f t="shared" si="11"/>
        <v>0</v>
      </c>
      <c r="AZ24" s="129">
        <f t="shared" si="12"/>
        <v>0</v>
      </c>
      <c r="BA24" s="129">
        <f t="shared" si="13"/>
        <v>1</v>
      </c>
      <c r="BC24" s="129" t="e">
        <f t="shared" si="23"/>
        <v>#DIV/0!</v>
      </c>
      <c r="BD24" s="129" t="e">
        <f t="shared" si="24"/>
        <v>#DIV/0!</v>
      </c>
      <c r="BE24" s="129" t="e">
        <f t="shared" si="25"/>
        <v>#DIV/0!</v>
      </c>
      <c r="BF24" s="129" t="e">
        <f t="shared" si="26"/>
        <v>#DIV/0!</v>
      </c>
      <c r="BG24" s="129" t="e">
        <f t="shared" si="27"/>
        <v>#DIV/0!</v>
      </c>
      <c r="BH24" s="129" t="e">
        <f t="shared" si="28"/>
        <v>#DIV/0!</v>
      </c>
      <c r="BI24" s="129"/>
      <c r="BJ24" s="129" t="e">
        <f t="shared" si="29"/>
        <v>#DIV/0!</v>
      </c>
      <c r="BK24" s="129" t="e">
        <f t="shared" si="30"/>
        <v>#DIV/0!</v>
      </c>
      <c r="BL24" s="129" t="e">
        <f t="shared" si="31"/>
        <v>#DIV/0!</v>
      </c>
      <c r="BM24" s="129" t="e">
        <f t="shared" si="32"/>
        <v>#DIV/0!</v>
      </c>
      <c r="BN24" s="129" t="e">
        <f t="shared" si="33"/>
        <v>#DIV/0!</v>
      </c>
      <c r="BQ24" s="129" t="e">
        <f t="shared" si="34"/>
        <v>#DIV/0!</v>
      </c>
      <c r="BR24" s="129" t="e">
        <f t="shared" si="35"/>
        <v>#DIV/0!</v>
      </c>
      <c r="BS24" s="129" t="e">
        <f t="shared" si="36"/>
        <v>#DIV/0!</v>
      </c>
      <c r="BT24" s="129" t="e">
        <f t="shared" si="37"/>
        <v>#DIV/0!</v>
      </c>
      <c r="BU24" s="129">
        <f t="shared" si="38"/>
        <v>-4.1961318244370431E-2</v>
      </c>
      <c r="BW24" s="129">
        <f t="shared" si="14"/>
        <v>0</v>
      </c>
      <c r="BX24" s="129">
        <f t="shared" si="15"/>
        <v>0.49535520052512622</v>
      </c>
      <c r="BY24" s="129">
        <f t="shared" si="16"/>
        <v>1.1698467389183063E-3</v>
      </c>
      <c r="BZ24" s="129">
        <f t="shared" si="17"/>
        <v>0.36764258131794908</v>
      </c>
      <c r="CA24" s="129">
        <f t="shared" si="18"/>
        <v>0.13583237141800647</v>
      </c>
      <c r="CC24" s="129" t="e">
        <f t="shared" si="39"/>
        <v>#DIV/0!</v>
      </c>
      <c r="CD24" s="129">
        <f t="shared" si="40"/>
        <v>1.4203041147819223E-2</v>
      </c>
      <c r="CE24" s="129">
        <f t="shared" si="41"/>
        <v>0.15512859437506987</v>
      </c>
      <c r="CF24" s="129">
        <f t="shared" si="42"/>
        <v>-2.8509381992093959E-2</v>
      </c>
      <c r="CG24" s="129">
        <f t="shared" si="43"/>
        <v>2.5939934837812609E-2</v>
      </c>
      <c r="CI24" s="129" t="e">
        <f t="shared" si="44"/>
        <v>#DIV/0!</v>
      </c>
      <c r="CJ24" s="129" t="e">
        <f t="shared" si="45"/>
        <v>#DIV/0!</v>
      </c>
      <c r="CK24" s="129" t="e">
        <f t="shared" si="46"/>
        <v>#DIV/0!</v>
      </c>
      <c r="CL24" s="129" t="e">
        <f t="shared" si="47"/>
        <v>#DIV/0!</v>
      </c>
      <c r="CM24" s="129" t="e">
        <f t="shared" si="48"/>
        <v>#DIV/0!</v>
      </c>
      <c r="CO24" s="129" t="e">
        <f t="shared" si="49"/>
        <v>#DIV/0!</v>
      </c>
      <c r="CP24" s="129">
        <f t="shared" si="19"/>
        <v>1</v>
      </c>
      <c r="CQ24" s="129">
        <f t="shared" si="1"/>
        <v>0.98694527092068007</v>
      </c>
      <c r="CR24" s="129"/>
      <c r="CS24" s="129" t="e">
        <f t="shared" si="50"/>
        <v>#DIV/0!</v>
      </c>
      <c r="CT24" s="129">
        <f t="shared" si="20"/>
        <v>1</v>
      </c>
      <c r="CU24" s="129">
        <f t="shared" si="2"/>
        <v>0.95563097161510735</v>
      </c>
      <c r="CV24" s="129"/>
      <c r="CW24" s="129" t="e">
        <f t="shared" si="21"/>
        <v>#DIV/0!</v>
      </c>
      <c r="CX24" s="129">
        <f t="shared" si="22"/>
        <v>1</v>
      </c>
      <c r="CY24" s="129">
        <f t="shared" si="3"/>
        <v>0.98141963933468612</v>
      </c>
      <c r="DB24" t="s">
        <v>376</v>
      </c>
      <c r="DC24" t="s">
        <v>895</v>
      </c>
      <c r="DD24" t="s">
        <v>386</v>
      </c>
    </row>
    <row r="25" spans="1:114" x14ac:dyDescent="0.2">
      <c r="A25" s="133" t="s">
        <v>664</v>
      </c>
      <c r="B25" s="133">
        <f t="shared" si="4"/>
        <v>1965</v>
      </c>
      <c r="D25" s="5">
        <f>'Freight-Trucks'!F26</f>
        <v>0</v>
      </c>
      <c r="E25" s="5"/>
      <c r="F25" s="5"/>
      <c r="G25" s="5"/>
      <c r="H25" s="5">
        <f>Pipelines!F26</f>
        <v>516.04024430599998</v>
      </c>
      <c r="I25" s="5">
        <f t="shared" si="5"/>
        <v>516.04024430599998</v>
      </c>
      <c r="K25" s="4"/>
      <c r="L25" s="4">
        <f>'Freight-based Activity'!E23</f>
        <v>697878</v>
      </c>
      <c r="M25" s="4">
        <f>'Freight-based Activity'!F23</f>
        <v>2180.16</v>
      </c>
      <c r="N25" s="4">
        <f>'Freight-based Activity'!G23</f>
        <v>489802.95500000002</v>
      </c>
      <c r="O25" s="4">
        <f>Pipelines!J26</f>
        <v>189153.8543832</v>
      </c>
      <c r="P25" s="4">
        <f t="shared" si="6"/>
        <v>1379014.9693831999</v>
      </c>
      <c r="R25" s="4"/>
      <c r="S25" s="4"/>
      <c r="T25" s="4"/>
      <c r="U25" s="4"/>
      <c r="V25" s="4">
        <f t="shared" si="7"/>
        <v>2728.1508272127121</v>
      </c>
      <c r="W25" s="4">
        <f t="shared" si="8"/>
        <v>374.20931299738703</v>
      </c>
      <c r="Y25" s="129"/>
      <c r="Z25" s="129"/>
      <c r="AA25" s="129"/>
      <c r="AB25" s="129"/>
      <c r="AC25" s="129">
        <f t="shared" si="0"/>
        <v>1.1030244850224526</v>
      </c>
      <c r="AD25" s="129"/>
      <c r="AE25" s="142"/>
      <c r="AF25" s="142"/>
      <c r="AG25" s="142"/>
      <c r="AH25" s="142"/>
      <c r="AI25" s="142"/>
      <c r="AK25" s="131"/>
      <c r="AL25" s="131"/>
      <c r="AM25" s="131"/>
      <c r="AN25" s="131"/>
      <c r="AO25" s="131"/>
      <c r="AP25" s="131"/>
      <c r="AQ25" s="131"/>
      <c r="AR25" s="131"/>
      <c r="AS25" s="131"/>
      <c r="AU25" s="134"/>
      <c r="AW25" s="129">
        <f t="shared" si="9"/>
        <v>0</v>
      </c>
      <c r="AX25" s="129">
        <f t="shared" si="10"/>
        <v>0</v>
      </c>
      <c r="AY25" s="129">
        <f t="shared" si="11"/>
        <v>0</v>
      </c>
      <c r="AZ25" s="129">
        <f t="shared" si="12"/>
        <v>0</v>
      </c>
      <c r="BA25" s="129">
        <f t="shared" si="13"/>
        <v>1</v>
      </c>
      <c r="BC25" s="129" t="e">
        <f t="shared" si="23"/>
        <v>#DIV/0!</v>
      </c>
      <c r="BD25" s="129" t="e">
        <f t="shared" si="24"/>
        <v>#DIV/0!</v>
      </c>
      <c r="BE25" s="129" t="e">
        <f t="shared" si="25"/>
        <v>#DIV/0!</v>
      </c>
      <c r="BF25" s="129" t="e">
        <f t="shared" si="26"/>
        <v>#DIV/0!</v>
      </c>
      <c r="BG25" s="129" t="e">
        <f t="shared" si="27"/>
        <v>#DIV/0!</v>
      </c>
      <c r="BH25" s="129" t="e">
        <f t="shared" si="28"/>
        <v>#DIV/0!</v>
      </c>
      <c r="BI25" s="129"/>
      <c r="BJ25" s="129" t="e">
        <f t="shared" si="29"/>
        <v>#DIV/0!</v>
      </c>
      <c r="BK25" s="129" t="e">
        <f t="shared" si="30"/>
        <v>#DIV/0!</v>
      </c>
      <c r="BL25" s="129" t="e">
        <f t="shared" si="31"/>
        <v>#DIV/0!</v>
      </c>
      <c r="BM25" s="129" t="e">
        <f t="shared" si="32"/>
        <v>#DIV/0!</v>
      </c>
      <c r="BN25" s="129" t="e">
        <f t="shared" si="33"/>
        <v>#DIV/0!</v>
      </c>
      <c r="BQ25" s="129" t="e">
        <f t="shared" si="34"/>
        <v>#DIV/0!</v>
      </c>
      <c r="BR25" s="129" t="e">
        <f t="shared" si="35"/>
        <v>#DIV/0!</v>
      </c>
      <c r="BS25" s="129" t="e">
        <f t="shared" si="36"/>
        <v>#DIV/0!</v>
      </c>
      <c r="BT25" s="129" t="e">
        <f t="shared" si="37"/>
        <v>#DIV/0!</v>
      </c>
      <c r="BU25" s="129">
        <f t="shared" si="38"/>
        <v>9.2761368282478454E-2</v>
      </c>
      <c r="BW25" s="129">
        <f t="shared" si="14"/>
        <v>0</v>
      </c>
      <c r="BX25" s="129">
        <f t="shared" si="15"/>
        <v>0.50606992345568513</v>
      </c>
      <c r="BY25" s="129">
        <f t="shared" si="16"/>
        <v>1.5809545569872476E-3</v>
      </c>
      <c r="BZ25" s="129">
        <f t="shared" si="17"/>
        <v>0.35518320386259261</v>
      </c>
      <c r="CA25" s="129">
        <f t="shared" si="18"/>
        <v>0.13716591812473505</v>
      </c>
      <c r="CC25" s="129" t="e">
        <f t="shared" si="39"/>
        <v>#DIV/0!</v>
      </c>
      <c r="CD25" s="129">
        <f t="shared" si="40"/>
        <v>2.1399766335913215E-2</v>
      </c>
      <c r="CE25" s="129">
        <f t="shared" si="41"/>
        <v>0.30115606675377105</v>
      </c>
      <c r="CF25" s="129">
        <f t="shared" si="42"/>
        <v>-3.4477496207794577E-2</v>
      </c>
      <c r="CG25" s="129">
        <f t="shared" si="43"/>
        <v>9.7697118607938029E-3</v>
      </c>
      <c r="CI25" s="129" t="e">
        <f t="shared" si="44"/>
        <v>#DIV/0!</v>
      </c>
      <c r="CJ25" s="129" t="e">
        <f t="shared" si="45"/>
        <v>#DIV/0!</v>
      </c>
      <c r="CK25" s="129" t="e">
        <f t="shared" si="46"/>
        <v>#DIV/0!</v>
      </c>
      <c r="CL25" s="129" t="e">
        <f t="shared" si="47"/>
        <v>#DIV/0!</v>
      </c>
      <c r="CM25" s="129" t="e">
        <f t="shared" si="48"/>
        <v>#DIV/0!</v>
      </c>
      <c r="CO25" s="129" t="e">
        <f t="shared" si="49"/>
        <v>#DIV/0!</v>
      </c>
      <c r="CP25" s="129">
        <f t="shared" si="19"/>
        <v>1</v>
      </c>
      <c r="CQ25" s="129">
        <f t="shared" si="1"/>
        <v>0.98694527092068007</v>
      </c>
      <c r="CR25" s="129"/>
      <c r="CS25" s="129" t="e">
        <f t="shared" si="50"/>
        <v>#DIV/0!</v>
      </c>
      <c r="CT25" s="129">
        <f t="shared" si="20"/>
        <v>1</v>
      </c>
      <c r="CU25" s="129">
        <f t="shared" si="2"/>
        <v>0.95563097161510735</v>
      </c>
      <c r="CV25" s="129"/>
      <c r="CW25" s="129" t="e">
        <f t="shared" si="21"/>
        <v>#DIV/0!</v>
      </c>
      <c r="CX25" s="129">
        <f t="shared" si="22"/>
        <v>1</v>
      </c>
      <c r="CY25" s="129">
        <f t="shared" si="3"/>
        <v>0.98141963933468612</v>
      </c>
    </row>
    <row r="26" spans="1:114" x14ac:dyDescent="0.2">
      <c r="A26" s="133" t="s">
        <v>664</v>
      </c>
      <c r="B26" s="133">
        <f t="shared" si="4"/>
        <v>1966</v>
      </c>
      <c r="D26" s="5">
        <f>'Freight-Trucks'!F27</f>
        <v>0</v>
      </c>
      <c r="E26" s="5"/>
      <c r="F26" s="5"/>
      <c r="G26" s="5"/>
      <c r="H26" s="5">
        <f>Pipelines!F27</f>
        <v>551.94894333299999</v>
      </c>
      <c r="I26" s="5">
        <f t="shared" si="5"/>
        <v>551.94894333299999</v>
      </c>
      <c r="K26" s="4">
        <f>'Freight-Trucks'!J27</f>
        <v>442685.71428571432</v>
      </c>
      <c r="L26" s="4">
        <f>'Freight-based Activity'!E24</f>
        <v>738395</v>
      </c>
      <c r="M26" s="4">
        <f>'Freight-based Activity'!F24</f>
        <v>2950.0259999999998</v>
      </c>
      <c r="N26" s="4">
        <f>'Freight-based Activity'!G24</f>
        <v>507084.46600000001</v>
      </c>
      <c r="O26" s="4">
        <f>Pipelines!J27</f>
        <v>206658.32488500004</v>
      </c>
      <c r="P26" s="4">
        <f t="shared" si="6"/>
        <v>1897773.5311707144</v>
      </c>
      <c r="R26" s="4">
        <f t="shared" ref="R26:R40" si="51">D26/K26*1000000</f>
        <v>0</v>
      </c>
      <c r="S26" s="4"/>
      <c r="T26" s="4"/>
      <c r="U26" s="4"/>
      <c r="V26" s="4">
        <f t="shared" si="7"/>
        <v>2670.8284974251346</v>
      </c>
      <c r="W26" s="4">
        <f t="shared" si="8"/>
        <v>290.8402579482227</v>
      </c>
      <c r="Y26" s="129">
        <f>'Freight-Trucks'!W27</f>
        <v>0.83899610764976162</v>
      </c>
      <c r="Z26" s="129"/>
      <c r="AA26" s="129"/>
      <c r="AB26" s="129"/>
      <c r="AC26" s="129">
        <f t="shared" si="0"/>
        <v>1.0798483714939977</v>
      </c>
      <c r="AD26" s="129"/>
      <c r="AE26" s="142"/>
      <c r="AF26" s="142"/>
      <c r="AG26" s="142"/>
      <c r="AH26" s="142"/>
      <c r="AI26" s="142"/>
      <c r="AK26" s="131"/>
      <c r="AL26" s="131"/>
      <c r="AM26" s="131"/>
      <c r="AN26" s="131"/>
      <c r="AO26" s="131"/>
      <c r="AP26" s="131"/>
      <c r="AQ26" s="131"/>
      <c r="AR26" s="131"/>
      <c r="AS26" s="131"/>
      <c r="AU26" s="134"/>
      <c r="AW26" s="129">
        <f t="shared" si="9"/>
        <v>0</v>
      </c>
      <c r="AX26" s="129">
        <f t="shared" si="10"/>
        <v>0</v>
      </c>
      <c r="AY26" s="129">
        <f t="shared" si="11"/>
        <v>0</v>
      </c>
      <c r="AZ26" s="129">
        <f t="shared" si="12"/>
        <v>0</v>
      </c>
      <c r="BA26" s="129">
        <f t="shared" si="13"/>
        <v>1</v>
      </c>
      <c r="BC26" s="129" t="e">
        <f t="shared" si="23"/>
        <v>#DIV/0!</v>
      </c>
      <c r="BD26" s="129" t="e">
        <f t="shared" si="24"/>
        <v>#DIV/0!</v>
      </c>
      <c r="BE26" s="129" t="e">
        <f t="shared" si="25"/>
        <v>#DIV/0!</v>
      </c>
      <c r="BF26" s="129" t="e">
        <f t="shared" si="26"/>
        <v>#DIV/0!</v>
      </c>
      <c r="BG26" s="129" t="e">
        <f t="shared" si="27"/>
        <v>#DIV/0!</v>
      </c>
      <c r="BH26" s="129" t="e">
        <f t="shared" si="28"/>
        <v>#DIV/0!</v>
      </c>
      <c r="BI26" s="129"/>
      <c r="BJ26" s="129" t="e">
        <f t="shared" si="29"/>
        <v>#DIV/0!</v>
      </c>
      <c r="BK26" s="129" t="e">
        <f t="shared" si="30"/>
        <v>#DIV/0!</v>
      </c>
      <c r="BL26" s="129" t="e">
        <f t="shared" si="31"/>
        <v>#DIV/0!</v>
      </c>
      <c r="BM26" s="129" t="e">
        <f t="shared" si="32"/>
        <v>#DIV/0!</v>
      </c>
      <c r="BN26" s="129" t="e">
        <f t="shared" si="33"/>
        <v>#DIV/0!</v>
      </c>
      <c r="BQ26" s="129" t="e">
        <f t="shared" si="34"/>
        <v>#DIV/0!</v>
      </c>
      <c r="BR26" s="129" t="e">
        <f t="shared" si="35"/>
        <v>#DIV/0!</v>
      </c>
      <c r="BS26" s="129" t="e">
        <f t="shared" si="36"/>
        <v>#DIV/0!</v>
      </c>
      <c r="BT26" s="129" t="e">
        <f t="shared" si="37"/>
        <v>#DIV/0!</v>
      </c>
      <c r="BU26" s="129">
        <f t="shared" si="38"/>
        <v>-2.1235304079984516E-2</v>
      </c>
      <c r="BW26" s="129">
        <f t="shared" si="14"/>
        <v>0.23326582809521357</v>
      </c>
      <c r="BX26" s="129">
        <f t="shared" si="15"/>
        <v>0.38908488703838795</v>
      </c>
      <c r="BY26" s="129">
        <f t="shared" si="16"/>
        <v>1.5544668273353792E-3</v>
      </c>
      <c r="BZ26" s="129">
        <f t="shared" si="17"/>
        <v>0.26719967249579329</v>
      </c>
      <c r="CA26" s="129">
        <f t="shared" si="18"/>
        <v>0.10889514554326982</v>
      </c>
      <c r="CC26" s="129" t="e">
        <f t="shared" si="39"/>
        <v>#DIV/0!</v>
      </c>
      <c r="CD26" s="129">
        <f t="shared" si="40"/>
        <v>-0.2628773099679827</v>
      </c>
      <c r="CE26" s="129">
        <f t="shared" si="41"/>
        <v>-1.6896204081647475E-2</v>
      </c>
      <c r="CF26" s="129">
        <f t="shared" si="42"/>
        <v>-0.28463750760475248</v>
      </c>
      <c r="CG26" s="129">
        <f t="shared" si="43"/>
        <v>-0.23080582251476423</v>
      </c>
      <c r="CI26" s="129" t="e">
        <f t="shared" si="44"/>
        <v>#DIV/0!</v>
      </c>
      <c r="CJ26" s="129" t="e">
        <f t="shared" si="45"/>
        <v>#DIV/0!</v>
      </c>
      <c r="CK26" s="129" t="e">
        <f t="shared" si="46"/>
        <v>#DIV/0!</v>
      </c>
      <c r="CL26" s="129" t="e">
        <f t="shared" si="47"/>
        <v>#DIV/0!</v>
      </c>
      <c r="CM26" s="129" t="e">
        <f t="shared" si="48"/>
        <v>#DIV/0!</v>
      </c>
      <c r="CO26" s="129" t="e">
        <f t="shared" si="49"/>
        <v>#DIV/0!</v>
      </c>
      <c r="CP26" s="129">
        <f t="shared" si="19"/>
        <v>1</v>
      </c>
      <c r="CQ26" s="129">
        <f t="shared" si="1"/>
        <v>0.98694527092068007</v>
      </c>
      <c r="CR26" s="129"/>
      <c r="CS26" s="129" t="e">
        <f t="shared" si="50"/>
        <v>#DIV/0!</v>
      </c>
      <c r="CT26" s="129">
        <f t="shared" si="20"/>
        <v>1</v>
      </c>
      <c r="CU26" s="129">
        <f t="shared" si="2"/>
        <v>0.95563097161510735</v>
      </c>
      <c r="CV26" s="129"/>
      <c r="CW26" s="129" t="e">
        <f t="shared" si="21"/>
        <v>#DIV/0!</v>
      </c>
      <c r="CX26" s="129">
        <f t="shared" si="22"/>
        <v>1</v>
      </c>
      <c r="CY26" s="129">
        <f t="shared" si="3"/>
        <v>0.98141963933468612</v>
      </c>
      <c r="DA26">
        <v>1966</v>
      </c>
      <c r="DB26" s="4">
        <f>'Freight-based Activity'!G24</f>
        <v>507084.46600000001</v>
      </c>
      <c r="DC26" s="4">
        <f>'Freight-based Activity'!I24</f>
        <v>565021.41800000006</v>
      </c>
      <c r="DD26">
        <f>G26</f>
        <v>0</v>
      </c>
      <c r="DJ26" s="136">
        <f>DB26/DC26</f>
        <v>0.89746060918349113</v>
      </c>
    </row>
    <row r="27" spans="1:114" x14ac:dyDescent="0.2">
      <c r="A27" s="133" t="s">
        <v>664</v>
      </c>
      <c r="B27" s="133">
        <f t="shared" si="4"/>
        <v>1967</v>
      </c>
      <c r="D27" s="5">
        <f>'Freight-Trucks'!F28</f>
        <v>0</v>
      </c>
      <c r="E27" s="5"/>
      <c r="F27" s="5"/>
      <c r="G27" s="5"/>
      <c r="H27" s="5">
        <f>Pipelines!F28</f>
        <v>593.60031236100008</v>
      </c>
      <c r="I27" s="5">
        <f t="shared" si="5"/>
        <v>593.60031236100008</v>
      </c>
      <c r="K27" s="4">
        <f>'Freight-Trucks'!J28</f>
        <v>451980.95238095243</v>
      </c>
      <c r="L27" s="4">
        <f>'Freight-based Activity'!E25</f>
        <v>719498</v>
      </c>
      <c r="M27" s="4">
        <f>'Freight-based Activity'!F25</f>
        <v>3437.6480000000001</v>
      </c>
      <c r="N27" s="4">
        <f>'Freight-based Activity'!G25</f>
        <v>515387.44900000002</v>
      </c>
      <c r="O27" s="4">
        <f>Pipelines!J28</f>
        <v>217599.54300580002</v>
      </c>
      <c r="P27" s="4">
        <f t="shared" si="6"/>
        <v>1907903.5923867526</v>
      </c>
      <c r="R27" s="4">
        <f t="shared" si="51"/>
        <v>0</v>
      </c>
      <c r="S27" s="4"/>
      <c r="T27" s="4"/>
      <c r="U27" s="4"/>
      <c r="V27" s="4">
        <f t="shared" si="7"/>
        <v>2727.9483410733906</v>
      </c>
      <c r="W27" s="4">
        <f t="shared" si="8"/>
        <v>311.12699547801412</v>
      </c>
      <c r="Y27" s="129">
        <f>'Freight-Trucks'!W28</f>
        <v>0.83899610764976162</v>
      </c>
      <c r="Z27" s="129"/>
      <c r="AA27" s="129"/>
      <c r="AB27" s="129"/>
      <c r="AC27" s="129">
        <f t="shared" si="0"/>
        <v>1.102942617419195</v>
      </c>
      <c r="AD27" s="129"/>
      <c r="AE27" s="142"/>
      <c r="AF27" s="142"/>
      <c r="AG27" s="142"/>
      <c r="AH27" s="142"/>
      <c r="AI27" s="142"/>
      <c r="AK27" s="131"/>
      <c r="AL27" s="131"/>
      <c r="AM27" s="131"/>
      <c r="AN27" s="131"/>
      <c r="AO27" s="131"/>
      <c r="AP27" s="131"/>
      <c r="AQ27" s="131"/>
      <c r="AR27" s="131"/>
      <c r="AS27" s="131"/>
      <c r="AU27" s="134"/>
      <c r="AW27" s="129">
        <f t="shared" si="9"/>
        <v>0</v>
      </c>
      <c r="AX27" s="129">
        <f t="shared" si="10"/>
        <v>0</v>
      </c>
      <c r="AY27" s="129">
        <f t="shared" si="11"/>
        <v>0</v>
      </c>
      <c r="AZ27" s="129">
        <f t="shared" si="12"/>
        <v>0</v>
      </c>
      <c r="BA27" s="129">
        <f t="shared" si="13"/>
        <v>1</v>
      </c>
      <c r="BC27" s="129" t="e">
        <f t="shared" si="23"/>
        <v>#DIV/0!</v>
      </c>
      <c r="BD27" s="129" t="e">
        <f t="shared" si="24"/>
        <v>#DIV/0!</v>
      </c>
      <c r="BE27" s="129" t="e">
        <f t="shared" si="25"/>
        <v>#DIV/0!</v>
      </c>
      <c r="BF27" s="129" t="e">
        <f t="shared" si="26"/>
        <v>#DIV/0!</v>
      </c>
      <c r="BG27" s="129" t="e">
        <f t="shared" si="27"/>
        <v>#DIV/0!</v>
      </c>
      <c r="BH27" s="129" t="e">
        <f t="shared" si="28"/>
        <v>#DIV/0!</v>
      </c>
      <c r="BI27" s="129"/>
      <c r="BJ27" s="129" t="e">
        <f t="shared" si="29"/>
        <v>#DIV/0!</v>
      </c>
      <c r="BK27" s="129" t="e">
        <f t="shared" si="30"/>
        <v>#DIV/0!</v>
      </c>
      <c r="BL27" s="129" t="e">
        <f t="shared" si="31"/>
        <v>#DIV/0!</v>
      </c>
      <c r="BM27" s="129" t="e">
        <f t="shared" si="32"/>
        <v>#DIV/0!</v>
      </c>
      <c r="BN27" s="129" t="e">
        <f t="shared" si="33"/>
        <v>#DIV/0!</v>
      </c>
      <c r="BQ27" s="129">
        <f t="shared" si="34"/>
        <v>0</v>
      </c>
      <c r="BR27" s="129" t="e">
        <f t="shared" si="35"/>
        <v>#DIV/0!</v>
      </c>
      <c r="BS27" s="129" t="e">
        <f t="shared" si="36"/>
        <v>#DIV/0!</v>
      </c>
      <c r="BT27" s="129" t="e">
        <f t="shared" si="37"/>
        <v>#DIV/0!</v>
      </c>
      <c r="BU27" s="129">
        <f t="shared" si="38"/>
        <v>2.1161080304657437E-2</v>
      </c>
      <c r="BW27" s="129">
        <f t="shared" si="14"/>
        <v>0.23689926167366376</v>
      </c>
      <c r="BX27" s="129">
        <f t="shared" si="15"/>
        <v>0.37711444271663702</v>
      </c>
      <c r="BY27" s="129">
        <f t="shared" si="16"/>
        <v>1.8017933472726287E-3</v>
      </c>
      <c r="BZ27" s="129">
        <f t="shared" si="17"/>
        <v>0.27013285737108955</v>
      </c>
      <c r="CA27" s="129">
        <f t="shared" si="18"/>
        <v>0.11405164489133697</v>
      </c>
      <c r="CC27" s="129">
        <f t="shared" si="39"/>
        <v>1.545629818961392E-2</v>
      </c>
      <c r="CD27" s="129">
        <f t="shared" si="40"/>
        <v>-3.1248835454802941E-2</v>
      </c>
      <c r="CE27" s="129">
        <f t="shared" si="41"/>
        <v>0.14764986243698114</v>
      </c>
      <c r="CF27" s="129">
        <f t="shared" si="42"/>
        <v>1.091768633944367E-2</v>
      </c>
      <c r="CG27" s="129">
        <f t="shared" si="43"/>
        <v>4.6265919423557761E-2</v>
      </c>
      <c r="CI27" s="129" t="e">
        <f t="shared" si="44"/>
        <v>#DIV/0!</v>
      </c>
      <c r="CJ27" s="129" t="e">
        <f t="shared" si="45"/>
        <v>#DIV/0!</v>
      </c>
      <c r="CK27" s="129" t="e">
        <f t="shared" si="46"/>
        <v>#DIV/0!</v>
      </c>
      <c r="CL27" s="129" t="e">
        <f t="shared" si="47"/>
        <v>#DIV/0!</v>
      </c>
      <c r="CM27" s="129" t="e">
        <f t="shared" si="48"/>
        <v>#DIV/0!</v>
      </c>
      <c r="CO27" s="129" t="e">
        <f t="shared" si="49"/>
        <v>#DIV/0!</v>
      </c>
      <c r="CP27" s="129">
        <f t="shared" si="19"/>
        <v>1</v>
      </c>
      <c r="CQ27" s="129">
        <f t="shared" si="1"/>
        <v>0.98694527092068007</v>
      </c>
      <c r="CR27" s="129"/>
      <c r="CS27" s="129" t="e">
        <f t="shared" si="50"/>
        <v>#DIV/0!</v>
      </c>
      <c r="CT27" s="129">
        <f t="shared" si="20"/>
        <v>1</v>
      </c>
      <c r="CU27" s="129">
        <f t="shared" si="2"/>
        <v>0.95563097161510735</v>
      </c>
      <c r="CV27" s="129"/>
      <c r="CW27" s="129" t="e">
        <f t="shared" si="21"/>
        <v>#DIV/0!</v>
      </c>
      <c r="CX27" s="129">
        <f t="shared" si="22"/>
        <v>1</v>
      </c>
      <c r="CY27" s="129">
        <f t="shared" si="3"/>
        <v>0.98141963933468612</v>
      </c>
      <c r="DA27">
        <f>DA26+1</f>
        <v>1967</v>
      </c>
      <c r="DB27" s="4">
        <f>'Freight-based Activity'!G25</f>
        <v>515387.44900000002</v>
      </c>
      <c r="DC27" s="4">
        <f>'Freight-based Activity'!I25</f>
        <v>570079.76100000006</v>
      </c>
      <c r="DD27">
        <f>G27</f>
        <v>0</v>
      </c>
      <c r="DJ27" s="136">
        <f t="shared" ref="DJ27:DJ70" si="52">DB27/DC27</f>
        <v>0.90406200019439031</v>
      </c>
    </row>
    <row r="28" spans="1:114" x14ac:dyDescent="0.2">
      <c r="A28" s="133" t="s">
        <v>664</v>
      </c>
      <c r="B28" s="133">
        <f t="shared" si="4"/>
        <v>1968</v>
      </c>
      <c r="D28" s="5">
        <f>'Freight-Trucks'!F29</f>
        <v>0</v>
      </c>
      <c r="E28" s="5">
        <f>'Freight-based Energy Use'!D26</f>
        <v>544.04964039999993</v>
      </c>
      <c r="F28" s="5"/>
      <c r="G28" s="5"/>
      <c r="H28" s="5">
        <f>Pipelines!F29</f>
        <v>609.28491539099991</v>
      </c>
      <c r="I28" s="5">
        <f t="shared" si="5"/>
        <v>1153.3345557909997</v>
      </c>
      <c r="K28" s="4">
        <f>'Freight-Trucks'!J29</f>
        <v>460114.28571428574</v>
      </c>
      <c r="L28" s="4">
        <f>'Freight-based Activity'!E26</f>
        <v>744023</v>
      </c>
      <c r="M28" s="4">
        <f>'Freight-based Activity'!F26</f>
        <v>3766.7069999999999</v>
      </c>
      <c r="N28" s="4">
        <f>'Freight-based Activity'!G26</f>
        <v>520632.86900000001</v>
      </c>
      <c r="O28" s="4">
        <f>Pipelines!J29</f>
        <v>233321.77851340003</v>
      </c>
      <c r="P28" s="4">
        <f t="shared" si="6"/>
        <v>1961858.6402276857</v>
      </c>
      <c r="R28" s="4">
        <f t="shared" si="51"/>
        <v>0</v>
      </c>
      <c r="S28" s="4">
        <f t="shared" ref="S28:S40" si="53">E28/L28*1000000</f>
        <v>731.22691153364872</v>
      </c>
      <c r="T28" s="4"/>
      <c r="U28" s="4"/>
      <c r="V28" s="4">
        <f t="shared" si="7"/>
        <v>2611.3503817476162</v>
      </c>
      <c r="W28" s="4">
        <f t="shared" si="8"/>
        <v>587.87852098107749</v>
      </c>
      <c r="Y28" s="129">
        <f>'Freight-Trucks'!W29</f>
        <v>0.83899610764976162</v>
      </c>
      <c r="Z28" s="129">
        <f t="shared" ref="Z28:Z71" si="54">S28/S$73</f>
        <v>1.4704782097671845</v>
      </c>
      <c r="AA28" s="129"/>
      <c r="AB28" s="129"/>
      <c r="AC28" s="129">
        <f t="shared" si="0"/>
        <v>1.0558006475701969</v>
      </c>
      <c r="AD28" s="129"/>
      <c r="AE28" s="142"/>
      <c r="AF28" s="142"/>
      <c r="AG28" s="142"/>
      <c r="AH28" s="142"/>
      <c r="AI28" s="142"/>
      <c r="AK28" s="131"/>
      <c r="AL28" s="131"/>
      <c r="AM28" s="131"/>
      <c r="AN28" s="131"/>
      <c r="AO28" s="131"/>
      <c r="AP28" s="131"/>
      <c r="AQ28" s="131"/>
      <c r="AR28" s="131"/>
      <c r="AS28" s="131"/>
      <c r="AU28" s="134"/>
      <c r="AW28" s="129">
        <f t="shared" si="9"/>
        <v>0</v>
      </c>
      <c r="AX28" s="129">
        <f t="shared" si="10"/>
        <v>0.47171884139625941</v>
      </c>
      <c r="AY28" s="129">
        <f t="shared" si="11"/>
        <v>0</v>
      </c>
      <c r="AZ28" s="129">
        <f t="shared" si="12"/>
        <v>0</v>
      </c>
      <c r="BA28" s="129">
        <f t="shared" si="13"/>
        <v>0.5282811586037407</v>
      </c>
      <c r="BC28" s="129" t="e">
        <f t="shared" si="23"/>
        <v>#DIV/0!</v>
      </c>
      <c r="BD28" s="129" t="e">
        <f t="shared" si="24"/>
        <v>#DIV/0!</v>
      </c>
      <c r="BE28" s="129" t="e">
        <f t="shared" si="25"/>
        <v>#DIV/0!</v>
      </c>
      <c r="BF28" s="129" t="e">
        <f t="shared" si="26"/>
        <v>#DIV/0!</v>
      </c>
      <c r="BG28" s="129">
        <f t="shared" si="27"/>
        <v>0.73922449258256639</v>
      </c>
      <c r="BH28" s="129" t="e">
        <f t="shared" si="28"/>
        <v>#DIV/0!</v>
      </c>
      <c r="BI28" s="129"/>
      <c r="BJ28" s="129" t="e">
        <f t="shared" si="29"/>
        <v>#DIV/0!</v>
      </c>
      <c r="BK28" s="129" t="e">
        <f t="shared" si="30"/>
        <v>#DIV/0!</v>
      </c>
      <c r="BL28" s="129" t="e">
        <f t="shared" si="31"/>
        <v>#DIV/0!</v>
      </c>
      <c r="BM28" s="129" t="e">
        <f t="shared" si="32"/>
        <v>#DIV/0!</v>
      </c>
      <c r="BN28" s="129" t="e">
        <f t="shared" si="33"/>
        <v>#DIV/0!</v>
      </c>
      <c r="BQ28" s="129">
        <f t="shared" si="34"/>
        <v>0</v>
      </c>
      <c r="BR28" s="129" t="e">
        <f t="shared" si="35"/>
        <v>#DIV/0!</v>
      </c>
      <c r="BS28" s="129" t="e">
        <f t="shared" si="36"/>
        <v>#DIV/0!</v>
      </c>
      <c r="BT28" s="129" t="e">
        <f t="shared" si="37"/>
        <v>#DIV/0!</v>
      </c>
      <c r="BU28" s="129">
        <f t="shared" si="38"/>
        <v>-4.3682328066712704E-2</v>
      </c>
      <c r="BW28" s="129">
        <f t="shared" si="14"/>
        <v>0.23452978531668656</v>
      </c>
      <c r="BX28" s="129">
        <f t="shared" si="15"/>
        <v>0.37924393977419879</v>
      </c>
      <c r="BY28" s="129">
        <f t="shared" si="16"/>
        <v>1.9199686066896495E-3</v>
      </c>
      <c r="BZ28" s="129">
        <f t="shared" si="17"/>
        <v>0.2653773612045654</v>
      </c>
      <c r="CA28" s="129">
        <f t="shared" si="18"/>
        <v>0.11892894509785966</v>
      </c>
      <c r="CC28" s="129">
        <f t="shared" si="39"/>
        <v>-1.0052398447559742E-2</v>
      </c>
      <c r="CD28" s="129">
        <f t="shared" si="40"/>
        <v>5.630935634736752E-3</v>
      </c>
      <c r="CE28" s="129">
        <f t="shared" si="41"/>
        <v>6.3526362262539215E-2</v>
      </c>
      <c r="CF28" s="129">
        <f t="shared" si="42"/>
        <v>-1.7761084713007601E-2</v>
      </c>
      <c r="CG28" s="129">
        <f t="shared" si="43"/>
        <v>4.1874843586242577E-2</v>
      </c>
      <c r="CI28" s="129" t="e">
        <f t="shared" si="44"/>
        <v>#DIV/0!</v>
      </c>
      <c r="CJ28" s="129" t="e">
        <f t="shared" si="45"/>
        <v>#DIV/0!</v>
      </c>
      <c r="CK28" s="129" t="e">
        <f t="shared" si="46"/>
        <v>#DIV/0!</v>
      </c>
      <c r="CL28" s="129" t="e">
        <f t="shared" si="47"/>
        <v>#DIV/0!</v>
      </c>
      <c r="CM28" s="129" t="e">
        <f t="shared" si="48"/>
        <v>#DIV/0!</v>
      </c>
      <c r="CO28" s="129" t="e">
        <f t="shared" si="49"/>
        <v>#DIV/0!</v>
      </c>
      <c r="CP28" s="129">
        <f t="shared" si="19"/>
        <v>1</v>
      </c>
      <c r="CQ28" s="129">
        <f t="shared" si="1"/>
        <v>0.98694527092068007</v>
      </c>
      <c r="CR28" s="129"/>
      <c r="CS28" s="129" t="e">
        <f t="shared" si="50"/>
        <v>#DIV/0!</v>
      </c>
      <c r="CT28" s="129">
        <f t="shared" si="20"/>
        <v>1</v>
      </c>
      <c r="CU28" s="129">
        <f t="shared" si="2"/>
        <v>0.95563097161510735</v>
      </c>
      <c r="CV28" s="129"/>
      <c r="CW28" s="129" t="e">
        <f t="shared" si="21"/>
        <v>#DIV/0!</v>
      </c>
      <c r="CX28" s="129">
        <f t="shared" si="22"/>
        <v>1</v>
      </c>
      <c r="CY28" s="129">
        <f t="shared" si="3"/>
        <v>0.98141963933468612</v>
      </c>
      <c r="DA28">
        <f t="shared" ref="DA28:DA71" si="55">DA27+1</f>
        <v>1968</v>
      </c>
      <c r="DB28" s="4">
        <f>'Freight-based Activity'!G26</f>
        <v>520632.86900000001</v>
      </c>
      <c r="DC28" s="4">
        <f>'Freight-based Activity'!I26</f>
        <v>580790.30700000003</v>
      </c>
      <c r="DD28">
        <f t="shared" ref="DD28:DD70" si="56">G28</f>
        <v>0</v>
      </c>
      <c r="DJ28" s="136">
        <f t="shared" si="52"/>
        <v>0.89642141531125785</v>
      </c>
    </row>
    <row r="29" spans="1:114" x14ac:dyDescent="0.2">
      <c r="A29" s="133" t="s">
        <v>664</v>
      </c>
      <c r="B29" s="133">
        <f t="shared" si="4"/>
        <v>1969</v>
      </c>
      <c r="D29" s="5">
        <f>'Freight-Trucks'!F30</f>
        <v>0</v>
      </c>
      <c r="E29" s="5">
        <f>'Freight-based Energy Use'!D27</f>
        <v>544.26642849999996</v>
      </c>
      <c r="F29" s="5"/>
      <c r="G29" s="5"/>
      <c r="H29" s="5">
        <f>Pipelines!F30</f>
        <v>650.52182241100002</v>
      </c>
      <c r="I29" s="5">
        <f t="shared" si="5"/>
        <v>1194.788250911</v>
      </c>
      <c r="K29" s="4">
        <f>'Freight-Trucks'!J30</f>
        <v>469409.52380952385</v>
      </c>
      <c r="L29" s="4">
        <f>'Freight-based Activity'!E27</f>
        <v>767841</v>
      </c>
      <c r="M29" s="4">
        <f>'Freight-based Activity'!F27</f>
        <v>4327.7709999999997</v>
      </c>
      <c r="N29" s="4">
        <f>'Freight-based Activity'!G27</f>
        <v>528896.98699999996</v>
      </c>
      <c r="O29" s="4">
        <f>Pipelines!J30</f>
        <v>251034.265587</v>
      </c>
      <c r="P29" s="4">
        <f t="shared" si="6"/>
        <v>2021509.5473965236</v>
      </c>
      <c r="R29" s="4">
        <f t="shared" si="51"/>
        <v>0</v>
      </c>
      <c r="S29" s="4">
        <f t="shared" si="53"/>
        <v>708.82699478147163</v>
      </c>
      <c r="T29" s="4"/>
      <c r="U29" s="4"/>
      <c r="V29" s="4">
        <f t="shared" si="7"/>
        <v>2591.3666442701274</v>
      </c>
      <c r="W29" s="4">
        <f t="shared" si="8"/>
        <v>591.03764929023089</v>
      </c>
      <c r="Y29" s="129">
        <f>'Freight-Trucks'!W30</f>
        <v>0.83899610764976162</v>
      </c>
      <c r="Z29" s="129">
        <f t="shared" si="54"/>
        <v>1.4254325625609141</v>
      </c>
      <c r="AA29" s="129"/>
      <c r="AB29" s="129"/>
      <c r="AC29" s="129">
        <f t="shared" si="0"/>
        <v>1.0477209800092755</v>
      </c>
      <c r="AD29" s="129"/>
      <c r="AE29" s="142"/>
      <c r="AF29" s="142"/>
      <c r="AG29" s="142"/>
      <c r="AH29" s="142"/>
      <c r="AI29" s="142"/>
      <c r="AK29" s="131"/>
      <c r="AL29" s="131"/>
      <c r="AM29" s="131"/>
      <c r="AN29" s="131"/>
      <c r="AO29" s="131"/>
      <c r="AP29" s="131"/>
      <c r="AQ29" s="131"/>
      <c r="AR29" s="131"/>
      <c r="AS29" s="131"/>
      <c r="AU29" s="134"/>
      <c r="AW29" s="129">
        <f t="shared" si="9"/>
        <v>0</v>
      </c>
      <c r="AX29" s="129">
        <f t="shared" si="10"/>
        <v>0.45553379695942664</v>
      </c>
      <c r="AY29" s="129">
        <f t="shared" si="11"/>
        <v>0</v>
      </c>
      <c r="AZ29" s="129">
        <f t="shared" si="12"/>
        <v>0</v>
      </c>
      <c r="BA29" s="129">
        <f t="shared" si="13"/>
        <v>0.54446620304057336</v>
      </c>
      <c r="BC29" s="129" t="e">
        <f t="shared" si="23"/>
        <v>#DIV/0!</v>
      </c>
      <c r="BD29" s="129">
        <f t="shared" si="24"/>
        <v>0.46357923079747576</v>
      </c>
      <c r="BE29" s="129" t="e">
        <f t="shared" si="25"/>
        <v>#DIV/0!</v>
      </c>
      <c r="BF29" s="129" t="e">
        <f t="shared" si="26"/>
        <v>#DIV/0!</v>
      </c>
      <c r="BG29" s="129">
        <f t="shared" si="27"/>
        <v>0.53633297978730965</v>
      </c>
      <c r="BH29" s="129" t="e">
        <f t="shared" si="28"/>
        <v>#DIV/0!</v>
      </c>
      <c r="BI29" s="129"/>
      <c r="BJ29" s="129" t="e">
        <f t="shared" si="29"/>
        <v>#DIV/0!</v>
      </c>
      <c r="BK29" s="129" t="e">
        <f t="shared" si="30"/>
        <v>#DIV/0!</v>
      </c>
      <c r="BL29" s="129" t="e">
        <f t="shared" si="31"/>
        <v>#DIV/0!</v>
      </c>
      <c r="BM29" s="129" t="e">
        <f t="shared" si="32"/>
        <v>#DIV/0!</v>
      </c>
      <c r="BN29" s="129" t="e">
        <f t="shared" si="33"/>
        <v>#DIV/0!</v>
      </c>
      <c r="BQ29" s="129">
        <f t="shared" si="34"/>
        <v>0</v>
      </c>
      <c r="BR29" s="129">
        <f t="shared" si="35"/>
        <v>-3.1112340322564061E-2</v>
      </c>
      <c r="BS29" s="129" t="e">
        <f t="shared" si="36"/>
        <v>#DIV/0!</v>
      </c>
      <c r="BT29" s="129" t="e">
        <f t="shared" si="37"/>
        <v>#DIV/0!</v>
      </c>
      <c r="BU29" s="129">
        <f t="shared" si="38"/>
        <v>-7.6820767513022343E-3</v>
      </c>
      <c r="BW29" s="129">
        <f t="shared" si="14"/>
        <v>0.23220742361275037</v>
      </c>
      <c r="BX29" s="129">
        <f t="shared" si="15"/>
        <v>0.37983545563210058</v>
      </c>
      <c r="BY29" s="129">
        <f t="shared" si="16"/>
        <v>2.140861024165669E-3</v>
      </c>
      <c r="BZ29" s="129">
        <f t="shared" si="17"/>
        <v>0.26163467181303185</v>
      </c>
      <c r="CA29" s="129">
        <f t="shared" si="18"/>
        <v>0.12418158791795163</v>
      </c>
      <c r="CC29" s="129">
        <f t="shared" si="39"/>
        <v>-9.9515565737497147E-3</v>
      </c>
      <c r="CD29" s="129">
        <f t="shared" si="40"/>
        <v>1.558508849566112E-3</v>
      </c>
      <c r="CE29" s="129">
        <f t="shared" si="41"/>
        <v>0.10889926063103722</v>
      </c>
      <c r="CF29" s="129">
        <f t="shared" si="42"/>
        <v>-1.4203669286466013E-2</v>
      </c>
      <c r="CG29" s="129">
        <f t="shared" si="43"/>
        <v>4.3218698324483627E-2</v>
      </c>
      <c r="CI29" s="129" t="e">
        <f t="shared" si="44"/>
        <v>#DIV/0!</v>
      </c>
      <c r="CJ29" s="129" t="e">
        <f t="shared" si="45"/>
        <v>#DIV/0!</v>
      </c>
      <c r="CK29" s="129" t="e">
        <f t="shared" si="46"/>
        <v>#DIV/0!</v>
      </c>
      <c r="CL29" s="129" t="e">
        <f t="shared" si="47"/>
        <v>#DIV/0!</v>
      </c>
      <c r="CM29" s="129" t="e">
        <f t="shared" si="48"/>
        <v>#DIV/0!</v>
      </c>
      <c r="CO29" s="129" t="e">
        <f t="shared" si="49"/>
        <v>#DIV/0!</v>
      </c>
      <c r="CP29" s="129">
        <f t="shared" si="19"/>
        <v>1</v>
      </c>
      <c r="CQ29" s="129">
        <f t="shared" si="1"/>
        <v>0.98694527092068007</v>
      </c>
      <c r="CR29" s="129"/>
      <c r="CS29" s="129" t="e">
        <f t="shared" si="50"/>
        <v>#DIV/0!</v>
      </c>
      <c r="CT29" s="129">
        <f t="shared" si="20"/>
        <v>1</v>
      </c>
      <c r="CU29" s="129">
        <f t="shared" si="2"/>
        <v>0.95563097161510735</v>
      </c>
      <c r="CV29" s="129"/>
      <c r="CW29" s="129" t="e">
        <f t="shared" si="21"/>
        <v>#DIV/0!</v>
      </c>
      <c r="CX29" s="129">
        <f t="shared" si="22"/>
        <v>1</v>
      </c>
      <c r="CY29" s="129">
        <f t="shared" si="3"/>
        <v>0.98141963933468612</v>
      </c>
      <c r="DA29">
        <f t="shared" si="55"/>
        <v>1969</v>
      </c>
      <c r="DB29" s="4">
        <f>'Freight-based Activity'!G27</f>
        <v>528896.98699999996</v>
      </c>
      <c r="DC29" s="4">
        <f>'Freight-based Activity'!I27</f>
        <v>586321.17499999993</v>
      </c>
      <c r="DD29">
        <f t="shared" si="56"/>
        <v>0</v>
      </c>
      <c r="DF29" t="s">
        <v>376</v>
      </c>
      <c r="DG29" t="s">
        <v>896</v>
      </c>
      <c r="DJ29" s="136">
        <f t="shared" si="52"/>
        <v>0.90206018399386656</v>
      </c>
    </row>
    <row r="30" spans="1:114" x14ac:dyDescent="0.2">
      <c r="A30" s="133" t="s">
        <v>664</v>
      </c>
      <c r="B30" s="133">
        <f t="shared" si="4"/>
        <v>1970</v>
      </c>
      <c r="D30" s="5">
        <f>'Freight-Trucks'!F31</f>
        <v>1980.1247563938759</v>
      </c>
      <c r="E30" s="5">
        <f>'Freight-based Energy Use'!D28</f>
        <v>528.12285810000003</v>
      </c>
      <c r="F30" s="5">
        <f>'Freight-based Energy Use'!E28</f>
        <v>150.15605359643743</v>
      </c>
      <c r="G30" s="5">
        <f>'Freight-based Energy Use'!N28</f>
        <v>208.02714624461305</v>
      </c>
      <c r="H30" s="5">
        <f>Pipelines!F31</f>
        <v>778.39168834806321</v>
      </c>
      <c r="I30" s="5">
        <f t="shared" si="5"/>
        <v>3644.8225026829896</v>
      </c>
      <c r="K30" s="4">
        <f>'Freight-Trucks'!J31</f>
        <v>598159.81009547773</v>
      </c>
      <c r="L30" s="4">
        <f>'Freight-based Activity'!E28</f>
        <v>764809</v>
      </c>
      <c r="M30" s="4">
        <f>'Freight-based Activity'!F28</f>
        <v>3755.4380000000001</v>
      </c>
      <c r="N30" s="4">
        <f>'Freight-based Activity'!G28</f>
        <v>596195.41099999996</v>
      </c>
      <c r="O30" s="4">
        <f>Pipelines!J31</f>
        <v>264069.87402380002</v>
      </c>
      <c r="P30" s="4">
        <f t="shared" si="6"/>
        <v>2226989.533119278</v>
      </c>
      <c r="R30" s="4">
        <f t="shared" si="51"/>
        <v>3310.3607480379032</v>
      </c>
      <c r="S30" s="4">
        <f t="shared" si="53"/>
        <v>690.5290838627684</v>
      </c>
      <c r="T30" s="4">
        <f t="shared" ref="T30:T40" si="57">F30/M30*1000000</f>
        <v>39983.632693826235</v>
      </c>
      <c r="U30" s="4">
        <f t="shared" ref="U30:U40" si="58">G30/N30*1000000</f>
        <v>348.92443384575643</v>
      </c>
      <c r="V30" s="4">
        <f t="shared" si="7"/>
        <v>2947.6731915201676</v>
      </c>
      <c r="W30" s="4">
        <f t="shared" si="8"/>
        <v>1636.6590181399708</v>
      </c>
      <c r="Y30" s="129">
        <f>'Freight-Trucks'!W31</f>
        <v>0.83899610764976162</v>
      </c>
      <c r="Z30" s="129">
        <f t="shared" si="54"/>
        <v>1.3886359418870646</v>
      </c>
      <c r="AA30" s="129">
        <f t="shared" ref="AA30:AA71" si="59">T30/T$73</f>
        <v>1.8627098160814253</v>
      </c>
      <c r="AB30" s="129">
        <f t="shared" ref="AB30:AB71" si="60">U30/U$73</f>
        <v>1.1627118027556151</v>
      </c>
      <c r="AC30" s="129">
        <f t="shared" si="0"/>
        <v>1.1917800407732062</v>
      </c>
      <c r="AD30" s="129"/>
      <c r="AE30" s="142">
        <f>'Freight-Trucks'!V31</f>
        <v>0.96954448094526824</v>
      </c>
      <c r="AF30" s="142">
        <v>1</v>
      </c>
      <c r="AG30" s="142">
        <v>1</v>
      </c>
      <c r="AH30" s="142">
        <v>1</v>
      </c>
      <c r="AI30" s="142">
        <v>1</v>
      </c>
      <c r="AK30" s="131">
        <f t="shared" ref="AK30:AK71" si="61">P30/P$73</f>
        <v>0.76588284859472133</v>
      </c>
      <c r="AL30" s="131">
        <f t="shared" ref="AL30:AL71" si="62">W30/W$73</f>
        <v>0.92563129941860134</v>
      </c>
      <c r="AM30" s="131">
        <f t="shared" ref="AM30:AM40" si="63">CU30</f>
        <v>0.95563097161510735</v>
      </c>
      <c r="AN30" s="131">
        <f t="shared" ref="AN30:AN40" si="64">CY30</f>
        <v>0.98141963933468612</v>
      </c>
      <c r="AO30" s="131">
        <f t="shared" ref="AO30:AO40" si="65">CQ30</f>
        <v>0.98694527092068007</v>
      </c>
      <c r="AP30" s="131">
        <f t="shared" ref="AP30:AP40" si="66">AK30*AM30*AN30*AO30</f>
        <v>0.70892513634715182</v>
      </c>
      <c r="AQ30" s="131">
        <f t="shared" ref="AQ30:AQ71" si="67">I30/I$73</f>
        <v>0.70892513634715182</v>
      </c>
      <c r="AR30" s="131"/>
      <c r="AS30" s="131">
        <f t="shared" ref="AS30:AS40" si="68">AM30*AN30</f>
        <v>0.93787500349955433</v>
      </c>
      <c r="AU30" s="134"/>
      <c r="AW30" s="129">
        <f t="shared" si="9"/>
        <v>0.54327055842535177</v>
      </c>
      <c r="AX30" s="129">
        <f t="shared" si="10"/>
        <v>0.14489672891100833</v>
      </c>
      <c r="AY30" s="129">
        <f t="shared" si="11"/>
        <v>4.1197082570113112E-2</v>
      </c>
      <c r="AZ30" s="129">
        <f t="shared" si="12"/>
        <v>5.7074698724418602E-2</v>
      </c>
      <c r="BA30" s="129">
        <f t="shared" si="13"/>
        <v>0.21356093136910823</v>
      </c>
      <c r="BC30" s="129" t="e">
        <f t="shared" si="23"/>
        <v>#DIV/0!</v>
      </c>
      <c r="BD30" s="129">
        <f t="shared" si="24"/>
        <v>0.2711924899701762</v>
      </c>
      <c r="BE30" s="129" t="e">
        <f t="shared" si="25"/>
        <v>#DIV/0!</v>
      </c>
      <c r="BF30" s="129" t="e">
        <f t="shared" si="26"/>
        <v>#DIV/0!</v>
      </c>
      <c r="BG30" s="129">
        <f t="shared" si="27"/>
        <v>0.35357521093580568</v>
      </c>
      <c r="BH30" s="129" t="e">
        <f t="shared" si="28"/>
        <v>#DIV/0!</v>
      </c>
      <c r="BI30" s="129"/>
      <c r="BJ30" s="129" t="e">
        <f t="shared" si="29"/>
        <v>#DIV/0!</v>
      </c>
      <c r="BK30" s="129" t="e">
        <f t="shared" si="30"/>
        <v>#DIV/0!</v>
      </c>
      <c r="BL30" s="129" t="e">
        <f t="shared" si="31"/>
        <v>#DIV/0!</v>
      </c>
      <c r="BM30" s="129" t="e">
        <f t="shared" si="32"/>
        <v>#DIV/0!</v>
      </c>
      <c r="BN30" s="129" t="e">
        <f t="shared" si="33"/>
        <v>#DIV/0!</v>
      </c>
      <c r="BQ30" s="129">
        <f t="shared" si="34"/>
        <v>0</v>
      </c>
      <c r="BR30" s="129">
        <f t="shared" si="35"/>
        <v>-2.6153391787621667E-2</v>
      </c>
      <c r="BS30" s="129" t="e">
        <f t="shared" si="36"/>
        <v>#DIV/0!</v>
      </c>
      <c r="BT30" s="129" t="e">
        <f t="shared" si="37"/>
        <v>#DIV/0!</v>
      </c>
      <c r="BU30" s="129">
        <f t="shared" si="38"/>
        <v>0.12883071206140062</v>
      </c>
      <c r="BW30" s="129">
        <f t="shared" si="14"/>
        <v>0.26859569890194007</v>
      </c>
      <c r="BX30" s="129">
        <f t="shared" si="15"/>
        <v>0.34342729888305978</v>
      </c>
      <c r="BY30" s="129">
        <f t="shared" si="16"/>
        <v>1.6863294344899187E-3</v>
      </c>
      <c r="BZ30" s="129">
        <f t="shared" si="17"/>
        <v>0.2677136116418683</v>
      </c>
      <c r="CA30" s="129">
        <f t="shared" si="18"/>
        <v>0.11857706113864182</v>
      </c>
      <c r="CC30" s="129">
        <f t="shared" si="39"/>
        <v>0.14557623141507259</v>
      </c>
      <c r="CD30" s="129">
        <f t="shared" si="40"/>
        <v>-0.10076270627187379</v>
      </c>
      <c r="CE30" s="129">
        <f t="shared" si="41"/>
        <v>-0.23865386123972629</v>
      </c>
      <c r="CF30" s="129">
        <f t="shared" si="42"/>
        <v>2.2968647547676864E-2</v>
      </c>
      <c r="CG30" s="129">
        <f t="shared" si="43"/>
        <v>-4.6181858896840518E-2</v>
      </c>
      <c r="CI30" s="129" t="e">
        <f t="shared" si="44"/>
        <v>#DIV/0!</v>
      </c>
      <c r="CJ30" s="129" t="e">
        <f t="shared" si="45"/>
        <v>#DIV/0!</v>
      </c>
      <c r="CK30" s="129" t="e">
        <f t="shared" si="46"/>
        <v>#DIV/0!</v>
      </c>
      <c r="CL30" s="129" t="e">
        <f t="shared" si="47"/>
        <v>#DIV/0!</v>
      </c>
      <c r="CM30" s="129" t="e">
        <f t="shared" si="48"/>
        <v>#DIV/0!</v>
      </c>
      <c r="CO30" s="129" t="e">
        <f t="shared" si="49"/>
        <v>#DIV/0!</v>
      </c>
      <c r="CP30" s="129">
        <f t="shared" si="19"/>
        <v>1</v>
      </c>
      <c r="CQ30" s="129">
        <f t="shared" si="1"/>
        <v>0.98694527092068007</v>
      </c>
      <c r="CR30" s="129"/>
      <c r="CS30" s="129" t="e">
        <f t="shared" si="50"/>
        <v>#DIV/0!</v>
      </c>
      <c r="CT30" s="129">
        <f t="shared" si="20"/>
        <v>1</v>
      </c>
      <c r="CU30" s="129">
        <f t="shared" si="2"/>
        <v>0.95563097161510735</v>
      </c>
      <c r="CV30" s="129"/>
      <c r="CW30" s="129" t="e">
        <f t="shared" si="21"/>
        <v>#DIV/0!</v>
      </c>
      <c r="CX30" s="129">
        <f t="shared" si="22"/>
        <v>1</v>
      </c>
      <c r="CY30" s="129">
        <f t="shared" si="3"/>
        <v>0.98141963933468612</v>
      </c>
      <c r="DA30">
        <f t="shared" si="55"/>
        <v>1970</v>
      </c>
      <c r="DB30" s="4">
        <f>'Freight-based Activity'!G28</f>
        <v>596195.41099999996</v>
      </c>
      <c r="DC30" s="4">
        <f>'Freight-based Activity'!I28</f>
        <v>658951.76799999992</v>
      </c>
      <c r="DD30">
        <f t="shared" si="56"/>
        <v>208.02714624461305</v>
      </c>
      <c r="DE30">
        <f t="shared" ref="DE30:DE31" si="69">DA30</f>
        <v>1970</v>
      </c>
      <c r="DF30" s="136">
        <f>DD30/DB30*1000</f>
        <v>0.34892443384575644</v>
      </c>
      <c r="DG30" s="136">
        <f>DD30/DC30*1000</f>
        <v>0.31569404066704482</v>
      </c>
      <c r="DH30" s="136">
        <f>DF30/DF$45</f>
        <v>1.1627118027556151</v>
      </c>
      <c r="DI30" s="136">
        <f>DG30/DG$45</f>
        <v>1.1367306262640711</v>
      </c>
      <c r="DJ30" s="136">
        <f t="shared" si="52"/>
        <v>0.90476335287714116</v>
      </c>
    </row>
    <row r="31" spans="1:114" x14ac:dyDescent="0.2">
      <c r="A31" s="133" t="s">
        <v>664</v>
      </c>
      <c r="B31" s="133">
        <f t="shared" si="4"/>
        <v>1971</v>
      </c>
      <c r="D31" s="5">
        <f>'Freight-Trucks'!F32</f>
        <v>2072.5477312158741</v>
      </c>
      <c r="E31" s="5">
        <f>'Freight-based Energy Use'!D29</f>
        <v>530.23720090000006</v>
      </c>
      <c r="F31" s="5">
        <f>'Freight-based Energy Use'!E29</f>
        <v>174.35944338788892</v>
      </c>
      <c r="G31" s="5">
        <f>'Freight-based Energy Use'!N29</f>
        <v>204.89959888289664</v>
      </c>
      <c r="H31" s="5">
        <f>Pipelines!F32</f>
        <v>800.40799571615048</v>
      </c>
      <c r="I31" s="5">
        <f t="shared" si="5"/>
        <v>3782.4519701028103</v>
      </c>
      <c r="K31" s="4">
        <f>'Freight-Trucks'!J32</f>
        <v>644901.26447459357</v>
      </c>
      <c r="L31" s="4">
        <f>'Freight-based Activity'!E29</f>
        <v>739743</v>
      </c>
      <c r="M31" s="4">
        <f>'Freight-based Activity'!F29</f>
        <v>4554.26</v>
      </c>
      <c r="N31" s="4">
        <f>'Freight-based Activity'!G29</f>
        <v>593163.65300000005</v>
      </c>
      <c r="O31" s="4">
        <f>Pipelines!J32</f>
        <v>272661.16889880004</v>
      </c>
      <c r="P31" s="4">
        <f t="shared" si="6"/>
        <v>2255023.3463733937</v>
      </c>
      <c r="R31" s="4">
        <f t="shared" si="51"/>
        <v>3213.7442510744586</v>
      </c>
      <c r="S31" s="4">
        <f t="shared" si="53"/>
        <v>716.78569570783372</v>
      </c>
      <c r="T31" s="4">
        <f t="shared" si="57"/>
        <v>38284.912013782458</v>
      </c>
      <c r="U31" s="4">
        <f t="shared" si="58"/>
        <v>345.43518950729879</v>
      </c>
      <c r="V31" s="4">
        <f t="shared" si="7"/>
        <v>2935.5408360815291</v>
      </c>
      <c r="W31" s="4">
        <f t="shared" si="8"/>
        <v>1677.3449269099056</v>
      </c>
      <c r="Y31" s="129">
        <f>'Freight-Trucks'!W32</f>
        <v>0.81638838324961338</v>
      </c>
      <c r="Z31" s="129">
        <f t="shared" si="54"/>
        <v>1.441437302137202</v>
      </c>
      <c r="AA31" s="129">
        <f t="shared" si="59"/>
        <v>1.7835718420577034</v>
      </c>
      <c r="AB31" s="129">
        <f t="shared" si="60"/>
        <v>1.1510846847280589</v>
      </c>
      <c r="AC31" s="129">
        <f t="shared" si="0"/>
        <v>1.1868747822455881</v>
      </c>
      <c r="AD31" s="129"/>
      <c r="AE31" s="142">
        <f>'Freight-Trucks'!V32</f>
        <v>0.96731262750103453</v>
      </c>
      <c r="AF31" s="142">
        <v>1</v>
      </c>
      <c r="AG31" s="142">
        <v>1</v>
      </c>
      <c r="AH31" s="142">
        <v>1</v>
      </c>
      <c r="AI31" s="142">
        <v>1</v>
      </c>
      <c r="AK31" s="131">
        <f t="shared" si="61"/>
        <v>0.77552394319024065</v>
      </c>
      <c r="AL31" s="131">
        <f t="shared" si="62"/>
        <v>0.94864168226886747</v>
      </c>
      <c r="AM31" s="131">
        <f t="shared" si="63"/>
        <v>0.99336550966799542</v>
      </c>
      <c r="AN31" s="131">
        <f t="shared" si="64"/>
        <v>0.98018628431950516</v>
      </c>
      <c r="AO31" s="131">
        <f t="shared" si="65"/>
        <v>0.97428160987882351</v>
      </c>
      <c r="AP31" s="131">
        <f t="shared" si="66"/>
        <v>0.73569433810777529</v>
      </c>
      <c r="AQ31" s="131">
        <f t="shared" si="67"/>
        <v>0.7356943381077754</v>
      </c>
      <c r="AR31" s="131"/>
      <c r="AS31" s="131">
        <f t="shared" si="68"/>
        <v>0.97368324789262395</v>
      </c>
      <c r="AU31" s="134"/>
      <c r="AW31" s="129">
        <f t="shared" si="9"/>
        <v>0.54793762025206638</v>
      </c>
      <c r="AX31" s="129">
        <f t="shared" si="10"/>
        <v>0.14018345906070759</v>
      </c>
      <c r="AY31" s="129">
        <f t="shared" si="11"/>
        <v>4.6096935206595545E-2</v>
      </c>
      <c r="AZ31" s="129">
        <f t="shared" si="12"/>
        <v>5.4171103956497109E-2</v>
      </c>
      <c r="BA31" s="129">
        <f t="shared" si="13"/>
        <v>0.21161088152413332</v>
      </c>
      <c r="BC31" s="129">
        <f t="shared" si="23"/>
        <v>0.54560076251058709</v>
      </c>
      <c r="BD31" s="129">
        <f t="shared" si="24"/>
        <v>0.14252710551621658</v>
      </c>
      <c r="BE31" s="129">
        <f t="shared" si="25"/>
        <v>4.3601131822484512E-2</v>
      </c>
      <c r="BF31" s="129">
        <f t="shared" si="26"/>
        <v>5.561026806273664E-2</v>
      </c>
      <c r="BG31" s="129">
        <f t="shared" si="27"/>
        <v>0.2125844157881733</v>
      </c>
      <c r="BH31" s="129">
        <f t="shared" si="28"/>
        <v>0.99992368370019813</v>
      </c>
      <c r="BI31" s="129"/>
      <c r="BJ31" s="129">
        <f t="shared" si="29"/>
        <v>0.54564240391986929</v>
      </c>
      <c r="BK31" s="129">
        <f t="shared" si="30"/>
        <v>0.14253798348769758</v>
      </c>
      <c r="BL31" s="129">
        <f t="shared" si="31"/>
        <v>4.3604459553492493E-2</v>
      </c>
      <c r="BM31" s="129">
        <f t="shared" si="32"/>
        <v>5.5614512356534973E-2</v>
      </c>
      <c r="BN31" s="129">
        <f t="shared" si="33"/>
        <v>0.21260064068240569</v>
      </c>
      <c r="BQ31" s="129">
        <f t="shared" si="34"/>
        <v>-2.7315865587355648E-2</v>
      </c>
      <c r="BR31" s="129">
        <f t="shared" si="35"/>
        <v>3.7318813730527263E-2</v>
      </c>
      <c r="BS31" s="129">
        <f t="shared" si="36"/>
        <v>-4.3414311349430162E-2</v>
      </c>
      <c r="BT31" s="129">
        <f t="shared" si="37"/>
        <v>-1.0050335853501562E-2</v>
      </c>
      <c r="BU31" s="129">
        <f t="shared" si="38"/>
        <v>-4.1244029471084248E-3</v>
      </c>
      <c r="BW31" s="129">
        <f t="shared" si="14"/>
        <v>0.28598429613234205</v>
      </c>
      <c r="BX31" s="129">
        <f t="shared" si="15"/>
        <v>0.32804228000108299</v>
      </c>
      <c r="BY31" s="129">
        <f t="shared" si="16"/>
        <v>2.019606585148805E-3</v>
      </c>
      <c r="BZ31" s="129">
        <f t="shared" si="17"/>
        <v>0.26304102525321804</v>
      </c>
      <c r="CA31" s="129">
        <f t="shared" si="18"/>
        <v>0.12091279202820811</v>
      </c>
      <c r="CC31" s="129">
        <f t="shared" si="39"/>
        <v>6.2729629746522408E-2</v>
      </c>
      <c r="CD31" s="129">
        <f t="shared" si="40"/>
        <v>-4.5832938658272523E-2</v>
      </c>
      <c r="CE31" s="129">
        <f t="shared" si="41"/>
        <v>0.18034849800277805</v>
      </c>
      <c r="CF31" s="129">
        <f t="shared" si="42"/>
        <v>-1.7607786291369103E-2</v>
      </c>
      <c r="CG31" s="129">
        <f t="shared" si="43"/>
        <v>1.9506504522567119E-2</v>
      </c>
      <c r="CI31" s="129">
        <f t="shared" si="44"/>
        <v>-2.3046144419514862E-3</v>
      </c>
      <c r="CJ31" s="129">
        <f t="shared" si="45"/>
        <v>0</v>
      </c>
      <c r="CK31" s="129">
        <f t="shared" si="46"/>
        <v>0</v>
      </c>
      <c r="CL31" s="129">
        <f t="shared" si="47"/>
        <v>0</v>
      </c>
      <c r="CM31" s="129">
        <f t="shared" si="48"/>
        <v>0</v>
      </c>
      <c r="CO31" s="129">
        <f t="shared" si="49"/>
        <v>0.98716883152999646</v>
      </c>
      <c r="CP31" s="129">
        <f t="shared" si="19"/>
        <v>0.98716883152999646</v>
      </c>
      <c r="CQ31" s="129">
        <f t="shared" si="1"/>
        <v>0.97428160987882351</v>
      </c>
      <c r="CR31" s="129"/>
      <c r="CS31" s="129">
        <f t="shared" si="50"/>
        <v>1.0394865164207823</v>
      </c>
      <c r="CT31" s="129">
        <f t="shared" si="20"/>
        <v>1.0394865164207823</v>
      </c>
      <c r="CU31" s="129">
        <f t="shared" si="2"/>
        <v>0.99336550966799542</v>
      </c>
      <c r="CV31" s="129"/>
      <c r="CW31" s="129">
        <f t="shared" si="21"/>
        <v>0.99874329495177305</v>
      </c>
      <c r="CX31" s="129">
        <f t="shared" si="22"/>
        <v>0.99874329495177305</v>
      </c>
      <c r="CY31" s="129">
        <f t="shared" si="3"/>
        <v>0.98018628431950516</v>
      </c>
      <c r="DA31">
        <f t="shared" si="55"/>
        <v>1971</v>
      </c>
      <c r="DB31" s="4">
        <f>'Freight-based Activity'!G29</f>
        <v>593163.65300000005</v>
      </c>
      <c r="DC31" s="4">
        <f>'Freight-based Activity'!I29</f>
        <v>654763.57300000009</v>
      </c>
      <c r="DD31">
        <f t="shared" si="56"/>
        <v>204.89959888289664</v>
      </c>
      <c r="DE31">
        <f t="shared" si="69"/>
        <v>1971</v>
      </c>
      <c r="DF31" s="136">
        <f>DD31/DB31*1000</f>
        <v>0.34543518950729879</v>
      </c>
      <c r="DG31" s="136">
        <f>DD31/DC31*1000</f>
        <v>0.31293677188559271</v>
      </c>
      <c r="DH31" s="136">
        <f t="shared" ref="DH31:DH70" si="70">DF31/DF$45</f>
        <v>1.1510846847280587</v>
      </c>
      <c r="DI31" s="136">
        <f t="shared" ref="DI31:DI70" si="71">DG31/DG$45</f>
        <v>1.1268024316675056</v>
      </c>
      <c r="DJ31" s="136">
        <f t="shared" si="52"/>
        <v>0.90592036188305169</v>
      </c>
    </row>
    <row r="32" spans="1:114" x14ac:dyDescent="0.2">
      <c r="A32" s="133" t="s">
        <v>664</v>
      </c>
      <c r="B32" s="133">
        <f t="shared" si="4"/>
        <v>1972</v>
      </c>
      <c r="D32" s="5">
        <f>'Freight-Trucks'!F33</f>
        <v>2290.9176815986375</v>
      </c>
      <c r="E32" s="5">
        <f>'Freight-based Energy Use'!D30</f>
        <v>554.38181950000001</v>
      </c>
      <c r="F32" s="5">
        <f>'Freight-based Energy Use'!E30</f>
        <v>176.99351479583584</v>
      </c>
      <c r="G32" s="5">
        <f>'Freight-based Energy Use'!N30</f>
        <v>206.39995190157327</v>
      </c>
      <c r="H32" s="5">
        <f>Pipelines!F33</f>
        <v>825.80661841119149</v>
      </c>
      <c r="I32" s="5">
        <f t="shared" si="5"/>
        <v>4054.4995862072383</v>
      </c>
      <c r="K32" s="4">
        <f>'Freight-Trucks'!J33</f>
        <v>684663.27043758682</v>
      </c>
      <c r="L32" s="4">
        <f>'Freight-based Activity'!E30</f>
        <v>776746</v>
      </c>
      <c r="M32" s="4">
        <f>'Freight-based Activity'!F30</f>
        <v>5111.5020000000004</v>
      </c>
      <c r="N32" s="4">
        <f>'Freight-based Activity'!G30</f>
        <v>603542.44799999997</v>
      </c>
      <c r="O32" s="4">
        <f>Pipelines!J33</f>
        <v>276028.56684680004</v>
      </c>
      <c r="P32" s="4">
        <f t="shared" si="6"/>
        <v>2346091.7872843868</v>
      </c>
      <c r="R32" s="4">
        <f t="shared" si="51"/>
        <v>3346.0502125876415</v>
      </c>
      <c r="S32" s="4">
        <f t="shared" si="53"/>
        <v>713.7234301818097</v>
      </c>
      <c r="T32" s="4">
        <f t="shared" si="57"/>
        <v>34626.517762457261</v>
      </c>
      <c r="U32" s="4">
        <f t="shared" si="58"/>
        <v>341.98083761222586</v>
      </c>
      <c r="V32" s="4">
        <f t="shared" si="7"/>
        <v>2991.7433106462722</v>
      </c>
      <c r="W32" s="4">
        <f t="shared" si="8"/>
        <v>1728.1930776034735</v>
      </c>
      <c r="Y32" s="129">
        <f>'Freight-Trucks'!W33</f>
        <v>0.84422157578282475</v>
      </c>
      <c r="Z32" s="129">
        <f t="shared" si="54"/>
        <v>1.4352791661912818</v>
      </c>
      <c r="AA32" s="129">
        <f t="shared" si="59"/>
        <v>1.6131389317911105</v>
      </c>
      <c r="AB32" s="129">
        <f t="shared" si="60"/>
        <v>1.1395738378807785</v>
      </c>
      <c r="AC32" s="129">
        <f t="shared" si="0"/>
        <v>1.2095981247182255</v>
      </c>
      <c r="AD32" s="129"/>
      <c r="AE32" s="142">
        <f>'Freight-Trucks'!V33</f>
        <v>0.97393139892633795</v>
      </c>
      <c r="AF32" s="142">
        <v>1</v>
      </c>
      <c r="AG32" s="142">
        <v>1</v>
      </c>
      <c r="AH32" s="142">
        <v>1</v>
      </c>
      <c r="AI32" s="142">
        <v>1</v>
      </c>
      <c r="AK32" s="131">
        <f t="shared" si="61"/>
        <v>0.80684324483253345</v>
      </c>
      <c r="AL32" s="131">
        <f t="shared" si="62"/>
        <v>0.97739943771936466</v>
      </c>
      <c r="AM32" s="131">
        <f t="shared" si="63"/>
        <v>1.0024487105026765</v>
      </c>
      <c r="AN32" s="131">
        <f t="shared" si="64"/>
        <v>0.98391299646134944</v>
      </c>
      <c r="AO32" s="131">
        <f t="shared" si="65"/>
        <v>0.99095338643512765</v>
      </c>
      <c r="AP32" s="131">
        <f t="shared" si="66"/>
        <v>0.78860813382698569</v>
      </c>
      <c r="AQ32" s="131">
        <f t="shared" si="67"/>
        <v>0.78860813382698591</v>
      </c>
      <c r="AR32" s="131"/>
      <c r="AS32" s="131">
        <f t="shared" si="68"/>
        <v>0.98632231454950425</v>
      </c>
      <c r="AU32" s="134"/>
      <c r="AW32" s="129">
        <f t="shared" si="9"/>
        <v>0.56503093239717539</v>
      </c>
      <c r="AX32" s="129">
        <f t="shared" si="10"/>
        <v>0.13673248885902434</v>
      </c>
      <c r="AY32" s="129">
        <f t="shared" si="11"/>
        <v>4.3653602875664256E-2</v>
      </c>
      <c r="AZ32" s="129">
        <f t="shared" si="12"/>
        <v>5.0906393628380932E-2</v>
      </c>
      <c r="BA32" s="129">
        <f t="shared" si="13"/>
        <v>0.20367658223975507</v>
      </c>
      <c r="BC32" s="129">
        <f t="shared" si="23"/>
        <v>0.55644051951764473</v>
      </c>
      <c r="BD32" s="129">
        <f t="shared" si="24"/>
        <v>0.13845080590720157</v>
      </c>
      <c r="BE32" s="129">
        <f t="shared" si="25"/>
        <v>4.4864180800862859E-2</v>
      </c>
      <c r="BF32" s="129">
        <f t="shared" si="26"/>
        <v>5.2521838926221823E-2</v>
      </c>
      <c r="BG32" s="129">
        <f t="shared" si="27"/>
        <v>0.20761846455123503</v>
      </c>
      <c r="BH32" s="129">
        <f t="shared" si="28"/>
        <v>0.99989580970316605</v>
      </c>
      <c r="BI32" s="129"/>
      <c r="BJ32" s="129">
        <f t="shared" si="29"/>
        <v>0.55649850126167888</v>
      </c>
      <c r="BK32" s="129">
        <f t="shared" si="30"/>
        <v>0.13846523264089161</v>
      </c>
      <c r="BL32" s="129">
        <f t="shared" si="31"/>
        <v>4.4868855700256866E-2</v>
      </c>
      <c r="BM32" s="129">
        <f t="shared" si="32"/>
        <v>5.252731176242624E-2</v>
      </c>
      <c r="BN32" s="129">
        <f t="shared" si="33"/>
        <v>0.20764009863474642</v>
      </c>
      <c r="BQ32" s="129">
        <f t="shared" si="34"/>
        <v>3.3524789093352457E-2</v>
      </c>
      <c r="BR32" s="129">
        <f t="shared" si="35"/>
        <v>-4.281371084248144E-3</v>
      </c>
      <c r="BS32" s="129">
        <f t="shared" si="36"/>
        <v>-0.10043607853049361</v>
      </c>
      <c r="BT32" s="129">
        <f t="shared" si="37"/>
        <v>-1.0050335853501338E-2</v>
      </c>
      <c r="BU32" s="129">
        <f t="shared" si="38"/>
        <v>1.8964556994077307E-2</v>
      </c>
      <c r="BW32" s="129">
        <f t="shared" si="14"/>
        <v>0.29183140836535132</v>
      </c>
      <c r="BX32" s="129">
        <f t="shared" si="15"/>
        <v>0.33108082309903458</v>
      </c>
      <c r="BY32" s="129">
        <f t="shared" si="16"/>
        <v>2.1787306139102896E-3</v>
      </c>
      <c r="BZ32" s="129">
        <f t="shared" si="17"/>
        <v>0.2572544055058491</v>
      </c>
      <c r="CA32" s="129">
        <f t="shared" si="18"/>
        <v>0.11765463241585467</v>
      </c>
      <c r="CC32" s="129">
        <f t="shared" si="39"/>
        <v>2.0239366230886281E-2</v>
      </c>
      <c r="CD32" s="129">
        <f t="shared" si="40"/>
        <v>9.2200215980018374E-3</v>
      </c>
      <c r="CE32" s="129">
        <f t="shared" si="41"/>
        <v>7.583968739122314E-2</v>
      </c>
      <c r="CF32" s="129">
        <f t="shared" si="42"/>
        <v>-2.2244509613931273E-2</v>
      </c>
      <c r="CG32" s="129">
        <f t="shared" si="43"/>
        <v>-2.7316069759930003E-2</v>
      </c>
      <c r="CI32" s="129">
        <f t="shared" si="44"/>
        <v>6.8191293657125411E-3</v>
      </c>
      <c r="CJ32" s="129">
        <f t="shared" si="45"/>
        <v>0</v>
      </c>
      <c r="CK32" s="129">
        <f t="shared" si="46"/>
        <v>0</v>
      </c>
      <c r="CL32" s="129">
        <f t="shared" si="47"/>
        <v>0</v>
      </c>
      <c r="CM32" s="129">
        <f t="shared" si="48"/>
        <v>0</v>
      </c>
      <c r="CO32" s="129">
        <f t="shared" si="49"/>
        <v>1.0171118662071204</v>
      </c>
      <c r="CP32" s="129">
        <f t="shared" si="19"/>
        <v>1.004061132498977</v>
      </c>
      <c r="CQ32" s="129">
        <f t="shared" si="1"/>
        <v>0.99095338643512765</v>
      </c>
      <c r="CR32" s="129"/>
      <c r="CS32" s="129">
        <f t="shared" si="50"/>
        <v>1.0091438657234202</v>
      </c>
      <c r="CT32" s="129">
        <f t="shared" si="20"/>
        <v>1.0489914415482398</v>
      </c>
      <c r="CU32" s="129">
        <f t="shared" si="2"/>
        <v>1.0024487105026765</v>
      </c>
      <c r="CV32" s="129"/>
      <c r="CW32" s="129">
        <f t="shared" si="21"/>
        <v>1.0038020447760412</v>
      </c>
      <c r="CX32" s="129">
        <f t="shared" si="22"/>
        <v>1.0025405616789507</v>
      </c>
      <c r="CY32" s="129">
        <f t="shared" si="3"/>
        <v>0.98391299646134944</v>
      </c>
      <c r="DA32">
        <f t="shared" si="55"/>
        <v>1972</v>
      </c>
      <c r="DB32" s="4">
        <f>'Freight-based Activity'!G30</f>
        <v>603542.44799999997</v>
      </c>
      <c r="DC32" s="4">
        <f>'Freight-based Activity'!I30</f>
        <v>670019.28899999999</v>
      </c>
      <c r="DD32">
        <f t="shared" si="56"/>
        <v>206.39995190157327</v>
      </c>
      <c r="DE32">
        <f t="shared" ref="DE32:DE70" si="72">DA32</f>
        <v>1972</v>
      </c>
      <c r="DF32" s="136">
        <f t="shared" ref="DF32:DF70" si="73">DD32/DB32*1000</f>
        <v>0.34198083761222586</v>
      </c>
      <c r="DG32" s="136">
        <f t="shared" ref="DG32:DG70" si="74">DD32/DC32*1000</f>
        <v>0.308050761060363</v>
      </c>
      <c r="DH32" s="136">
        <f t="shared" si="70"/>
        <v>1.1395738378807785</v>
      </c>
      <c r="DI32" s="136">
        <f t="shared" si="71"/>
        <v>1.1092092007862355</v>
      </c>
      <c r="DJ32" s="136">
        <f t="shared" si="52"/>
        <v>0.90078369072147713</v>
      </c>
    </row>
    <row r="33" spans="1:114" x14ac:dyDescent="0.2">
      <c r="A33" s="133" t="s">
        <v>664</v>
      </c>
      <c r="B33" s="133">
        <f t="shared" si="4"/>
        <v>1973</v>
      </c>
      <c r="D33" s="5">
        <f>'Freight-Trucks'!F34</f>
        <v>2526.1795403380274</v>
      </c>
      <c r="E33" s="5">
        <f>'Freight-based Energy Use'!D31</f>
        <v>577.0932509999999</v>
      </c>
      <c r="F33" s="5">
        <f>'Freight-based Energy Use'!E31</f>
        <v>186.40798603122082</v>
      </c>
      <c r="G33" s="5">
        <f>'Freight-based Energy Use'!N31</f>
        <v>197.95375027006375</v>
      </c>
      <c r="H33" s="5">
        <f>Pipelines!F34</f>
        <v>784.87068693142783</v>
      </c>
      <c r="I33" s="5">
        <f t="shared" si="5"/>
        <v>4272.5052145707396</v>
      </c>
      <c r="K33" s="4">
        <f>'Freight-Trucks'!J34</f>
        <v>735241.51693086769</v>
      </c>
      <c r="L33" s="4">
        <f>'Freight-based Activity'!E31</f>
        <v>851809</v>
      </c>
      <c r="M33" s="4">
        <f>'Freight-based Activity'!F31</f>
        <v>5182.7780000000002</v>
      </c>
      <c r="N33" s="4">
        <f>'Freight-based Activity'!G31</f>
        <v>584691.48300000001</v>
      </c>
      <c r="O33" s="4">
        <f>Pipelines!J34</f>
        <v>275272.41230790003</v>
      </c>
      <c r="P33" s="4">
        <f t="shared" si="6"/>
        <v>2452197.1902387678</v>
      </c>
      <c r="R33" s="4">
        <f t="shared" si="51"/>
        <v>3435.8499651694124</v>
      </c>
      <c r="S33" s="4">
        <f t="shared" si="53"/>
        <v>677.49137541397181</v>
      </c>
      <c r="T33" s="4">
        <f t="shared" si="57"/>
        <v>35966.808925873498</v>
      </c>
      <c r="U33" s="4">
        <f t="shared" si="58"/>
        <v>338.56102923610359</v>
      </c>
      <c r="V33" s="4">
        <f t="shared" si="7"/>
        <v>2851.2508040708694</v>
      </c>
      <c r="W33" s="4">
        <f t="shared" si="8"/>
        <v>1742.3171478941017</v>
      </c>
      <c r="Y33" s="129">
        <f>'Freight-Trucks'!W34</f>
        <v>0.86751770957652163</v>
      </c>
      <c r="Z33" s="129">
        <f t="shared" si="54"/>
        <v>1.3624174509140738</v>
      </c>
      <c r="AA33" s="129">
        <f t="shared" si="59"/>
        <v>1.6755788187723677</v>
      </c>
      <c r="AB33" s="129">
        <f t="shared" si="60"/>
        <v>1.1281780995019706</v>
      </c>
      <c r="AC33" s="129">
        <f t="shared" si="0"/>
        <v>1.1527952994605131</v>
      </c>
      <c r="AD33" s="129"/>
      <c r="AE33" s="142">
        <f>'Freight-Trucks'!V34</f>
        <v>0.97321367446479956</v>
      </c>
      <c r="AF33" s="142">
        <v>1</v>
      </c>
      <c r="AG33" s="142">
        <v>1</v>
      </c>
      <c r="AH33" s="142">
        <v>1</v>
      </c>
      <c r="AI33" s="142">
        <v>1</v>
      </c>
      <c r="AK33" s="131">
        <f t="shared" si="61"/>
        <v>0.84333390051701151</v>
      </c>
      <c r="AL33" s="131">
        <f t="shared" si="62"/>
        <v>0.98538746784127229</v>
      </c>
      <c r="AM33" s="131">
        <f t="shared" si="63"/>
        <v>1.0105506621006151</v>
      </c>
      <c r="AN33" s="131">
        <f t="shared" si="64"/>
        <v>0.98349367045144964</v>
      </c>
      <c r="AO33" s="131">
        <f t="shared" si="65"/>
        <v>0.99146496979463183</v>
      </c>
      <c r="AP33" s="131">
        <f t="shared" si="66"/>
        <v>0.83101065677516128</v>
      </c>
      <c r="AQ33" s="131">
        <f t="shared" si="67"/>
        <v>0.83101065677516139</v>
      </c>
      <c r="AR33" s="131"/>
      <c r="AS33" s="131">
        <f t="shared" si="68"/>
        <v>0.99387017984647652</v>
      </c>
      <c r="AU33" s="134"/>
      <c r="AW33" s="129">
        <f t="shared" si="9"/>
        <v>0.59126423806877293</v>
      </c>
      <c r="AX33" s="129">
        <f t="shared" si="10"/>
        <v>0.13507139769704896</v>
      </c>
      <c r="AY33" s="129">
        <f t="shared" si="11"/>
        <v>4.3629668466056933E-2</v>
      </c>
      <c r="AZ33" s="129">
        <f t="shared" si="12"/>
        <v>4.6332009050561743E-2</v>
      </c>
      <c r="BA33" s="129">
        <f t="shared" si="13"/>
        <v>0.18370268671755949</v>
      </c>
      <c r="BC33" s="129">
        <f t="shared" si="23"/>
        <v>0.57804837746023519</v>
      </c>
      <c r="BD33" s="129">
        <f t="shared" si="24"/>
        <v>0.13590025134041461</v>
      </c>
      <c r="BE33" s="129">
        <f t="shared" si="25"/>
        <v>4.3641634576997317E-2</v>
      </c>
      <c r="BF33" s="129">
        <f t="shared" si="26"/>
        <v>4.8583314699356193E-2</v>
      </c>
      <c r="BG33" s="129">
        <f t="shared" si="27"/>
        <v>0.19351786494383563</v>
      </c>
      <c r="BH33" s="129">
        <f t="shared" si="28"/>
        <v>0.9996914430208389</v>
      </c>
      <c r="BI33" s="129"/>
      <c r="BJ33" s="129">
        <f t="shared" si="29"/>
        <v>0.57822679337286831</v>
      </c>
      <c r="BK33" s="129">
        <f t="shared" si="30"/>
        <v>0.13594219725413986</v>
      </c>
      <c r="BL33" s="129">
        <f t="shared" si="31"/>
        <v>4.3655104664217466E-2</v>
      </c>
      <c r="BM33" s="129">
        <f t="shared" si="32"/>
        <v>4.8598310047096659E-2</v>
      </c>
      <c r="BN33" s="129">
        <f t="shared" si="33"/>
        <v>0.1935775946616777</v>
      </c>
      <c r="BQ33" s="129">
        <f t="shared" si="34"/>
        <v>2.7220935420859092E-2</v>
      </c>
      <c r="BR33" s="129">
        <f t="shared" si="35"/>
        <v>-5.2098711956061923E-2</v>
      </c>
      <c r="BS33" s="129">
        <f t="shared" si="36"/>
        <v>3.7976741053509885E-2</v>
      </c>
      <c r="BT33" s="129">
        <f t="shared" si="37"/>
        <v>-1.0050335853501562E-2</v>
      </c>
      <c r="BU33" s="129">
        <f t="shared" si="38"/>
        <v>-4.809848791273269E-2</v>
      </c>
      <c r="BW33" s="129">
        <f t="shared" si="14"/>
        <v>0.29982968737488769</v>
      </c>
      <c r="BX33" s="129">
        <f t="shared" si="15"/>
        <v>0.34736562108084801</v>
      </c>
      <c r="BY33" s="129">
        <f t="shared" si="16"/>
        <v>2.1135241572866163E-3</v>
      </c>
      <c r="BZ33" s="129">
        <f t="shared" si="17"/>
        <v>0.23843575277201473</v>
      </c>
      <c r="CA33" s="129">
        <f t="shared" si="18"/>
        <v>0.11225541461496294</v>
      </c>
      <c r="CC33" s="129">
        <f t="shared" si="39"/>
        <v>2.7038337783168189E-2</v>
      </c>
      <c r="CD33" s="129">
        <f t="shared" si="40"/>
        <v>4.8015364173492947E-2</v>
      </c>
      <c r="CE33" s="129">
        <f t="shared" si="41"/>
        <v>-3.0385649058166833E-2</v>
      </c>
      <c r="CF33" s="129">
        <f t="shared" si="42"/>
        <v>-7.5965606326553678E-2</v>
      </c>
      <c r="CG33" s="129">
        <f t="shared" si="43"/>
        <v>-4.6976726385276286E-2</v>
      </c>
      <c r="CI33" s="129">
        <f t="shared" si="44"/>
        <v>-7.372070051193594E-4</v>
      </c>
      <c r="CJ33" s="129">
        <f t="shared" si="45"/>
        <v>0</v>
      </c>
      <c r="CK33" s="129">
        <f t="shared" si="46"/>
        <v>0</v>
      </c>
      <c r="CL33" s="129">
        <f t="shared" si="47"/>
        <v>0</v>
      </c>
      <c r="CM33" s="129">
        <f t="shared" si="48"/>
        <v>0</v>
      </c>
      <c r="CO33" s="129">
        <f t="shared" si="49"/>
        <v>1.0005162537072954</v>
      </c>
      <c r="CP33" s="129">
        <f t="shared" si="19"/>
        <v>1.0045794827809809</v>
      </c>
      <c r="CQ33" s="129">
        <f t="shared" si="1"/>
        <v>0.99146496979463183</v>
      </c>
      <c r="CR33" s="129"/>
      <c r="CS33" s="129">
        <f t="shared" si="50"/>
        <v>1.0080821607260844</v>
      </c>
      <c r="CT33" s="129">
        <f t="shared" si="20"/>
        <v>1.0574695589791197</v>
      </c>
      <c r="CU33" s="129">
        <f t="shared" si="2"/>
        <v>1.0105506621006151</v>
      </c>
      <c r="CV33" s="129"/>
      <c r="CW33" s="129">
        <f t="shared" si="21"/>
        <v>0.99957381799873779</v>
      </c>
      <c r="CX33" s="129">
        <f t="shared" si="22"/>
        <v>1.0021132969360278</v>
      </c>
      <c r="CY33" s="129">
        <f t="shared" si="3"/>
        <v>0.98349367045144964</v>
      </c>
      <c r="DA33">
        <f t="shared" si="55"/>
        <v>1973</v>
      </c>
      <c r="DB33" s="4">
        <f>'Freight-based Activity'!G31</f>
        <v>584691.48300000001</v>
      </c>
      <c r="DC33" s="4">
        <f>'Freight-based Activity'!I31</f>
        <v>666497.86699999997</v>
      </c>
      <c r="DD33">
        <f t="shared" si="56"/>
        <v>197.95375027006375</v>
      </c>
      <c r="DE33">
        <f t="shared" si="72"/>
        <v>1973</v>
      </c>
      <c r="DF33" s="136">
        <f t="shared" si="73"/>
        <v>0.33856102923610359</v>
      </c>
      <c r="DG33" s="136">
        <f t="shared" si="74"/>
        <v>0.29700582713202256</v>
      </c>
      <c r="DH33" s="136">
        <f t="shared" si="70"/>
        <v>1.1281780995019706</v>
      </c>
      <c r="DI33" s="136">
        <f t="shared" si="71"/>
        <v>1.0694393190523914</v>
      </c>
      <c r="DJ33" s="136">
        <f t="shared" si="52"/>
        <v>0.87725934612780998</v>
      </c>
    </row>
    <row r="34" spans="1:114" x14ac:dyDescent="0.2">
      <c r="A34" s="133" t="s">
        <v>664</v>
      </c>
      <c r="B34" s="133">
        <f t="shared" si="4"/>
        <v>1974</v>
      </c>
      <c r="D34" s="5">
        <f>'Freight-Trucks'!F35</f>
        <v>2526.8356339643015</v>
      </c>
      <c r="E34" s="5">
        <f>'Freight-based Energy Use'!D32</f>
        <v>579.12451250000004</v>
      </c>
      <c r="F34" s="5">
        <f>'Freight-based Energy Use'!E32</f>
        <v>184.34542309303853</v>
      </c>
      <c r="G34" s="5">
        <f>'Freight-based Energy Use'!N32</f>
        <v>196.52851246819552</v>
      </c>
      <c r="H34" s="5">
        <f>Pipelines!F35</f>
        <v>720.86214819147472</v>
      </c>
      <c r="I34" s="5">
        <f t="shared" si="5"/>
        <v>4207.6962302170105</v>
      </c>
      <c r="K34" s="4">
        <f>'Freight-Trucks'!J35</f>
        <v>722652.04316057172</v>
      </c>
      <c r="L34" s="4">
        <f>'Freight-based Activity'!E32</f>
        <v>850961</v>
      </c>
      <c r="M34" s="4">
        <f>'Freight-based Activity'!F32</f>
        <v>5251.3829999999998</v>
      </c>
      <c r="N34" s="4">
        <f>'Freight-based Activity'!G32</f>
        <v>586345.24300000002</v>
      </c>
      <c r="O34" s="4">
        <f>Pipelines!J35</f>
        <v>264882.1184795</v>
      </c>
      <c r="P34" s="4">
        <f t="shared" si="6"/>
        <v>2430091.7876400719</v>
      </c>
      <c r="R34" s="4">
        <f t="shared" si="51"/>
        <v>3496.6145296054247</v>
      </c>
      <c r="S34" s="4">
        <f t="shared" si="53"/>
        <v>680.55353006777045</v>
      </c>
      <c r="T34" s="4">
        <f t="shared" si="57"/>
        <v>35104.166482055967</v>
      </c>
      <c r="U34" s="4">
        <f t="shared" si="58"/>
        <v>335.1754189437425</v>
      </c>
      <c r="V34" s="4">
        <f t="shared" si="7"/>
        <v>2721.4451180375331</v>
      </c>
      <c r="W34" s="4">
        <f t="shared" si="8"/>
        <v>1731.4968313617562</v>
      </c>
      <c r="Y34" s="129">
        <f>'Freight-Trucks'!W35</f>
        <v>0.8797253823689305</v>
      </c>
      <c r="Z34" s="129">
        <f t="shared" si="54"/>
        <v>1.3685753638988463</v>
      </c>
      <c r="AA34" s="129">
        <f t="shared" si="59"/>
        <v>1.6353910609422622</v>
      </c>
      <c r="AB34" s="129">
        <f t="shared" si="60"/>
        <v>1.1168963185069507</v>
      </c>
      <c r="AC34" s="129">
        <f t="shared" si="0"/>
        <v>1.1003132854304496</v>
      </c>
      <c r="AD34" s="129"/>
      <c r="AE34" s="142">
        <f>'Freight-Trucks'!V35</f>
        <v>0.97668157739147388</v>
      </c>
      <c r="AF34" s="142">
        <v>1</v>
      </c>
      <c r="AG34" s="142">
        <v>1</v>
      </c>
      <c r="AH34" s="142">
        <v>1</v>
      </c>
      <c r="AI34" s="142">
        <v>1</v>
      </c>
      <c r="AK34" s="131">
        <f t="shared" si="61"/>
        <v>0.83573164264384192</v>
      </c>
      <c r="AL34" s="131">
        <f t="shared" si="62"/>
        <v>0.97926791359023591</v>
      </c>
      <c r="AM34" s="131">
        <f t="shared" si="63"/>
        <v>1.0030055281295525</v>
      </c>
      <c r="AN34" s="131">
        <f t="shared" si="64"/>
        <v>0.98558064861342287</v>
      </c>
      <c r="AO34" s="131">
        <f t="shared" si="65"/>
        <v>0.99061757870186251</v>
      </c>
      <c r="AP34" s="131">
        <f t="shared" si="66"/>
        <v>0.8184051820131758</v>
      </c>
      <c r="AQ34" s="131">
        <f t="shared" si="67"/>
        <v>0.81840518201317569</v>
      </c>
      <c r="AR34" s="131"/>
      <c r="AS34" s="131">
        <f t="shared" si="68"/>
        <v>0.98854283897677309</v>
      </c>
      <c r="AU34" s="134"/>
      <c r="AW34" s="129">
        <f t="shared" si="9"/>
        <v>0.60052710455145686</v>
      </c>
      <c r="AX34" s="129">
        <f t="shared" si="10"/>
        <v>0.13763458215949489</v>
      </c>
      <c r="AY34" s="129">
        <f t="shared" si="11"/>
        <v>4.3811485669803446E-2</v>
      </c>
      <c r="AZ34" s="129">
        <f t="shared" si="12"/>
        <v>4.6706915546053954E-2</v>
      </c>
      <c r="BA34" s="129">
        <f t="shared" si="13"/>
        <v>0.17131991207319083</v>
      </c>
      <c r="BC34" s="129">
        <f t="shared" si="23"/>
        <v>0.59588367227491124</v>
      </c>
      <c r="BD34" s="129">
        <f t="shared" si="24"/>
        <v>0.13634897457238529</v>
      </c>
      <c r="BE34" s="129">
        <f t="shared" si="25"/>
        <v>4.3720514058824121E-2</v>
      </c>
      <c r="BF34" s="129">
        <f t="shared" si="26"/>
        <v>4.6519210512134278E-2</v>
      </c>
      <c r="BG34" s="129">
        <f t="shared" si="27"/>
        <v>0.17743929323635252</v>
      </c>
      <c r="BH34" s="129">
        <f t="shared" si="28"/>
        <v>0.99991166465460746</v>
      </c>
      <c r="BI34" s="129"/>
      <c r="BJ34" s="129">
        <f t="shared" si="29"/>
        <v>0.59593631451508589</v>
      </c>
      <c r="BK34" s="129">
        <f t="shared" si="30"/>
        <v>0.13636102007019127</v>
      </c>
      <c r="BL34" s="129">
        <f t="shared" si="31"/>
        <v>4.3724376466721379E-2</v>
      </c>
      <c r="BM34" s="129">
        <f t="shared" si="32"/>
        <v>4.652332016568992E-2</v>
      </c>
      <c r="BN34" s="129">
        <f t="shared" si="33"/>
        <v>0.17745496878231154</v>
      </c>
      <c r="BQ34" s="129">
        <f t="shared" si="34"/>
        <v>1.3973867169760453E-2</v>
      </c>
      <c r="BR34" s="129">
        <f t="shared" si="35"/>
        <v>4.5096591887790662E-3</v>
      </c>
      <c r="BS34" s="129">
        <f t="shared" si="36"/>
        <v>-2.4276712275481123E-2</v>
      </c>
      <c r="BT34" s="129">
        <f t="shared" si="37"/>
        <v>-1.0050335853501562E-2</v>
      </c>
      <c r="BU34" s="129">
        <f t="shared" si="38"/>
        <v>-4.6594744005172162E-2</v>
      </c>
      <c r="BW34" s="129">
        <f t="shared" si="14"/>
        <v>0.29737643937406938</v>
      </c>
      <c r="BX34" s="129">
        <f t="shared" si="15"/>
        <v>0.35017648482586383</v>
      </c>
      <c r="BY34" s="129">
        <f t="shared" si="16"/>
        <v>2.1609813368818303E-3</v>
      </c>
      <c r="BZ34" s="129">
        <f t="shared" si="17"/>
        <v>0.24128522469079894</v>
      </c>
      <c r="CA34" s="129">
        <f t="shared" si="18"/>
        <v>0.10900086977238593</v>
      </c>
      <c r="CC34" s="129">
        <f t="shared" si="39"/>
        <v>-8.2157958208996813E-3</v>
      </c>
      <c r="CD34" s="129">
        <f t="shared" si="40"/>
        <v>8.0593814648531464E-3</v>
      </c>
      <c r="CE34" s="129">
        <f t="shared" si="41"/>
        <v>2.2205670202584977E-2</v>
      </c>
      <c r="CF34" s="129">
        <f t="shared" si="42"/>
        <v>1.1879845013702739E-2</v>
      </c>
      <c r="CG34" s="129">
        <f t="shared" si="43"/>
        <v>-2.9420900802858016E-2</v>
      </c>
      <c r="CI34" s="129">
        <f t="shared" si="44"/>
        <v>3.5570183370696763E-3</v>
      </c>
      <c r="CJ34" s="129">
        <f t="shared" si="45"/>
        <v>0</v>
      </c>
      <c r="CK34" s="129">
        <f t="shared" si="46"/>
        <v>0</v>
      </c>
      <c r="CL34" s="129">
        <f t="shared" si="47"/>
        <v>0</v>
      </c>
      <c r="CM34" s="129">
        <f t="shared" si="48"/>
        <v>0</v>
      </c>
      <c r="CO34" s="129">
        <f t="shared" si="49"/>
        <v>0.99914531413757879</v>
      </c>
      <c r="CP34" s="129">
        <f t="shared" si="19"/>
        <v>1.0037208828993696</v>
      </c>
      <c r="CQ34" s="129">
        <f t="shared" si="1"/>
        <v>0.99061757870186251</v>
      </c>
      <c r="CR34" s="129"/>
      <c r="CS34" s="129">
        <f t="shared" si="50"/>
        <v>0.99253364105924302</v>
      </c>
      <c r="CT34" s="129">
        <f t="shared" si="20"/>
        <v>1.0495741116828576</v>
      </c>
      <c r="CU34" s="129">
        <f t="shared" si="2"/>
        <v>1.0030055281295525</v>
      </c>
      <c r="CV34" s="129"/>
      <c r="CW34" s="129">
        <f t="shared" si="21"/>
        <v>1.0021220046703658</v>
      </c>
      <c r="CX34" s="129">
        <f t="shared" si="22"/>
        <v>1.0042397860323617</v>
      </c>
      <c r="CY34" s="129">
        <f t="shared" si="3"/>
        <v>0.98558064861342287</v>
      </c>
      <c r="DA34">
        <f t="shared" si="55"/>
        <v>1974</v>
      </c>
      <c r="DB34" s="4">
        <f>'Freight-based Activity'!G32</f>
        <v>586345.24300000002</v>
      </c>
      <c r="DC34" s="4">
        <f>'Freight-based Activity'!I32</f>
        <v>656164.33700000006</v>
      </c>
      <c r="DD34">
        <f t="shared" si="56"/>
        <v>196.52851246819552</v>
      </c>
      <c r="DE34">
        <f t="shared" si="72"/>
        <v>1974</v>
      </c>
      <c r="DF34" s="136">
        <f t="shared" si="73"/>
        <v>0.33517541894374248</v>
      </c>
      <c r="DG34" s="136">
        <f t="shared" si="74"/>
        <v>0.29951111541161901</v>
      </c>
      <c r="DH34" s="136">
        <f t="shared" si="70"/>
        <v>1.1168963185069507</v>
      </c>
      <c r="DI34" s="136">
        <f t="shared" si="71"/>
        <v>1.0784601986008948</v>
      </c>
      <c r="DJ34" s="136">
        <f t="shared" si="52"/>
        <v>0.89359511015302251</v>
      </c>
    </row>
    <row r="35" spans="1:114" x14ac:dyDescent="0.2">
      <c r="A35" s="133" t="s">
        <v>664</v>
      </c>
      <c r="B35" s="133">
        <f t="shared" si="4"/>
        <v>1975</v>
      </c>
      <c r="D35" s="5">
        <f>'Freight-Trucks'!F36</f>
        <v>2577.0352434383731</v>
      </c>
      <c r="E35" s="5">
        <f>'Freight-based Energy Use'!D33</f>
        <v>518.25033080000003</v>
      </c>
      <c r="F35" s="5">
        <f>'Freight-based Energy Use'!E33</f>
        <v>179.12744370511905</v>
      </c>
      <c r="G35" s="5">
        <f>'Freight-based Energy Use'!N33</f>
        <v>187.80695906897785</v>
      </c>
      <c r="H35" s="5">
        <f>Pipelines!F36</f>
        <v>628.35075859197616</v>
      </c>
      <c r="I35" s="5">
        <f t="shared" si="5"/>
        <v>4090.5707356044463</v>
      </c>
      <c r="K35" s="4">
        <f>'Freight-Trucks'!J36</f>
        <v>680152.79549613269</v>
      </c>
      <c r="L35" s="4">
        <f>'Freight-based Activity'!E33</f>
        <v>754252</v>
      </c>
      <c r="M35" s="4">
        <f>'Freight-based Activity'!F33</f>
        <v>5062.4089999999997</v>
      </c>
      <c r="N35" s="4">
        <f>'Freight-based Activity'!G33</f>
        <v>565984.223</v>
      </c>
      <c r="O35" s="4">
        <f>Pipelines!J36</f>
        <v>243796.48256970005</v>
      </c>
      <c r="P35" s="4">
        <f t="shared" si="6"/>
        <v>2249247.9100658325</v>
      </c>
      <c r="R35" s="4">
        <f t="shared" si="51"/>
        <v>3788.9063464902365</v>
      </c>
      <c r="S35" s="4">
        <f t="shared" si="53"/>
        <v>687.1050137089461</v>
      </c>
      <c r="T35" s="4">
        <f t="shared" si="57"/>
        <v>35383.834791918045</v>
      </c>
      <c r="U35" s="4">
        <f t="shared" si="58"/>
        <v>331.82366475430507</v>
      </c>
      <c r="V35" s="4">
        <f t="shared" si="7"/>
        <v>2577.3577697632868</v>
      </c>
      <c r="W35" s="4">
        <f t="shared" si="8"/>
        <v>1818.6393404205589</v>
      </c>
      <c r="Y35" s="129">
        <f>'Freight-Trucks'!W36</f>
        <v>0.92444462122853799</v>
      </c>
      <c r="Z35" s="129">
        <f t="shared" si="54"/>
        <v>1.3817502262897687</v>
      </c>
      <c r="AA35" s="129">
        <f t="shared" si="59"/>
        <v>1.6484199147739309</v>
      </c>
      <c r="AB35" s="129">
        <f t="shared" si="60"/>
        <v>1.1057273553218812</v>
      </c>
      <c r="AC35" s="129">
        <f t="shared" si="0"/>
        <v>1.0420570220511889</v>
      </c>
      <c r="AD35" s="129"/>
      <c r="AE35" s="142">
        <f>'Freight-Trucks'!V36</f>
        <v>1.0071295331264751</v>
      </c>
      <c r="AF35" s="142">
        <v>1</v>
      </c>
      <c r="AG35" s="142">
        <v>1</v>
      </c>
      <c r="AH35" s="142">
        <v>1</v>
      </c>
      <c r="AI35" s="142">
        <v>1</v>
      </c>
      <c r="AK35" s="131">
        <f t="shared" si="61"/>
        <v>0.77353771579880937</v>
      </c>
      <c r="AL35" s="131">
        <f t="shared" si="62"/>
        <v>1.0285523601369377</v>
      </c>
      <c r="AM35" s="131">
        <f t="shared" si="63"/>
        <v>1.0104390265152559</v>
      </c>
      <c r="AN35" s="131">
        <f t="shared" si="64"/>
        <v>1.0043761117045402</v>
      </c>
      <c r="AO35" s="131">
        <f t="shared" si="65"/>
        <v>1.0134910514757969</v>
      </c>
      <c r="AP35" s="131">
        <f t="shared" si="66"/>
        <v>0.79562404323980107</v>
      </c>
      <c r="AQ35" s="131">
        <f t="shared" si="67"/>
        <v>0.79562404323980118</v>
      </c>
      <c r="AR35" s="131"/>
      <c r="AS35" s="131">
        <f t="shared" si="68"/>
        <v>1.0148608205659135</v>
      </c>
      <c r="AU35" s="134"/>
      <c r="AW35" s="129">
        <f t="shared" si="9"/>
        <v>0.62999405462122526</v>
      </c>
      <c r="AX35" s="129">
        <f t="shared" si="10"/>
        <v>0.12669389293018066</v>
      </c>
      <c r="AY35" s="129">
        <f t="shared" si="11"/>
        <v>4.379033031894268E-2</v>
      </c>
      <c r="AZ35" s="129">
        <f t="shared" si="12"/>
        <v>4.5912165125101156E-2</v>
      </c>
      <c r="BA35" s="129">
        <f t="shared" si="13"/>
        <v>0.15360955700455023</v>
      </c>
      <c r="BC35" s="129">
        <f t="shared" si="23"/>
        <v>0.61514295544535325</v>
      </c>
      <c r="BD35" s="129">
        <f t="shared" si="24"/>
        <v>0.13208872959095042</v>
      </c>
      <c r="BE35" s="129">
        <f t="shared" si="25"/>
        <v>4.3800907142885571E-2</v>
      </c>
      <c r="BF35" s="129">
        <f t="shared" si="26"/>
        <v>4.6308403707592885E-2</v>
      </c>
      <c r="BG35" s="129">
        <f t="shared" si="27"/>
        <v>0.16230372239181159</v>
      </c>
      <c r="BH35" s="129">
        <f t="shared" si="28"/>
        <v>0.99964471827859369</v>
      </c>
      <c r="BI35" s="129"/>
      <c r="BJ35" s="129">
        <f t="shared" si="29"/>
        <v>0.61536158216755299</v>
      </c>
      <c r="BK35" s="129">
        <f t="shared" si="30"/>
        <v>0.13213567498101686</v>
      </c>
      <c r="BL35" s="129">
        <f t="shared" si="31"/>
        <v>4.3816474335313375E-2</v>
      </c>
      <c r="BM35" s="129">
        <f t="shared" si="32"/>
        <v>4.6324862084338121E-2</v>
      </c>
      <c r="BN35" s="129">
        <f t="shared" si="33"/>
        <v>0.16236140643177863</v>
      </c>
      <c r="BQ35" s="129">
        <f t="shared" si="34"/>
        <v>4.9583354431977256E-2</v>
      </c>
      <c r="BR35" s="129">
        <f t="shared" si="35"/>
        <v>9.5806570781128836E-3</v>
      </c>
      <c r="BS35" s="129">
        <f t="shared" si="36"/>
        <v>7.9352449302391298E-3</v>
      </c>
      <c r="BT35" s="129">
        <f t="shared" si="37"/>
        <v>-1.0050335853501451E-2</v>
      </c>
      <c r="BU35" s="129">
        <f t="shared" si="38"/>
        <v>-5.4398278700408753E-2</v>
      </c>
      <c r="BW35" s="129">
        <f t="shared" si="14"/>
        <v>0.30239120928036139</v>
      </c>
      <c r="BX35" s="129">
        <f t="shared" si="15"/>
        <v>0.33533520099077208</v>
      </c>
      <c r="BY35" s="129">
        <f t="shared" si="16"/>
        <v>2.2507118834454443E-3</v>
      </c>
      <c r="BZ35" s="129">
        <f t="shared" si="17"/>
        <v>0.2516326548385831</v>
      </c>
      <c r="CA35" s="129">
        <f t="shared" si="18"/>
        <v>0.10839022300683807</v>
      </c>
      <c r="CC35" s="129">
        <f t="shared" si="39"/>
        <v>1.6722765165468299E-2</v>
      </c>
      <c r="CD35" s="129">
        <f>LN(BX35/BX34)</f>
        <v>-4.3306638224560622E-2</v>
      </c>
      <c r="CE35" s="129">
        <f t="shared" si="41"/>
        <v>4.0684117663878847E-2</v>
      </c>
      <c r="CF35" s="129">
        <f t="shared" si="42"/>
        <v>4.1990566469231265E-2</v>
      </c>
      <c r="CG35" s="129">
        <f t="shared" si="43"/>
        <v>-5.6179704864835435E-3</v>
      </c>
      <c r="CI35" s="129">
        <f t="shared" si="44"/>
        <v>3.06988369634861E-2</v>
      </c>
      <c r="CJ35" s="129">
        <f t="shared" si="45"/>
        <v>0</v>
      </c>
      <c r="CK35" s="129">
        <f t="shared" si="46"/>
        <v>0</v>
      </c>
      <c r="CL35" s="129">
        <f t="shared" si="47"/>
        <v>0</v>
      </c>
      <c r="CM35" s="129">
        <f t="shared" si="48"/>
        <v>0</v>
      </c>
      <c r="CO35" s="129">
        <f t="shared" si="49"/>
        <v>1.023090113950843</v>
      </c>
      <c r="CP35" s="129">
        <f t="shared" si="19"/>
        <v>1.0268969124603569</v>
      </c>
      <c r="CQ35" s="129">
        <f t="shared" si="1"/>
        <v>1.0134910514757969</v>
      </c>
      <c r="CR35" s="129"/>
      <c r="CS35" s="129">
        <f t="shared" si="50"/>
        <v>1.0074112237442656</v>
      </c>
      <c r="CT35" s="129">
        <f t="shared" si="20"/>
        <v>1.0573527402607281</v>
      </c>
      <c r="CU35" s="129">
        <f t="shared" si="2"/>
        <v>1.0104390265152559</v>
      </c>
      <c r="CV35" s="129"/>
      <c r="CW35" s="129">
        <f t="shared" si="21"/>
        <v>1.0190704465611822</v>
      </c>
      <c r="CX35" s="129">
        <f t="shared" si="22"/>
        <v>1.0233910872065048</v>
      </c>
      <c r="CY35" s="129">
        <f t="shared" si="3"/>
        <v>1.0043761117045402</v>
      </c>
      <c r="DA35">
        <f t="shared" si="55"/>
        <v>1975</v>
      </c>
      <c r="DB35" s="4">
        <f>'Freight-based Activity'!G33</f>
        <v>565984.223</v>
      </c>
      <c r="DC35" s="4">
        <f>'Freight-based Activity'!I33</f>
        <v>639450.72699999996</v>
      </c>
      <c r="DD35">
        <f t="shared" si="56"/>
        <v>187.80695906897785</v>
      </c>
      <c r="DE35">
        <f t="shared" si="72"/>
        <v>1975</v>
      </c>
      <c r="DF35" s="136">
        <f t="shared" si="73"/>
        <v>0.33182366475430508</v>
      </c>
      <c r="DG35" s="136">
        <f t="shared" si="74"/>
        <v>0.29370043873447321</v>
      </c>
      <c r="DH35" s="136">
        <f t="shared" si="70"/>
        <v>1.1057273553218812</v>
      </c>
      <c r="DI35" s="136">
        <f t="shared" si="71"/>
        <v>1.0575374908922741</v>
      </c>
      <c r="DJ35" s="136">
        <f t="shared" si="52"/>
        <v>0.88510998440072153</v>
      </c>
    </row>
    <row r="36" spans="1:114" x14ac:dyDescent="0.2">
      <c r="A36" s="133" t="s">
        <v>664</v>
      </c>
      <c r="B36" s="133">
        <f t="shared" si="4"/>
        <v>1976</v>
      </c>
      <c r="D36" s="5">
        <f>'Freight-Trucks'!F37</f>
        <v>2718.910336574801</v>
      </c>
      <c r="E36" s="5">
        <f>'Freight-based Energy Use'!D34</f>
        <v>540.31167540000001</v>
      </c>
      <c r="F36" s="5">
        <f>'Freight-based Energy Use'!E34</f>
        <v>204.0748239321901</v>
      </c>
      <c r="G36" s="5">
        <f>'Freight-based Energy Use'!N34</f>
        <v>194.42708148088775</v>
      </c>
      <c r="H36" s="5">
        <f>Pipelines!F37</f>
        <v>591.01379165685353</v>
      </c>
      <c r="I36" s="5">
        <f t="shared" si="5"/>
        <v>4248.7377090447326</v>
      </c>
      <c r="K36" s="4">
        <f>'Freight-Trucks'!J37</f>
        <v>753088.73604383168</v>
      </c>
      <c r="L36" s="4">
        <f>'Freight-based Activity'!E34</f>
        <v>794059</v>
      </c>
      <c r="M36" s="4">
        <f>'Freight-based Activity'!F34</f>
        <v>6524.7809999999999</v>
      </c>
      <c r="N36" s="4">
        <f>'Freight-based Activity'!G34</f>
        <v>591853.48199999996</v>
      </c>
      <c r="O36" s="4">
        <f>Pipelines!J37</f>
        <v>246649.35154820001</v>
      </c>
      <c r="P36" s="4">
        <f t="shared" si="6"/>
        <v>2392175.3505920316</v>
      </c>
      <c r="R36" s="4">
        <f t="shared" si="51"/>
        <v>3610.3452441181557</v>
      </c>
      <c r="S36" s="4">
        <f t="shared" si="53"/>
        <v>680.44273208917718</v>
      </c>
      <c r="T36" s="4">
        <f t="shared" si="57"/>
        <v>31276.884838309532</v>
      </c>
      <c r="U36" s="4">
        <f t="shared" si="58"/>
        <v>328.505428106762</v>
      </c>
      <c r="V36" s="4">
        <f t="shared" si="7"/>
        <v>2396.1700606431882</v>
      </c>
      <c r="W36" s="4">
        <f t="shared" si="8"/>
        <v>1776.0979386369927</v>
      </c>
      <c r="Y36" s="129">
        <f>'Freight-Trucks'!W37</f>
        <v>0.89563792053012126</v>
      </c>
      <c r="Z36" s="129">
        <f t="shared" si="54"/>
        <v>1.3683525520594051</v>
      </c>
      <c r="AA36" s="129">
        <f t="shared" si="59"/>
        <v>1.4570902261655481</v>
      </c>
      <c r="AB36" s="129">
        <f t="shared" si="60"/>
        <v>1.0946700817686623</v>
      </c>
      <c r="AC36" s="129">
        <f t="shared" si="0"/>
        <v>0.96880063257627802</v>
      </c>
      <c r="AD36" s="129"/>
      <c r="AE36" s="142">
        <f>'Freight-Trucks'!V37</f>
        <v>0.9905322538867235</v>
      </c>
      <c r="AF36" s="142">
        <v>1</v>
      </c>
      <c r="AG36" s="142">
        <v>1</v>
      </c>
      <c r="AH36" s="142">
        <v>1</v>
      </c>
      <c r="AI36" s="142">
        <v>1</v>
      </c>
      <c r="AK36" s="131">
        <f t="shared" si="61"/>
        <v>0.82269181987725681</v>
      </c>
      <c r="AL36" s="131">
        <f t="shared" si="62"/>
        <v>1.0044925819085055</v>
      </c>
      <c r="AM36" s="131">
        <f t="shared" si="63"/>
        <v>1.0360259013886266</v>
      </c>
      <c r="AN36" s="131">
        <f t="shared" si="64"/>
        <v>0.99383287563617928</v>
      </c>
      <c r="AO36" s="131">
        <f t="shared" si="65"/>
        <v>0.97557971532643428</v>
      </c>
      <c r="AP36" s="131">
        <f t="shared" si="66"/>
        <v>0.82638783026351281</v>
      </c>
      <c r="AQ36" s="131">
        <f t="shared" si="67"/>
        <v>0.82638783026351281</v>
      </c>
      <c r="AR36" s="131"/>
      <c r="AS36" s="131">
        <f t="shared" si="68"/>
        <v>1.0296366008106235</v>
      </c>
      <c r="AU36" s="134"/>
      <c r="AW36" s="129">
        <f t="shared" si="9"/>
        <v>0.63993367507407484</v>
      </c>
      <c r="AX36" s="129">
        <f t="shared" si="10"/>
        <v>0.12716992961221918</v>
      </c>
      <c r="AY36" s="129">
        <f t="shared" si="11"/>
        <v>4.8031871559817557E-2</v>
      </c>
      <c r="AZ36" s="129">
        <f t="shared" si="12"/>
        <v>4.57611400833218E-2</v>
      </c>
      <c r="BA36" s="129">
        <f t="shared" si="13"/>
        <v>0.13910338367056657</v>
      </c>
      <c r="BC36" s="129">
        <f t="shared" si="23"/>
        <v>0.6349508985364648</v>
      </c>
      <c r="BD36" s="129">
        <f t="shared" si="24"/>
        <v>0.12693176249646687</v>
      </c>
      <c r="BE36" s="129">
        <f t="shared" si="25"/>
        <v>4.5878427431813418E-2</v>
      </c>
      <c r="BF36" s="129">
        <f t="shared" si="26"/>
        <v>4.5836611137069626E-2</v>
      </c>
      <c r="BG36" s="129">
        <f t="shared" si="27"/>
        <v>0.14623657639138413</v>
      </c>
      <c r="BH36" s="129">
        <f t="shared" si="28"/>
        <v>0.99983427599319874</v>
      </c>
      <c r="BI36" s="129"/>
      <c r="BJ36" s="129">
        <f t="shared" si="29"/>
        <v>0.63505614258495768</v>
      </c>
      <c r="BK36" s="129">
        <f t="shared" si="30"/>
        <v>0.12695280162342656</v>
      </c>
      <c r="BL36" s="129">
        <f t="shared" si="31"/>
        <v>4.5886031848867623E-2</v>
      </c>
      <c r="BM36" s="129">
        <f t="shared" si="32"/>
        <v>4.5844208623011265E-2</v>
      </c>
      <c r="BN36" s="129">
        <f t="shared" si="33"/>
        <v>0.14626081531973692</v>
      </c>
      <c r="BQ36" s="129">
        <f t="shared" si="34"/>
        <v>-3.1656922961139727E-2</v>
      </c>
      <c r="BR36" s="129">
        <f t="shared" si="35"/>
        <v>-9.7434760099775076E-3</v>
      </c>
      <c r="BS36" s="129">
        <f t="shared" si="36"/>
        <v>-0.12337575040024</v>
      </c>
      <c r="BT36" s="129">
        <f t="shared" si="37"/>
        <v>-1.0050335853501451E-2</v>
      </c>
      <c r="BU36" s="129">
        <f t="shared" si="38"/>
        <v>-7.2893099286665292E-2</v>
      </c>
      <c r="BW36" s="129">
        <f t="shared" si="14"/>
        <v>0.31481335005707345</v>
      </c>
      <c r="BX36" s="129">
        <f t="shared" si="15"/>
        <v>0.3319401313133174</v>
      </c>
      <c r="BY36" s="129">
        <f t="shared" si="16"/>
        <v>2.727551305294239E-3</v>
      </c>
      <c r="BZ36" s="129">
        <f t="shared" si="17"/>
        <v>0.24741224837615858</v>
      </c>
      <c r="CA36" s="129">
        <f t="shared" si="18"/>
        <v>0.10310671894815636</v>
      </c>
      <c r="CC36" s="129">
        <f t="shared" si="39"/>
        <v>4.0258349660603057E-2</v>
      </c>
      <c r="CD36" s="129">
        <f t="shared" si="40"/>
        <v>-1.0176006245023607E-2</v>
      </c>
      <c r="CE36" s="129">
        <f t="shared" si="41"/>
        <v>0.19215769010471456</v>
      </c>
      <c r="CF36" s="129">
        <f t="shared" si="42"/>
        <v>-1.6914337986272371E-2</v>
      </c>
      <c r="CG36" s="129">
        <f t="shared" si="43"/>
        <v>-4.997333313923516E-2</v>
      </c>
      <c r="CI36" s="129">
        <f t="shared" si="44"/>
        <v>-1.6617088297763708E-2</v>
      </c>
      <c r="CJ36" s="129">
        <f t="shared" si="45"/>
        <v>0</v>
      </c>
      <c r="CK36" s="129">
        <f t="shared" si="46"/>
        <v>0</v>
      </c>
      <c r="CL36" s="129">
        <f t="shared" si="47"/>
        <v>0</v>
      </c>
      <c r="CM36" s="129">
        <f t="shared" si="48"/>
        <v>0</v>
      </c>
      <c r="CO36" s="129">
        <f t="shared" si="49"/>
        <v>0.96259331930542669</v>
      </c>
      <c r="CP36" s="129">
        <f t="shared" si="19"/>
        <v>0.98848410754970906</v>
      </c>
      <c r="CQ36" s="129">
        <f t="shared" si="1"/>
        <v>0.97557971532643428</v>
      </c>
      <c r="CR36" s="129"/>
      <c r="CS36" s="129">
        <f t="shared" si="50"/>
        <v>1.0253225322873891</v>
      </c>
      <c r="CT36" s="129">
        <f t="shared" si="20"/>
        <v>1.0841275891651398</v>
      </c>
      <c r="CU36" s="129">
        <f t="shared" si="2"/>
        <v>1.0360259013886266</v>
      </c>
      <c r="CV36" s="129"/>
      <c r="CW36" s="129">
        <f t="shared" si="21"/>
        <v>0.98950270128341877</v>
      </c>
      <c r="CX36" s="129">
        <f t="shared" si="22"/>
        <v>1.0126482452602112</v>
      </c>
      <c r="CY36" s="129">
        <f t="shared" si="3"/>
        <v>0.99383287563617928</v>
      </c>
      <c r="DA36">
        <f t="shared" si="55"/>
        <v>1976</v>
      </c>
      <c r="DB36" s="4">
        <f>'Freight-based Activity'!G34</f>
        <v>591853.48199999996</v>
      </c>
      <c r="DC36" s="4">
        <f>'Freight-based Activity'!I34</f>
        <v>677180.98300000001</v>
      </c>
      <c r="DD36">
        <f t="shared" si="56"/>
        <v>194.42708148088775</v>
      </c>
      <c r="DE36">
        <f t="shared" si="72"/>
        <v>1976</v>
      </c>
      <c r="DF36" s="136">
        <f t="shared" si="73"/>
        <v>0.32850542810676198</v>
      </c>
      <c r="DG36" s="136">
        <f t="shared" si="74"/>
        <v>0.28711243576207712</v>
      </c>
      <c r="DH36" s="136">
        <f t="shared" si="70"/>
        <v>1.0946700817686623</v>
      </c>
      <c r="DI36" s="136">
        <f t="shared" si="71"/>
        <v>1.0338158370757562</v>
      </c>
      <c r="DJ36" s="136">
        <f t="shared" si="52"/>
        <v>0.873996017103156</v>
      </c>
    </row>
    <row r="37" spans="1:114" x14ac:dyDescent="0.2">
      <c r="A37" s="133" t="s">
        <v>664</v>
      </c>
      <c r="B37" s="133">
        <f t="shared" si="4"/>
        <v>1977</v>
      </c>
      <c r="D37" s="5">
        <f>'Freight-Trucks'!F38</f>
        <v>3009.8891297362661</v>
      </c>
      <c r="E37" s="5">
        <f>'Freight-based Energy Use'!D35</f>
        <v>552.72907029999999</v>
      </c>
      <c r="F37" s="5">
        <f>'Freight-based Energy Use'!E35</f>
        <v>193.62402909610543</v>
      </c>
      <c r="G37" s="5">
        <f>'Freight-based Energy Use'!N35</f>
        <v>194.80701562952441</v>
      </c>
      <c r="H37" s="5">
        <f>Pipelines!F38</f>
        <v>574.14101800056608</v>
      </c>
      <c r="I37" s="5">
        <f t="shared" si="5"/>
        <v>4525.1902627624622</v>
      </c>
      <c r="K37" s="4">
        <f>'Freight-Trucks'!J38</f>
        <v>818382.57178423461</v>
      </c>
      <c r="L37" s="4">
        <f>'Freight-based Activity'!E35</f>
        <v>826292</v>
      </c>
      <c r="M37" s="4">
        <f>'Freight-based Activity'!F35</f>
        <v>6974.2420000000002</v>
      </c>
      <c r="N37" s="4">
        <f>'Freight-based Activity'!G35</f>
        <v>599000.03599999996</v>
      </c>
      <c r="O37" s="4">
        <f>Pipelines!J38</f>
        <v>240608.74291830003</v>
      </c>
      <c r="P37" s="4">
        <f t="shared" si="6"/>
        <v>2491257.5927025345</v>
      </c>
      <c r="R37" s="4">
        <f t="shared" si="51"/>
        <v>3677.8509629965811</v>
      </c>
      <c r="S37" s="4">
        <f t="shared" si="53"/>
        <v>668.92705036476207</v>
      </c>
      <c r="T37" s="4">
        <f t="shared" si="57"/>
        <v>27762.734515966815</v>
      </c>
      <c r="U37" s="4">
        <f t="shared" si="58"/>
        <v>325.22037382569442</v>
      </c>
      <c r="V37" s="4">
        <f t="shared" si="7"/>
        <v>2386.2018106113405</v>
      </c>
      <c r="W37" s="4">
        <f t="shared" si="8"/>
        <v>1816.4280867694224</v>
      </c>
      <c r="Y37" s="129">
        <f>'Freight-Trucks'!W38</f>
        <v>0.91393190589525397</v>
      </c>
      <c r="Z37" s="129">
        <f t="shared" si="54"/>
        <v>1.3451948170536587</v>
      </c>
      <c r="AA37" s="129">
        <f t="shared" si="59"/>
        <v>1.2933771801114757</v>
      </c>
      <c r="AB37" s="129">
        <f t="shared" si="60"/>
        <v>1.0837233809509759</v>
      </c>
      <c r="AC37" s="129">
        <f t="shared" si="0"/>
        <v>0.96477034812562423</v>
      </c>
      <c r="AD37" s="129"/>
      <c r="AE37" s="142">
        <f>'Freight-Trucks'!V38</f>
        <v>0.9888550780046661</v>
      </c>
      <c r="AF37" s="142">
        <v>1</v>
      </c>
      <c r="AG37" s="142">
        <v>1</v>
      </c>
      <c r="AH37" s="142">
        <v>1</v>
      </c>
      <c r="AI37" s="142">
        <v>1</v>
      </c>
      <c r="AK37" s="131">
        <f t="shared" si="61"/>
        <v>0.85676714385350083</v>
      </c>
      <c r="AL37" s="131">
        <f t="shared" si="62"/>
        <v>1.0273017602454759</v>
      </c>
      <c r="AM37" s="131">
        <f t="shared" si="63"/>
        <v>1.0557921173147673</v>
      </c>
      <c r="AN37" s="131">
        <f t="shared" si="64"/>
        <v>0.99273434116331516</v>
      </c>
      <c r="AO37" s="131">
        <f t="shared" si="65"/>
        <v>0.98013652057804246</v>
      </c>
      <c r="AP37" s="131">
        <f t="shared" si="66"/>
        <v>0.8801583950011902</v>
      </c>
      <c r="AQ37" s="131">
        <f t="shared" si="67"/>
        <v>0.88015839500119042</v>
      </c>
      <c r="AR37" s="131"/>
      <c r="AS37" s="131">
        <f t="shared" si="68"/>
        <v>1.0481210919878972</v>
      </c>
      <c r="AU37" s="134"/>
      <c r="AW37" s="129">
        <f t="shared" si="9"/>
        <v>0.66514090125767211</v>
      </c>
      <c r="AX37" s="129">
        <f t="shared" si="10"/>
        <v>0.12214493495408947</v>
      </c>
      <c r="AY37" s="129">
        <f t="shared" si="11"/>
        <v>4.2788041574611073E-2</v>
      </c>
      <c r="AZ37" s="129">
        <f t="shared" si="12"/>
        <v>4.3049464070622726E-2</v>
      </c>
      <c r="BA37" s="129">
        <f t="shared" si="13"/>
        <v>0.12687665814300461</v>
      </c>
      <c r="BC37" s="129">
        <f t="shared" si="23"/>
        <v>0.65245613476059827</v>
      </c>
      <c r="BD37" s="129">
        <f t="shared" si="24"/>
        <v>0.12464055047969524</v>
      </c>
      <c r="BE37" s="129">
        <f t="shared" si="25"/>
        <v>4.5359449579703975E-2</v>
      </c>
      <c r="BF37" s="129">
        <f t="shared" si="26"/>
        <v>4.4391499266259772E-2</v>
      </c>
      <c r="BG37" s="129">
        <f t="shared" si="27"/>
        <v>0.13289629385612464</v>
      </c>
      <c r="BH37" s="129">
        <f t="shared" si="28"/>
        <v>0.99974392794238187</v>
      </c>
      <c r="BI37" s="129"/>
      <c r="BJ37" s="129">
        <f t="shared" si="29"/>
        <v>0.65262325333993043</v>
      </c>
      <c r="BK37" s="129">
        <f t="shared" si="30"/>
        <v>0.12467247561705486</v>
      </c>
      <c r="BL37" s="129">
        <f t="shared" si="31"/>
        <v>4.5371067842402711E-2</v>
      </c>
      <c r="BM37" s="129">
        <f t="shared" si="32"/>
        <v>4.4402869600442506E-2</v>
      </c>
      <c r="BN37" s="129">
        <f t="shared" si="33"/>
        <v>0.13293033360016951</v>
      </c>
      <c r="BQ37" s="129">
        <f t="shared" si="34"/>
        <v>2.0219842719433122E-2</v>
      </c>
      <c r="BR37" s="129">
        <f t="shared" si="35"/>
        <v>-1.7068651533881676E-2</v>
      </c>
      <c r="BS37" s="129">
        <f t="shared" si="36"/>
        <v>-0.11918468474398547</v>
      </c>
      <c r="BT37" s="129">
        <f t="shared" si="37"/>
        <v>-1.0050335853501225E-2</v>
      </c>
      <c r="BU37" s="129">
        <f t="shared" si="38"/>
        <v>-4.1687533869402557E-3</v>
      </c>
      <c r="BW37" s="129">
        <f t="shared" si="14"/>
        <v>0.32850178728264195</v>
      </c>
      <c r="BX37" s="129">
        <f t="shared" si="15"/>
        <v>0.33167666098455617</v>
      </c>
      <c r="BY37" s="129">
        <f t="shared" si="16"/>
        <v>2.7994865004843964E-3</v>
      </c>
      <c r="BZ37" s="129">
        <f t="shared" si="17"/>
        <v>0.24044082705642669</v>
      </c>
      <c r="CA37" s="129">
        <f t="shared" si="18"/>
        <v>9.6581238175890885E-2</v>
      </c>
      <c r="CC37" s="129">
        <f t="shared" si="39"/>
        <v>4.2562354945130221E-2</v>
      </c>
      <c r="CD37" s="129">
        <f t="shared" si="40"/>
        <v>-7.9404362777558968E-4</v>
      </c>
      <c r="CE37" s="129">
        <f t="shared" si="41"/>
        <v>2.6031758756653679E-2</v>
      </c>
      <c r="CF37" s="129">
        <f t="shared" si="42"/>
        <v>-2.8581949197538575E-2</v>
      </c>
      <c r="CG37" s="129">
        <f t="shared" si="43"/>
        <v>-6.5380057561450405E-2</v>
      </c>
      <c r="CI37" s="129">
        <f t="shared" si="44"/>
        <v>-1.6946418282190285E-3</v>
      </c>
      <c r="CJ37" s="129">
        <f t="shared" si="45"/>
        <v>0</v>
      </c>
      <c r="CK37" s="129">
        <f t="shared" si="46"/>
        <v>0</v>
      </c>
      <c r="CL37" s="129">
        <f t="shared" si="47"/>
        <v>0</v>
      </c>
      <c r="CM37" s="129">
        <f t="shared" si="48"/>
        <v>0</v>
      </c>
      <c r="CO37" s="129">
        <f t="shared" si="49"/>
        <v>1.0046708692073241</v>
      </c>
      <c r="CP37" s="129">
        <f t="shared" si="19"/>
        <v>0.9931011875295922</v>
      </c>
      <c r="CQ37" s="129">
        <f t="shared" si="1"/>
        <v>0.98013652057804246</v>
      </c>
      <c r="CR37" s="129"/>
      <c r="CS37" s="129">
        <f t="shared" si="50"/>
        <v>1.0190788820044436</v>
      </c>
      <c r="CT37" s="129">
        <f t="shared" si="20"/>
        <v>1.1048115315165834</v>
      </c>
      <c r="CU37" s="129">
        <f t="shared" si="2"/>
        <v>1.0557921173147673</v>
      </c>
      <c r="CV37" s="129"/>
      <c r="CW37" s="129">
        <f t="shared" si="21"/>
        <v>0.99889464868812994</v>
      </c>
      <c r="CX37" s="129">
        <f t="shared" si="22"/>
        <v>1.0115289131938499</v>
      </c>
      <c r="CY37" s="129">
        <f t="shared" si="3"/>
        <v>0.99273434116331516</v>
      </c>
      <c r="DA37">
        <f t="shared" si="55"/>
        <v>1977</v>
      </c>
      <c r="DB37" s="4">
        <f>'Freight-based Activity'!G35</f>
        <v>599000.03599999996</v>
      </c>
      <c r="DC37" s="4">
        <f>'Freight-based Activity'!I35</f>
        <v>692527.41999999993</v>
      </c>
      <c r="DD37">
        <f t="shared" si="56"/>
        <v>194.80701562952441</v>
      </c>
      <c r="DE37">
        <f t="shared" si="72"/>
        <v>1977</v>
      </c>
      <c r="DF37" s="136">
        <f t="shared" si="73"/>
        <v>0.32522037382569446</v>
      </c>
      <c r="DG37" s="136">
        <f t="shared" si="74"/>
        <v>0.28129863165493785</v>
      </c>
      <c r="DH37" s="136">
        <f t="shared" si="70"/>
        <v>1.0837233809509759</v>
      </c>
      <c r="DI37" s="136">
        <f t="shared" si="71"/>
        <v>1.0128818683200549</v>
      </c>
      <c r="DJ37" s="136">
        <f t="shared" si="52"/>
        <v>0.86494775326008033</v>
      </c>
    </row>
    <row r="38" spans="1:114" x14ac:dyDescent="0.2">
      <c r="A38" s="133" t="s">
        <v>664</v>
      </c>
      <c r="B38" s="133">
        <f t="shared" si="4"/>
        <v>1978</v>
      </c>
      <c r="D38" s="5">
        <f>'Freight-Trucks'!F39</f>
        <v>3343.6119032100769</v>
      </c>
      <c r="E38" s="5">
        <f>'Freight-based Energy Use'!D36</f>
        <v>550.36257089999992</v>
      </c>
      <c r="F38" s="5">
        <f>'Freight-based Energy Use'!E36</f>
        <v>185.62848099799135</v>
      </c>
      <c r="G38" s="5">
        <f>'Freight-based Energy Use'!N36</f>
        <v>266.35243864670429</v>
      </c>
      <c r="H38" s="5">
        <f>Pipelines!F39</f>
        <v>571.7503311849124</v>
      </c>
      <c r="I38" s="5">
        <f t="shared" si="5"/>
        <v>4917.7057249396848</v>
      </c>
      <c r="K38" s="4">
        <f>'Freight-Trucks'!J39</f>
        <v>884539.16459647357</v>
      </c>
      <c r="L38" s="4">
        <f>'Freight-based Activity'!E36</f>
        <v>858105</v>
      </c>
      <c r="M38" s="4">
        <f>'Freight-based Activity'!F36</f>
        <v>7395.4229999999998</v>
      </c>
      <c r="N38" s="4">
        <f>'Freight-based Activity'!G36</f>
        <v>827263.26199999999</v>
      </c>
      <c r="O38" s="4">
        <f>Pipelines!J39</f>
        <v>242279.81674840002</v>
      </c>
      <c r="P38" s="4">
        <f t="shared" si="6"/>
        <v>2819582.6663448736</v>
      </c>
      <c r="R38" s="4">
        <f t="shared" si="51"/>
        <v>3780.0608916343817</v>
      </c>
      <c r="S38" s="4">
        <f t="shared" si="53"/>
        <v>641.36972852972531</v>
      </c>
      <c r="T38" s="4">
        <f t="shared" si="57"/>
        <v>25100.454835104276</v>
      </c>
      <c r="U38" s="4">
        <f t="shared" si="58"/>
        <v>321.96817008743739</v>
      </c>
      <c r="V38" s="4">
        <f t="shared" si="7"/>
        <v>2359.8760262339852</v>
      </c>
      <c r="W38" s="4">
        <f t="shared" si="8"/>
        <v>1744.1253926116249</v>
      </c>
      <c r="Y38" s="129">
        <f>'Freight-Trucks'!W39</f>
        <v>0.93772567089734571</v>
      </c>
      <c r="Z38" s="129">
        <f t="shared" si="54"/>
        <v>1.2897777630054528</v>
      </c>
      <c r="AA38" s="129">
        <f t="shared" si="59"/>
        <v>1.1693500680011124</v>
      </c>
      <c r="AB38" s="129">
        <f t="shared" si="60"/>
        <v>1.0728861471414657</v>
      </c>
      <c r="AC38" s="129">
        <f t="shared" si="0"/>
        <v>0.95412651404357973</v>
      </c>
      <c r="AD38" s="129"/>
      <c r="AE38" s="142">
        <f>'Freight-Trucks'!V39</f>
        <v>0.99054760268680453</v>
      </c>
      <c r="AF38" s="142">
        <v>1</v>
      </c>
      <c r="AG38" s="142">
        <v>1</v>
      </c>
      <c r="AH38" s="142">
        <v>1</v>
      </c>
      <c r="AI38" s="142">
        <v>1</v>
      </c>
      <c r="AK38" s="131">
        <f t="shared" si="61"/>
        <v>0.96968125455165743</v>
      </c>
      <c r="AL38" s="131">
        <f t="shared" si="62"/>
        <v>0.98641014140308114</v>
      </c>
      <c r="AM38" s="131">
        <f t="shared" si="63"/>
        <v>1.0060615881405603</v>
      </c>
      <c r="AN38" s="131">
        <f t="shared" si="64"/>
        <v>0.99387721672080553</v>
      </c>
      <c r="AO38" s="131">
        <f t="shared" si="65"/>
        <v>0.98650712386202355</v>
      </c>
      <c r="AP38" s="131">
        <f t="shared" si="66"/>
        <v>0.95650342341821759</v>
      </c>
      <c r="AQ38" s="131">
        <f t="shared" si="67"/>
        <v>0.95650342341821759</v>
      </c>
      <c r="AR38" s="131"/>
      <c r="AS38" s="131">
        <f t="shared" si="68"/>
        <v>0.99990169107085347</v>
      </c>
      <c r="AU38" s="134"/>
      <c r="AW38" s="129">
        <f t="shared" si="9"/>
        <v>0.67991296962997638</v>
      </c>
      <c r="AX38" s="129">
        <f t="shared" si="10"/>
        <v>0.11191449868764769</v>
      </c>
      <c r="AY38" s="129">
        <f t="shared" si="11"/>
        <v>3.7746968074277777E-2</v>
      </c>
      <c r="AZ38" s="129">
        <f t="shared" si="12"/>
        <v>5.4161931100497288E-2</v>
      </c>
      <c r="BA38" s="129">
        <f t="shared" si="13"/>
        <v>0.11626363250760086</v>
      </c>
      <c r="BC38" s="129">
        <f t="shared" si="23"/>
        <v>0.67249989550787392</v>
      </c>
      <c r="BD38" s="129">
        <f t="shared" si="24"/>
        <v>0.1169551522837379</v>
      </c>
      <c r="BE38" s="129">
        <f t="shared" si="25"/>
        <v>4.0214858924599403E-2</v>
      </c>
      <c r="BF38" s="129">
        <f t="shared" si="26"/>
        <v>4.8393239298571908E-2</v>
      </c>
      <c r="BG38" s="129">
        <f t="shared" si="27"/>
        <v>0.12149289664551285</v>
      </c>
      <c r="BH38" s="129">
        <f t="shared" si="28"/>
        <v>0.99955604266029596</v>
      </c>
      <c r="BI38" s="129"/>
      <c r="BJ38" s="129">
        <f t="shared" si="29"/>
        <v>0.67279858937977155</v>
      </c>
      <c r="BK38" s="129">
        <f t="shared" si="30"/>
        <v>0.11700709844388954</v>
      </c>
      <c r="BL38" s="129">
        <f t="shared" si="31"/>
        <v>4.0232720536177699E-2</v>
      </c>
      <c r="BM38" s="129">
        <f t="shared" si="32"/>
        <v>4.8414733374803468E-2</v>
      </c>
      <c r="BN38" s="129">
        <f t="shared" si="33"/>
        <v>0.12154685826535773</v>
      </c>
      <c r="BQ38" s="129">
        <f t="shared" si="34"/>
        <v>2.5701377030940539E-2</v>
      </c>
      <c r="BR38" s="129">
        <f t="shared" si="35"/>
        <v>-4.2068921165496681E-2</v>
      </c>
      <c r="BS38" s="129">
        <f t="shared" si="36"/>
        <v>-0.10080866951159968</v>
      </c>
      <c r="BT38" s="129">
        <f t="shared" si="37"/>
        <v>-1.0050335853501787E-2</v>
      </c>
      <c r="BU38" s="129">
        <f t="shared" si="38"/>
        <v>-1.1093814842759319E-2</v>
      </c>
      <c r="BW38" s="129">
        <f t="shared" si="14"/>
        <v>0.31371279698748239</v>
      </c>
      <c r="BX38" s="129">
        <f t="shared" si="15"/>
        <v>0.30433759231198293</v>
      </c>
      <c r="BY38" s="129">
        <f t="shared" si="16"/>
        <v>2.6228785870594648E-3</v>
      </c>
      <c r="BZ38" s="129">
        <f t="shared" si="17"/>
        <v>0.29339918700536316</v>
      </c>
      <c r="CA38" s="129">
        <f t="shared" si="18"/>
        <v>8.5927545108112069E-2</v>
      </c>
      <c r="CC38" s="129">
        <f t="shared" si="39"/>
        <v>-4.6064370571819627E-2</v>
      </c>
      <c r="CD38" s="129">
        <f t="shared" si="40"/>
        <v>-8.6022995375920619E-2</v>
      </c>
      <c r="CE38" s="129">
        <f t="shared" si="41"/>
        <v>-6.516359568077941E-2</v>
      </c>
      <c r="CF38" s="129">
        <f t="shared" si="42"/>
        <v>0.19906007683491719</v>
      </c>
      <c r="CG38" s="129">
        <f t="shared" si="43"/>
        <v>-0.11688005816421519</v>
      </c>
      <c r="CI38" s="129">
        <f t="shared" si="44"/>
        <v>1.7101372157779977E-3</v>
      </c>
      <c r="CJ38" s="129">
        <f t="shared" si="45"/>
        <v>0</v>
      </c>
      <c r="CK38" s="129">
        <f t="shared" si="46"/>
        <v>0</v>
      </c>
      <c r="CL38" s="129">
        <f t="shared" si="47"/>
        <v>0</v>
      </c>
      <c r="CM38" s="129">
        <f t="shared" si="48"/>
        <v>0</v>
      </c>
      <c r="CO38" s="129">
        <f t="shared" si="49"/>
        <v>1.0064997101426483</v>
      </c>
      <c r="CP38" s="129">
        <f t="shared" si="19"/>
        <v>0.99955605739085429</v>
      </c>
      <c r="CQ38" s="129">
        <f t="shared" si="1"/>
        <v>0.98650712386202355</v>
      </c>
      <c r="CR38" s="129"/>
      <c r="CS38" s="129">
        <f t="shared" si="50"/>
        <v>0.95289742331029292</v>
      </c>
      <c r="CT38" s="129">
        <f t="shared" si="20"/>
        <v>1.0527720616256508</v>
      </c>
      <c r="CU38" s="129">
        <f t="shared" si="2"/>
        <v>1.0060615881405603</v>
      </c>
      <c r="CV38" s="129"/>
      <c r="CW38" s="129">
        <f t="shared" si="21"/>
        <v>1.0011512400751152</v>
      </c>
      <c r="CX38" s="129">
        <f t="shared" si="22"/>
        <v>1.0126934258158564</v>
      </c>
      <c r="CY38" s="129">
        <f t="shared" si="3"/>
        <v>0.99387721672080553</v>
      </c>
      <c r="DA38">
        <f t="shared" si="55"/>
        <v>1978</v>
      </c>
      <c r="DB38" s="4">
        <f>'Freight-based Activity'!G36</f>
        <v>827263.26199999999</v>
      </c>
      <c r="DC38" s="4">
        <f>'Freight-based Activity'!I36</f>
        <v>928297.65599999996</v>
      </c>
      <c r="DD38">
        <f t="shared" si="56"/>
        <v>266.35243864670429</v>
      </c>
      <c r="DE38">
        <f t="shared" si="72"/>
        <v>1978</v>
      </c>
      <c r="DF38" s="136">
        <f t="shared" si="73"/>
        <v>0.32196817008743739</v>
      </c>
      <c r="DG38" s="136">
        <f t="shared" si="74"/>
        <v>0.2869256826462398</v>
      </c>
      <c r="DH38" s="136">
        <f t="shared" si="70"/>
        <v>1.0728861471414657</v>
      </c>
      <c r="DI38" s="136">
        <f t="shared" si="71"/>
        <v>1.0331433885687336</v>
      </c>
      <c r="DJ38" s="136">
        <f t="shared" si="52"/>
        <v>0.89116164050725555</v>
      </c>
    </row>
    <row r="39" spans="1:114" x14ac:dyDescent="0.2">
      <c r="A39" s="133" t="s">
        <v>664</v>
      </c>
      <c r="B39" s="133">
        <f t="shared" si="4"/>
        <v>1979</v>
      </c>
      <c r="D39" s="5">
        <f>'Freight-Trucks'!F40</f>
        <v>3454.6090680631255</v>
      </c>
      <c r="E39" s="5">
        <f>'Freight-based Energy Use'!D37</f>
        <v>564.81233689999999</v>
      </c>
      <c r="F39" s="5">
        <f>'Freight-based Energy Use'!E37</f>
        <v>177.87147550206802</v>
      </c>
      <c r="G39" s="5">
        <f>'Freight-based Energy Use'!N37</f>
        <v>264.16583467351893</v>
      </c>
      <c r="H39" s="5">
        <f>Pipelines!F40</f>
        <v>647.75326279064222</v>
      </c>
      <c r="I39" s="5">
        <f t="shared" si="5"/>
        <v>5109.2119779293553</v>
      </c>
      <c r="K39" s="4">
        <f>'Freight-Trucks'!J40</f>
        <v>891754.20190285472</v>
      </c>
      <c r="L39" s="4">
        <f>'Freight-based Activity'!E37</f>
        <v>913669</v>
      </c>
      <c r="M39" s="4">
        <f>'Freight-based Activity'!F37</f>
        <v>7579.8829999999998</v>
      </c>
      <c r="N39" s="4">
        <f>'Freight-based Activity'!G37</f>
        <v>828759.49</v>
      </c>
      <c r="O39" s="4">
        <f>Pipelines!J40</f>
        <v>251890.28616830005</v>
      </c>
      <c r="P39" s="4">
        <f t="shared" si="6"/>
        <v>2893652.8610711549</v>
      </c>
      <c r="R39" s="4">
        <f t="shared" si="51"/>
        <v>3873.9476199737169</v>
      </c>
      <c r="S39" s="4">
        <f t="shared" si="53"/>
        <v>618.18047553326198</v>
      </c>
      <c r="T39" s="4">
        <f t="shared" si="57"/>
        <v>23466.256075729405</v>
      </c>
      <c r="U39" s="4">
        <f t="shared" si="58"/>
        <v>318.74848838656305</v>
      </c>
      <c r="V39" s="4">
        <f t="shared" si="7"/>
        <v>2571.5690455718768</v>
      </c>
      <c r="W39" s="4">
        <f t="shared" si="8"/>
        <v>1765.6616820436636</v>
      </c>
      <c r="Y39" s="129">
        <f>'Freight-Trucks'!W40</f>
        <v>0.96870551682502759</v>
      </c>
      <c r="Z39" s="129">
        <f t="shared" si="54"/>
        <v>1.2431447812398349</v>
      </c>
      <c r="AA39" s="129">
        <f t="shared" si="59"/>
        <v>1.0932179643019484</v>
      </c>
      <c r="AB39" s="129">
        <f t="shared" si="60"/>
        <v>1.0621572856700512</v>
      </c>
      <c r="AC39" s="129">
        <f t="shared" si="0"/>
        <v>1.0397165706155582</v>
      </c>
      <c r="AD39" s="129"/>
      <c r="AE39" s="142">
        <f>'Freight-Trucks'!V40</f>
        <v>0.98268501143067521</v>
      </c>
      <c r="AF39" s="142">
        <v>1</v>
      </c>
      <c r="AG39" s="142">
        <v>1</v>
      </c>
      <c r="AH39" s="142">
        <v>1</v>
      </c>
      <c r="AI39" s="142">
        <v>1</v>
      </c>
      <c r="AK39" s="131">
        <f t="shared" si="61"/>
        <v>0.99515469791062616</v>
      </c>
      <c r="AL39" s="131">
        <f t="shared" si="62"/>
        <v>0.99859023716565998</v>
      </c>
      <c r="AM39" s="131">
        <f t="shared" si="63"/>
        <v>0.99831609195891147</v>
      </c>
      <c r="AN39" s="131">
        <f t="shared" si="64"/>
        <v>0.98852077650374071</v>
      </c>
      <c r="AO39" s="131">
        <f t="shared" si="65"/>
        <v>1.0118903227897342</v>
      </c>
      <c r="AP39" s="131">
        <f t="shared" si="66"/>
        <v>0.99375176580309255</v>
      </c>
      <c r="AQ39" s="131">
        <f t="shared" si="67"/>
        <v>0.99375176580309288</v>
      </c>
      <c r="AR39" s="131"/>
      <c r="AS39" s="131">
        <f t="shared" si="68"/>
        <v>0.98685619841940297</v>
      </c>
      <c r="AU39" s="134"/>
      <c r="AW39" s="129">
        <f t="shared" si="9"/>
        <v>0.67615301204691813</v>
      </c>
      <c r="AX39" s="129">
        <f t="shared" si="10"/>
        <v>0.11054783777613104</v>
      </c>
      <c r="AY39" s="129">
        <f t="shared" si="11"/>
        <v>3.4813876635072634E-2</v>
      </c>
      <c r="AZ39" s="129">
        <f t="shared" si="12"/>
        <v>5.1703831396046167E-2</v>
      </c>
      <c r="BA39" s="129">
        <f t="shared" si="13"/>
        <v>0.12678144214583195</v>
      </c>
      <c r="BC39" s="129">
        <f t="shared" si="23"/>
        <v>0.67803125329885983</v>
      </c>
      <c r="BD39" s="129">
        <f t="shared" si="24"/>
        <v>0.11122976890824472</v>
      </c>
      <c r="BE39" s="129">
        <f t="shared" si="25"/>
        <v>3.6260653250979324E-2</v>
      </c>
      <c r="BF39" s="129">
        <f t="shared" si="26"/>
        <v>5.2923367434218369E-2</v>
      </c>
      <c r="BG39" s="129">
        <f t="shared" si="27"/>
        <v>0.1214466394578219</v>
      </c>
      <c r="BH39" s="129">
        <f t="shared" si="28"/>
        <v>0.99989168235012404</v>
      </c>
      <c r="BI39" s="129"/>
      <c r="BJ39" s="129">
        <f t="shared" si="29"/>
        <v>0.6781047040067677</v>
      </c>
      <c r="BK39" s="129">
        <f t="shared" si="30"/>
        <v>0.11124181836057746</v>
      </c>
      <c r="BL39" s="129">
        <f t="shared" si="31"/>
        <v>3.6264581345204369E-2</v>
      </c>
      <c r="BM39" s="129">
        <f t="shared" si="32"/>
        <v>5.2929100590004323E-2</v>
      </c>
      <c r="BN39" s="129">
        <f t="shared" si="33"/>
        <v>0.12145979569744626</v>
      </c>
      <c r="BQ39" s="129">
        <f t="shared" si="34"/>
        <v>3.2503216996143135E-2</v>
      </c>
      <c r="BR39" s="129">
        <f t="shared" si="35"/>
        <v>-3.6825643782105948E-2</v>
      </c>
      <c r="BS39" s="129">
        <f t="shared" si="36"/>
        <v>-6.7322489324123505E-2</v>
      </c>
      <c r="BT39" s="129">
        <f t="shared" si="37"/>
        <v>-1.0050335853501338E-2</v>
      </c>
      <c r="BU39" s="129">
        <f t="shared" si="38"/>
        <v>8.5907149781340675E-2</v>
      </c>
      <c r="BW39" s="129">
        <f t="shared" si="14"/>
        <v>0.30817594394261605</v>
      </c>
      <c r="BX39" s="129">
        <f t="shared" si="15"/>
        <v>0.31574934654109943</v>
      </c>
      <c r="BY39" s="129">
        <f t="shared" si="16"/>
        <v>2.6194859452471175E-3</v>
      </c>
      <c r="BZ39" s="129">
        <f t="shared" si="17"/>
        <v>0.28640598226188568</v>
      </c>
      <c r="CA39" s="129">
        <f t="shared" si="18"/>
        <v>8.7049241309151648E-2</v>
      </c>
      <c r="CC39" s="129">
        <f t="shared" si="39"/>
        <v>-1.7807041635381035E-2</v>
      </c>
      <c r="CD39" s="129">
        <f t="shared" si="40"/>
        <v>3.6811105400916005E-2</v>
      </c>
      <c r="CE39" s="129">
        <f t="shared" si="41"/>
        <v>-1.29431757943154E-3</v>
      </c>
      <c r="CF39" s="129">
        <f t="shared" si="42"/>
        <v>-2.4123772107918957E-2</v>
      </c>
      <c r="CG39" s="129">
        <f t="shared" si="43"/>
        <v>1.2969508191608203E-2</v>
      </c>
      <c r="CI39" s="129">
        <f t="shared" si="44"/>
        <v>-7.969291417887556E-3</v>
      </c>
      <c r="CJ39" s="129">
        <f t="shared" si="45"/>
        <v>0</v>
      </c>
      <c r="CK39" s="129">
        <f t="shared" si="46"/>
        <v>0</v>
      </c>
      <c r="CL39" s="129">
        <f t="shared" si="47"/>
        <v>0</v>
      </c>
      <c r="CM39" s="129">
        <f t="shared" si="48"/>
        <v>0</v>
      </c>
      <c r="CO39" s="129">
        <f t="shared" si="49"/>
        <v>1.0257303757000147</v>
      </c>
      <c r="CP39" s="129">
        <f t="shared" si="19"/>
        <v>1.0252750102807464</v>
      </c>
      <c r="CQ39" s="129">
        <f t="shared" si="1"/>
        <v>1.0118903227897342</v>
      </c>
      <c r="CR39" s="129"/>
      <c r="CS39" s="129">
        <f t="shared" si="50"/>
        <v>0.99230117094922154</v>
      </c>
      <c r="CT39" s="129">
        <f t="shared" si="20"/>
        <v>1.0446669494937593</v>
      </c>
      <c r="CU39" s="129">
        <f t="shared" si="2"/>
        <v>0.99831609195891147</v>
      </c>
      <c r="CV39" s="129"/>
      <c r="CW39" s="129">
        <f t="shared" si="21"/>
        <v>0.99461056141850424</v>
      </c>
      <c r="CX39" s="129">
        <f t="shared" si="22"/>
        <v>1.0072355767955372</v>
      </c>
      <c r="CY39" s="129">
        <f t="shared" si="3"/>
        <v>0.98852077650374071</v>
      </c>
      <c r="DA39">
        <f t="shared" si="55"/>
        <v>1979</v>
      </c>
      <c r="DB39" s="4">
        <f>'Freight-based Activity'!G37</f>
        <v>828759.49</v>
      </c>
      <c r="DC39" s="4">
        <f>'Freight-based Activity'!I37</f>
        <v>931846.38100000005</v>
      </c>
      <c r="DD39">
        <f t="shared" si="56"/>
        <v>264.16583467351893</v>
      </c>
      <c r="DE39">
        <f t="shared" si="72"/>
        <v>1979</v>
      </c>
      <c r="DF39" s="136">
        <f t="shared" si="73"/>
        <v>0.31874848838656306</v>
      </c>
      <c r="DG39" s="136">
        <f t="shared" si="74"/>
        <v>0.28348646306919439</v>
      </c>
      <c r="DH39" s="136">
        <f t="shared" si="70"/>
        <v>1.0621572856700512</v>
      </c>
      <c r="DI39" s="136">
        <f t="shared" si="71"/>
        <v>1.0207596697775458</v>
      </c>
      <c r="DJ39" s="136">
        <f t="shared" si="52"/>
        <v>0.8893735135941897</v>
      </c>
    </row>
    <row r="40" spans="1:114" x14ac:dyDescent="0.2">
      <c r="A40" s="133" t="s">
        <v>664</v>
      </c>
      <c r="B40" s="133">
        <f t="shared" si="4"/>
        <v>1980</v>
      </c>
      <c r="D40" s="5">
        <f>'Freight-Trucks'!F41</f>
        <v>3451.9989368313531</v>
      </c>
      <c r="E40" s="5">
        <f>'Freight-based Energy Use'!D38</f>
        <v>548.69664520000003</v>
      </c>
      <c r="F40" s="5">
        <f>'Freight-based Energy Use'!E38</f>
        <v>177.86748730522385</v>
      </c>
      <c r="G40" s="5">
        <f>'Freight-based Energy Use'!N38</f>
        <v>290.89543011271189</v>
      </c>
      <c r="H40" s="5">
        <f>Pipelines!F41</f>
        <v>684.03177412663592</v>
      </c>
      <c r="I40" s="5">
        <f t="shared" si="5"/>
        <v>5153.4902735759251</v>
      </c>
      <c r="K40" s="4">
        <f>'Freight-Trucks'!J41</f>
        <v>820473.39903737884</v>
      </c>
      <c r="L40" s="4">
        <f>'Freight-based Activity'!E38</f>
        <v>918958</v>
      </c>
      <c r="M40" s="4">
        <f>'Freight-based Activity'!F38</f>
        <v>7883.2290000000003</v>
      </c>
      <c r="N40" s="4">
        <f>'Freight-based Activity'!G38</f>
        <v>921835.8</v>
      </c>
      <c r="O40" s="4">
        <f>Pipelines!J41</f>
        <v>252931.1615817</v>
      </c>
      <c r="P40" s="4">
        <f t="shared" si="6"/>
        <v>2922081.5896190791</v>
      </c>
      <c r="R40" s="4">
        <f t="shared" si="51"/>
        <v>4207.325844910285</v>
      </c>
      <c r="S40" s="4">
        <f t="shared" si="53"/>
        <v>597.08566136863715</v>
      </c>
      <c r="T40" s="4">
        <f t="shared" si="57"/>
        <v>22562.770573482496</v>
      </c>
      <c r="U40" s="4">
        <f t="shared" si="58"/>
        <v>315.56100350269742</v>
      </c>
      <c r="V40" s="4">
        <f t="shared" si="7"/>
        <v>2704.4187432226886</v>
      </c>
      <c r="W40" s="4">
        <f t="shared" si="8"/>
        <v>1763.6366800585233</v>
      </c>
      <c r="Y40" s="129">
        <f>'Freight-Trucks'!W41</f>
        <v>1.042755475424004</v>
      </c>
      <c r="Z40" s="129">
        <f t="shared" si="54"/>
        <v>1.2007236612305756</v>
      </c>
      <c r="AA40" s="129">
        <f t="shared" si="59"/>
        <v>1.0511274587541013</v>
      </c>
      <c r="AB40" s="129">
        <f t="shared" si="60"/>
        <v>1.0515357128133507</v>
      </c>
      <c r="AC40" s="129">
        <f t="shared" si="0"/>
        <v>1.0934293154810568</v>
      </c>
      <c r="AD40" s="129"/>
      <c r="AE40" s="142">
        <f>'Freight-Trucks'!V41</f>
        <v>0.99146190036923021</v>
      </c>
      <c r="AF40" s="142">
        <v>1</v>
      </c>
      <c r="AG40" s="142">
        <v>1</v>
      </c>
      <c r="AH40" s="142">
        <v>1</v>
      </c>
      <c r="AI40" s="142">
        <v>1</v>
      </c>
      <c r="AK40" s="131">
        <f t="shared" si="61"/>
        <v>1.0049316076259194</v>
      </c>
      <c r="AL40" s="131">
        <f t="shared" si="62"/>
        <v>0.99744497404239751</v>
      </c>
      <c r="AM40" s="131">
        <f t="shared" si="63"/>
        <v>0.94246328077284658</v>
      </c>
      <c r="AN40" s="131">
        <f t="shared" si="64"/>
        <v>0.99445441913840149</v>
      </c>
      <c r="AO40" s="131">
        <f t="shared" si="65"/>
        <v>1.0642401165256488</v>
      </c>
      <c r="AP40" s="131">
        <f t="shared" si="66"/>
        <v>1.0023639812828196</v>
      </c>
      <c r="AQ40" s="131">
        <f t="shared" si="67"/>
        <v>1.00236398128282</v>
      </c>
      <c r="AR40" s="131"/>
      <c r="AS40" s="131">
        <f t="shared" si="68"/>
        <v>0.93723677444023334</v>
      </c>
      <c r="AU40" s="134"/>
      <c r="AW40" s="129">
        <f t="shared" si="9"/>
        <v>0.66983709167574812</v>
      </c>
      <c r="AX40" s="129">
        <f t="shared" si="10"/>
        <v>0.10647088013601085</v>
      </c>
      <c r="AY40" s="129">
        <f t="shared" si="11"/>
        <v>3.4513985253299878E-2</v>
      </c>
      <c r="AZ40" s="129">
        <f t="shared" si="12"/>
        <v>5.6446294582965066E-2</v>
      </c>
      <c r="BA40" s="129">
        <f t="shared" si="13"/>
        <v>0.13273174835197604</v>
      </c>
      <c r="BC40" s="129">
        <f t="shared" si="23"/>
        <v>0.67299011236434436</v>
      </c>
      <c r="BD40" s="129">
        <f t="shared" si="24"/>
        <v>0.10849659266234209</v>
      </c>
      <c r="BE40" s="129">
        <f t="shared" si="25"/>
        <v>3.4663714736523979E-2</v>
      </c>
      <c r="BF40" s="129">
        <f t="shared" si="26"/>
        <v>5.4040385111272016E-2</v>
      </c>
      <c r="BG40" s="129">
        <f t="shared" si="27"/>
        <v>0.12973385323916586</v>
      </c>
      <c r="BH40" s="129">
        <f t="shared" si="28"/>
        <v>0.99992465811364828</v>
      </c>
      <c r="BI40" s="129"/>
      <c r="BJ40" s="129">
        <f t="shared" si="29"/>
        <v>0.67304082052935477</v>
      </c>
      <c r="BK40" s="129">
        <f t="shared" si="30"/>
        <v>0.10850476761621244</v>
      </c>
      <c r="BL40" s="129">
        <f t="shared" si="31"/>
        <v>3.466632656296012E-2</v>
      </c>
      <c r="BM40" s="129">
        <f t="shared" si="32"/>
        <v>5.4044456922603422E-2</v>
      </c>
      <c r="BN40" s="129">
        <f t="shared" si="33"/>
        <v>0.1297436283688693</v>
      </c>
      <c r="BQ40" s="129">
        <f t="shared" si="34"/>
        <v>7.3661322512141192E-2</v>
      </c>
      <c r="BR40" s="129">
        <f t="shared" si="35"/>
        <v>-3.4719856952937979E-2</v>
      </c>
      <c r="BS40" s="129">
        <f t="shared" si="36"/>
        <v>-3.9262249372218387E-2</v>
      </c>
      <c r="BT40" s="129">
        <f t="shared" si="37"/>
        <v>-1.0050335853501451E-2</v>
      </c>
      <c r="BU40" s="129">
        <f t="shared" si="38"/>
        <v>5.0370770668063225E-2</v>
      </c>
      <c r="BW40" s="129">
        <f t="shared" si="14"/>
        <v>0.28078387747699246</v>
      </c>
      <c r="BX40" s="129">
        <f t="shared" si="15"/>
        <v>0.31448745417125562</v>
      </c>
      <c r="BY40" s="129">
        <f t="shared" si="16"/>
        <v>2.6978127606038728E-3</v>
      </c>
      <c r="BZ40" s="129">
        <f t="shared" si="17"/>
        <v>0.31547230004627286</v>
      </c>
      <c r="CA40" s="129">
        <f t="shared" si="18"/>
        <v>8.6558555544875099E-2</v>
      </c>
      <c r="CC40" s="129">
        <f t="shared" si="39"/>
        <v>-9.3085612330504955E-2</v>
      </c>
      <c r="CD40" s="129">
        <f t="shared" si="40"/>
        <v>-4.0045076857919892E-3</v>
      </c>
      <c r="CE40" s="129">
        <f t="shared" si="41"/>
        <v>2.9463261627606818E-2</v>
      </c>
      <c r="CF40" s="129">
        <f t="shared" si="42"/>
        <v>9.6660558471908159E-2</v>
      </c>
      <c r="CG40" s="129">
        <f t="shared" si="43"/>
        <v>-5.6528229699211643E-3</v>
      </c>
      <c r="CI40" s="129">
        <f t="shared" si="44"/>
        <v>8.8918881520293116E-3</v>
      </c>
      <c r="CJ40" s="129">
        <f t="shared" si="45"/>
        <v>0</v>
      </c>
      <c r="CK40" s="129">
        <f t="shared" si="46"/>
        <v>0</v>
      </c>
      <c r="CL40" s="129">
        <f t="shared" si="47"/>
        <v>0</v>
      </c>
      <c r="CM40" s="129">
        <f t="shared" si="48"/>
        <v>0</v>
      </c>
      <c r="CO40" s="129">
        <f t="shared" si="49"/>
        <v>1.0517346520239355</v>
      </c>
      <c r="CP40" s="129">
        <f t="shared" si="19"/>
        <v>1.0783172561664576</v>
      </c>
      <c r="CQ40" s="129">
        <f t="shared" si="1"/>
        <v>1.0642401165256488</v>
      </c>
      <c r="CR40" s="129"/>
      <c r="CS40" s="129">
        <f t="shared" si="50"/>
        <v>0.9440529791756942</v>
      </c>
      <c r="CT40" s="129">
        <f t="shared" si="20"/>
        <v>0.98622094591596787</v>
      </c>
      <c r="CU40" s="129">
        <f t="shared" si="2"/>
        <v>0.94246328077284658</v>
      </c>
      <c r="CV40" s="129"/>
      <c r="CW40" s="129">
        <f t="shared" si="21"/>
        <v>1.0060025472156966</v>
      </c>
      <c r="CX40" s="129">
        <f t="shared" si="22"/>
        <v>1.0132815559025818</v>
      </c>
      <c r="CY40" s="129">
        <f t="shared" si="3"/>
        <v>0.99445441913840149</v>
      </c>
      <c r="DA40">
        <f t="shared" si="55"/>
        <v>1980</v>
      </c>
      <c r="DB40" s="4">
        <f>'Freight-based Activity'!G38</f>
        <v>921835.8</v>
      </c>
      <c r="DC40" s="4">
        <f>'Freight-based Activity'!I38</f>
        <v>1016085.2000000001</v>
      </c>
      <c r="DD40">
        <f t="shared" si="56"/>
        <v>290.89543011271189</v>
      </c>
      <c r="DE40">
        <f t="shared" si="72"/>
        <v>1980</v>
      </c>
      <c r="DF40" s="136">
        <f t="shared" si="73"/>
        <v>0.31556100350269745</v>
      </c>
      <c r="DG40" s="136">
        <f t="shared" si="74"/>
        <v>0.28629039190090744</v>
      </c>
      <c r="DH40" s="136">
        <f t="shared" si="70"/>
        <v>1.0515357128133509</v>
      </c>
      <c r="DI40" s="136">
        <f t="shared" si="71"/>
        <v>1.0308558748568004</v>
      </c>
      <c r="DJ40" s="136">
        <f t="shared" si="52"/>
        <v>0.9072426209928065</v>
      </c>
    </row>
    <row r="41" spans="1:114" x14ac:dyDescent="0.2">
      <c r="A41" s="133" t="s">
        <v>664</v>
      </c>
      <c r="B41" s="133">
        <f t="shared" si="4"/>
        <v>1981</v>
      </c>
      <c r="D41" s="5">
        <f>'Freight-Trucks'!F42</f>
        <v>3509.0359485388508</v>
      </c>
      <c r="E41" s="5">
        <f>'Freight-based Energy Use'!D39</f>
        <v>523.48694929999999</v>
      </c>
      <c r="F41" s="5">
        <f>'Freight-based Energy Use'!E39</f>
        <v>188.82687353034697</v>
      </c>
      <c r="G41" s="5">
        <f>'Freight-based Energy Use'!N39</f>
        <v>290.35375892112535</v>
      </c>
      <c r="H41" s="5">
        <f>Pipelines!F42</f>
        <v>692.33450667662169</v>
      </c>
      <c r="I41" s="5">
        <f t="shared" si="5"/>
        <v>5204.0380369669447</v>
      </c>
      <c r="K41" s="4">
        <f>'Freight-Trucks'!J42</f>
        <v>786859.36385379161</v>
      </c>
      <c r="L41" s="4">
        <f>'Freight-based Activity'!E39</f>
        <v>910169</v>
      </c>
      <c r="M41" s="4">
        <f>'Freight-based Activity'!F39</f>
        <v>7917.192</v>
      </c>
      <c r="N41" s="4">
        <f>'Freight-based Activity'!G39</f>
        <v>929413.4</v>
      </c>
      <c r="O41" s="4">
        <f>Pipelines!J42</f>
        <v>247623.06527580004</v>
      </c>
      <c r="P41" s="4">
        <f t="shared" si="6"/>
        <v>2881982.0211295919</v>
      </c>
      <c r="R41" s="4">
        <f t="shared" ref="R41:R67" si="75">D41/K41*1000000</f>
        <v>4459.5465336431753</v>
      </c>
      <c r="S41" s="4">
        <f t="shared" ref="S41:S67" si="76">E41/L41*1000000</f>
        <v>575.15356961179737</v>
      </c>
      <c r="T41" s="4">
        <f t="shared" ref="T41:T67" si="77">F41/M41*1000000</f>
        <v>23850.232952585586</v>
      </c>
      <c r="U41" s="4">
        <f t="shared" ref="U41:U60" si="78">G41/N41*1000000</f>
        <v>312.40539346767042</v>
      </c>
      <c r="V41" s="4">
        <f t="shared" ref="V41:V60" si="79">H41/O41*1000000</f>
        <v>2795.9209127207378</v>
      </c>
      <c r="W41" s="4">
        <f t="shared" ref="W41:W67" si="80">I41/P41*1000000</f>
        <v>1805.7149554761008</v>
      </c>
      <c r="Y41" s="129">
        <f>'Freight-Trucks'!W42</f>
        <v>1.0941752701555822</v>
      </c>
      <c r="Z41" s="129">
        <f t="shared" si="54"/>
        <v>1.1566187978641467</v>
      </c>
      <c r="AA41" s="129">
        <f t="shared" si="59"/>
        <v>1.1111062213081393</v>
      </c>
      <c r="AB41" s="129">
        <f t="shared" si="60"/>
        <v>1.0410203556852171</v>
      </c>
      <c r="AC41" s="129">
        <f t="shared" ref="AC41:AC71" si="81">V41/V$73</f>
        <v>1.130424752970171</v>
      </c>
      <c r="AD41" s="129"/>
      <c r="AE41" s="142">
        <f>'Freight-Trucks'!V42</f>
        <v>1.0015120195655618</v>
      </c>
      <c r="AF41" s="142">
        <v>1</v>
      </c>
      <c r="AG41" s="142">
        <v>1</v>
      </c>
      <c r="AH41" s="142">
        <v>1</v>
      </c>
      <c r="AI41" s="142">
        <v>1</v>
      </c>
      <c r="AK41" s="131">
        <f t="shared" si="61"/>
        <v>0.99114098522495508</v>
      </c>
      <c r="AL41" s="131">
        <f t="shared" si="62"/>
        <v>1.0212428258370436</v>
      </c>
      <c r="AM41" s="131">
        <f t="shared" ref="AM41:AM68" si="82">CU41</f>
        <v>0.92611510449657408</v>
      </c>
      <c r="AN41" s="131">
        <f t="shared" ref="AN41:AN68" si="83">CY41</f>
        <v>1.0012181548564416</v>
      </c>
      <c r="AO41" s="131">
        <f t="shared" ref="AO41:AO68" si="84">CQ41</f>
        <v>1.1013753069747634</v>
      </c>
      <c r="AP41" s="131">
        <f t="shared" ref="AP41:AP68" si="85">AK41*AM41*AN41*AO41</f>
        <v>1.0121956205540443</v>
      </c>
      <c r="AQ41" s="131">
        <f t="shared" si="67"/>
        <v>1.0121956205540448</v>
      </c>
      <c r="AR41" s="131"/>
      <c r="AS41" s="131">
        <f t="shared" ref="AS41:AS68" si="86">AM41*AN41</f>
        <v>0.92724325610874048</v>
      </c>
      <c r="AU41" s="134"/>
      <c r="AW41" s="129">
        <f t="shared" si="9"/>
        <v>0.67429098780838514</v>
      </c>
      <c r="AX41" s="129">
        <f t="shared" si="10"/>
        <v>0.10059245254961711</v>
      </c>
      <c r="AY41" s="129">
        <f t="shared" si="11"/>
        <v>3.6284683583980952E-2</v>
      </c>
      <c r="AZ41" s="129">
        <f t="shared" si="12"/>
        <v>5.5793934798053751E-2</v>
      </c>
      <c r="BA41" s="129">
        <f t="shared" si="13"/>
        <v>0.13303794125996302</v>
      </c>
      <c r="BC41" s="129">
        <f t="shared" si="23"/>
        <v>0.67206158000018856</v>
      </c>
      <c r="BD41" s="129">
        <f t="shared" si="24"/>
        <v>0.10350384607765833</v>
      </c>
      <c r="BE41" s="129">
        <f t="shared" si="25"/>
        <v>3.539195222771465E-2</v>
      </c>
      <c r="BF41" s="129">
        <f t="shared" si="26"/>
        <v>5.6119482746679078E-2</v>
      </c>
      <c r="BG41" s="129">
        <f t="shared" si="27"/>
        <v>0.13288478601187342</v>
      </c>
      <c r="BH41" s="129">
        <f t="shared" si="28"/>
        <v>0.99996164706411395</v>
      </c>
      <c r="BI41" s="129"/>
      <c r="BJ41" s="129">
        <f t="shared" si="29"/>
        <v>0.67208735652348317</v>
      </c>
      <c r="BK41" s="129">
        <f t="shared" si="30"/>
        <v>0.10350781590628549</v>
      </c>
      <c r="BL41" s="129">
        <f t="shared" si="31"/>
        <v>3.5393309665051026E-2</v>
      </c>
      <c r="BM41" s="129">
        <f t="shared" si="32"/>
        <v>5.6121635176154809E-2</v>
      </c>
      <c r="BN41" s="129">
        <f t="shared" si="33"/>
        <v>0.13288988272902563</v>
      </c>
      <c r="BQ41" s="129">
        <f t="shared" si="34"/>
        <v>4.8134196520159857E-2</v>
      </c>
      <c r="BR41" s="129">
        <f t="shared" si="35"/>
        <v>-3.7423506754827245E-2</v>
      </c>
      <c r="BS41" s="129">
        <f t="shared" si="36"/>
        <v>5.5492756492953682E-2</v>
      </c>
      <c r="BT41" s="129">
        <f t="shared" si="37"/>
        <v>-1.0050335853501451E-2</v>
      </c>
      <c r="BU41" s="129">
        <f t="shared" si="38"/>
        <v>3.3274531255930995E-2</v>
      </c>
      <c r="BW41" s="129">
        <f t="shared" si="14"/>
        <v>0.27302715911648273</v>
      </c>
      <c r="BX41" s="129">
        <f t="shared" si="15"/>
        <v>0.31581355932375305</v>
      </c>
      <c r="BY41" s="129">
        <f t="shared" si="16"/>
        <v>2.7471344172011383E-3</v>
      </c>
      <c r="BZ41" s="129">
        <f t="shared" si="17"/>
        <v>0.32249104719803795</v>
      </c>
      <c r="CA41" s="129">
        <f t="shared" si="18"/>
        <v>8.592109994452507E-2</v>
      </c>
      <c r="CC41" s="129">
        <f t="shared" si="39"/>
        <v>-2.8013979930874264E-2</v>
      </c>
      <c r="CD41" s="129">
        <f t="shared" si="40"/>
        <v>4.2078533296814264E-3</v>
      </c>
      <c r="CE41" s="129">
        <f t="shared" si="41"/>
        <v>1.811698223306411E-2</v>
      </c>
      <c r="CF41" s="129">
        <f t="shared" si="42"/>
        <v>2.200449409808931E-2</v>
      </c>
      <c r="CG41" s="129">
        <f t="shared" si="43"/>
        <v>-7.3916949907550959E-3</v>
      </c>
      <c r="CI41" s="129">
        <f t="shared" si="44"/>
        <v>1.0085635629456568E-2</v>
      </c>
      <c r="CJ41" s="129">
        <f t="shared" si="45"/>
        <v>0</v>
      </c>
      <c r="CK41" s="129">
        <f t="shared" si="46"/>
        <v>0</v>
      </c>
      <c r="CL41" s="129">
        <f t="shared" si="47"/>
        <v>0</v>
      </c>
      <c r="CM41" s="129">
        <f t="shared" si="48"/>
        <v>0</v>
      </c>
      <c r="CO41" s="129">
        <f t="shared" si="49"/>
        <v>1.0348936202201691</v>
      </c>
      <c r="CP41" s="129">
        <f t="shared" si="19"/>
        <v>1.1159436489799848</v>
      </c>
      <c r="CQ41" s="129">
        <f t="shared" ref="CQ41:CQ71" si="87">CP41/CP$73</f>
        <v>1.1013753069747634</v>
      </c>
      <c r="CR41" s="129"/>
      <c r="CS41" s="129">
        <f t="shared" si="50"/>
        <v>0.98265377908106244</v>
      </c>
      <c r="CT41" s="129">
        <f t="shared" si="20"/>
        <v>0.96911373951322588</v>
      </c>
      <c r="CU41" s="129">
        <f t="shared" ref="CU41:CU71" si="88">CT41/CT$73</f>
        <v>0.92611510449657408</v>
      </c>
      <c r="CV41" s="129"/>
      <c r="CW41" s="129">
        <f t="shared" si="21"/>
        <v>1.0068014537296746</v>
      </c>
      <c r="CX41" s="129">
        <f t="shared" si="22"/>
        <v>1.0201733435201858</v>
      </c>
      <c r="CY41" s="129">
        <f t="shared" ref="CY41:CY71" si="89">CX41/CX$73</f>
        <v>1.0012181548564416</v>
      </c>
      <c r="DA41">
        <f t="shared" si="55"/>
        <v>1981</v>
      </c>
      <c r="DB41" s="4">
        <f>'Freight-based Activity'!G39</f>
        <v>929413.4</v>
      </c>
      <c r="DC41" s="4">
        <f>'Freight-based Activity'!I39</f>
        <v>1023636.5</v>
      </c>
      <c r="DD41">
        <f t="shared" si="56"/>
        <v>290.35375892112535</v>
      </c>
      <c r="DE41">
        <f t="shared" si="72"/>
        <v>1981</v>
      </c>
      <c r="DF41" s="136">
        <f t="shared" si="73"/>
        <v>0.31240539346767043</v>
      </c>
      <c r="DG41" s="136">
        <f t="shared" si="74"/>
        <v>0.28364928265172779</v>
      </c>
      <c r="DH41" s="136">
        <f t="shared" si="70"/>
        <v>1.0410203556852171</v>
      </c>
      <c r="DI41" s="136">
        <f t="shared" si="71"/>
        <v>1.0213459399701352</v>
      </c>
      <c r="DJ41" s="136">
        <f t="shared" si="52"/>
        <v>0.90795257886954994</v>
      </c>
    </row>
    <row r="42" spans="1:114" x14ac:dyDescent="0.2">
      <c r="A42" s="133" t="s">
        <v>664</v>
      </c>
      <c r="B42" s="133">
        <f t="shared" ref="B42:B71" si="90">B41+1</f>
        <v>1982</v>
      </c>
      <c r="D42" s="5">
        <f>'Freight-Trucks'!F43</f>
        <v>3505.7031413219638</v>
      </c>
      <c r="E42" s="5">
        <f>'Freight-based Energy Use'!D40</f>
        <v>440.80468919999998</v>
      </c>
      <c r="F42" s="5">
        <f>'Freight-based Energy Use'!E40</f>
        <v>175.96772878425369</v>
      </c>
      <c r="G42" s="5">
        <f>'Freight-based Energy Use'!N40</f>
        <v>274.16822699007145</v>
      </c>
      <c r="H42" s="5">
        <f>Pipelines!F43</f>
        <v>642.84577976677053</v>
      </c>
      <c r="I42" s="5">
        <f t="shared" si="5"/>
        <v>5039.4895660630591</v>
      </c>
      <c r="K42" s="4">
        <f>'Freight-Trucks'!J43</f>
        <v>783534.05099709798</v>
      </c>
      <c r="L42" s="4">
        <f>'Freight-based Activity'!E40</f>
        <v>797759</v>
      </c>
      <c r="M42" s="4">
        <f>'Freight-based Activity'!F40</f>
        <v>7807.4030000000002</v>
      </c>
      <c r="N42" s="4">
        <f>'Freight-based Activity'!G40</f>
        <v>886468.7</v>
      </c>
      <c r="O42" s="4">
        <f>Pipelines!J43</f>
        <v>226258.42718540001</v>
      </c>
      <c r="P42" s="4">
        <f t="shared" si="6"/>
        <v>2701827.581182498</v>
      </c>
      <c r="R42" s="4">
        <f t="shared" si="75"/>
        <v>4474.2192593426271</v>
      </c>
      <c r="S42" s="4">
        <f t="shared" si="76"/>
        <v>552.55370255929415</v>
      </c>
      <c r="T42" s="4">
        <f t="shared" si="77"/>
        <v>22538.573810555659</v>
      </c>
      <c r="U42" s="4">
        <f t="shared" si="78"/>
        <v>309.28133953299363</v>
      </c>
      <c r="V42" s="4">
        <f t="shared" si="79"/>
        <v>2841.2014870058815</v>
      </c>
      <c r="W42" s="4">
        <f t="shared" si="80"/>
        <v>1865.2150866923366</v>
      </c>
      <c r="Y42" s="129">
        <f>'Freight-Trucks'!W43</f>
        <v>1.0886182459848992</v>
      </c>
      <c r="Z42" s="129">
        <f t="shared" si="54"/>
        <v>1.1111710558292693</v>
      </c>
      <c r="AA42" s="129">
        <f t="shared" si="59"/>
        <v>1.0500002088074458</v>
      </c>
      <c r="AB42" s="129">
        <f t="shared" si="60"/>
        <v>1.0306101521283646</v>
      </c>
      <c r="AC42" s="129">
        <f t="shared" si="81"/>
        <v>1.1487322386246279</v>
      </c>
      <c r="AD42" s="129"/>
      <c r="AE42" s="142">
        <f>'Freight-Trucks'!V43</f>
        <v>1.0099363750300268</v>
      </c>
      <c r="AF42" s="142">
        <v>1</v>
      </c>
      <c r="AG42" s="142">
        <v>1</v>
      </c>
      <c r="AH42" s="142">
        <v>1</v>
      </c>
      <c r="AI42" s="142">
        <v>1</v>
      </c>
      <c r="AK42" s="131">
        <f t="shared" si="61"/>
        <v>0.92918416252700275</v>
      </c>
      <c r="AL42" s="131">
        <f t="shared" si="62"/>
        <v>1.0548938082120123</v>
      </c>
      <c r="AM42" s="131">
        <f t="shared" si="82"/>
        <v>0.95853540492780875</v>
      </c>
      <c r="AN42" s="131">
        <f t="shared" si="83"/>
        <v>1.0069801550422826</v>
      </c>
      <c r="AO42" s="131">
        <f t="shared" si="84"/>
        <v>1.0928981040766685</v>
      </c>
      <c r="AP42" s="131">
        <f t="shared" si="85"/>
        <v>0.98019061973839905</v>
      </c>
      <c r="AQ42" s="131">
        <f t="shared" si="67"/>
        <v>0.98019061973839927</v>
      </c>
      <c r="AR42" s="131"/>
      <c r="AS42" s="131">
        <f t="shared" si="86"/>
        <v>0.96522613066772189</v>
      </c>
      <c r="AU42" s="134"/>
      <c r="AW42" s="129">
        <f t="shared" si="9"/>
        <v>0.69564647279559366</v>
      </c>
      <c r="AX42" s="129">
        <f t="shared" si="10"/>
        <v>8.7470106529928704E-2</v>
      </c>
      <c r="AY42" s="129">
        <f t="shared" si="11"/>
        <v>3.4917768253605666E-2</v>
      </c>
      <c r="AZ42" s="129">
        <f t="shared" si="12"/>
        <v>5.4403967583617131E-2</v>
      </c>
      <c r="BA42" s="129">
        <f t="shared" si="13"/>
        <v>0.12756168483725491</v>
      </c>
      <c r="BC42" s="129">
        <f t="shared" si="23"/>
        <v>0.68491324281817556</v>
      </c>
      <c r="BD42" s="129">
        <f t="shared" si="24"/>
        <v>9.3878475683743121E-2</v>
      </c>
      <c r="BE42" s="129">
        <f t="shared" si="25"/>
        <v>3.5596851909335439E-2</v>
      </c>
      <c r="BF42" s="129">
        <f t="shared" si="26"/>
        <v>5.5096029037767197E-2</v>
      </c>
      <c r="BG42" s="129">
        <f t="shared" si="27"/>
        <v>0.13028063105850041</v>
      </c>
      <c r="BH42" s="129">
        <f t="shared" si="28"/>
        <v>0.99976523050752175</v>
      </c>
      <c r="BI42" s="129"/>
      <c r="BJ42" s="129">
        <f t="shared" si="29"/>
        <v>0.68507407731161596</v>
      </c>
      <c r="BK42" s="129">
        <f t="shared" si="30"/>
        <v>9.390052066132222E-2</v>
      </c>
      <c r="BL42" s="129">
        <f t="shared" si="31"/>
        <v>3.5605210926634268E-2</v>
      </c>
      <c r="BM42" s="129">
        <f t="shared" si="32"/>
        <v>5.5108966941967166E-2</v>
      </c>
      <c r="BN42" s="129">
        <f t="shared" si="33"/>
        <v>0.1303112241584603</v>
      </c>
      <c r="BQ42" s="129">
        <f t="shared" si="34"/>
        <v>-5.0916737063215469E-3</v>
      </c>
      <c r="BR42" s="129">
        <f t="shared" si="35"/>
        <v>-4.0086454853501784E-2</v>
      </c>
      <c r="BS42" s="129">
        <f t="shared" si="36"/>
        <v>-5.6565751791821647E-2</v>
      </c>
      <c r="BT42" s="129">
        <f t="shared" si="37"/>
        <v>-1.0050335853501787E-2</v>
      </c>
      <c r="BU42" s="129">
        <f t="shared" si="38"/>
        <v>1.6065483407604927E-2</v>
      </c>
      <c r="BW42" s="129">
        <f t="shared" si="14"/>
        <v>0.29000149989370222</v>
      </c>
      <c r="BX42" s="129">
        <f t="shared" si="15"/>
        <v>0.29526643578449518</v>
      </c>
      <c r="BY42" s="129">
        <f t="shared" si="16"/>
        <v>2.8896747721344103E-3</v>
      </c>
      <c r="BZ42" s="129">
        <f t="shared" si="17"/>
        <v>0.32809965601580793</v>
      </c>
      <c r="CA42" s="129">
        <f t="shared" si="18"/>
        <v>8.374273353386022E-2</v>
      </c>
      <c r="CC42" s="129">
        <f t="shared" si="39"/>
        <v>6.0314820834473142E-2</v>
      </c>
      <c r="CD42" s="129">
        <f t="shared" si="40"/>
        <v>-6.7273916451040541E-2</v>
      </c>
      <c r="CE42" s="129">
        <f t="shared" si="41"/>
        <v>5.0585621919126682E-2</v>
      </c>
      <c r="CF42" s="129">
        <f t="shared" si="42"/>
        <v>1.7242016329596564E-2</v>
      </c>
      <c r="CG42" s="129">
        <f t="shared" si="43"/>
        <v>-2.5680029473850171E-2</v>
      </c>
      <c r="CI42" s="129">
        <f t="shared" si="44"/>
        <v>8.376456234188286E-3</v>
      </c>
      <c r="CJ42" s="129">
        <f t="shared" si="45"/>
        <v>0</v>
      </c>
      <c r="CK42" s="129">
        <f t="shared" si="46"/>
        <v>0</v>
      </c>
      <c r="CL42" s="129">
        <f t="shared" si="47"/>
        <v>0</v>
      </c>
      <c r="CM42" s="129">
        <f t="shared" si="48"/>
        <v>0</v>
      </c>
      <c r="CO42" s="129">
        <f t="shared" si="49"/>
        <v>0.99230307521476957</v>
      </c>
      <c r="CP42" s="129">
        <f t="shared" ref="CP42:CP67" si="91">IF(ISERR(CO42),CP41,CO42*CP41)</f>
        <v>1.1073543146492302</v>
      </c>
      <c r="CQ42" s="129">
        <f t="shared" si="87"/>
        <v>1.0928981040766685</v>
      </c>
      <c r="CR42" s="129"/>
      <c r="CS42" s="129">
        <f t="shared" si="50"/>
        <v>1.0350067721321292</v>
      </c>
      <c r="CT42" s="129">
        <f t="shared" ref="CT42:CT67" si="92">IF(ISERR(CS42),CT41,CS42*CT41)</f>
        <v>1.003039283362481</v>
      </c>
      <c r="CU42" s="129">
        <f t="shared" si="88"/>
        <v>0.95853540492780875</v>
      </c>
      <c r="CV42" s="129"/>
      <c r="CW42" s="129">
        <f t="shared" ref="CW42:CW68" si="93">EXP(SUMPRODUCT($BJ42:$BL42,CI42:CK42))</f>
        <v>1.0057549897171683</v>
      </c>
      <c r="CX42" s="129">
        <f t="shared" ref="CX42:CX67" si="94">IF(ISERR(CW42),CX41,CW42*CX41)</f>
        <v>1.0260444306218737</v>
      </c>
      <c r="CY42" s="129">
        <f t="shared" si="89"/>
        <v>1.0069801550422826</v>
      </c>
      <c r="DA42">
        <f t="shared" si="55"/>
        <v>1982</v>
      </c>
      <c r="DB42" s="4">
        <f>'Freight-based Activity'!G40</f>
        <v>886468.7</v>
      </c>
      <c r="DC42" s="4">
        <f>'Freight-based Activity'!I40</f>
        <v>964896.89999999991</v>
      </c>
      <c r="DD42">
        <f t="shared" si="56"/>
        <v>274.16822699007145</v>
      </c>
      <c r="DE42">
        <f t="shared" si="72"/>
        <v>1982</v>
      </c>
      <c r="DF42" s="136">
        <f t="shared" si="73"/>
        <v>0.30928133953299364</v>
      </c>
      <c r="DG42" s="136">
        <f t="shared" si="74"/>
        <v>0.28414250993040963</v>
      </c>
      <c r="DH42" s="136">
        <f t="shared" si="70"/>
        <v>1.0306101521283646</v>
      </c>
      <c r="DI42" s="136">
        <f t="shared" si="71"/>
        <v>1.0231219207653441</v>
      </c>
      <c r="DJ42" s="136">
        <f t="shared" si="52"/>
        <v>0.9187185698285486</v>
      </c>
    </row>
    <row r="43" spans="1:114" x14ac:dyDescent="0.2">
      <c r="A43" s="133" t="s">
        <v>664</v>
      </c>
      <c r="B43" s="133">
        <f t="shared" si="90"/>
        <v>1983</v>
      </c>
      <c r="D43" s="5">
        <f>'Freight-Trucks'!F44</f>
        <v>3572.93680053758</v>
      </c>
      <c r="E43" s="5">
        <f>'Freight-based Energy Use'!D41</f>
        <v>435.14281649999998</v>
      </c>
      <c r="F43" s="5">
        <f>'Freight-based Energy Use'!E41</f>
        <v>181.27017944655088</v>
      </c>
      <c r="G43" s="5">
        <f>'Freight-based Energy Use'!N41</f>
        <v>281.56043575089637</v>
      </c>
      <c r="H43" s="5">
        <f>Pipelines!F44</f>
        <v>528.19520710166057</v>
      </c>
      <c r="I43" s="5">
        <f t="shared" si="5"/>
        <v>4999.1054393366876</v>
      </c>
      <c r="K43" s="4">
        <f>'Freight-Trucks'!J44</f>
        <v>855766.83369075507</v>
      </c>
      <c r="L43" s="4">
        <f>'Freight-based Activity'!E41</f>
        <v>828275</v>
      </c>
      <c r="M43" s="4">
        <f>'Freight-based Activity'!F41</f>
        <v>8496.9030000000002</v>
      </c>
      <c r="N43" s="4">
        <f>'Freight-based Activity'!G41</f>
        <v>919565.6</v>
      </c>
      <c r="O43" s="4">
        <f>Pipelines!J44</f>
        <v>213364.55192290005</v>
      </c>
      <c r="P43" s="4">
        <f t="shared" si="6"/>
        <v>2825468.8886136552</v>
      </c>
      <c r="R43" s="4">
        <f t="shared" si="75"/>
        <v>4175.1288550506242</v>
      </c>
      <c r="S43" s="4">
        <f t="shared" si="76"/>
        <v>525.36031692372694</v>
      </c>
      <c r="T43" s="4">
        <f t="shared" si="77"/>
        <v>21333.676452061518</v>
      </c>
      <c r="U43" s="4">
        <f t="shared" si="78"/>
        <v>306.1885261376637</v>
      </c>
      <c r="V43" s="4">
        <f t="shared" si="79"/>
        <v>2475.5527679805291</v>
      </c>
      <c r="W43" s="4">
        <f t="shared" si="80"/>
        <v>1769.3011802333272</v>
      </c>
      <c r="Y43" s="129">
        <f>'Freight-Trucks'!W44</f>
        <v>1.0275108010061607</v>
      </c>
      <c r="Z43" s="129">
        <f t="shared" si="54"/>
        <v>1.0564858679673652</v>
      </c>
      <c r="AA43" s="129">
        <f t="shared" si="59"/>
        <v>0.99386788700907736</v>
      </c>
      <c r="AB43" s="129">
        <f t="shared" si="60"/>
        <v>1.0203040506070811</v>
      </c>
      <c r="AC43" s="129">
        <f t="shared" si="81"/>
        <v>1.0008960244464986</v>
      </c>
      <c r="AD43" s="129"/>
      <c r="AE43" s="142">
        <f>'Freight-Trucks'!V44</f>
        <v>0.99847190315186296</v>
      </c>
      <c r="AF43" s="142">
        <v>1</v>
      </c>
      <c r="AG43" s="142">
        <v>1</v>
      </c>
      <c r="AH43" s="142">
        <v>1</v>
      </c>
      <c r="AI43" s="142">
        <v>1</v>
      </c>
      <c r="AK43" s="131">
        <f t="shared" si="61"/>
        <v>0.97170558228720894</v>
      </c>
      <c r="AL43" s="131">
        <f t="shared" si="62"/>
        <v>1.0006485971546322</v>
      </c>
      <c r="AM43" s="131">
        <f t="shared" si="82"/>
        <v>0.97687778100326794</v>
      </c>
      <c r="AN43" s="131">
        <f t="shared" si="83"/>
        <v>0.99890303807903391</v>
      </c>
      <c r="AO43" s="131">
        <f t="shared" si="84"/>
        <v>1.025458348496173</v>
      </c>
      <c r="AP43" s="131">
        <f t="shared" si="85"/>
        <v>0.97233582776302063</v>
      </c>
      <c r="AQ43" s="131">
        <f t="shared" si="67"/>
        <v>0.97233582776302074</v>
      </c>
      <c r="AR43" s="131"/>
      <c r="AS43" s="131">
        <f t="shared" si="86"/>
        <v>0.97580618327606949</v>
      </c>
      <c r="AU43" s="134"/>
      <c r="AW43" s="129">
        <f t="shared" si="9"/>
        <v>0.71471523133380033</v>
      </c>
      <c r="AX43" s="129">
        <f t="shared" si="10"/>
        <v>8.7044136552106299E-2</v>
      </c>
      <c r="AY43" s="129">
        <f t="shared" si="11"/>
        <v>3.6260523336871832E-2</v>
      </c>
      <c r="AZ43" s="129">
        <f t="shared" si="12"/>
        <v>5.6322163868633181E-2</v>
      </c>
      <c r="BA43" s="129">
        <f t="shared" si="13"/>
        <v>0.10565794490858844</v>
      </c>
      <c r="BC43" s="129">
        <f t="shared" si="23"/>
        <v>0.7051378801946373</v>
      </c>
      <c r="BD43" s="129">
        <f t="shared" si="24"/>
        <v>8.7256948249803776E-2</v>
      </c>
      <c r="BE43" s="129">
        <f t="shared" si="25"/>
        <v>3.5584923622275798E-2</v>
      </c>
      <c r="BF43" s="129">
        <f t="shared" si="26"/>
        <v>5.5357526877773774E-2</v>
      </c>
      <c r="BG43" s="129">
        <f t="shared" si="27"/>
        <v>0.11626614197697899</v>
      </c>
      <c r="BH43" s="129">
        <f t="shared" si="28"/>
        <v>0.9996034209214697</v>
      </c>
      <c r="BI43" s="129"/>
      <c r="BJ43" s="129">
        <f t="shared" si="29"/>
        <v>0.70541763406993574</v>
      </c>
      <c r="BK43" s="129">
        <f t="shared" si="30"/>
        <v>8.7291566258714121E-2</v>
      </c>
      <c r="BL43" s="129">
        <f t="shared" si="31"/>
        <v>3.5599041457333509E-2</v>
      </c>
      <c r="BM43" s="129">
        <f t="shared" si="32"/>
        <v>5.5379489224579935E-2</v>
      </c>
      <c r="BN43" s="129">
        <f t="shared" si="33"/>
        <v>0.11631226898943658</v>
      </c>
      <c r="BQ43" s="129">
        <f t="shared" si="34"/>
        <v>-5.7770048579890085E-2</v>
      </c>
      <c r="BR43" s="129">
        <f t="shared" si="35"/>
        <v>-5.0466282737594348E-2</v>
      </c>
      <c r="BS43" s="129">
        <f t="shared" si="36"/>
        <v>-5.4941354646230962E-2</v>
      </c>
      <c r="BT43" s="129">
        <f t="shared" si="37"/>
        <v>-1.0050335853501338E-2</v>
      </c>
      <c r="BU43" s="129">
        <f t="shared" si="38"/>
        <v>-0.13776330983180923</v>
      </c>
      <c r="BW43" s="129">
        <f t="shared" si="14"/>
        <v>0.30287604196931917</v>
      </c>
      <c r="BX43" s="129">
        <f t="shared" si="15"/>
        <v>0.29314603439374676</v>
      </c>
      <c r="BY43" s="129">
        <f t="shared" si="16"/>
        <v>3.0072541354964595E-3</v>
      </c>
      <c r="BZ43" s="129">
        <f t="shared" si="17"/>
        <v>0.32545592829061165</v>
      </c>
      <c r="CA43" s="129">
        <f t="shared" si="18"/>
        <v>7.5514741210825895E-2</v>
      </c>
      <c r="CC43" s="129">
        <f t="shared" si="39"/>
        <v>4.3437524378265785E-2</v>
      </c>
      <c r="CD43" s="129">
        <f t="shared" si="40"/>
        <v>-7.2072251243268434E-3</v>
      </c>
      <c r="CE43" s="129">
        <f t="shared" si="41"/>
        <v>3.9883454868472265E-2</v>
      </c>
      <c r="CF43" s="129">
        <f t="shared" si="42"/>
        <v>-8.0903360288691571E-3</v>
      </c>
      <c r="CG43" s="129">
        <f t="shared" si="43"/>
        <v>-0.1034215181440668</v>
      </c>
      <c r="CI43" s="129">
        <f t="shared" si="44"/>
        <v>-1.1416599428022969E-2</v>
      </c>
      <c r="CJ43" s="129">
        <f t="shared" si="45"/>
        <v>0</v>
      </c>
      <c r="CK43" s="129">
        <f t="shared" si="46"/>
        <v>0</v>
      </c>
      <c r="CL43" s="129">
        <f t="shared" si="47"/>
        <v>0</v>
      </c>
      <c r="CM43" s="129">
        <f t="shared" si="48"/>
        <v>0</v>
      </c>
      <c r="CO43" s="129">
        <f t="shared" si="49"/>
        <v>0.93829273257137558</v>
      </c>
      <c r="CP43" s="129">
        <f t="shared" si="91"/>
        <v>1.0390225058169291</v>
      </c>
      <c r="CQ43" s="129">
        <f t="shared" si="87"/>
        <v>1.025458348496173</v>
      </c>
      <c r="CR43" s="129"/>
      <c r="CS43" s="129">
        <f t="shared" si="50"/>
        <v>1.0191358357564693</v>
      </c>
      <c r="CT43" s="129">
        <f t="shared" si="92"/>
        <v>1.022233278346192</v>
      </c>
      <c r="CU43" s="129">
        <f t="shared" si="88"/>
        <v>0.97687778100326794</v>
      </c>
      <c r="CV43" s="129"/>
      <c r="CW43" s="129">
        <f t="shared" si="93"/>
        <v>0.99197887175551169</v>
      </c>
      <c r="CX43" s="129">
        <f t="shared" si="94"/>
        <v>1.0178143966593127</v>
      </c>
      <c r="CY43" s="129">
        <f t="shared" si="89"/>
        <v>0.99890303807903391</v>
      </c>
      <c r="DA43">
        <f t="shared" si="55"/>
        <v>1983</v>
      </c>
      <c r="DB43" s="4">
        <f>'Freight-based Activity'!G41</f>
        <v>919565.6</v>
      </c>
      <c r="DC43" s="4">
        <f>'Freight-based Activity'!I41</f>
        <v>989161.6</v>
      </c>
      <c r="DD43">
        <f t="shared" si="56"/>
        <v>281.56043575089637</v>
      </c>
      <c r="DE43">
        <f t="shared" si="72"/>
        <v>1983</v>
      </c>
      <c r="DF43" s="136">
        <f t="shared" si="73"/>
        <v>0.30618852613766367</v>
      </c>
      <c r="DG43" s="136">
        <f t="shared" si="74"/>
        <v>0.28464553794940722</v>
      </c>
      <c r="DH43" s="136">
        <f t="shared" si="70"/>
        <v>1.0203040506070808</v>
      </c>
      <c r="DI43" s="136">
        <f t="shared" si="71"/>
        <v>1.0249331914306228</v>
      </c>
      <c r="DJ43" s="136">
        <f t="shared" si="52"/>
        <v>0.92964142562752128</v>
      </c>
    </row>
    <row r="44" spans="1:114" x14ac:dyDescent="0.2">
      <c r="A44" s="133" t="s">
        <v>664</v>
      </c>
      <c r="B44" s="133">
        <f t="shared" si="90"/>
        <v>1984</v>
      </c>
      <c r="D44" s="5">
        <f>'Freight-Trucks'!F45</f>
        <v>3691.5935119272954</v>
      </c>
      <c r="E44" s="5">
        <f>'Freight-based Energy Use'!D42</f>
        <v>469.93959509999996</v>
      </c>
      <c r="F44" s="5">
        <f>'Freight-based Energy Use'!E42</f>
        <v>204.84300101960523</v>
      </c>
      <c r="G44" s="5">
        <f>'Freight-based Energy Use'!N42</f>
        <v>269.09158163869756</v>
      </c>
      <c r="H44" s="5">
        <f>Pipelines!F45</f>
        <v>569.92120781522408</v>
      </c>
      <c r="I44" s="5">
        <f t="shared" si="5"/>
        <v>5205.3888975008222</v>
      </c>
      <c r="K44" s="4">
        <f>'Freight-Trucks'!J45</f>
        <v>900047.73667929461</v>
      </c>
      <c r="L44" s="4">
        <f>'Freight-based Activity'!E42</f>
        <v>921542</v>
      </c>
      <c r="M44" s="4">
        <f>'Freight-based Activity'!F42</f>
        <v>9327.5439999999999</v>
      </c>
      <c r="N44" s="4">
        <f>'Freight-based Activity'!G42</f>
        <v>887720</v>
      </c>
      <c r="O44" s="4">
        <f>Pipelines!J45</f>
        <v>226947.75893080002</v>
      </c>
      <c r="P44" s="4">
        <f t="shared" si="6"/>
        <v>2945585.0396100949</v>
      </c>
      <c r="R44" s="4">
        <f t="shared" si="75"/>
        <v>4101.5530193402237</v>
      </c>
      <c r="S44" s="4">
        <f t="shared" si="76"/>
        <v>509.9491885340006</v>
      </c>
      <c r="T44" s="4">
        <f t="shared" si="77"/>
        <v>21961.086543210648</v>
      </c>
      <c r="U44" s="4">
        <f t="shared" si="78"/>
        <v>303.12664087628707</v>
      </c>
      <c r="V44" s="4">
        <f t="shared" si="79"/>
        <v>2511.2440435642379</v>
      </c>
      <c r="W44" s="4">
        <f t="shared" si="80"/>
        <v>1767.1833701972685</v>
      </c>
      <c r="Y44" s="129">
        <f>'Freight-Trucks'!W45</f>
        <v>1.0114505892514025</v>
      </c>
      <c r="Z44" s="129">
        <f t="shared" si="54"/>
        <v>1.0254944915183131</v>
      </c>
      <c r="AA44" s="129">
        <f t="shared" si="59"/>
        <v>1.0230969204098488</v>
      </c>
      <c r="AB44" s="129">
        <f t="shared" si="60"/>
        <v>1.0101010101010102</v>
      </c>
      <c r="AC44" s="129">
        <f t="shared" si="81"/>
        <v>1.0153264402716884</v>
      </c>
      <c r="AD44" s="129"/>
      <c r="AE44" s="142">
        <f>'Freight-Trucks'!V45</f>
        <v>0.99645116417337343</v>
      </c>
      <c r="AF44" s="142">
        <v>1</v>
      </c>
      <c r="AG44" s="142">
        <v>1</v>
      </c>
      <c r="AH44" s="142">
        <v>1</v>
      </c>
      <c r="AI44" s="142">
        <v>1</v>
      </c>
      <c r="AK44" s="131">
        <f t="shared" si="61"/>
        <v>1.0130146672735816</v>
      </c>
      <c r="AL44" s="131">
        <f t="shared" si="62"/>
        <v>0.999450845372574</v>
      </c>
      <c r="AM44" s="131">
        <f t="shared" si="82"/>
        <v>0.98867930735740472</v>
      </c>
      <c r="AN44" s="131">
        <f t="shared" si="83"/>
        <v>0.99746322343152327</v>
      </c>
      <c r="AO44" s="131">
        <f t="shared" si="84"/>
        <v>1.0134658118772026</v>
      </c>
      <c r="AP44" s="131">
        <f t="shared" si="85"/>
        <v>1.0124583655813977</v>
      </c>
      <c r="AQ44" s="131">
        <f t="shared" si="67"/>
        <v>1.0124583655813981</v>
      </c>
      <c r="AR44" s="131"/>
      <c r="AS44" s="131">
        <f t="shared" si="86"/>
        <v>0.98617124885676266</v>
      </c>
      <c r="AU44" s="134"/>
      <c r="AW44" s="129">
        <f t="shared" si="9"/>
        <v>0.70918688010028985</v>
      </c>
      <c r="AX44" s="129">
        <f t="shared" si="10"/>
        <v>9.0279440086719426E-2</v>
      </c>
      <c r="AY44" s="129">
        <f t="shared" si="11"/>
        <v>3.9352103186363875E-2</v>
      </c>
      <c r="AZ44" s="129">
        <f t="shared" si="12"/>
        <v>5.1694808387494753E-2</v>
      </c>
      <c r="BA44" s="129">
        <f t="shared" si="13"/>
        <v>0.10948676823913214</v>
      </c>
      <c r="BC44" s="129">
        <f t="shared" si="23"/>
        <v>0.71194747836553685</v>
      </c>
      <c r="BD44" s="129">
        <f t="shared" si="24"/>
        <v>8.8651949321037843E-2</v>
      </c>
      <c r="BE44" s="129">
        <f t="shared" si="25"/>
        <v>3.7785236247000198E-2</v>
      </c>
      <c r="BF44" s="129">
        <f t="shared" si="26"/>
        <v>5.3975431279832606E-2</v>
      </c>
      <c r="BG44" s="129">
        <f t="shared" si="27"/>
        <v>0.1075609990041697</v>
      </c>
      <c r="BH44" s="129">
        <f t="shared" si="28"/>
        <v>0.99992109421757713</v>
      </c>
      <c r="BI44" s="129"/>
      <c r="BJ44" s="129">
        <f t="shared" si="29"/>
        <v>0.71200365957138323</v>
      </c>
      <c r="BK44" s="129">
        <f t="shared" si="30"/>
        <v>8.8658945024463781E-2</v>
      </c>
      <c r="BL44" s="129">
        <f t="shared" si="31"/>
        <v>3.7788217955904375E-2</v>
      </c>
      <c r="BM44" s="129">
        <f t="shared" si="32"/>
        <v>5.3979690589553521E-2</v>
      </c>
      <c r="BN44" s="129">
        <f t="shared" si="33"/>
        <v>0.10756948685869511</v>
      </c>
      <c r="BQ44" s="129">
        <f t="shared" si="34"/>
        <v>-1.575365181389389E-2</v>
      </c>
      <c r="BR44" s="129">
        <f t="shared" si="35"/>
        <v>-2.9773254703667641E-2</v>
      </c>
      <c r="BS44" s="129">
        <f t="shared" si="36"/>
        <v>2.8985215452995896E-2</v>
      </c>
      <c r="BT44" s="129">
        <f t="shared" si="37"/>
        <v>-1.0050335853501562E-2</v>
      </c>
      <c r="BU44" s="129">
        <f t="shared" si="38"/>
        <v>1.4314553561393963E-2</v>
      </c>
      <c r="BW44" s="129">
        <f t="shared" si="14"/>
        <v>0.3055582251322248</v>
      </c>
      <c r="BX44" s="129">
        <f t="shared" si="15"/>
        <v>0.31285533692212936</v>
      </c>
      <c r="BY44" s="129">
        <f t="shared" si="16"/>
        <v>3.1666184729247132E-3</v>
      </c>
      <c r="BZ44" s="129">
        <f t="shared" si="17"/>
        <v>0.30137306784987844</v>
      </c>
      <c r="CA44" s="129">
        <f t="shared" si="18"/>
        <v>7.7046751622842621E-2</v>
      </c>
      <c r="CC44" s="129">
        <f t="shared" si="39"/>
        <v>8.8167306899444246E-3</v>
      </c>
      <c r="CD44" s="129">
        <f t="shared" si="40"/>
        <v>6.5070005591783053E-2</v>
      </c>
      <c r="CE44" s="129">
        <f t="shared" si="41"/>
        <v>5.1636875679589328E-2</v>
      </c>
      <c r="CF44" s="129">
        <f t="shared" si="42"/>
        <v>-7.6878130160321426E-2</v>
      </c>
      <c r="CG44" s="129">
        <f t="shared" si="43"/>
        <v>2.0084516515148552E-2</v>
      </c>
      <c r="CI44" s="129">
        <f t="shared" si="44"/>
        <v>-2.025882303647043E-3</v>
      </c>
      <c r="CJ44" s="129">
        <f t="shared" si="45"/>
        <v>0</v>
      </c>
      <c r="CK44" s="129">
        <f t="shared" si="46"/>
        <v>0</v>
      </c>
      <c r="CL44" s="129">
        <f t="shared" si="47"/>
        <v>0</v>
      </c>
      <c r="CM44" s="129">
        <f t="shared" si="48"/>
        <v>0</v>
      </c>
      <c r="CO44" s="129">
        <f t="shared" si="49"/>
        <v>0.98830519383204873</v>
      </c>
      <c r="CP44" s="129">
        <f t="shared" si="91"/>
        <v>1.026871339007261</v>
      </c>
      <c r="CQ44" s="129">
        <f t="shared" si="87"/>
        <v>1.0134658118772026</v>
      </c>
      <c r="CR44" s="129"/>
      <c r="CS44" s="129">
        <f t="shared" si="50"/>
        <v>1.012080862707325</v>
      </c>
      <c r="CT44" s="129">
        <f t="shared" si="92"/>
        <v>1.0345827382367512</v>
      </c>
      <c r="CU44" s="129">
        <f t="shared" si="88"/>
        <v>0.98867930735740472</v>
      </c>
      <c r="CV44" s="129"/>
      <c r="CW44" s="129">
        <f t="shared" si="93"/>
        <v>0.99855860419617959</v>
      </c>
      <c r="CX44" s="129">
        <f t="shared" si="94"/>
        <v>1.0163473232589</v>
      </c>
      <c r="CY44" s="129">
        <f t="shared" si="89"/>
        <v>0.99746322343152327</v>
      </c>
      <c r="DA44">
        <f t="shared" si="55"/>
        <v>1984</v>
      </c>
      <c r="DB44" s="4">
        <f>'Freight-based Activity'!G42</f>
        <v>887720</v>
      </c>
      <c r="DC44" s="4">
        <f>'Freight-based Activity'!I42</f>
        <v>966478.2</v>
      </c>
      <c r="DD44">
        <f t="shared" si="56"/>
        <v>269.09158163869756</v>
      </c>
      <c r="DE44">
        <f t="shared" si="72"/>
        <v>1984</v>
      </c>
      <c r="DF44" s="136">
        <f t="shared" si="73"/>
        <v>0.30312664087628705</v>
      </c>
      <c r="DG44" s="136">
        <f t="shared" si="74"/>
        <v>0.27842488494691092</v>
      </c>
      <c r="DH44" s="136">
        <f t="shared" si="70"/>
        <v>1.0101010101010102</v>
      </c>
      <c r="DI44" s="136">
        <f t="shared" si="71"/>
        <v>1.0025342675600359</v>
      </c>
      <c r="DJ44" s="136">
        <f t="shared" si="52"/>
        <v>0.91851011228189117</v>
      </c>
    </row>
    <row r="45" spans="1:114" x14ac:dyDescent="0.2">
      <c r="A45" s="133" t="s">
        <v>664</v>
      </c>
      <c r="B45" s="133">
        <f t="shared" si="90"/>
        <v>1985</v>
      </c>
      <c r="D45" s="5">
        <f>'Freight-Trucks'!F46</f>
        <v>3700.0594574380202</v>
      </c>
      <c r="E45" s="5">
        <f>'Freight-based Energy Use'!D43</f>
        <v>436.099153</v>
      </c>
      <c r="F45" s="5">
        <f>'Freight-based Energy Use'!E43</f>
        <v>194.21375717266014</v>
      </c>
      <c r="G45" s="5">
        <f>'Freight-based Energy Use'!N43</f>
        <v>267.97616653826503</v>
      </c>
      <c r="H45" s="5">
        <f>Pipelines!F46</f>
        <v>542.98771676114472</v>
      </c>
      <c r="I45" s="5">
        <f t="shared" si="5"/>
        <v>5141.3362509100898</v>
      </c>
      <c r="K45" s="4">
        <f>'Freight-Trucks'!J46</f>
        <v>909203.42630225839</v>
      </c>
      <c r="L45" s="4">
        <f>'Freight-based Activity'!E43</f>
        <v>876984</v>
      </c>
      <c r="M45" s="4">
        <f>'Freight-based Activity'!F43</f>
        <v>9047.7990000000009</v>
      </c>
      <c r="N45" s="4">
        <f>'Freight-based Activity'!G43</f>
        <v>892970</v>
      </c>
      <c r="O45" s="4">
        <f>Pipelines!J46</f>
        <v>219536.522937</v>
      </c>
      <c r="P45" s="4">
        <f t="shared" si="6"/>
        <v>2907741.7482392583</v>
      </c>
      <c r="R45" s="4">
        <f t="shared" si="75"/>
        <v>4069.5617178723223</v>
      </c>
      <c r="S45" s="4">
        <f t="shared" si="76"/>
        <v>497.27150438320422</v>
      </c>
      <c r="T45" s="4">
        <f t="shared" si="77"/>
        <v>21465.304122324127</v>
      </c>
      <c r="U45" s="4">
        <f t="shared" si="78"/>
        <v>300.09537446752415</v>
      </c>
      <c r="V45" s="4">
        <f t="shared" si="79"/>
        <v>2473.336597924369</v>
      </c>
      <c r="W45" s="4">
        <f t="shared" si="80"/>
        <v>1768.154360346256</v>
      </c>
      <c r="Y45" s="129">
        <f>'Freight-Trucks'!W46</f>
        <v>1</v>
      </c>
      <c r="Z45" s="129">
        <f t="shared" si="54"/>
        <v>1</v>
      </c>
      <c r="AA45" s="129">
        <f t="shared" si="59"/>
        <v>1</v>
      </c>
      <c r="AB45" s="129">
        <f t="shared" si="60"/>
        <v>1</v>
      </c>
      <c r="AC45" s="129">
        <f t="shared" si="81"/>
        <v>1</v>
      </c>
      <c r="AD45" s="129"/>
      <c r="AE45" s="142">
        <f>'Freight-Trucks'!V46</f>
        <v>1</v>
      </c>
      <c r="AF45" s="142">
        <v>1</v>
      </c>
      <c r="AG45" s="142">
        <v>1</v>
      </c>
      <c r="AH45" s="142">
        <v>1</v>
      </c>
      <c r="AI45" s="142">
        <v>1</v>
      </c>
      <c r="AK45" s="131">
        <f t="shared" si="61"/>
        <v>1</v>
      </c>
      <c r="AL45" s="131">
        <f t="shared" si="62"/>
        <v>1</v>
      </c>
      <c r="AM45" s="131">
        <f t="shared" si="82"/>
        <v>1</v>
      </c>
      <c r="AN45" s="131">
        <f t="shared" si="83"/>
        <v>1</v>
      </c>
      <c r="AO45" s="131">
        <f t="shared" si="84"/>
        <v>1</v>
      </c>
      <c r="AP45" s="131">
        <f t="shared" si="85"/>
        <v>1</v>
      </c>
      <c r="AQ45" s="131">
        <f t="shared" si="67"/>
        <v>1</v>
      </c>
      <c r="AR45" s="131"/>
      <c r="AS45" s="131">
        <f t="shared" si="86"/>
        <v>1</v>
      </c>
      <c r="AU45" s="134"/>
      <c r="AW45" s="129">
        <f t="shared" si="9"/>
        <v>0.71966883254972036</v>
      </c>
      <c r="AX45" s="129">
        <f t="shared" si="10"/>
        <v>8.4822141894104711E-2</v>
      </c>
      <c r="AY45" s="129">
        <f t="shared" si="11"/>
        <v>3.7774957266854807E-2</v>
      </c>
      <c r="AZ45" s="129">
        <f t="shared" si="12"/>
        <v>5.2121890780987029E-2</v>
      </c>
      <c r="BA45" s="129">
        <f t="shared" si="13"/>
        <v>0.1056121775083332</v>
      </c>
      <c r="BB45" s="129"/>
      <c r="BC45" s="129">
        <f t="shared" si="23"/>
        <v>0.71441504036990122</v>
      </c>
      <c r="BD45" s="129">
        <f t="shared" si="24"/>
        <v>8.7522436190583322E-2</v>
      </c>
      <c r="BE45" s="129">
        <f t="shared" si="25"/>
        <v>3.8558154537331461E-2</v>
      </c>
      <c r="BF45" s="129">
        <f t="shared" si="26"/>
        <v>5.1908056760132194E-2</v>
      </c>
      <c r="BG45" s="129">
        <f t="shared" si="27"/>
        <v>0.10753783965964836</v>
      </c>
      <c r="BH45" s="129">
        <f t="shared" si="28"/>
        <v>0.99994152751759657</v>
      </c>
      <c r="BI45" s="129"/>
      <c r="BJ45" s="129">
        <f t="shared" si="29"/>
        <v>0.7144568164335281</v>
      </c>
      <c r="BK45" s="129">
        <f t="shared" si="30"/>
        <v>8.7527554143952815E-2</v>
      </c>
      <c r="BL45" s="129">
        <f t="shared" si="31"/>
        <v>3.8560409260183399E-2</v>
      </c>
      <c r="BM45" s="129">
        <f t="shared" si="32"/>
        <v>5.1911092130553338E-2</v>
      </c>
      <c r="BN45" s="129">
        <f t="shared" si="33"/>
        <v>0.10754412803178229</v>
      </c>
      <c r="BQ45" s="129">
        <f t="shared" si="34"/>
        <v>-1.1385527447245641E-2</v>
      </c>
      <c r="BR45" s="129">
        <f t="shared" si="35"/>
        <v>-2.5174927007644503E-2</v>
      </c>
      <c r="BS45" s="129">
        <f t="shared" si="36"/>
        <v>-2.2834223840411279E-2</v>
      </c>
      <c r="BT45" s="129">
        <f t="shared" si="37"/>
        <v>-1.0050335853501451E-2</v>
      </c>
      <c r="BU45" s="129">
        <f t="shared" si="38"/>
        <v>-1.5210176817621291E-2</v>
      </c>
      <c r="BW45" s="129">
        <f t="shared" si="14"/>
        <v>0.312683692371516</v>
      </c>
      <c r="BX45" s="129">
        <f t="shared" si="15"/>
        <v>0.30160312570091385</v>
      </c>
      <c r="BY45" s="129">
        <f t="shared" si="16"/>
        <v>3.1116239966904788E-3</v>
      </c>
      <c r="BZ45" s="129">
        <f t="shared" si="17"/>
        <v>0.30710086290872474</v>
      </c>
      <c r="CA45" s="129">
        <f t="shared" si="18"/>
        <v>7.5500695022154979E-2</v>
      </c>
      <c r="CC45" s="129">
        <f t="shared" si="39"/>
        <v>2.3051761986792235E-2</v>
      </c>
      <c r="CD45" s="129">
        <f t="shared" si="40"/>
        <v>-3.6628901533634108E-2</v>
      </c>
      <c r="CE45" s="129">
        <f t="shared" si="41"/>
        <v>-1.7519515415370945E-2</v>
      </c>
      <c r="CF45" s="129">
        <f t="shared" si="42"/>
        <v>1.8827311940508639E-2</v>
      </c>
      <c r="CG45" s="129">
        <f t="shared" si="43"/>
        <v>-2.0270539733195595E-2</v>
      </c>
      <c r="CI45" s="129">
        <f t="shared" si="44"/>
        <v>3.555147882546919E-3</v>
      </c>
      <c r="CJ45" s="129">
        <f t="shared" si="45"/>
        <v>0</v>
      </c>
      <c r="CK45" s="129">
        <f t="shared" si="46"/>
        <v>0</v>
      </c>
      <c r="CL45" s="129">
        <f t="shared" si="47"/>
        <v>0</v>
      </c>
      <c r="CM45" s="129">
        <f t="shared" si="48"/>
        <v>0</v>
      </c>
      <c r="CO45" s="129">
        <f t="shared" si="49"/>
        <v>0.98671310692537262</v>
      </c>
      <c r="CP45" s="129">
        <f t="shared" si="91"/>
        <v>1.0132274093244722</v>
      </c>
      <c r="CQ45" s="129">
        <f t="shared" si="87"/>
        <v>1</v>
      </c>
      <c r="CR45" s="129"/>
      <c r="CS45" s="129">
        <f t="shared" si="50"/>
        <v>1.0114503181753178</v>
      </c>
      <c r="CT45" s="129">
        <f t="shared" si="92"/>
        <v>1.0464290397682536</v>
      </c>
      <c r="CU45" s="129">
        <f t="shared" si="88"/>
        <v>1</v>
      </c>
      <c r="CV45" s="129"/>
      <c r="CW45" s="129">
        <f t="shared" si="93"/>
        <v>1.002543228170107</v>
      </c>
      <c r="CX45" s="129">
        <f t="shared" si="94"/>
        <v>1.0189321264020248</v>
      </c>
      <c r="CY45" s="129">
        <f t="shared" si="89"/>
        <v>1</v>
      </c>
      <c r="DA45">
        <f t="shared" si="55"/>
        <v>1985</v>
      </c>
      <c r="DB45" s="4">
        <f>'Freight-based Activity'!G43</f>
        <v>892970</v>
      </c>
      <c r="DC45" s="4">
        <f>'Freight-based Activity'!I43</f>
        <v>964911.2</v>
      </c>
      <c r="DD45">
        <f t="shared" si="56"/>
        <v>267.97616653826503</v>
      </c>
      <c r="DE45">
        <f t="shared" si="72"/>
        <v>1985</v>
      </c>
      <c r="DF45" s="136">
        <f t="shared" si="73"/>
        <v>0.30009537446752416</v>
      </c>
      <c r="DG45" s="136">
        <f t="shared" si="74"/>
        <v>0.2777210654599771</v>
      </c>
      <c r="DH45" s="136">
        <f t="shared" si="70"/>
        <v>1</v>
      </c>
      <c r="DI45" s="136">
        <f t="shared" si="71"/>
        <v>1</v>
      </c>
      <c r="DJ45" s="136">
        <f t="shared" si="52"/>
        <v>0.92544267285943005</v>
      </c>
    </row>
    <row r="46" spans="1:114" x14ac:dyDescent="0.2">
      <c r="A46" s="133" t="s">
        <v>664</v>
      </c>
      <c r="B46" s="133">
        <f t="shared" si="90"/>
        <v>1986</v>
      </c>
      <c r="D46" s="5">
        <f>'Freight-Trucks'!F47</f>
        <v>3766.1129458788546</v>
      </c>
      <c r="E46" s="5">
        <f>'Freight-based Energy Use'!D44</f>
        <v>421.5188703</v>
      </c>
      <c r="F46" s="5">
        <f>'Freight-based Energy Use'!E44</f>
        <v>233.89024341479964</v>
      </c>
      <c r="G46" s="5">
        <f>'Freight-based Energy Use'!N44</f>
        <v>259.48256415375693</v>
      </c>
      <c r="H46" s="5">
        <f>Pipelines!F47</f>
        <v>522.80484419979928</v>
      </c>
      <c r="I46" s="5">
        <f t="shared" si="5"/>
        <v>5203.8094679472106</v>
      </c>
      <c r="K46" s="4">
        <f>'Freight-Trucks'!J47</f>
        <v>935629.8925443663</v>
      </c>
      <c r="L46" s="4">
        <f>'Freight-based Activity'!E44</f>
        <v>867722</v>
      </c>
      <c r="M46" s="4">
        <f>'Freight-based Activity'!F44</f>
        <v>10987.513000000001</v>
      </c>
      <c r="N46" s="4">
        <f>'Freight-based Activity'!G44</f>
        <v>873401</v>
      </c>
      <c r="O46" s="4">
        <f>Pipelines!J47</f>
        <v>205687.75156190005</v>
      </c>
      <c r="P46" s="4">
        <f t="shared" si="6"/>
        <v>2893428.1571062668</v>
      </c>
      <c r="R46" s="4">
        <f t="shared" si="75"/>
        <v>4025.2165689546637</v>
      </c>
      <c r="S46" s="4">
        <f t="shared" si="76"/>
        <v>485.77640108237432</v>
      </c>
      <c r="T46" s="4">
        <f t="shared" si="77"/>
        <v>21286.91391899146</v>
      </c>
      <c r="U46" s="4">
        <f t="shared" si="78"/>
        <v>297.09442072284889</v>
      </c>
      <c r="V46" s="4">
        <f t="shared" si="79"/>
        <v>2541.7402846297605</v>
      </c>
      <c r="W46" s="4">
        <f t="shared" si="80"/>
        <v>1798.4927170790959</v>
      </c>
      <c r="Y46" s="129">
        <f>'Freight-Trucks'!W47</f>
        <v>0.99593533776503185</v>
      </c>
      <c r="Z46" s="129">
        <f t="shared" si="54"/>
        <v>0.97688364766630265</v>
      </c>
      <c r="AA46" s="129">
        <f t="shared" si="59"/>
        <v>0.99168936986328837</v>
      </c>
      <c r="AB46" s="129">
        <f t="shared" si="60"/>
        <v>0.99</v>
      </c>
      <c r="AC46" s="129">
        <f t="shared" si="81"/>
        <v>1.0276564406004407</v>
      </c>
      <c r="AD46" s="129"/>
      <c r="AE46" s="142">
        <f>'Freight-Trucks'!V47</f>
        <v>0.99313999119984575</v>
      </c>
      <c r="AF46" s="142">
        <v>1</v>
      </c>
      <c r="AG46" s="142">
        <v>1</v>
      </c>
      <c r="AH46" s="142">
        <v>1</v>
      </c>
      <c r="AI46" s="142">
        <v>1</v>
      </c>
      <c r="AK46" s="131">
        <f t="shared" si="61"/>
        <v>0.9950774200832454</v>
      </c>
      <c r="AL46" s="131">
        <f t="shared" si="62"/>
        <v>1.0171582059876825</v>
      </c>
      <c r="AM46" s="131">
        <f t="shared" si="82"/>
        <v>1.0252189885627927</v>
      </c>
      <c r="AN46" s="131">
        <f t="shared" si="83"/>
        <v>0.99504369290699535</v>
      </c>
      <c r="AO46" s="131">
        <f t="shared" si="84"/>
        <v>0.99707933305078211</v>
      </c>
      <c r="AP46" s="131">
        <f t="shared" si="85"/>
        <v>1.0121511634307252</v>
      </c>
      <c r="AQ46" s="131">
        <f t="shared" si="67"/>
        <v>1.0121511634307252</v>
      </c>
      <c r="AR46" s="131"/>
      <c r="AS46" s="131">
        <f t="shared" si="86"/>
        <v>1.0201376884178959</v>
      </c>
      <c r="AU46" s="134"/>
      <c r="AW46" s="129">
        <f t="shared" si="9"/>
        <v>0.72372229788122966</v>
      </c>
      <c r="AX46" s="129">
        <f t="shared" si="10"/>
        <v>8.1001979971853197E-2</v>
      </c>
      <c r="AY46" s="129">
        <f t="shared" si="11"/>
        <v>4.4945965999609178E-2</v>
      </c>
      <c r="AZ46" s="129">
        <f t="shared" si="12"/>
        <v>4.9863963266148781E-2</v>
      </c>
      <c r="BA46" s="129">
        <f t="shared" si="13"/>
        <v>0.10046579288115912</v>
      </c>
      <c r="BC46" s="129">
        <f t="shared" si="23"/>
        <v>0.72169366799170975</v>
      </c>
      <c r="BD46" s="129">
        <f t="shared" si="24"/>
        <v>8.2897391069808701E-2</v>
      </c>
      <c r="BE46" s="129">
        <f t="shared" si="25"/>
        <v>4.1256645040308612E-2</v>
      </c>
      <c r="BF46" s="129">
        <f t="shared" si="26"/>
        <v>5.0984594326725446E-2</v>
      </c>
      <c r="BG46" s="129">
        <f t="shared" si="27"/>
        <v>0.10301756152291752</v>
      </c>
      <c r="BH46" s="129">
        <f t="shared" si="28"/>
        <v>0.99984985995146991</v>
      </c>
      <c r="BI46" s="129"/>
      <c r="BJ46" s="129">
        <f t="shared" si="29"/>
        <v>0.72180203938493215</v>
      </c>
      <c r="BK46" s="129">
        <f t="shared" si="30"/>
        <v>8.2909839157083373E-2</v>
      </c>
      <c r="BL46" s="129">
        <f t="shared" si="31"/>
        <v>4.126284024514551E-2</v>
      </c>
      <c r="BM46" s="129">
        <f t="shared" si="32"/>
        <v>5.0992250305660999E-2</v>
      </c>
      <c r="BN46" s="129">
        <f t="shared" si="33"/>
        <v>0.10303303090717812</v>
      </c>
      <c r="BQ46" s="129">
        <f t="shared" si="34"/>
        <v>-4.0729454277168434E-3</v>
      </c>
      <c r="BR46" s="129">
        <f t="shared" si="35"/>
        <v>-2.3387725468044962E-2</v>
      </c>
      <c r="BS46" s="129">
        <f t="shared" si="36"/>
        <v>-8.3453559527931695E-3</v>
      </c>
      <c r="BT46" s="129">
        <f t="shared" si="37"/>
        <v>-1.0050335853501451E-2</v>
      </c>
      <c r="BU46" s="129">
        <f t="shared" si="38"/>
        <v>2.7280909424578725E-2</v>
      </c>
      <c r="BW46" s="129">
        <f t="shared" si="14"/>
        <v>0.32336378916008574</v>
      </c>
      <c r="BX46" s="129">
        <f t="shared" si="15"/>
        <v>0.29989408856372418</v>
      </c>
      <c r="BY46" s="129">
        <f t="shared" si="16"/>
        <v>3.7974030815365648E-3</v>
      </c>
      <c r="BZ46" s="129">
        <f t="shared" si="17"/>
        <v>0.3018568122574341</v>
      </c>
      <c r="CA46" s="129">
        <f t="shared" si="18"/>
        <v>7.1087906937219239E-2</v>
      </c>
      <c r="CC46" s="129">
        <f t="shared" si="39"/>
        <v>3.3585859602629817E-2</v>
      </c>
      <c r="CD46" s="129">
        <f t="shared" si="40"/>
        <v>-5.682625607265116E-3</v>
      </c>
      <c r="CE46" s="129">
        <f t="shared" si="41"/>
        <v>0.19917265818195357</v>
      </c>
      <c r="CF46" s="129">
        <f t="shared" si="42"/>
        <v>-1.72234639641272E-2</v>
      </c>
      <c r="CG46" s="129">
        <f t="shared" si="43"/>
        <v>-6.0224624732187482E-2</v>
      </c>
      <c r="CI46" s="129">
        <f t="shared" si="44"/>
        <v>-6.8836468272664058E-3</v>
      </c>
      <c r="CJ46" s="129">
        <f t="shared" si="45"/>
        <v>0</v>
      </c>
      <c r="CK46" s="129">
        <f t="shared" si="46"/>
        <v>0</v>
      </c>
      <c r="CL46" s="129">
        <f t="shared" si="47"/>
        <v>0</v>
      </c>
      <c r="CM46" s="129">
        <f t="shared" si="48"/>
        <v>0</v>
      </c>
      <c r="CO46" s="129">
        <f t="shared" si="49"/>
        <v>0.99707933305078222</v>
      </c>
      <c r="CP46" s="129">
        <f t="shared" si="91"/>
        <v>1.0102681095180166</v>
      </c>
      <c r="CQ46" s="129">
        <f t="shared" si="87"/>
        <v>0.99707933305078211</v>
      </c>
      <c r="CR46" s="129"/>
      <c r="CS46" s="129">
        <f t="shared" si="50"/>
        <v>1.0252189885627927</v>
      </c>
      <c r="CT46" s="129">
        <f t="shared" si="92"/>
        <v>1.0728189217539434</v>
      </c>
      <c r="CU46" s="129">
        <f t="shared" si="88"/>
        <v>1.0252189885627927</v>
      </c>
      <c r="CV46" s="129"/>
      <c r="CW46" s="129">
        <f t="shared" si="93"/>
        <v>0.99504369290699535</v>
      </c>
      <c r="CX46" s="129">
        <f t="shared" si="94"/>
        <v>1.0138819858766481</v>
      </c>
      <c r="CY46" s="129">
        <f t="shared" si="89"/>
        <v>0.99504369290699535</v>
      </c>
      <c r="DA46">
        <f t="shared" si="55"/>
        <v>1986</v>
      </c>
      <c r="DB46" s="4">
        <f>'Freight-based Activity'!G44</f>
        <v>873401</v>
      </c>
      <c r="DC46" s="4">
        <f>'Freight-based Activity'!I44</f>
        <v>944910.4</v>
      </c>
      <c r="DD46">
        <f t="shared" si="56"/>
        <v>259.48256415375693</v>
      </c>
      <c r="DE46">
        <f t="shared" si="72"/>
        <v>1986</v>
      </c>
      <c r="DF46" s="136">
        <f t="shared" si="73"/>
        <v>0.29709442072284892</v>
      </c>
      <c r="DG46" s="136">
        <f t="shared" si="74"/>
        <v>0.27461076114069327</v>
      </c>
      <c r="DH46" s="136">
        <f t="shared" si="70"/>
        <v>0.99</v>
      </c>
      <c r="DI46" s="136">
        <f t="shared" si="71"/>
        <v>0.98880061793608498</v>
      </c>
      <c r="DJ46" s="136">
        <f t="shared" si="52"/>
        <v>0.92432150180588546</v>
      </c>
    </row>
    <row r="47" spans="1:114" x14ac:dyDescent="0.2">
      <c r="A47" s="133" t="s">
        <v>664</v>
      </c>
      <c r="B47" s="133">
        <f t="shared" si="90"/>
        <v>1987</v>
      </c>
      <c r="D47" s="5">
        <f>'Freight-Trucks'!F48</f>
        <v>3873.8098855449434</v>
      </c>
      <c r="E47" s="5">
        <f>'Freight-based Energy Use'!D45</f>
        <v>430.27888489999998</v>
      </c>
      <c r="F47" s="5">
        <f>'Freight-based Energy Use'!E45</f>
        <v>265.56437118993227</v>
      </c>
      <c r="G47" s="5">
        <f>'Freight-based Energy Use'!N45</f>
        <v>263.36271978597244</v>
      </c>
      <c r="H47" s="5">
        <f>Pipelines!F48</f>
        <v>559.59102621808995</v>
      </c>
      <c r="I47" s="5">
        <f t="shared" si="5"/>
        <v>5392.6068876389372</v>
      </c>
      <c r="K47" s="4">
        <f>'Freight-Trucks'!J48</f>
        <v>982169.2418485384</v>
      </c>
      <c r="L47" s="4">
        <f>'Freight-based Activity'!E45</f>
        <v>943747</v>
      </c>
      <c r="M47" s="4">
        <f>'Freight-based Activity'!F45</f>
        <v>13136.973</v>
      </c>
      <c r="N47" s="4">
        <f>'Freight-based Activity'!G45</f>
        <v>895415.5</v>
      </c>
      <c r="O47" s="4">
        <f>Pipelines!J48</f>
        <v>215803.25733440003</v>
      </c>
      <c r="P47" s="4">
        <f t="shared" si="6"/>
        <v>3050271.9721829384</v>
      </c>
      <c r="R47" s="4">
        <f t="shared" si="75"/>
        <v>3944.1368355763771</v>
      </c>
      <c r="S47" s="4">
        <f t="shared" si="76"/>
        <v>455.92609555315136</v>
      </c>
      <c r="T47" s="4">
        <f t="shared" si="77"/>
        <v>20215.03516753306</v>
      </c>
      <c r="U47" s="4">
        <f t="shared" si="78"/>
        <v>294.12347651562033</v>
      </c>
      <c r="V47" s="4">
        <f t="shared" si="79"/>
        <v>2593.061073915906</v>
      </c>
      <c r="W47" s="4">
        <f t="shared" si="80"/>
        <v>1767.9101853267523</v>
      </c>
      <c r="Y47" s="129">
        <f>'Freight-Trucks'!W48</f>
        <v>0.97522693411106076</v>
      </c>
      <c r="Z47" s="129">
        <f t="shared" si="54"/>
        <v>0.91685546333217693</v>
      </c>
      <c r="AA47" s="129">
        <f t="shared" si="59"/>
        <v>0.94175396036011549</v>
      </c>
      <c r="AB47" s="129">
        <f t="shared" si="60"/>
        <v>0.98009999999999964</v>
      </c>
      <c r="AC47" s="129">
        <f t="shared" si="81"/>
        <v>1.0484060584766384</v>
      </c>
      <c r="AD47" s="129"/>
      <c r="AE47" s="142">
        <f>'Freight-Trucks'!V48</f>
        <v>0.99379921000321103</v>
      </c>
      <c r="AF47" s="142">
        <v>1</v>
      </c>
      <c r="AG47" s="142">
        <v>1</v>
      </c>
      <c r="AH47" s="142">
        <v>1</v>
      </c>
      <c r="AI47" s="142">
        <v>1</v>
      </c>
      <c r="AK47" s="131">
        <f t="shared" si="61"/>
        <v>1.0490174975236324</v>
      </c>
      <c r="AL47" s="131">
        <f t="shared" si="62"/>
        <v>0.99986190401416319</v>
      </c>
      <c r="AM47" s="131">
        <f t="shared" si="82"/>
        <v>1.0288208501814202</v>
      </c>
      <c r="AN47" s="131">
        <f t="shared" si="83"/>
        <v>0.99551990321154937</v>
      </c>
      <c r="AO47" s="131">
        <f t="shared" si="84"/>
        <v>0.97622588106667141</v>
      </c>
      <c r="AP47" s="131">
        <f t="shared" si="85"/>
        <v>1.0488726324181523</v>
      </c>
      <c r="AQ47" s="131">
        <f t="shared" si="67"/>
        <v>1.0488726324181519</v>
      </c>
      <c r="AR47" s="131"/>
      <c r="AS47" s="131">
        <f t="shared" si="86"/>
        <v>1.0242116331946314</v>
      </c>
      <c r="AU47" s="134"/>
      <c r="AW47" s="129">
        <f t="shared" si="9"/>
        <v>0.71835569813638434</v>
      </c>
      <c r="AX47" s="129">
        <f t="shared" si="10"/>
        <v>7.9790515768226225E-2</v>
      </c>
      <c r="AY47" s="129">
        <f t="shared" si="11"/>
        <v>4.9246009717241822E-2</v>
      </c>
      <c r="AZ47" s="129">
        <f t="shared" si="12"/>
        <v>4.8837737530925678E-2</v>
      </c>
      <c r="BA47" s="129">
        <f t="shared" si="13"/>
        <v>0.10377003884722209</v>
      </c>
      <c r="BC47" s="129">
        <f t="shared" si="23"/>
        <v>0.72103566942102648</v>
      </c>
      <c r="BD47" s="129">
        <f t="shared" si="24"/>
        <v>8.0394726584560094E-2</v>
      </c>
      <c r="BE47" s="129">
        <f t="shared" si="25"/>
        <v>4.7063252119769236E-2</v>
      </c>
      <c r="BF47" s="129">
        <f t="shared" si="26"/>
        <v>4.9349072027256156E-2</v>
      </c>
      <c r="BG47" s="129">
        <f t="shared" si="27"/>
        <v>0.10210900557366598</v>
      </c>
      <c r="BH47" s="129">
        <f t="shared" si="28"/>
        <v>0.999951725726278</v>
      </c>
      <c r="BI47" s="129"/>
      <c r="BJ47" s="129">
        <f t="shared" si="29"/>
        <v>0.72107047857468209</v>
      </c>
      <c r="BK47" s="129">
        <f t="shared" si="30"/>
        <v>8.0398607768958408E-2</v>
      </c>
      <c r="BL47" s="129">
        <f t="shared" si="31"/>
        <v>4.7065524173766068E-2</v>
      </c>
      <c r="BM47" s="129">
        <f t="shared" si="32"/>
        <v>4.935145443287603E-2</v>
      </c>
      <c r="BN47" s="129">
        <f t="shared" si="33"/>
        <v>0.1021139350497174</v>
      </c>
      <c r="BQ47" s="129">
        <f t="shared" si="34"/>
        <v>-2.1012136704913684E-2</v>
      </c>
      <c r="BR47" s="129">
        <f t="shared" si="35"/>
        <v>-6.3417712729695042E-2</v>
      </c>
      <c r="BS47" s="129">
        <f t="shared" si="36"/>
        <v>-5.1665871146029954E-2</v>
      </c>
      <c r="BT47" s="129">
        <f t="shared" si="37"/>
        <v>-1.0050335853501787E-2</v>
      </c>
      <c r="BU47" s="129">
        <f t="shared" si="38"/>
        <v>1.9990061809354524E-2</v>
      </c>
      <c r="BW47" s="129">
        <f t="shared" si="14"/>
        <v>0.32199398965255066</v>
      </c>
      <c r="BX47" s="129">
        <f t="shared" si="15"/>
        <v>0.30939765653900164</v>
      </c>
      <c r="BY47" s="129">
        <f t="shared" si="16"/>
        <v>4.3068202179356741E-3</v>
      </c>
      <c r="BZ47" s="129">
        <f t="shared" si="17"/>
        <v>0.29355267601242541</v>
      </c>
      <c r="CA47" s="129">
        <f t="shared" si="18"/>
        <v>7.0748857578086591E-2</v>
      </c>
      <c r="CC47" s="129">
        <f t="shared" si="39"/>
        <v>-4.2450919771322244E-3</v>
      </c>
      <c r="CD47" s="129">
        <f t="shared" si="40"/>
        <v>3.1197989696256437E-2</v>
      </c>
      <c r="CE47" s="129">
        <f t="shared" si="41"/>
        <v>0.12588242985742451</v>
      </c>
      <c r="CF47" s="129">
        <f t="shared" si="42"/>
        <v>-2.7895674836201867E-2</v>
      </c>
      <c r="CG47" s="129">
        <f t="shared" si="43"/>
        <v>-4.7808479850957406E-3</v>
      </c>
      <c r="CI47" s="129">
        <f t="shared" si="44"/>
        <v>6.6355208770768625E-4</v>
      </c>
      <c r="CJ47" s="129">
        <f t="shared" si="45"/>
        <v>0</v>
      </c>
      <c r="CK47" s="129">
        <f t="shared" si="46"/>
        <v>0</v>
      </c>
      <c r="CL47" s="129">
        <f t="shared" si="47"/>
        <v>0</v>
      </c>
      <c r="CM47" s="129">
        <f t="shared" si="48"/>
        <v>0</v>
      </c>
      <c r="CO47" s="129">
        <f t="shared" si="49"/>
        <v>0.97908546362072812</v>
      </c>
      <c r="CP47" s="129">
        <f t="shared" si="91"/>
        <v>0.98913882038868384</v>
      </c>
      <c r="CQ47" s="129">
        <f t="shared" si="87"/>
        <v>0.97622588106667141</v>
      </c>
      <c r="CR47" s="129"/>
      <c r="CS47" s="129">
        <f t="shared" si="50"/>
        <v>1.0035132607363006</v>
      </c>
      <c r="CT47" s="129">
        <f t="shared" si="92"/>
        <v>1.0765880143489019</v>
      </c>
      <c r="CU47" s="129">
        <f t="shared" si="88"/>
        <v>1.0288208501814202</v>
      </c>
      <c r="CV47" s="129"/>
      <c r="CW47" s="129">
        <f t="shared" si="93"/>
        <v>1.000478582305429</v>
      </c>
      <c r="CX47" s="129">
        <f t="shared" si="94"/>
        <v>1.0143672118548819</v>
      </c>
      <c r="CY47" s="129">
        <f t="shared" si="89"/>
        <v>0.99551990321154937</v>
      </c>
      <c r="DA47">
        <f t="shared" si="55"/>
        <v>1987</v>
      </c>
      <c r="DB47" s="4">
        <f>'Freight-based Activity'!G45</f>
        <v>895415.5</v>
      </c>
      <c r="DC47" s="4">
        <f>'Freight-based Activity'!I45</f>
        <v>968403.7</v>
      </c>
      <c r="DD47">
        <f t="shared" si="56"/>
        <v>263.36271978597244</v>
      </c>
      <c r="DE47">
        <f t="shared" si="72"/>
        <v>1987</v>
      </c>
      <c r="DF47" s="136">
        <f t="shared" si="73"/>
        <v>0.29412347651562032</v>
      </c>
      <c r="DG47" s="136">
        <f t="shared" si="74"/>
        <v>0.27195550759045267</v>
      </c>
      <c r="DH47" s="136">
        <f t="shared" si="70"/>
        <v>0.98009999999999964</v>
      </c>
      <c r="DI47" s="136">
        <f t="shared" si="71"/>
        <v>0.97923975316753453</v>
      </c>
      <c r="DJ47" s="136">
        <f t="shared" si="52"/>
        <v>0.92463039949145176</v>
      </c>
    </row>
    <row r="48" spans="1:114" x14ac:dyDescent="0.2">
      <c r="A48" s="133" t="s">
        <v>664</v>
      </c>
      <c r="B48" s="133">
        <f t="shared" si="90"/>
        <v>1988</v>
      </c>
      <c r="D48" s="5">
        <f>'Freight-Trucks'!F49</f>
        <v>3950.1527011109092</v>
      </c>
      <c r="E48" s="5">
        <f>'Freight-based Energy Use'!D46</f>
        <v>441.38043289999996</v>
      </c>
      <c r="F48" s="5">
        <f>'Freight-based Energy Use'!E46</f>
        <v>293.52761884977764</v>
      </c>
      <c r="G48" s="5">
        <f>'Freight-based Energy Use'!N46</f>
        <v>259.16046473357881</v>
      </c>
      <c r="H48" s="5">
        <f>Pipelines!F49</f>
        <v>661.7093553927516</v>
      </c>
      <c r="I48" s="5">
        <f t="shared" si="5"/>
        <v>5605.9305729870175</v>
      </c>
      <c r="K48" s="4">
        <f>'Freight-Trucks'!J49</f>
        <v>1031388.0895188451</v>
      </c>
      <c r="L48" s="4">
        <f>'Freight-based Activity'!E46</f>
        <v>996182</v>
      </c>
      <c r="M48" s="4">
        <f>'Freight-based Activity'!F46</f>
        <v>14632.308999999999</v>
      </c>
      <c r="N48" s="4">
        <f>'Freight-based Activity'!G46</f>
        <v>890028.4</v>
      </c>
      <c r="O48" s="4">
        <f>Pipelines!J49</f>
        <v>226599.25317100002</v>
      </c>
      <c r="P48" s="4">
        <f t="shared" si="6"/>
        <v>3158830.051689845</v>
      </c>
      <c r="R48" s="4">
        <f t="shared" si="75"/>
        <v>3829.9382562714127</v>
      </c>
      <c r="S48" s="4">
        <f t="shared" si="76"/>
        <v>443.07208210949398</v>
      </c>
      <c r="T48" s="4">
        <f t="shared" si="77"/>
        <v>20060.23921786901</v>
      </c>
      <c r="U48" s="4">
        <f t="shared" si="78"/>
        <v>291.18224175046413</v>
      </c>
      <c r="V48" s="4">
        <f t="shared" si="79"/>
        <v>2920.174476009423</v>
      </c>
      <c r="W48" s="4">
        <f t="shared" si="80"/>
        <v>1774.6857163107188</v>
      </c>
      <c r="Y48" s="129">
        <f>'Freight-Trucks'!W49</f>
        <v>0.95223370625609904</v>
      </c>
      <c r="Z48" s="129">
        <f t="shared" si="54"/>
        <v>0.89100637821397577</v>
      </c>
      <c r="AA48" s="129">
        <f t="shared" si="59"/>
        <v>0.9345425111869794</v>
      </c>
      <c r="AB48" s="129">
        <f t="shared" si="60"/>
        <v>0.97029899999999969</v>
      </c>
      <c r="AC48" s="129">
        <f t="shared" si="81"/>
        <v>1.180661976400641</v>
      </c>
      <c r="AD48" s="129"/>
      <c r="AE48" s="142">
        <f>'Freight-Trucks'!V49</f>
        <v>0.98832682530549842</v>
      </c>
      <c r="AF48" s="142">
        <v>1</v>
      </c>
      <c r="AG48" s="142">
        <v>1</v>
      </c>
      <c r="AH48" s="142">
        <v>1</v>
      </c>
      <c r="AI48" s="142">
        <v>1</v>
      </c>
      <c r="AK48" s="131">
        <f t="shared" si="61"/>
        <v>1.08635165196587</v>
      </c>
      <c r="AL48" s="131">
        <f t="shared" si="62"/>
        <v>1.0036938833570976</v>
      </c>
      <c r="AM48" s="131">
        <f t="shared" si="82"/>
        <v>1.0440652704869744</v>
      </c>
      <c r="AN48" s="131">
        <f t="shared" si="83"/>
        <v>0.99161579643799436</v>
      </c>
      <c r="AO48" s="131">
        <f t="shared" si="84"/>
        <v>0.96946066196849845</v>
      </c>
      <c r="AP48" s="131">
        <f t="shared" si="85"/>
        <v>1.0903645082530222</v>
      </c>
      <c r="AQ48" s="131">
        <f t="shared" si="67"/>
        <v>1.0903645082530222</v>
      </c>
      <c r="AR48" s="131"/>
      <c r="AS48" s="131">
        <f t="shared" si="86"/>
        <v>1.035311614727191</v>
      </c>
      <c r="AU48" s="134"/>
      <c r="AW48" s="129">
        <f t="shared" si="9"/>
        <v>0.70463817731623146</v>
      </c>
      <c r="AX48" s="129">
        <f t="shared" si="10"/>
        <v>7.8734552123576954E-2</v>
      </c>
      <c r="AY48" s="129">
        <f t="shared" si="11"/>
        <v>5.2360195159066487E-2</v>
      </c>
      <c r="AZ48" s="129">
        <f t="shared" si="12"/>
        <v>4.6229695740860714E-2</v>
      </c>
      <c r="BA48" s="129">
        <f t="shared" si="13"/>
        <v>0.1180373796602643</v>
      </c>
      <c r="BC48" s="129">
        <f t="shared" si="23"/>
        <v>0.71147489792183616</v>
      </c>
      <c r="BD48" s="129">
        <f t="shared" si="24"/>
        <v>7.9261361605119235E-2</v>
      </c>
      <c r="BE48" s="129">
        <f t="shared" si="25"/>
        <v>5.0787190382366676E-2</v>
      </c>
      <c r="BF48" s="129">
        <f t="shared" si="26"/>
        <v>4.7521789579873415E-2</v>
      </c>
      <c r="BG48" s="129">
        <f t="shared" si="27"/>
        <v>0.11075058686463858</v>
      </c>
      <c r="BH48" s="129">
        <f t="shared" si="28"/>
        <v>0.99979582635383402</v>
      </c>
      <c r="BI48" s="129"/>
      <c r="BJ48" s="129">
        <f t="shared" si="29"/>
        <v>0.71162019201112436</v>
      </c>
      <c r="BK48" s="129">
        <f t="shared" si="30"/>
        <v>7.9277547991151692E-2</v>
      </c>
      <c r="BL48" s="129">
        <f t="shared" si="31"/>
        <v>5.0797561905797324E-2</v>
      </c>
      <c r="BM48" s="129">
        <f t="shared" si="32"/>
        <v>4.7531494258363866E-2</v>
      </c>
      <c r="BN48" s="129">
        <f t="shared" si="33"/>
        <v>0.11077320383356276</v>
      </c>
      <c r="BQ48" s="129">
        <f t="shared" si="34"/>
        <v>-2.3859702421013085E-2</v>
      </c>
      <c r="BR48" s="129">
        <f t="shared" si="35"/>
        <v>-2.8598254849898981E-2</v>
      </c>
      <c r="BS48" s="129">
        <f t="shared" si="36"/>
        <v>-7.6869351855840427E-3</v>
      </c>
      <c r="BT48" s="129">
        <f t="shared" si="37"/>
        <v>-1.0050335853501338E-2</v>
      </c>
      <c r="BU48" s="129">
        <f t="shared" si="38"/>
        <v>0.11880430689337423</v>
      </c>
      <c r="BW48" s="129">
        <f t="shared" si="14"/>
        <v>0.32650952176648268</v>
      </c>
      <c r="BX48" s="129">
        <f t="shared" si="15"/>
        <v>0.31536422779917628</v>
      </c>
      <c r="BY48" s="129">
        <f t="shared" si="16"/>
        <v>4.6321925398209729E-3</v>
      </c>
      <c r="BZ48" s="129">
        <f t="shared" si="17"/>
        <v>0.28175887446805542</v>
      </c>
      <c r="CA48" s="129">
        <f t="shared" si="18"/>
        <v>7.1735183426464705E-2</v>
      </c>
      <c r="CC48" s="129">
        <f t="shared" si="39"/>
        <v>1.3926231740253602E-2</v>
      </c>
      <c r="CD48" s="129">
        <f t="shared" si="40"/>
        <v>1.9100885678880054E-2</v>
      </c>
      <c r="CE48" s="129">
        <f t="shared" si="41"/>
        <v>7.2830443355485025E-2</v>
      </c>
      <c r="CF48" s="129">
        <f t="shared" si="42"/>
        <v>-4.1005448412653564E-2</v>
      </c>
      <c r="CG48" s="129">
        <f t="shared" si="43"/>
        <v>1.3844941461274522E-2</v>
      </c>
      <c r="CI48" s="129">
        <f t="shared" si="44"/>
        <v>-5.5217463516400549E-3</v>
      </c>
      <c r="CJ48" s="129">
        <f t="shared" si="45"/>
        <v>0</v>
      </c>
      <c r="CK48" s="129">
        <f t="shared" si="46"/>
        <v>0</v>
      </c>
      <c r="CL48" s="129">
        <f t="shared" si="47"/>
        <v>0</v>
      </c>
      <c r="CM48" s="129">
        <f t="shared" si="48"/>
        <v>0</v>
      </c>
      <c r="CO48" s="129">
        <f t="shared" si="49"/>
        <v>0.99307002689707324</v>
      </c>
      <c r="CP48" s="129">
        <f t="shared" si="91"/>
        <v>0.98228411496832957</v>
      </c>
      <c r="CQ48" s="129">
        <f t="shared" si="87"/>
        <v>0.96946066196849845</v>
      </c>
      <c r="CR48" s="129"/>
      <c r="CS48" s="129">
        <f t="shared" si="50"/>
        <v>1.0148173710737549</v>
      </c>
      <c r="CT48" s="129">
        <f t="shared" si="92"/>
        <v>1.0925402184510666</v>
      </c>
      <c r="CU48" s="129">
        <f t="shared" si="88"/>
        <v>1.0440652704869744</v>
      </c>
      <c r="CV48" s="129"/>
      <c r="CW48" s="129">
        <f t="shared" si="93"/>
        <v>0.99607832373721472</v>
      </c>
      <c r="CX48" s="129">
        <f t="shared" si="94"/>
        <v>1.0103891920384029</v>
      </c>
      <c r="CY48" s="129">
        <f t="shared" si="89"/>
        <v>0.99161579643799436</v>
      </c>
      <c r="DA48">
        <f t="shared" si="55"/>
        <v>1988</v>
      </c>
      <c r="DB48" s="4">
        <f>'Freight-based Activity'!G46</f>
        <v>890028.4</v>
      </c>
      <c r="DC48" s="4">
        <f>'Freight-based Activity'!I46</f>
        <v>970685</v>
      </c>
      <c r="DD48">
        <f t="shared" si="56"/>
        <v>259.16046473357881</v>
      </c>
      <c r="DE48">
        <f t="shared" si="72"/>
        <v>1988</v>
      </c>
      <c r="DF48" s="136">
        <f t="shared" si="73"/>
        <v>0.29118224175046414</v>
      </c>
      <c r="DG48" s="136">
        <f t="shared" si="74"/>
        <v>0.2669871943355247</v>
      </c>
      <c r="DH48" s="136">
        <f t="shared" si="70"/>
        <v>0.97029899999999969</v>
      </c>
      <c r="DI48" s="136">
        <f t="shared" si="71"/>
        <v>0.96135017303540027</v>
      </c>
      <c r="DJ48" s="136">
        <f t="shared" si="52"/>
        <v>0.91690754467206148</v>
      </c>
    </row>
    <row r="49" spans="1:114" x14ac:dyDescent="0.2">
      <c r="A49" s="133" t="s">
        <v>664</v>
      </c>
      <c r="B49" s="133">
        <f t="shared" si="90"/>
        <v>1989</v>
      </c>
      <c r="D49" s="5">
        <f>'Freight-Trucks'!F50</f>
        <v>4044.8686255810626</v>
      </c>
      <c r="E49" s="5">
        <f>'Freight-based Energy Use'!D47</f>
        <v>442.56604049999999</v>
      </c>
      <c r="F49" s="5">
        <f>'Freight-based Energy Use'!E47</f>
        <v>322.39838156125677</v>
      </c>
      <c r="G49" s="5">
        <f>'Freight-based Energy Use'!N47</f>
        <v>235.09891165995319</v>
      </c>
      <c r="H49" s="5">
        <f>Pipelines!F50</f>
        <v>678.30404195358972</v>
      </c>
      <c r="I49" s="5">
        <f t="shared" si="5"/>
        <v>5723.236001255862</v>
      </c>
      <c r="K49" s="4">
        <f>'Freight-Trucks'!J50</f>
        <v>1056312.8018601972</v>
      </c>
      <c r="L49" s="4">
        <f>'Freight-based Activity'!E47</f>
        <v>1013841</v>
      </c>
      <c r="M49" s="4">
        <f>'Freight-based Activity'!F47</f>
        <v>16347.294</v>
      </c>
      <c r="N49" s="4">
        <f>'Freight-based Activity'!G47</f>
        <v>815549.9</v>
      </c>
      <c r="O49" s="4">
        <f>Pipelines!J50</f>
        <v>241872.5845163</v>
      </c>
      <c r="P49" s="4">
        <f t="shared" si="6"/>
        <v>3143923.580376497</v>
      </c>
      <c r="R49" s="4">
        <f t="shared" si="75"/>
        <v>3829.2337444532836</v>
      </c>
      <c r="S49" s="4">
        <f t="shared" si="76"/>
        <v>436.52411028948325</v>
      </c>
      <c r="T49" s="4">
        <f t="shared" si="77"/>
        <v>19721.819498765777</v>
      </c>
      <c r="U49" s="4">
        <f t="shared" si="78"/>
        <v>288.27041933295948</v>
      </c>
      <c r="V49" s="4">
        <f t="shared" si="79"/>
        <v>2804.3858021779156</v>
      </c>
      <c r="W49" s="4">
        <f t="shared" si="80"/>
        <v>1820.4119327132253</v>
      </c>
      <c r="Y49" s="129">
        <f>'Freight-Trucks'!W50</f>
        <v>0.95080777849981069</v>
      </c>
      <c r="Z49" s="129">
        <f t="shared" si="54"/>
        <v>0.87783857800364085</v>
      </c>
      <c r="AA49" s="129">
        <f t="shared" si="59"/>
        <v>0.91877661673821298</v>
      </c>
      <c r="AB49" s="129">
        <f t="shared" si="60"/>
        <v>0.96059600999999972</v>
      </c>
      <c r="AC49" s="129">
        <f t="shared" si="81"/>
        <v>1.1338472104974973</v>
      </c>
      <c r="AD49" s="129"/>
      <c r="AE49" s="142">
        <f>'Freight-Trucks'!V50</f>
        <v>0.9896269464354529</v>
      </c>
      <c r="AF49" s="142">
        <v>1</v>
      </c>
      <c r="AG49" s="142">
        <v>1</v>
      </c>
      <c r="AH49" s="142">
        <v>1</v>
      </c>
      <c r="AI49" s="142">
        <v>1</v>
      </c>
      <c r="AK49" s="131">
        <f t="shared" si="61"/>
        <v>1.0812251749249242</v>
      </c>
      <c r="AL49" s="131">
        <f t="shared" si="62"/>
        <v>1.0295548700605166</v>
      </c>
      <c r="AM49" s="131">
        <f t="shared" si="82"/>
        <v>1.0789641484077492</v>
      </c>
      <c r="AN49" s="131">
        <f t="shared" si="83"/>
        <v>0.99253622700186794</v>
      </c>
      <c r="AO49" s="131">
        <f t="shared" si="84"/>
        <v>0.96138228603499831</v>
      </c>
      <c r="AP49" s="131">
        <f t="shared" si="85"/>
        <v>1.1131806444759893</v>
      </c>
      <c r="AQ49" s="131">
        <f t="shared" si="67"/>
        <v>1.1131806444759895</v>
      </c>
      <c r="AR49" s="131"/>
      <c r="AS49" s="131">
        <f t="shared" si="86"/>
        <v>1.070911004930911</v>
      </c>
      <c r="AU49" s="134"/>
      <c r="AW49" s="129">
        <f t="shared" si="9"/>
        <v>0.70674503457370763</v>
      </c>
      <c r="AX49" s="129">
        <f t="shared" si="10"/>
        <v>7.7327938320713455E-2</v>
      </c>
      <c r="AY49" s="129">
        <f t="shared" si="11"/>
        <v>5.6331484756265898E-2</v>
      </c>
      <c r="AZ49" s="129">
        <f t="shared" si="12"/>
        <v>4.1077969108449297E-2</v>
      </c>
      <c r="BA49" s="129">
        <f t="shared" si="13"/>
        <v>0.11851757324086373</v>
      </c>
      <c r="BC49" s="129">
        <f t="shared" si="23"/>
        <v>0.70569108177239215</v>
      </c>
      <c r="BD49" s="129">
        <f t="shared" si="24"/>
        <v>7.8029132174087398E-2</v>
      </c>
      <c r="BE49" s="129">
        <f t="shared" si="25"/>
        <v>5.4321648042526566E-2</v>
      </c>
      <c r="BF49" s="129">
        <f t="shared" si="26"/>
        <v>4.36031210040271E-2</v>
      </c>
      <c r="BG49" s="129">
        <f t="shared" si="27"/>
        <v>0.11827731398928293</v>
      </c>
      <c r="BH49" s="129">
        <f t="shared" si="28"/>
        <v>0.99992229698231605</v>
      </c>
      <c r="BI49" s="129"/>
      <c r="BJ49" s="129">
        <f t="shared" si="29"/>
        <v>0.70574592036012229</v>
      </c>
      <c r="BK49" s="129">
        <f t="shared" si="30"/>
        <v>7.803519574428229E-2</v>
      </c>
      <c r="BL49" s="129">
        <f t="shared" si="31"/>
        <v>5.4325869326511539E-2</v>
      </c>
      <c r="BM49" s="129">
        <f t="shared" si="32"/>
        <v>4.3606509361395145E-2</v>
      </c>
      <c r="BN49" s="129">
        <f t="shared" si="33"/>
        <v>0.11828650520768885</v>
      </c>
      <c r="BQ49" s="129">
        <f t="shared" si="34"/>
        <v>-1.4985779706489591E-3</v>
      </c>
      <c r="BR49" s="129">
        <f t="shared" si="35"/>
        <v>-1.4888861134291534E-2</v>
      </c>
      <c r="BS49" s="129">
        <f t="shared" si="36"/>
        <v>-1.701409599090763E-2</v>
      </c>
      <c r="BT49" s="129">
        <f t="shared" si="37"/>
        <v>-1.0050335853501451E-2</v>
      </c>
      <c r="BU49" s="129">
        <f t="shared" si="38"/>
        <v>-4.045881691034945E-2</v>
      </c>
      <c r="BW49" s="129">
        <f t="shared" si="14"/>
        <v>0.33598552091196177</v>
      </c>
      <c r="BX49" s="129">
        <f t="shared" si="15"/>
        <v>0.32247634972049438</v>
      </c>
      <c r="BY49" s="129">
        <f t="shared" si="16"/>
        <v>5.1996473775747275E-3</v>
      </c>
      <c r="BZ49" s="129">
        <f t="shared" si="17"/>
        <v>0.25940512838493829</v>
      </c>
      <c r="CA49" s="129">
        <f t="shared" si="18"/>
        <v>7.6933353605030952E-2</v>
      </c>
      <c r="CC49" s="129">
        <f t="shared" si="39"/>
        <v>2.8608955075623985E-2</v>
      </c>
      <c r="CD49" s="129">
        <f t="shared" si="40"/>
        <v>2.2301549768935929E-2</v>
      </c>
      <c r="CE49" s="129">
        <f t="shared" si="41"/>
        <v>0.1155605045575237</v>
      </c>
      <c r="CF49" s="129">
        <f t="shared" si="42"/>
        <v>-8.2660608224321197E-2</v>
      </c>
      <c r="CG49" s="129">
        <f t="shared" si="43"/>
        <v>6.9958178914680383E-2</v>
      </c>
      <c r="CI49" s="129">
        <f t="shared" si="44"/>
        <v>1.3146124401580749E-3</v>
      </c>
      <c r="CJ49" s="129">
        <f t="shared" si="45"/>
        <v>0</v>
      </c>
      <c r="CK49" s="129">
        <f t="shared" si="46"/>
        <v>0</v>
      </c>
      <c r="CL49" s="129">
        <f t="shared" si="47"/>
        <v>0</v>
      </c>
      <c r="CM49" s="129">
        <f t="shared" si="48"/>
        <v>0</v>
      </c>
      <c r="CO49" s="129">
        <f t="shared" si="49"/>
        <v>0.99166714416539925</v>
      </c>
      <c r="CP49" s="129">
        <f t="shared" si="91"/>
        <v>0.97409888304968006</v>
      </c>
      <c r="CQ49" s="129">
        <f t="shared" si="87"/>
        <v>0.96138228603499831</v>
      </c>
      <c r="CR49" s="129"/>
      <c r="CS49" s="129">
        <f t="shared" si="50"/>
        <v>1.033425954207343</v>
      </c>
      <c r="CT49" s="129">
        <f t="shared" si="92"/>
        <v>1.1290594177626925</v>
      </c>
      <c r="CU49" s="129">
        <f t="shared" si="88"/>
        <v>1.0789641484077492</v>
      </c>
      <c r="CV49" s="129"/>
      <c r="CW49" s="129">
        <f t="shared" si="93"/>
        <v>1.0009282128896897</v>
      </c>
      <c r="CX49" s="129">
        <f t="shared" si="94"/>
        <v>1.011327048310056</v>
      </c>
      <c r="CY49" s="129">
        <f t="shared" si="89"/>
        <v>0.99253622700186794</v>
      </c>
      <c r="DA49">
        <f t="shared" si="55"/>
        <v>1989</v>
      </c>
      <c r="DB49" s="4">
        <f>'Freight-based Activity'!G47</f>
        <v>815549.9</v>
      </c>
      <c r="DC49" s="4">
        <f>'Freight-based Activity'!I47</f>
        <v>911232.20000000007</v>
      </c>
      <c r="DD49">
        <f t="shared" si="56"/>
        <v>235.09891165995319</v>
      </c>
      <c r="DE49">
        <f t="shared" si="72"/>
        <v>1989</v>
      </c>
      <c r="DF49" s="136">
        <f t="shared" si="73"/>
        <v>0.28827041933295949</v>
      </c>
      <c r="DG49" s="136">
        <f t="shared" si="74"/>
        <v>0.25800110187058051</v>
      </c>
      <c r="DH49" s="136">
        <f t="shared" si="70"/>
        <v>0.96059600999999972</v>
      </c>
      <c r="DI49" s="136">
        <f t="shared" si="71"/>
        <v>0.92899363411005464</v>
      </c>
      <c r="DJ49" s="136">
        <f t="shared" si="52"/>
        <v>0.89499679664524578</v>
      </c>
    </row>
    <row r="50" spans="1:114" x14ac:dyDescent="0.2">
      <c r="A50" s="133" t="s">
        <v>664</v>
      </c>
      <c r="B50" s="133">
        <f t="shared" si="90"/>
        <v>1990</v>
      </c>
      <c r="D50" s="5">
        <f>'Freight-Trucks'!F51</f>
        <v>4233.0939131606665</v>
      </c>
      <c r="E50" s="5">
        <f>'Freight-based Energy Use'!D48</f>
        <v>434.68579999999997</v>
      </c>
      <c r="F50" s="5">
        <f>'Freight-based Energy Use'!E48</f>
        <v>327.47278439024512</v>
      </c>
      <c r="G50" s="5">
        <f>'Freight-based Energy Use'!N48</f>
        <v>237.88316055080463</v>
      </c>
      <c r="H50" s="5">
        <f>Pipelines!F51</f>
        <v>711.18730371746926</v>
      </c>
      <c r="I50" s="5">
        <f t="shared" si="5"/>
        <v>5944.3229618191854</v>
      </c>
      <c r="K50" s="4">
        <f>'Freight-Trucks'!J51</f>
        <v>1082936.7621633743</v>
      </c>
      <c r="L50" s="4">
        <f>'Freight-based Activity'!E48</f>
        <v>1033969</v>
      </c>
      <c r="M50" s="4">
        <f>'Freight-based Activity'!F48</f>
        <v>16403.524000000001</v>
      </c>
      <c r="N50" s="4">
        <f>'Freight-based Activity'!G48</f>
        <v>833543.8</v>
      </c>
      <c r="O50" s="4">
        <f>Pipelines!J51</f>
        <v>239894.83324520005</v>
      </c>
      <c r="P50" s="4">
        <f t="shared" si="6"/>
        <v>3206747.9194085747</v>
      </c>
      <c r="R50" s="4">
        <f t="shared" si="75"/>
        <v>3908.9022194650111</v>
      </c>
      <c r="S50" s="4">
        <f t="shared" si="76"/>
        <v>420.4050604998796</v>
      </c>
      <c r="T50" s="4">
        <f t="shared" si="77"/>
        <v>19963.56297526343</v>
      </c>
      <c r="U50" s="4">
        <f t="shared" si="78"/>
        <v>285.38771513962985</v>
      </c>
      <c r="V50" s="4">
        <f t="shared" si="79"/>
        <v>2964.5794955098272</v>
      </c>
      <c r="W50" s="4">
        <f t="shared" si="80"/>
        <v>1853.6919992499772</v>
      </c>
      <c r="Y50" s="129">
        <f>'Freight-Trucks'!W51</f>
        <v>0.97190293635708291</v>
      </c>
      <c r="Z50" s="129">
        <f t="shared" si="54"/>
        <v>0.84542359011971402</v>
      </c>
      <c r="AA50" s="129">
        <f t="shared" si="59"/>
        <v>0.93003867364269621</v>
      </c>
      <c r="AB50" s="129">
        <f t="shared" si="60"/>
        <v>0.95099004989999958</v>
      </c>
      <c r="AC50" s="129">
        <f t="shared" si="81"/>
        <v>1.1986154646309406</v>
      </c>
      <c r="AD50" s="129"/>
      <c r="AE50" s="142">
        <f>'Freight-Trucks'!V51</f>
        <v>0.98828970936446359</v>
      </c>
      <c r="AF50" s="142">
        <v>1</v>
      </c>
      <c r="AG50" s="142">
        <v>1</v>
      </c>
      <c r="AH50" s="142">
        <v>1</v>
      </c>
      <c r="AI50" s="142">
        <v>1</v>
      </c>
      <c r="AK50" s="131">
        <f t="shared" si="61"/>
        <v>1.1028310617166657</v>
      </c>
      <c r="AL50" s="131">
        <f t="shared" si="62"/>
        <v>1.0483767938037776</v>
      </c>
      <c r="AM50" s="131">
        <f t="shared" si="82"/>
        <v>1.0783720245590238</v>
      </c>
      <c r="AN50" s="131">
        <f t="shared" si="83"/>
        <v>0.99158454667476814</v>
      </c>
      <c r="AO50" s="131">
        <f t="shared" si="84"/>
        <v>0.9804355191978964</v>
      </c>
      <c r="AP50" s="131">
        <f t="shared" si="85"/>
        <v>1.1561824925897339</v>
      </c>
      <c r="AQ50" s="131">
        <f t="shared" si="67"/>
        <v>1.1561824925897339</v>
      </c>
      <c r="AR50" s="131"/>
      <c r="AS50" s="131">
        <f t="shared" si="86"/>
        <v>1.0692970351191116</v>
      </c>
      <c r="AU50" s="134"/>
      <c r="AW50" s="129">
        <f t="shared" si="9"/>
        <v>0.71212380961635724</v>
      </c>
      <c r="AX50" s="129">
        <f t="shared" si="10"/>
        <v>7.31262084499813E-2</v>
      </c>
      <c r="AY50" s="129">
        <f t="shared" si="11"/>
        <v>5.5090005454553261E-2</v>
      </c>
      <c r="AZ50" s="129">
        <f t="shared" si="12"/>
        <v>4.00185457753129E-2</v>
      </c>
      <c r="BA50" s="129">
        <f t="shared" si="13"/>
        <v>0.11964143070379529</v>
      </c>
      <c r="BC50" s="129">
        <f t="shared" si="23"/>
        <v>0.70943102369168132</v>
      </c>
      <c r="BD50" s="129">
        <f t="shared" si="24"/>
        <v>7.5207512378960062E-2</v>
      </c>
      <c r="BE50" s="129">
        <f t="shared" si="25"/>
        <v>5.570843956291098E-2</v>
      </c>
      <c r="BF50" s="129">
        <f t="shared" si="26"/>
        <v>4.05459506660516E-2</v>
      </c>
      <c r="BG50" s="129">
        <f t="shared" si="27"/>
        <v>0.11907861806488622</v>
      </c>
      <c r="BH50" s="129">
        <f t="shared" si="28"/>
        <v>0.99997154436449009</v>
      </c>
      <c r="BI50" s="129"/>
      <c r="BJ50" s="129">
        <f t="shared" si="29"/>
        <v>0.70945121157677005</v>
      </c>
      <c r="BK50" s="129">
        <f t="shared" si="30"/>
        <v>7.5209652517418929E-2</v>
      </c>
      <c r="BL50" s="129">
        <f t="shared" si="31"/>
        <v>5.5710024827071707E-2</v>
      </c>
      <c r="BM50" s="129">
        <f t="shared" si="32"/>
        <v>4.0547104459677089E-2</v>
      </c>
      <c r="BN50" s="129">
        <f t="shared" si="33"/>
        <v>0.11908200661906236</v>
      </c>
      <c r="BQ50" s="129">
        <f t="shared" si="34"/>
        <v>2.194402330134582E-2</v>
      </c>
      <c r="BR50" s="129">
        <f t="shared" si="35"/>
        <v>-3.7624932964430043E-2</v>
      </c>
      <c r="BS50" s="129">
        <f t="shared" si="36"/>
        <v>1.2183149137904394E-2</v>
      </c>
      <c r="BT50" s="129">
        <f t="shared" si="37"/>
        <v>-1.0050335853501562E-2</v>
      </c>
      <c r="BU50" s="129">
        <f t="shared" si="38"/>
        <v>5.5550649986826427E-2</v>
      </c>
      <c r="BW50" s="129">
        <f t="shared" si="14"/>
        <v>0.33770560997607257</v>
      </c>
      <c r="BX50" s="129">
        <f t="shared" si="15"/>
        <v>0.32243538500235353</v>
      </c>
      <c r="BY50" s="129">
        <f t="shared" si="16"/>
        <v>5.1153144594618862E-3</v>
      </c>
      <c r="BZ50" s="129">
        <f t="shared" si="17"/>
        <v>0.25993430757529945</v>
      </c>
      <c r="CA50" s="129">
        <f t="shared" si="18"/>
        <v>7.4809382986812445E-2</v>
      </c>
      <c r="CC50" s="129">
        <f t="shared" si="39"/>
        <v>5.1064730497638253E-3</v>
      </c>
      <c r="CD50" s="129">
        <f t="shared" si="40"/>
        <v>-1.2703976680955687E-4</v>
      </c>
      <c r="CE50" s="129">
        <f t="shared" si="41"/>
        <v>-1.6351935868620538E-2</v>
      </c>
      <c r="CF50" s="129">
        <f t="shared" si="42"/>
        <v>2.0378940510202385E-3</v>
      </c>
      <c r="CG50" s="129">
        <f t="shared" si="43"/>
        <v>-2.7996191349202601E-2</v>
      </c>
      <c r="CI50" s="129">
        <f t="shared" si="44"/>
        <v>-1.3521674645022316E-3</v>
      </c>
      <c r="CJ50" s="129">
        <f t="shared" si="45"/>
        <v>0</v>
      </c>
      <c r="CK50" s="129">
        <f t="shared" si="46"/>
        <v>0</v>
      </c>
      <c r="CL50" s="129">
        <f t="shared" si="47"/>
        <v>0</v>
      </c>
      <c r="CM50" s="129">
        <f t="shared" si="48"/>
        <v>0</v>
      </c>
      <c r="CO50" s="129">
        <f t="shared" si="49"/>
        <v>1.0198185814734311</v>
      </c>
      <c r="CP50" s="129">
        <f t="shared" si="91"/>
        <v>0.99340414112657838</v>
      </c>
      <c r="CQ50" s="129">
        <f t="shared" si="87"/>
        <v>0.9804355191978964</v>
      </c>
      <c r="CR50" s="129"/>
      <c r="CS50" s="129">
        <f t="shared" si="50"/>
        <v>0.99945121082141686</v>
      </c>
      <c r="CT50" s="129">
        <f t="shared" si="92"/>
        <v>1.1284398021722468</v>
      </c>
      <c r="CU50" s="129">
        <f t="shared" si="88"/>
        <v>1.0783720245590238</v>
      </c>
      <c r="CV50" s="129"/>
      <c r="CW50" s="129">
        <f t="shared" si="93"/>
        <v>0.99904116313217661</v>
      </c>
      <c r="CX50" s="129">
        <f t="shared" si="94"/>
        <v>1.0103573506507093</v>
      </c>
      <c r="CY50" s="129">
        <f t="shared" si="89"/>
        <v>0.99158454667476814</v>
      </c>
      <c r="DA50">
        <f t="shared" si="55"/>
        <v>1990</v>
      </c>
      <c r="DB50" s="4">
        <f>'Freight-based Activity'!G48</f>
        <v>833543.8</v>
      </c>
      <c r="DC50" s="4">
        <f>'Freight-based Activity'!I48</f>
        <v>932151.4</v>
      </c>
      <c r="DD50">
        <f t="shared" si="56"/>
        <v>237.88316055080463</v>
      </c>
      <c r="DE50">
        <f t="shared" si="72"/>
        <v>1990</v>
      </c>
      <c r="DF50" s="136">
        <f t="shared" si="73"/>
        <v>0.28538771513962985</v>
      </c>
      <c r="DG50" s="136">
        <f t="shared" si="74"/>
        <v>0.2551979866691233</v>
      </c>
      <c r="DH50" s="136">
        <f t="shared" si="70"/>
        <v>0.95099004989999958</v>
      </c>
      <c r="DI50" s="136">
        <f t="shared" si="71"/>
        <v>0.91890035869785458</v>
      </c>
      <c r="DJ50" s="136">
        <f t="shared" si="52"/>
        <v>0.89421503845834494</v>
      </c>
    </row>
    <row r="51" spans="1:114" x14ac:dyDescent="0.2">
      <c r="A51" s="133" t="s">
        <v>664</v>
      </c>
      <c r="B51" s="133">
        <f t="shared" si="90"/>
        <v>1991</v>
      </c>
      <c r="D51" s="5">
        <f>'Freight-Trucks'!F52</f>
        <v>4294.3387970891254</v>
      </c>
      <c r="E51" s="5">
        <f>'Freight-based Energy Use'!D49</f>
        <v>405.83620000000002</v>
      </c>
      <c r="F51" s="5">
        <f>'Freight-based Energy Use'!E49</f>
        <v>297.47398664526827</v>
      </c>
      <c r="G51" s="5">
        <f>'Freight-based Energy Use'!N49</f>
        <v>239.70142561537938</v>
      </c>
      <c r="H51" s="5">
        <f>Pipelines!F52</f>
        <v>648.12081200320131</v>
      </c>
      <c r="I51" s="5">
        <f t="shared" si="5"/>
        <v>5885.4712213529747</v>
      </c>
      <c r="K51" s="4">
        <f>'Freight-Trucks'!J52</f>
        <v>1107334.5570397135</v>
      </c>
      <c r="L51" s="4">
        <f>'Freight-based Activity'!E49</f>
        <v>1038875</v>
      </c>
      <c r="M51" s="4">
        <f>'Freight-based Activity'!F49</f>
        <v>16149.708000000001</v>
      </c>
      <c r="N51" s="4">
        <f>'Freight-based Activity'!G49</f>
        <v>848399</v>
      </c>
      <c r="O51" s="4">
        <f>Pipelines!J52</f>
        <v>247589.09004060001</v>
      </c>
      <c r="P51" s="4">
        <f t="shared" si="6"/>
        <v>3258347.3550803135</v>
      </c>
      <c r="R51" s="4">
        <f t="shared" si="75"/>
        <v>3878.0861391785438</v>
      </c>
      <c r="S51" s="4">
        <f t="shared" si="76"/>
        <v>390.6496931777163</v>
      </c>
      <c r="T51" s="4">
        <f t="shared" si="77"/>
        <v>18419.774936195023</v>
      </c>
      <c r="U51" s="4">
        <f t="shared" si="78"/>
        <v>282.53383798823359</v>
      </c>
      <c r="V51" s="4">
        <f t="shared" si="79"/>
        <v>2617.7276708635327</v>
      </c>
      <c r="W51" s="4">
        <f t="shared" si="80"/>
        <v>1806.2749547486187</v>
      </c>
      <c r="Y51" s="129">
        <f>'Freight-Trucks'!W52</f>
        <v>0.96511375278514988</v>
      </c>
      <c r="Z51" s="129">
        <f t="shared" si="54"/>
        <v>0.78558632403894257</v>
      </c>
      <c r="AA51" s="129">
        <f t="shared" si="59"/>
        <v>0.85811851680397466</v>
      </c>
      <c r="AB51" s="129">
        <f t="shared" si="60"/>
        <v>0.94148014940099967</v>
      </c>
      <c r="AC51" s="129">
        <f t="shared" si="81"/>
        <v>1.0583790629469265</v>
      </c>
      <c r="AD51" s="129"/>
      <c r="AE51" s="142">
        <f>'Freight-Trucks'!V52</f>
        <v>0.98739587309818033</v>
      </c>
      <c r="AF51" s="142">
        <v>1</v>
      </c>
      <c r="AG51" s="142">
        <v>1</v>
      </c>
      <c r="AH51" s="142">
        <v>1</v>
      </c>
      <c r="AI51" s="142">
        <v>1</v>
      </c>
      <c r="AK51" s="131">
        <f t="shared" si="61"/>
        <v>1.1205765976477655</v>
      </c>
      <c r="AL51" s="131">
        <f t="shared" si="62"/>
        <v>1.0215595398553878</v>
      </c>
      <c r="AM51" s="131">
        <f t="shared" si="82"/>
        <v>1.0826413909502386</v>
      </c>
      <c r="AN51" s="131">
        <f t="shared" si="83"/>
        <v>0.99093789304228308</v>
      </c>
      <c r="AO51" s="131">
        <f t="shared" si="84"/>
        <v>0.95220974347568466</v>
      </c>
      <c r="AP51" s="131">
        <f t="shared" si="85"/>
        <v>1.144735713465767</v>
      </c>
      <c r="AQ51" s="131">
        <f t="shared" si="67"/>
        <v>1.1447357134657672</v>
      </c>
      <c r="AR51" s="131"/>
      <c r="AS51" s="131">
        <f t="shared" si="86"/>
        <v>1.072830378868596</v>
      </c>
      <c r="AU51" s="134"/>
      <c r="AW51" s="129">
        <f t="shared" si="9"/>
        <v>0.72965080204774602</v>
      </c>
      <c r="AX51" s="129">
        <f t="shared" si="10"/>
        <v>6.895560011024994E-2</v>
      </c>
      <c r="AY51" s="129">
        <f t="shared" si="11"/>
        <v>5.054378408410326E-2</v>
      </c>
      <c r="AZ51" s="129">
        <f t="shared" si="12"/>
        <v>4.07276523153699E-2</v>
      </c>
      <c r="BA51" s="129">
        <f t="shared" si="13"/>
        <v>0.11012216144253081</v>
      </c>
      <c r="BC51" s="129">
        <f t="shared" si="23"/>
        <v>0.72085179316497727</v>
      </c>
      <c r="BD51" s="129">
        <f t="shared" si="24"/>
        <v>7.1020495882431756E-2</v>
      </c>
      <c r="BE51" s="129">
        <f t="shared" si="25"/>
        <v>5.2784268928462205E-2</v>
      </c>
      <c r="BF51" s="129">
        <f t="shared" si="26"/>
        <v>4.0372061138008127E-2</v>
      </c>
      <c r="BG51" s="129">
        <f t="shared" si="27"/>
        <v>0.11481603427423571</v>
      </c>
      <c r="BH51" s="129">
        <f t="shared" si="28"/>
        <v>0.99984465338811512</v>
      </c>
      <c r="BI51" s="129"/>
      <c r="BJ51" s="129">
        <f t="shared" si="29"/>
        <v>0.7209637924474257</v>
      </c>
      <c r="BK51" s="129">
        <f t="shared" si="30"/>
        <v>7.1031530390014835E-2</v>
      </c>
      <c r="BL51" s="129">
        <f t="shared" si="31"/>
        <v>5.2792470059819033E-2</v>
      </c>
      <c r="BM51" s="129">
        <f t="shared" si="32"/>
        <v>4.0378333775353686E-2</v>
      </c>
      <c r="BN51" s="129">
        <f t="shared" si="33"/>
        <v>0.11483387332738675</v>
      </c>
      <c r="BQ51" s="129">
        <f t="shared" si="34"/>
        <v>-7.0099668334989082E-3</v>
      </c>
      <c r="BR51" s="129">
        <f t="shared" si="35"/>
        <v>-7.3407443247781604E-2</v>
      </c>
      <c r="BS51" s="129">
        <f t="shared" si="36"/>
        <v>-8.0483948422873888E-2</v>
      </c>
      <c r="BT51" s="129">
        <f t="shared" si="37"/>
        <v>-1.0050335853501338E-2</v>
      </c>
      <c r="BU51" s="129">
        <f t="shared" si="38"/>
        <v>-0.12442855937701455</v>
      </c>
      <c r="BW51" s="129">
        <f t="shared" si="14"/>
        <v>0.33984546040286095</v>
      </c>
      <c r="BX51" s="129">
        <f t="shared" si="15"/>
        <v>0.31883494507736215</v>
      </c>
      <c r="BY51" s="129">
        <f t="shared" si="16"/>
        <v>4.9564107935944519E-3</v>
      </c>
      <c r="BZ51" s="129">
        <f t="shared" si="17"/>
        <v>0.26037708922506458</v>
      </c>
      <c r="CA51" s="129">
        <f t="shared" si="18"/>
        <v>7.5986094501117818E-2</v>
      </c>
      <c r="CC51" s="129">
        <f t="shared" si="39"/>
        <v>6.3164464935258338E-3</v>
      </c>
      <c r="CD51" s="129">
        <f t="shared" si="40"/>
        <v>-1.1229204250243109E-2</v>
      </c>
      <c r="CE51" s="129">
        <f t="shared" si="41"/>
        <v>-3.1557026948225E-2</v>
      </c>
      <c r="CF51" s="129">
        <f t="shared" si="42"/>
        <v>1.7019875381323064E-3</v>
      </c>
      <c r="CG51" s="129">
        <f t="shared" si="43"/>
        <v>1.5607038341722265E-2</v>
      </c>
      <c r="CI51" s="129">
        <f t="shared" si="44"/>
        <v>-9.04836614896278E-4</v>
      </c>
      <c r="CJ51" s="129">
        <f t="shared" si="45"/>
        <v>0</v>
      </c>
      <c r="CK51" s="129">
        <f t="shared" si="46"/>
        <v>0</v>
      </c>
      <c r="CL51" s="129">
        <f t="shared" si="47"/>
        <v>0</v>
      </c>
      <c r="CM51" s="129">
        <f t="shared" si="48"/>
        <v>0</v>
      </c>
      <c r="CO51" s="129">
        <f t="shared" si="49"/>
        <v>0.97121098208956824</v>
      </c>
      <c r="CP51" s="129">
        <f t="shared" si="91"/>
        <v>0.96480501151538822</v>
      </c>
      <c r="CQ51" s="129">
        <f t="shared" si="87"/>
        <v>0.95220974347568466</v>
      </c>
      <c r="CR51" s="129"/>
      <c r="CS51" s="129">
        <f t="shared" si="50"/>
        <v>1.0039590848927675</v>
      </c>
      <c r="CT51" s="129">
        <f t="shared" si="92"/>
        <v>1.1329073911454246</v>
      </c>
      <c r="CU51" s="129">
        <f t="shared" si="88"/>
        <v>1.0826413909502386</v>
      </c>
      <c r="CV51" s="129"/>
      <c r="CW51" s="129">
        <f t="shared" si="93"/>
        <v>0.99934785829947259</v>
      </c>
      <c r="CX51" s="129">
        <f t="shared" si="94"/>
        <v>1.0096984544899157</v>
      </c>
      <c r="CY51" s="129">
        <f t="shared" si="89"/>
        <v>0.99093789304228308</v>
      </c>
      <c r="DA51">
        <f t="shared" si="55"/>
        <v>1991</v>
      </c>
      <c r="DB51" s="4">
        <f>'Freight-based Activity'!G49</f>
        <v>848399</v>
      </c>
      <c r="DC51" s="4">
        <f>'Freight-based Activity'!I49</f>
        <v>938671.3</v>
      </c>
      <c r="DD51">
        <f t="shared" si="56"/>
        <v>239.70142561537938</v>
      </c>
      <c r="DE51">
        <f t="shared" si="72"/>
        <v>1991</v>
      </c>
      <c r="DF51" s="136">
        <f t="shared" si="73"/>
        <v>0.28253383798823356</v>
      </c>
      <c r="DG51" s="136">
        <f t="shared" si="74"/>
        <v>0.25536247418598967</v>
      </c>
      <c r="DH51" s="136">
        <f t="shared" si="70"/>
        <v>0.94148014940099956</v>
      </c>
      <c r="DI51" s="136">
        <f t="shared" si="71"/>
        <v>0.91949263468021092</v>
      </c>
      <c r="DJ51" s="136">
        <f t="shared" si="52"/>
        <v>0.90382970055652068</v>
      </c>
    </row>
    <row r="52" spans="1:114" x14ac:dyDescent="0.2">
      <c r="A52" s="133" t="s">
        <v>664</v>
      </c>
      <c r="B52" s="133">
        <f t="shared" si="90"/>
        <v>1992</v>
      </c>
      <c r="D52" s="5">
        <f>'Freight-Trucks'!F53</f>
        <v>4370.340015369201</v>
      </c>
      <c r="E52" s="5">
        <f>'Freight-based Energy Use'!D50</f>
        <v>419.15140000000002</v>
      </c>
      <c r="F52" s="5">
        <f>'Freight-based Energy Use'!E50</f>
        <v>319.76786578588423</v>
      </c>
      <c r="G52" s="5">
        <f>'Freight-based Energy Use'!N50</f>
        <v>239.62196410358052</v>
      </c>
      <c r="H52" s="5">
        <f>Pipelines!F53</f>
        <v>633.46734591644167</v>
      </c>
      <c r="I52" s="5">
        <f t="shared" si="5"/>
        <v>5982.3485911751068</v>
      </c>
      <c r="K52" s="4">
        <f>'Freight-Trucks'!J53</f>
        <v>1133639.7203288884</v>
      </c>
      <c r="L52" s="4">
        <f>'Freight-based Activity'!E50</f>
        <v>1066781</v>
      </c>
      <c r="M52" s="4">
        <f>'Freight-based Activity'!F50</f>
        <v>17306.618999999999</v>
      </c>
      <c r="N52" s="4">
        <f>'Freight-based Activity'!G50</f>
        <v>856684.6</v>
      </c>
      <c r="O52" s="4">
        <f>Pipelines!J53</f>
        <v>256450.48487530003</v>
      </c>
      <c r="P52" s="4">
        <f t="shared" si="6"/>
        <v>3330862.4242041884</v>
      </c>
      <c r="R52" s="4">
        <f t="shared" si="75"/>
        <v>3855.1401622565681</v>
      </c>
      <c r="S52" s="4">
        <f t="shared" si="76"/>
        <v>392.91232221046312</v>
      </c>
      <c r="T52" s="4">
        <f t="shared" si="77"/>
        <v>18476.622486800235</v>
      </c>
      <c r="U52" s="4">
        <f t="shared" si="78"/>
        <v>279.70849960835119</v>
      </c>
      <c r="V52" s="4">
        <f t="shared" si="79"/>
        <v>2470.1351070732717</v>
      </c>
      <c r="W52" s="4">
        <f t="shared" si="80"/>
        <v>1796.0359298251151</v>
      </c>
      <c r="Y52" s="129">
        <f>'Freight-Trucks'!W53</f>
        <v>0.96073392506628852</v>
      </c>
      <c r="Z52" s="129">
        <f t="shared" si="54"/>
        <v>0.7901364118939731</v>
      </c>
      <c r="AA52" s="129">
        <f t="shared" si="59"/>
        <v>0.86076686272450087</v>
      </c>
      <c r="AB52" s="129">
        <f t="shared" si="60"/>
        <v>0.93206534790698947</v>
      </c>
      <c r="AC52" s="129">
        <f t="shared" si="81"/>
        <v>0.99870559839943174</v>
      </c>
      <c r="AD52" s="129"/>
      <c r="AE52" s="142">
        <f>'Freight-Trucks'!V53</f>
        <v>0.98602836072047884</v>
      </c>
      <c r="AF52" s="142">
        <v>1</v>
      </c>
      <c r="AG52" s="142">
        <v>1</v>
      </c>
      <c r="AH52" s="142">
        <v>1</v>
      </c>
      <c r="AI52" s="142">
        <v>1</v>
      </c>
      <c r="AK52" s="131">
        <f t="shared" si="61"/>
        <v>1.1455152185441313</v>
      </c>
      <c r="AL52" s="131">
        <f t="shared" si="62"/>
        <v>1.0157687417479768</v>
      </c>
      <c r="AM52" s="131">
        <f t="shared" si="82"/>
        <v>1.0878068063103155</v>
      </c>
      <c r="AN52" s="131">
        <f t="shared" si="83"/>
        <v>0.98993568036764779</v>
      </c>
      <c r="AO52" s="131">
        <f t="shared" si="84"/>
        <v>0.94327015685300253</v>
      </c>
      <c r="AP52" s="131">
        <f t="shared" si="85"/>
        <v>1.1635785521937307</v>
      </c>
      <c r="AQ52" s="131">
        <f t="shared" si="67"/>
        <v>1.163578552193731</v>
      </c>
      <c r="AR52" s="131"/>
      <c r="AS52" s="131">
        <f t="shared" si="86"/>
        <v>1.0768587709133601</v>
      </c>
      <c r="AU52" s="134"/>
      <c r="AW52" s="129">
        <f t="shared" si="9"/>
        <v>0.73053917684036851</v>
      </c>
      <c r="AX52" s="129">
        <f t="shared" si="10"/>
        <v>7.006469008146958E-2</v>
      </c>
      <c r="AY52" s="129">
        <f t="shared" si="11"/>
        <v>5.345189450470865E-2</v>
      </c>
      <c r="AZ52" s="129">
        <f t="shared" si="12"/>
        <v>4.0054831384627121E-2</v>
      </c>
      <c r="BA52" s="129">
        <f t="shared" si="13"/>
        <v>0.10588940718882621</v>
      </c>
      <c r="BC52" s="129">
        <f t="shared" si="23"/>
        <v>0.73009489936337624</v>
      </c>
      <c r="BD52" s="129">
        <f t="shared" si="24"/>
        <v>6.9508670369351502E-2</v>
      </c>
      <c r="BE52" s="129">
        <f t="shared" si="25"/>
        <v>5.1984282848950125E-2</v>
      </c>
      <c r="BF52" s="129">
        <f t="shared" si="26"/>
        <v>4.0390307867864468E-2</v>
      </c>
      <c r="BG52" s="129">
        <f t="shared" si="27"/>
        <v>0.10799195940535145</v>
      </c>
      <c r="BH52" s="129">
        <f t="shared" si="28"/>
        <v>0.9999701198548937</v>
      </c>
      <c r="BI52" s="129"/>
      <c r="BJ52" s="129">
        <f t="shared" si="29"/>
        <v>0.73011671535677558</v>
      </c>
      <c r="BK52" s="129">
        <f t="shared" si="30"/>
        <v>6.9510747360569086E-2</v>
      </c>
      <c r="BL52" s="129">
        <f t="shared" si="31"/>
        <v>5.1985836193279053E-2</v>
      </c>
      <c r="BM52" s="129">
        <f t="shared" si="32"/>
        <v>4.0391514772186922E-2</v>
      </c>
      <c r="BN52" s="129">
        <f t="shared" si="33"/>
        <v>0.10799518631718938</v>
      </c>
      <c r="BQ52" s="129">
        <f t="shared" si="34"/>
        <v>-4.5484752717277095E-3</v>
      </c>
      <c r="BR52" s="129">
        <f t="shared" si="35"/>
        <v>5.7752552502671447E-3</v>
      </c>
      <c r="BS52" s="129">
        <f t="shared" si="36"/>
        <v>3.0814713391289724E-3</v>
      </c>
      <c r="BT52" s="129">
        <f t="shared" si="37"/>
        <v>-1.0050335853501674E-2</v>
      </c>
      <c r="BU52" s="129">
        <f t="shared" si="38"/>
        <v>-5.803379188870509E-2</v>
      </c>
      <c r="BW52" s="129">
        <f t="shared" si="14"/>
        <v>0.34034420397886539</v>
      </c>
      <c r="BX52" s="129">
        <f t="shared" si="15"/>
        <v>0.32027170868664018</v>
      </c>
      <c r="BY52" s="129">
        <f t="shared" si="16"/>
        <v>5.1958372324953971E-3</v>
      </c>
      <c r="BZ52" s="129">
        <f t="shared" si="17"/>
        <v>0.25719603240733652</v>
      </c>
      <c r="CA52" s="129">
        <f t="shared" si="18"/>
        <v>7.6992217694662468E-2</v>
      </c>
      <c r="CC52" s="129">
        <f t="shared" si="39"/>
        <v>1.4664841043709525E-3</v>
      </c>
      <c r="CD52" s="129">
        <f t="shared" si="40"/>
        <v>4.4961698371577836E-3</v>
      </c>
      <c r="CE52" s="129">
        <f t="shared" si="41"/>
        <v>4.7175924311598054E-2</v>
      </c>
      <c r="CF52" s="129">
        <f t="shared" si="42"/>
        <v>-1.229235731153981E-2</v>
      </c>
      <c r="CG52" s="129">
        <f t="shared" si="43"/>
        <v>1.3153991390134925E-2</v>
      </c>
      <c r="CI52" s="129">
        <f t="shared" si="44"/>
        <v>-1.3859286545278586E-3</v>
      </c>
      <c r="CJ52" s="129">
        <f t="shared" si="45"/>
        <v>0</v>
      </c>
      <c r="CK52" s="129">
        <f t="shared" si="46"/>
        <v>0</v>
      </c>
      <c r="CL52" s="129">
        <f t="shared" si="47"/>
        <v>0</v>
      </c>
      <c r="CM52" s="129">
        <f t="shared" si="48"/>
        <v>0</v>
      </c>
      <c r="CO52" s="129">
        <f t="shared" si="49"/>
        <v>0.99061174632591809</v>
      </c>
      <c r="CP52" s="129">
        <f t="shared" si="91"/>
        <v>0.95574717732125625</v>
      </c>
      <c r="CQ52" s="129">
        <f t="shared" si="87"/>
        <v>0.94327015685300253</v>
      </c>
      <c r="CR52" s="129"/>
      <c r="CS52" s="129">
        <f t="shared" si="50"/>
        <v>1.0047711231098815</v>
      </c>
      <c r="CT52" s="129">
        <f t="shared" si="92"/>
        <v>1.138312631780674</v>
      </c>
      <c r="CU52" s="129">
        <f t="shared" si="88"/>
        <v>1.0878068063103155</v>
      </c>
      <c r="CV52" s="129"/>
      <c r="CW52" s="129">
        <f t="shared" si="93"/>
        <v>0.99898862211075767</v>
      </c>
      <c r="CX52" s="129">
        <f t="shared" si="94"/>
        <v>1.0086772677982425</v>
      </c>
      <c r="CY52" s="129">
        <f t="shared" si="89"/>
        <v>0.98993568036764779</v>
      </c>
      <c r="DA52">
        <f t="shared" si="55"/>
        <v>1992</v>
      </c>
      <c r="DB52" s="4">
        <f>'Freight-based Activity'!G50</f>
        <v>856684.6</v>
      </c>
      <c r="DC52" s="4">
        <f>'Freight-based Activity'!I50</f>
        <v>949344.7</v>
      </c>
      <c r="DD52">
        <f t="shared" si="56"/>
        <v>239.62196410358052</v>
      </c>
      <c r="DE52">
        <f t="shared" si="72"/>
        <v>1992</v>
      </c>
      <c r="DF52" s="136">
        <f t="shared" si="73"/>
        <v>0.2797084996083512</v>
      </c>
      <c r="DG52" s="136">
        <f t="shared" si="74"/>
        <v>0.25240775463704651</v>
      </c>
      <c r="DH52" s="136">
        <f t="shared" si="70"/>
        <v>0.93206534790698947</v>
      </c>
      <c r="DI52" s="136">
        <f t="shared" si="71"/>
        <v>0.90885347216637935</v>
      </c>
      <c r="DJ52" s="136">
        <f t="shared" si="52"/>
        <v>0.90239572623094644</v>
      </c>
    </row>
    <row r="53" spans="1:114" x14ac:dyDescent="0.2">
      <c r="A53" s="133" t="s">
        <v>664</v>
      </c>
      <c r="B53" s="133">
        <f t="shared" si="90"/>
        <v>1993</v>
      </c>
      <c r="D53" s="5">
        <f>'Freight-Trucks'!F54</f>
        <v>4504.6260884701733</v>
      </c>
      <c r="E53" s="5">
        <f>'Freight-based Energy Use'!D51</f>
        <v>431.63440000000003</v>
      </c>
      <c r="F53" s="5">
        <f>'Freight-based Energy Use'!E51</f>
        <v>344.22931286632149</v>
      </c>
      <c r="G53" s="5">
        <f>'Freight-based Energy Use'!N51</f>
        <v>218.66528614875264</v>
      </c>
      <c r="H53" s="5">
        <f>Pipelines!F54</f>
        <v>672.9147568957419</v>
      </c>
      <c r="I53" s="5">
        <f t="shared" si="5"/>
        <v>6172.0698443809888</v>
      </c>
      <c r="K53" s="4">
        <f>'Freight-Trucks'!J54</f>
        <v>1186422.8793576057</v>
      </c>
      <c r="L53" s="4">
        <f>'Freight-based Activity'!E51</f>
        <v>1109309</v>
      </c>
      <c r="M53" s="4">
        <f>'Freight-based Activity'!F51</f>
        <v>19082.940999999999</v>
      </c>
      <c r="N53" s="4">
        <f>'Freight-based Activity'!G51</f>
        <v>789657.9</v>
      </c>
      <c r="O53" s="4">
        <f>Pipelines!J54</f>
        <v>263724.7463306</v>
      </c>
      <c r="P53" s="4">
        <f t="shared" si="6"/>
        <v>3368197.4666882055</v>
      </c>
      <c r="R53" s="4">
        <f t="shared" si="75"/>
        <v>3796.8132331612019</v>
      </c>
      <c r="S53" s="4">
        <f t="shared" si="76"/>
        <v>389.10204460614676</v>
      </c>
      <c r="T53" s="4">
        <f t="shared" si="77"/>
        <v>18038.588122570913</v>
      </c>
      <c r="U53" s="4">
        <f t="shared" si="78"/>
        <v>276.91141461226772</v>
      </c>
      <c r="V53" s="4">
        <f t="shared" si="79"/>
        <v>2551.5798811393665</v>
      </c>
      <c r="W53" s="4">
        <f t="shared" si="80"/>
        <v>1832.4548680483697</v>
      </c>
      <c r="Y53" s="129">
        <f>'Freight-Trucks'!W54</f>
        <v>0.94447939951928916</v>
      </c>
      <c r="Z53" s="129">
        <f t="shared" si="54"/>
        <v>0.78247404320658476</v>
      </c>
      <c r="AA53" s="129">
        <f t="shared" si="59"/>
        <v>0.84036023993764919</v>
      </c>
      <c r="AB53" s="129">
        <f t="shared" si="60"/>
        <v>0.92274469442791973</v>
      </c>
      <c r="AC53" s="129">
        <f t="shared" si="81"/>
        <v>1.0316347088708668</v>
      </c>
      <c r="AD53" s="129"/>
      <c r="AE53" s="142">
        <f>'Freight-Trucks'!V54</f>
        <v>0.98782293555431089</v>
      </c>
      <c r="AF53" s="142">
        <v>1</v>
      </c>
      <c r="AG53" s="142">
        <v>1</v>
      </c>
      <c r="AH53" s="142">
        <v>1</v>
      </c>
      <c r="AI53" s="142">
        <v>1</v>
      </c>
      <c r="AK53" s="131">
        <f t="shared" si="61"/>
        <v>1.158355094199053</v>
      </c>
      <c r="AL53" s="131">
        <f t="shared" si="62"/>
        <v>1.0363658904132791</v>
      </c>
      <c r="AM53" s="131">
        <f t="shared" si="82"/>
        <v>1.1210391947487268</v>
      </c>
      <c r="AN53" s="131">
        <f t="shared" si="83"/>
        <v>0.99125101359877887</v>
      </c>
      <c r="AO53" s="131">
        <f t="shared" si="84"/>
        <v>0.93262847092491707</v>
      </c>
      <c r="AP53" s="131">
        <f t="shared" si="85"/>
        <v>1.2004797086143595</v>
      </c>
      <c r="AQ53" s="131">
        <f t="shared" si="67"/>
        <v>1.2004797086143597</v>
      </c>
      <c r="AR53" s="131"/>
      <c r="AS53" s="131">
        <f t="shared" si="86"/>
        <v>1.1112312380786342</v>
      </c>
      <c r="AU53" s="134"/>
      <c r="AW53" s="129">
        <f t="shared" si="9"/>
        <v>0.72984042663923432</v>
      </c>
      <c r="AX53" s="129">
        <f t="shared" si="10"/>
        <v>6.9933492472214503E-2</v>
      </c>
      <c r="AY53" s="129">
        <f t="shared" si="11"/>
        <v>5.5772102640689582E-2</v>
      </c>
      <c r="AZ53" s="129">
        <f t="shared" si="12"/>
        <v>3.5428193727882723E-2</v>
      </c>
      <c r="BA53" s="129">
        <f t="shared" si="13"/>
        <v>0.10902578451997898</v>
      </c>
      <c r="BC53" s="129">
        <f t="shared" si="23"/>
        <v>0.73018974601779907</v>
      </c>
      <c r="BD53" s="129">
        <f t="shared" si="24"/>
        <v>6.9999070785126905E-2</v>
      </c>
      <c r="BE53" s="129">
        <f t="shared" si="25"/>
        <v>5.460378301890248E-2</v>
      </c>
      <c r="BF53" s="129">
        <f t="shared" si="26"/>
        <v>3.7694201116411918E-2</v>
      </c>
      <c r="BG53" s="129">
        <f t="shared" si="27"/>
        <v>0.10744996693699246</v>
      </c>
      <c r="BH53" s="129">
        <f t="shared" si="28"/>
        <v>0.99993676787523278</v>
      </c>
      <c r="BI53" s="129"/>
      <c r="BJ53" s="129">
        <f t="shared" si="29"/>
        <v>0.73023592038662644</v>
      </c>
      <c r="BK53" s="129">
        <f t="shared" si="30"/>
        <v>7.0003497254999478E-2</v>
      </c>
      <c r="BL53" s="129">
        <f t="shared" si="31"/>
        <v>5.4607235950459292E-2</v>
      </c>
      <c r="BM53" s="129">
        <f t="shared" si="32"/>
        <v>3.7696584751562227E-2</v>
      </c>
      <c r="BN53" s="129">
        <f t="shared" si="33"/>
        <v>0.1074567616563526</v>
      </c>
      <c r="BQ53" s="129">
        <f t="shared" si="34"/>
        <v>-1.7063621940957195E-2</v>
      </c>
      <c r="BR53" s="129">
        <f t="shared" si="35"/>
        <v>-9.744853595121979E-3</v>
      </c>
      <c r="BS53" s="129">
        <f t="shared" si="36"/>
        <v>-2.3993035787901879E-2</v>
      </c>
      <c r="BT53" s="129">
        <f t="shared" si="37"/>
        <v>-1.0050335853501225E-2</v>
      </c>
      <c r="BU53" s="129">
        <f t="shared" si="38"/>
        <v>3.2439880188750672E-2</v>
      </c>
      <c r="BW53" s="129">
        <f t="shared" si="14"/>
        <v>0.35224267314830593</v>
      </c>
      <c r="BX53" s="129">
        <f t="shared" si="15"/>
        <v>0.32934797053057963</v>
      </c>
      <c r="BY53" s="129">
        <f t="shared" si="16"/>
        <v>5.6656241769469E-3</v>
      </c>
      <c r="BZ53" s="129">
        <f t="shared" si="17"/>
        <v>0.23444525085295387</v>
      </c>
      <c r="CA53" s="129">
        <f t="shared" si="18"/>
        <v>7.8298481291213751E-2</v>
      </c>
      <c r="CC53" s="129">
        <f t="shared" si="39"/>
        <v>3.4362880257277552E-2</v>
      </c>
      <c r="CD53" s="129">
        <f t="shared" si="40"/>
        <v>2.7945127856190282E-2</v>
      </c>
      <c r="CE53" s="129">
        <f t="shared" si="41"/>
        <v>8.6559296911763062E-2</v>
      </c>
      <c r="CF53" s="129">
        <f t="shared" si="42"/>
        <v>-9.2616477360351765E-2</v>
      </c>
      <c r="CG53" s="129">
        <f t="shared" si="43"/>
        <v>1.6823858937893916E-2</v>
      </c>
      <c r="CI53" s="129">
        <f t="shared" si="44"/>
        <v>1.8183490637649316E-3</v>
      </c>
      <c r="CJ53" s="129">
        <f t="shared" si="45"/>
        <v>0</v>
      </c>
      <c r="CK53" s="129">
        <f t="shared" si="46"/>
        <v>0</v>
      </c>
      <c r="CL53" s="129">
        <f t="shared" si="47"/>
        <v>0</v>
      </c>
      <c r="CM53" s="129">
        <f t="shared" si="48"/>
        <v>0</v>
      </c>
      <c r="CO53" s="129">
        <f t="shared" si="49"/>
        <v>0.98871830530122051</v>
      </c>
      <c r="CP53" s="129">
        <f t="shared" si="91"/>
        <v>0.94496472945749754</v>
      </c>
      <c r="CQ53" s="129">
        <f t="shared" si="87"/>
        <v>0.93262847092491707</v>
      </c>
      <c r="CR53" s="129"/>
      <c r="CS53" s="129">
        <f t="shared" si="50"/>
        <v>1.0305498993439202</v>
      </c>
      <c r="CT53" s="129">
        <f t="shared" si="92"/>
        <v>1.1730879681034865</v>
      </c>
      <c r="CU53" s="129">
        <f t="shared" si="88"/>
        <v>1.1210391947487268</v>
      </c>
      <c r="CV53" s="129"/>
      <c r="CW53" s="129">
        <f t="shared" si="93"/>
        <v>1.0013287057505014</v>
      </c>
      <c r="CX53" s="129">
        <f t="shared" si="94"/>
        <v>1.0100175030843661</v>
      </c>
      <c r="CY53" s="129">
        <f t="shared" si="89"/>
        <v>0.99125101359877887</v>
      </c>
      <c r="DA53">
        <f t="shared" si="55"/>
        <v>1993</v>
      </c>
      <c r="DB53" s="4">
        <f>'Freight-based Activity'!G51</f>
        <v>789657.9</v>
      </c>
      <c r="DC53" s="4">
        <f>'Freight-based Activity'!I51</f>
        <v>882605.8</v>
      </c>
      <c r="DD53">
        <f t="shared" si="56"/>
        <v>218.66528614875264</v>
      </c>
      <c r="DE53">
        <f t="shared" si="72"/>
        <v>1993</v>
      </c>
      <c r="DF53" s="136">
        <f t="shared" si="73"/>
        <v>0.2769114146122677</v>
      </c>
      <c r="DG53" s="136">
        <f t="shared" si="74"/>
        <v>0.24774965918958683</v>
      </c>
      <c r="DH53" s="136">
        <f t="shared" si="70"/>
        <v>0.92274469442791962</v>
      </c>
      <c r="DI53" s="136">
        <f t="shared" si="71"/>
        <v>0.89208090419518604</v>
      </c>
      <c r="DJ53" s="136">
        <f t="shared" si="52"/>
        <v>0.8946892259262289</v>
      </c>
    </row>
    <row r="54" spans="1:114" x14ac:dyDescent="0.2">
      <c r="A54" s="133" t="s">
        <v>664</v>
      </c>
      <c r="B54" s="133">
        <f t="shared" si="90"/>
        <v>1994</v>
      </c>
      <c r="D54" s="5">
        <f>'Freight-Trucks'!F55</f>
        <v>4762.7332396522761</v>
      </c>
      <c r="E54" s="5">
        <f>'Freight-based Energy Use'!D52</f>
        <v>465.47719999999998</v>
      </c>
      <c r="F54" s="5">
        <f>'Freight-based Energy Use'!E52</f>
        <v>381.6755686297364</v>
      </c>
      <c r="G54" s="5">
        <f>'Freight-based Energy Use'!N52</f>
        <v>223.40382418203049</v>
      </c>
      <c r="H54" s="5">
        <f>Pipelines!F55</f>
        <v>738.72223898800894</v>
      </c>
      <c r="I54" s="5">
        <f t="shared" si="5"/>
        <v>6572.0120714520526</v>
      </c>
      <c r="K54" s="4">
        <f>'Freight-Trucks'!J55</f>
        <v>1266325.4375141179</v>
      </c>
      <c r="L54" s="4">
        <f>'Freight-based Activity'!E52</f>
        <v>1200701</v>
      </c>
      <c r="M54" s="4">
        <f>'Freight-based Activity'!F52</f>
        <v>21772.967000000001</v>
      </c>
      <c r="N54" s="4">
        <f>'Freight-based Activity'!G52</f>
        <v>814919.2</v>
      </c>
      <c r="O54" s="4">
        <f>Pipelines!J55</f>
        <v>269895.4993584</v>
      </c>
      <c r="P54" s="4">
        <f t="shared" si="6"/>
        <v>3573614.1038725181</v>
      </c>
      <c r="R54" s="4">
        <f t="shared" si="75"/>
        <v>3761.0657565260967</v>
      </c>
      <c r="S54" s="4">
        <f t="shared" si="76"/>
        <v>387.67120207278913</v>
      </c>
      <c r="T54" s="4">
        <f t="shared" si="77"/>
        <v>17529.791352264318</v>
      </c>
      <c r="U54" s="4">
        <f t="shared" si="78"/>
        <v>274.14230046614495</v>
      </c>
      <c r="V54" s="4">
        <f t="shared" si="79"/>
        <v>2737.0676456039891</v>
      </c>
      <c r="W54" s="4">
        <f t="shared" si="80"/>
        <v>1839.0379823972444</v>
      </c>
      <c r="Y54" s="129">
        <f>'Freight-Trucks'!W55</f>
        <v>0.93279905855468037</v>
      </c>
      <c r="Z54" s="129">
        <f t="shared" si="54"/>
        <v>0.77959665626455121</v>
      </c>
      <c r="AA54" s="129">
        <f t="shared" si="59"/>
        <v>0.81665702253121875</v>
      </c>
      <c r="AB54" s="129">
        <f t="shared" si="60"/>
        <v>0.91351724748364016</v>
      </c>
      <c r="AC54" s="129">
        <f t="shared" si="81"/>
        <v>1.106629662901905</v>
      </c>
      <c r="AD54" s="129"/>
      <c r="AE54" s="142">
        <f>'Freight-Trucks'!V55</f>
        <v>0.99077533881458202</v>
      </c>
      <c r="AF54" s="142">
        <v>1</v>
      </c>
      <c r="AG54" s="142">
        <v>1</v>
      </c>
      <c r="AH54" s="142">
        <v>1</v>
      </c>
      <c r="AI54" s="142">
        <v>1</v>
      </c>
      <c r="AK54" s="131">
        <f t="shared" si="61"/>
        <v>1.2289998264242239</v>
      </c>
      <c r="AL54" s="131">
        <f t="shared" si="62"/>
        <v>1.0400890463189578</v>
      </c>
      <c r="AM54" s="131">
        <f t="shared" si="82"/>
        <v>1.1265836632035608</v>
      </c>
      <c r="AN54" s="131">
        <f t="shared" si="83"/>
        <v>0.99340482763489646</v>
      </c>
      <c r="AO54" s="131">
        <f t="shared" si="84"/>
        <v>0.92935321842630925</v>
      </c>
      <c r="AP54" s="131">
        <f t="shared" si="85"/>
        <v>1.2782692573917358</v>
      </c>
      <c r="AQ54" s="131">
        <f t="shared" si="67"/>
        <v>1.278269257391736</v>
      </c>
      <c r="AR54" s="131"/>
      <c r="AS54" s="131">
        <f t="shared" si="86"/>
        <v>1.1191536497610237</v>
      </c>
      <c r="AU54" s="134"/>
      <c r="AW54" s="129">
        <f t="shared" si="9"/>
        <v>0.72469940527665133</v>
      </c>
      <c r="AX54" s="129">
        <f t="shared" si="10"/>
        <v>7.0827197963006044E-2</v>
      </c>
      <c r="AY54" s="129">
        <f t="shared" si="11"/>
        <v>5.8075908029397022E-2</v>
      </c>
      <c r="AZ54" s="129">
        <f t="shared" si="12"/>
        <v>3.3993215738672637E-2</v>
      </c>
      <c r="BA54" s="129">
        <f t="shared" si="13"/>
        <v>0.11240427299227282</v>
      </c>
      <c r="BC54" s="129">
        <f t="shared" si="23"/>
        <v>0.72726688748711454</v>
      </c>
      <c r="BD54" s="129">
        <f t="shared" si="24"/>
        <v>7.0379399501293544E-2</v>
      </c>
      <c r="BE54" s="129">
        <f t="shared" si="25"/>
        <v>5.6916234596193598E-2</v>
      </c>
      <c r="BF54" s="129">
        <f t="shared" si="26"/>
        <v>3.4705760541669115E-2</v>
      </c>
      <c r="BG54" s="129">
        <f t="shared" si="27"/>
        <v>0.11070643695882855</v>
      </c>
      <c r="BH54" s="129">
        <f t="shared" si="28"/>
        <v>0.99997471908509927</v>
      </c>
      <c r="BI54" s="129"/>
      <c r="BJ54" s="129">
        <f t="shared" si="29"/>
        <v>0.72728527392423314</v>
      </c>
      <c r="BK54" s="129">
        <f t="shared" si="30"/>
        <v>7.038117880188545E-2</v>
      </c>
      <c r="BL54" s="129">
        <f t="shared" si="31"/>
        <v>5.6917673527054381E-2</v>
      </c>
      <c r="BM54" s="129">
        <f t="shared" si="32"/>
        <v>3.4706637957229801E-2</v>
      </c>
      <c r="BN54" s="129">
        <f t="shared" si="33"/>
        <v>0.11070923578959727</v>
      </c>
      <c r="BQ54" s="129">
        <f t="shared" si="34"/>
        <v>-1.244406938542663E-2</v>
      </c>
      <c r="BR54" s="129">
        <f t="shared" si="35"/>
        <v>-3.6840716587587491E-3</v>
      </c>
      <c r="BS54" s="129">
        <f t="shared" si="36"/>
        <v>-2.8611451317591689E-2</v>
      </c>
      <c r="BT54" s="129">
        <f t="shared" si="37"/>
        <v>-1.0050335853501898E-2</v>
      </c>
      <c r="BU54" s="129">
        <f t="shared" si="38"/>
        <v>7.0174416437605761E-2</v>
      </c>
      <c r="BW54" s="129">
        <f t="shared" si="14"/>
        <v>0.35435427572940081</v>
      </c>
      <c r="BX54" s="129">
        <f t="shared" si="15"/>
        <v>0.33599067081665873</v>
      </c>
      <c r="BY54" s="129">
        <f t="shared" si="16"/>
        <v>6.0927023363843069E-3</v>
      </c>
      <c r="BZ54" s="129">
        <f t="shared" si="17"/>
        <v>0.22803782845968718</v>
      </c>
      <c r="CA54" s="129">
        <f t="shared" si="18"/>
        <v>7.5524522657868937E-2</v>
      </c>
      <c r="CC54" s="129">
        <f t="shared" si="39"/>
        <v>5.9768411693396145E-3</v>
      </c>
      <c r="CD54" s="129">
        <f t="shared" si="40"/>
        <v>1.9968541128105439E-2</v>
      </c>
      <c r="CE54" s="129">
        <f t="shared" si="41"/>
        <v>7.2674647007994669E-2</v>
      </c>
      <c r="CF54" s="129">
        <f t="shared" si="42"/>
        <v>-2.7710559296066837E-2</v>
      </c>
      <c r="CG54" s="129">
        <f t="shared" si="43"/>
        <v>-3.6070799850033447E-2</v>
      </c>
      <c r="CI54" s="129">
        <f t="shared" si="44"/>
        <v>2.9843404694757008E-3</v>
      </c>
      <c r="CJ54" s="129">
        <f t="shared" si="45"/>
        <v>0</v>
      </c>
      <c r="CK54" s="129">
        <f t="shared" si="46"/>
        <v>0</v>
      </c>
      <c r="CL54" s="129">
        <f t="shared" si="47"/>
        <v>0</v>
      </c>
      <c r="CM54" s="129">
        <f t="shared" si="48"/>
        <v>0</v>
      </c>
      <c r="CO54" s="129">
        <f t="shared" si="49"/>
        <v>0.99648814871010782</v>
      </c>
      <c r="CP54" s="129">
        <f t="shared" si="91"/>
        <v>0.94164615385344963</v>
      </c>
      <c r="CQ54" s="129">
        <f t="shared" si="87"/>
        <v>0.92935321842630925</v>
      </c>
      <c r="CR54" s="129"/>
      <c r="CS54" s="129">
        <f t="shared" si="50"/>
        <v>1.0049458292634244</v>
      </c>
      <c r="CT54" s="129">
        <f t="shared" si="92"/>
        <v>1.1788898609047038</v>
      </c>
      <c r="CU54" s="129">
        <f t="shared" si="88"/>
        <v>1.1265836632035608</v>
      </c>
      <c r="CV54" s="129"/>
      <c r="CW54" s="129">
        <f t="shared" si="93"/>
        <v>1.0021728240441321</v>
      </c>
      <c r="CX54" s="129">
        <f t="shared" si="94"/>
        <v>1.012212093400062</v>
      </c>
      <c r="CY54" s="129">
        <f t="shared" si="89"/>
        <v>0.99340482763489646</v>
      </c>
      <c r="DA54">
        <f t="shared" si="55"/>
        <v>1994</v>
      </c>
      <c r="DB54" s="4">
        <f>'Freight-based Activity'!G52</f>
        <v>814919.2</v>
      </c>
      <c r="DC54" s="4">
        <f>'Freight-based Activity'!I52</f>
        <v>909405</v>
      </c>
      <c r="DD54">
        <f t="shared" si="56"/>
        <v>223.40382418203049</v>
      </c>
      <c r="DE54">
        <f t="shared" si="72"/>
        <v>1994</v>
      </c>
      <c r="DF54" s="136">
        <f t="shared" si="73"/>
        <v>0.27414230046614496</v>
      </c>
      <c r="DG54" s="136">
        <f t="shared" si="74"/>
        <v>0.24565933130126894</v>
      </c>
      <c r="DH54" s="136">
        <f t="shared" si="70"/>
        <v>0.91351724748364027</v>
      </c>
      <c r="DI54" s="136">
        <f t="shared" si="71"/>
        <v>0.8845541871099849</v>
      </c>
      <c r="DJ54" s="136">
        <f t="shared" si="52"/>
        <v>0.89610151692590201</v>
      </c>
    </row>
    <row r="55" spans="1:114" x14ac:dyDescent="0.2">
      <c r="A55" s="133" t="s">
        <v>664</v>
      </c>
      <c r="B55" s="133">
        <f t="shared" si="90"/>
        <v>1995</v>
      </c>
      <c r="D55" s="5">
        <f>'Freight-Trucks'!F56</f>
        <v>4973.1806213007858</v>
      </c>
      <c r="E55" s="5">
        <f>'Freight-based Energy Use'!D53</f>
        <v>485.86610000000002</v>
      </c>
      <c r="F55" s="5">
        <f>'Freight-based Energy Use'!E53</f>
        <v>404.54403140391162</v>
      </c>
      <c r="G55" s="5">
        <f>'Freight-based Energy Use'!N53</f>
        <v>219.21800652994594</v>
      </c>
      <c r="H55" s="5">
        <f>Pipelines!F56</f>
        <v>754.86099205919174</v>
      </c>
      <c r="I55" s="5">
        <f t="shared" si="5"/>
        <v>6837.6697512938354</v>
      </c>
      <c r="K55" s="4">
        <f>'Freight-Trucks'!J56</f>
        <v>1318602.3303015109</v>
      </c>
      <c r="L55" s="4">
        <f>'Freight-based Activity'!E53</f>
        <v>1305688</v>
      </c>
      <c r="M55" s="4">
        <f>'Freight-based Activity'!F53</f>
        <v>23374.677</v>
      </c>
      <c r="N55" s="4">
        <f>'Freight-based Activity'!G53</f>
        <v>807727.7</v>
      </c>
      <c r="O55" s="4">
        <f>Pipelines!J56</f>
        <v>281675.04197140003</v>
      </c>
      <c r="P55" s="4">
        <f t="shared" si="6"/>
        <v>3737067.7492729113</v>
      </c>
      <c r="R55" s="4">
        <f t="shared" si="75"/>
        <v>3771.5545521321965</v>
      </c>
      <c r="S55" s="4">
        <f t="shared" si="76"/>
        <v>372.11500756689196</v>
      </c>
      <c r="T55" s="4">
        <f t="shared" si="77"/>
        <v>17306.935681032581</v>
      </c>
      <c r="U55" s="4">
        <f t="shared" si="78"/>
        <v>271.40087746148356</v>
      </c>
      <c r="V55" s="4">
        <f t="shared" si="79"/>
        <v>2679.9001671430897</v>
      </c>
      <c r="W55" s="4">
        <f t="shared" si="80"/>
        <v>1829.6884643378971</v>
      </c>
      <c r="Y55" s="129">
        <f>'Freight-Trucks'!W56</f>
        <v>0.93967783758902723</v>
      </c>
      <c r="Z55" s="129">
        <f t="shared" si="54"/>
        <v>0.74831355564692692</v>
      </c>
      <c r="AA55" s="129">
        <f t="shared" si="59"/>
        <v>0.80627488818260895</v>
      </c>
      <c r="AB55" s="129">
        <f t="shared" si="60"/>
        <v>0.90438207500880408</v>
      </c>
      <c r="AC55" s="129">
        <f t="shared" si="81"/>
        <v>1.083516157643917</v>
      </c>
      <c r="AD55" s="129"/>
      <c r="AE55" s="142">
        <f>'Freight-Trucks'!V56</f>
        <v>0.98626533841462505</v>
      </c>
      <c r="AF55" s="142">
        <v>1</v>
      </c>
      <c r="AG55" s="142">
        <v>1</v>
      </c>
      <c r="AH55" s="142">
        <v>1</v>
      </c>
      <c r="AI55" s="142">
        <v>1</v>
      </c>
      <c r="AK55" s="131">
        <f t="shared" si="61"/>
        <v>1.2852130872818535</v>
      </c>
      <c r="AL55" s="131">
        <f t="shared" si="62"/>
        <v>1.0348013190316658</v>
      </c>
      <c r="AM55" s="131">
        <f t="shared" si="82"/>
        <v>1.1257051458359248</v>
      </c>
      <c r="AN55" s="131">
        <f t="shared" si="83"/>
        <v>0.99011973468155778</v>
      </c>
      <c r="AO55" s="131">
        <f t="shared" si="84"/>
        <v>0.92842025236398729</v>
      </c>
      <c r="AP55" s="131">
        <f t="shared" si="85"/>
        <v>1.3299401979560215</v>
      </c>
      <c r="AQ55" s="131">
        <f t="shared" si="67"/>
        <v>1.3299401979560217</v>
      </c>
      <c r="AR55" s="131"/>
      <c r="AS55" s="131">
        <f t="shared" si="86"/>
        <v>1.1145828803247302</v>
      </c>
      <c r="AU55" s="134"/>
      <c r="AW55" s="129">
        <f t="shared" si="9"/>
        <v>0.72732097369279236</v>
      </c>
      <c r="AX55" s="129">
        <f t="shared" si="10"/>
        <v>7.1057263318115599E-2</v>
      </c>
      <c r="AY55" s="129">
        <f t="shared" si="11"/>
        <v>5.9164020217174589E-2</v>
      </c>
      <c r="AZ55" s="129">
        <f t="shared" si="12"/>
        <v>3.2060338463767594E-2</v>
      </c>
      <c r="BA55" s="129">
        <f t="shared" si="13"/>
        <v>0.11039740430814982</v>
      </c>
      <c r="BC55" s="129">
        <f t="shared" si="23"/>
        <v>0.726009400626771</v>
      </c>
      <c r="BD55" s="129">
        <f t="shared" si="24"/>
        <v>7.0942168465434163E-2</v>
      </c>
      <c r="BE55" s="129">
        <f t="shared" si="25"/>
        <v>5.861828094340462E-2</v>
      </c>
      <c r="BF55" s="129">
        <f t="shared" si="26"/>
        <v>3.3017348216645315E-2</v>
      </c>
      <c r="BG55" s="129">
        <f t="shared" si="27"/>
        <v>0.11139782579957072</v>
      </c>
      <c r="BH55" s="129">
        <f t="shared" si="28"/>
        <v>0.99998502405182577</v>
      </c>
      <c r="BI55" s="129"/>
      <c r="BJ55" s="129">
        <f t="shared" si="29"/>
        <v>0.72602027346875986</v>
      </c>
      <c r="BK55" s="129">
        <f t="shared" si="30"/>
        <v>7.0943230907583546E-2</v>
      </c>
      <c r="BL55" s="129">
        <f t="shared" si="31"/>
        <v>5.8619158820889139E-2</v>
      </c>
      <c r="BM55" s="129">
        <f t="shared" si="32"/>
        <v>3.3017842690146265E-2</v>
      </c>
      <c r="BN55" s="129">
        <f t="shared" si="33"/>
        <v>0.11139949411262119</v>
      </c>
      <c r="BQ55" s="129">
        <f t="shared" si="34"/>
        <v>7.3472842233822276E-3</v>
      </c>
      <c r="BR55" s="129">
        <f t="shared" si="35"/>
        <v>-4.0954596404995609E-2</v>
      </c>
      <c r="BS55" s="129">
        <f t="shared" si="36"/>
        <v>-1.2794468958244485E-2</v>
      </c>
      <c r="BT55" s="129">
        <f t="shared" si="37"/>
        <v>-1.0050335853501114E-2</v>
      </c>
      <c r="BU55" s="129">
        <f t="shared" si="38"/>
        <v>-2.1107602227326629E-2</v>
      </c>
      <c r="BW55" s="129">
        <f t="shared" si="14"/>
        <v>0.35284410633391911</v>
      </c>
      <c r="BX55" s="129">
        <f t="shared" si="15"/>
        <v>0.34938836745842683</v>
      </c>
      <c r="BY55" s="129">
        <f t="shared" si="16"/>
        <v>6.2548175650676404E-3</v>
      </c>
      <c r="BZ55" s="129">
        <f t="shared" si="17"/>
        <v>0.21613943181981449</v>
      </c>
      <c r="CA55" s="129">
        <f t="shared" si="18"/>
        <v>7.537327682277184E-2</v>
      </c>
      <c r="CC55" s="129">
        <f t="shared" si="39"/>
        <v>-4.2708573132206233E-3</v>
      </c>
      <c r="CD55" s="129">
        <f t="shared" si="40"/>
        <v>3.9100710087988003E-2</v>
      </c>
      <c r="CE55" s="129">
        <f t="shared" si="41"/>
        <v>2.6260260539664328E-2</v>
      </c>
      <c r="CF55" s="129">
        <f t="shared" si="42"/>
        <v>-5.3587812377491155E-2</v>
      </c>
      <c r="CG55" s="129">
        <f t="shared" si="43"/>
        <v>-2.0046135366558427E-3</v>
      </c>
      <c r="CI55" s="129">
        <f t="shared" si="44"/>
        <v>-4.5623828330868905E-3</v>
      </c>
      <c r="CJ55" s="129">
        <f t="shared" si="45"/>
        <v>0</v>
      </c>
      <c r="CK55" s="129">
        <f t="shared" si="46"/>
        <v>0</v>
      </c>
      <c r="CL55" s="129">
        <f t="shared" si="47"/>
        <v>0</v>
      </c>
      <c r="CM55" s="129">
        <f t="shared" si="48"/>
        <v>0</v>
      </c>
      <c r="CO55" s="129">
        <f t="shared" si="49"/>
        <v>0.99899611251801357</v>
      </c>
      <c r="CP55" s="129">
        <f t="shared" si="91"/>
        <v>0.94070084706713553</v>
      </c>
      <c r="CQ55" s="129">
        <f t="shared" si="87"/>
        <v>0.92842025236398729</v>
      </c>
      <c r="CR55" s="129"/>
      <c r="CS55" s="129">
        <f t="shared" si="50"/>
        <v>0.9992201934074405</v>
      </c>
      <c r="CT55" s="129">
        <f t="shared" si="92"/>
        <v>1.1779705548192687</v>
      </c>
      <c r="CU55" s="129">
        <f t="shared" si="88"/>
        <v>1.1257051458359248</v>
      </c>
      <c r="CV55" s="129"/>
      <c r="CW55" s="129">
        <f t="shared" si="93"/>
        <v>0.9966930974543784</v>
      </c>
      <c r="CX55" s="129">
        <f t="shared" si="94"/>
        <v>1.0088648066516883</v>
      </c>
      <c r="CY55" s="129">
        <f t="shared" si="89"/>
        <v>0.99011973468155778</v>
      </c>
      <c r="DA55">
        <f t="shared" si="55"/>
        <v>1995</v>
      </c>
      <c r="DB55" s="4">
        <f>'Freight-based Activity'!G53</f>
        <v>807727.7</v>
      </c>
      <c r="DC55" s="4">
        <f>'Freight-based Activity'!I53</f>
        <v>914362.6</v>
      </c>
      <c r="DD55">
        <f t="shared" si="56"/>
        <v>219.21800652994594</v>
      </c>
      <c r="DE55">
        <f t="shared" si="72"/>
        <v>1995</v>
      </c>
      <c r="DF55" s="136">
        <f t="shared" si="73"/>
        <v>0.27140087746148356</v>
      </c>
      <c r="DG55" s="136">
        <f t="shared" si="74"/>
        <v>0.23974953320482043</v>
      </c>
      <c r="DH55" s="136">
        <f t="shared" si="70"/>
        <v>0.90438207500880397</v>
      </c>
      <c r="DI55" s="136">
        <f t="shared" si="71"/>
        <v>0.86327456942358294</v>
      </c>
      <c r="DJ55" s="136">
        <f t="shared" si="52"/>
        <v>0.88337788531595673</v>
      </c>
    </row>
    <row r="56" spans="1:114" x14ac:dyDescent="0.2">
      <c r="A56" s="133" t="s">
        <v>664</v>
      </c>
      <c r="B56" s="133">
        <f t="shared" si="90"/>
        <v>1996</v>
      </c>
      <c r="D56" s="5">
        <f>'Freight-Trucks'!F57</f>
        <v>5081.5803017166791</v>
      </c>
      <c r="E56" s="5">
        <f>'Freight-based Energy Use'!D54</f>
        <v>499.45870000000002</v>
      </c>
      <c r="F56" s="5">
        <f>'Freight-based Energy Use'!E54</f>
        <v>416.09090835411354</v>
      </c>
      <c r="G56" s="5">
        <f>'Freight-based Energy Use'!N54</f>
        <v>205.46122121212122</v>
      </c>
      <c r="H56" s="5">
        <f>Pipelines!F57</f>
        <v>766.83706135294119</v>
      </c>
      <c r="I56" s="5">
        <f t="shared" si="5"/>
        <v>6969.4281926358553</v>
      </c>
      <c r="K56" s="4">
        <f>'Freight-Trucks'!J57</f>
        <v>1353623.3834672109</v>
      </c>
      <c r="L56" s="4">
        <f>'Freight-based Activity'!E54</f>
        <v>1355975</v>
      </c>
      <c r="M56" s="4">
        <f>'Freight-based Activity'!F54</f>
        <v>24892.478999999999</v>
      </c>
      <c r="N56" s="4">
        <f>'Freight-based Activity'!G54</f>
        <v>764686.5</v>
      </c>
      <c r="O56" s="4">
        <f>Pipelines!J57</f>
        <v>286695.64562280005</v>
      </c>
      <c r="P56" s="4">
        <f t="shared" si="6"/>
        <v>3785873.0080900108</v>
      </c>
      <c r="R56" s="4">
        <f t="shared" si="75"/>
        <v>3754.0577119025302</v>
      </c>
      <c r="S56" s="4">
        <f t="shared" si="76"/>
        <v>368.3391655450875</v>
      </c>
      <c r="T56" s="4">
        <f t="shared" si="77"/>
        <v>16715.527141917588</v>
      </c>
      <c r="U56" s="4">
        <f t="shared" si="78"/>
        <v>268.68686868686871</v>
      </c>
      <c r="V56" s="4">
        <f t="shared" si="79"/>
        <v>2674.7426166418095</v>
      </c>
      <c r="W56" s="4">
        <f t="shared" si="80"/>
        <v>1840.9038490575156</v>
      </c>
      <c r="Y56" s="129">
        <f>'Freight-Trucks'!W57</f>
        <v>0.93644380694642282</v>
      </c>
      <c r="Z56" s="129">
        <f t="shared" si="54"/>
        <v>0.74072043601605675</v>
      </c>
      <c r="AA56" s="129">
        <f t="shared" si="59"/>
        <v>0.77872305217112092</v>
      </c>
      <c r="AB56" s="129">
        <f t="shared" si="60"/>
        <v>0.89533825425871594</v>
      </c>
      <c r="AC56" s="129">
        <f t="shared" si="81"/>
        <v>1.0814308973903759</v>
      </c>
      <c r="AD56" s="129"/>
      <c r="AE56" s="142">
        <f>'Freight-Trucks'!V57</f>
        <v>0.98508018603419034</v>
      </c>
      <c r="AF56" s="142">
        <v>1</v>
      </c>
      <c r="AG56" s="142">
        <v>1</v>
      </c>
      <c r="AH56" s="142">
        <v>1</v>
      </c>
      <c r="AI56" s="142">
        <v>1</v>
      </c>
      <c r="AK56" s="131">
        <f t="shared" si="61"/>
        <v>1.3019976792583083</v>
      </c>
      <c r="AL56" s="131">
        <f t="shared" si="62"/>
        <v>1.0411443086320886</v>
      </c>
      <c r="AM56" s="131">
        <f t="shared" si="82"/>
        <v>1.1402214879691468</v>
      </c>
      <c r="AN56" s="131">
        <f t="shared" si="83"/>
        <v>0.98925314906895456</v>
      </c>
      <c r="AO56" s="131">
        <f t="shared" si="84"/>
        <v>0.92302670620667715</v>
      </c>
      <c r="AP56" s="131">
        <f t="shared" si="85"/>
        <v>1.3555674736119752</v>
      </c>
      <c r="AQ56" s="131">
        <f t="shared" si="67"/>
        <v>1.3555674736119754</v>
      </c>
      <c r="AR56" s="131"/>
      <c r="AS56" s="131">
        <f t="shared" si="86"/>
        <v>1.1279676976095676</v>
      </c>
      <c r="AU56" s="134"/>
      <c r="AW56" s="129">
        <f t="shared" si="9"/>
        <v>0.72912442186950954</v>
      </c>
      <c r="AX56" s="129">
        <f t="shared" si="10"/>
        <v>7.1664229287525444E-2</v>
      </c>
      <c r="AY56" s="129">
        <f t="shared" si="11"/>
        <v>5.9702302233886263E-2</v>
      </c>
      <c r="AZ56" s="129">
        <f t="shared" si="12"/>
        <v>2.9480355566216868E-2</v>
      </c>
      <c r="BA56" s="129">
        <f t="shared" si="13"/>
        <v>0.1100286910428618</v>
      </c>
      <c r="BC56" s="129">
        <f t="shared" si="23"/>
        <v>0.72822232559344091</v>
      </c>
      <c r="BD56" s="129">
        <f t="shared" si="24"/>
        <v>7.1360316083262265E-2</v>
      </c>
      <c r="BE56" s="129">
        <f t="shared" si="25"/>
        <v>5.9432754958069142E-2</v>
      </c>
      <c r="BF56" s="129">
        <f t="shared" si="26"/>
        <v>3.0752311701338741E-2</v>
      </c>
      <c r="BG56" s="129">
        <f t="shared" si="27"/>
        <v>0.11021294488249317</v>
      </c>
      <c r="BH56" s="129">
        <f t="shared" si="28"/>
        <v>0.99998065321860419</v>
      </c>
      <c r="BI56" s="129"/>
      <c r="BJ56" s="129">
        <f t="shared" si="29"/>
        <v>0.72823641462415911</v>
      </c>
      <c r="BK56" s="129">
        <f t="shared" si="30"/>
        <v>7.1361696702408398E-2</v>
      </c>
      <c r="BL56" s="129">
        <f t="shared" si="31"/>
        <v>5.9433904812833054E-2</v>
      </c>
      <c r="BM56" s="129">
        <f t="shared" si="32"/>
        <v>3.0752906671101393E-2</v>
      </c>
      <c r="BN56" s="129">
        <f t="shared" si="33"/>
        <v>0.11021507718949808</v>
      </c>
      <c r="BQ56" s="129">
        <f t="shared" si="34"/>
        <v>-3.4475737277136764E-3</v>
      </c>
      <c r="BR56" s="129">
        <f t="shared" si="35"/>
        <v>-1.0198807401608752E-2</v>
      </c>
      <c r="BS56" s="129">
        <f t="shared" si="36"/>
        <v>-3.4769271147928042E-2</v>
      </c>
      <c r="BT56" s="129">
        <f t="shared" si="37"/>
        <v>-1.0050335853501562E-2</v>
      </c>
      <c r="BU56" s="129">
        <f t="shared" si="38"/>
        <v>-1.9263851220303822E-3</v>
      </c>
      <c r="BW56" s="129">
        <f t="shared" si="14"/>
        <v>0.35754590303865469</v>
      </c>
      <c r="BX56" s="129">
        <f t="shared" si="15"/>
        <v>0.35816705872131066</v>
      </c>
      <c r="BY56" s="129">
        <f t="shared" si="16"/>
        <v>6.5750961394656924E-3</v>
      </c>
      <c r="BZ56" s="129">
        <f t="shared" si="17"/>
        <v>0.2019841918537536</v>
      </c>
      <c r="CA56" s="129">
        <f t="shared" si="18"/>
        <v>7.5727750246815398E-2</v>
      </c>
      <c r="CC56" s="129">
        <f t="shared" si="39"/>
        <v>1.3237419727770367E-2</v>
      </c>
      <c r="CD56" s="129">
        <f t="shared" si="40"/>
        <v>2.4815417789848259E-2</v>
      </c>
      <c r="CE56" s="129">
        <f t="shared" si="41"/>
        <v>4.9937222691538233E-2</v>
      </c>
      <c r="CF56" s="129">
        <f t="shared" si="42"/>
        <v>-6.773428092242717E-2</v>
      </c>
      <c r="CG56" s="129">
        <f t="shared" si="43"/>
        <v>4.6918817322705803E-3</v>
      </c>
      <c r="CI56" s="129">
        <f t="shared" si="44"/>
        <v>-1.2023792973064325E-3</v>
      </c>
      <c r="CJ56" s="129">
        <f t="shared" si="45"/>
        <v>0</v>
      </c>
      <c r="CK56" s="129">
        <f t="shared" si="46"/>
        <v>0</v>
      </c>
      <c r="CL56" s="129">
        <f t="shared" si="47"/>
        <v>0</v>
      </c>
      <c r="CM56" s="129">
        <f t="shared" si="48"/>
        <v>0</v>
      </c>
      <c r="CO56" s="129">
        <f t="shared" si="49"/>
        <v>0.99419061987976143</v>
      </c>
      <c r="CP56" s="129">
        <f t="shared" si="91"/>
        <v>0.93523595826709216</v>
      </c>
      <c r="CQ56" s="129">
        <f t="shared" si="87"/>
        <v>0.92302670620667715</v>
      </c>
      <c r="CR56" s="129"/>
      <c r="CS56" s="129">
        <f t="shared" si="50"/>
        <v>1.0128953324828611</v>
      </c>
      <c r="CT56" s="129">
        <f t="shared" si="92"/>
        <v>1.1931608767786837</v>
      </c>
      <c r="CU56" s="129">
        <f t="shared" si="88"/>
        <v>1.1402214879691468</v>
      </c>
      <c r="CV56" s="129"/>
      <c r="CW56" s="129">
        <f t="shared" si="93"/>
        <v>0.99912476685167584</v>
      </c>
      <c r="CX56" s="129">
        <f t="shared" si="94"/>
        <v>1.0079818147307291</v>
      </c>
      <c r="CY56" s="129">
        <f t="shared" si="89"/>
        <v>0.98925314906895456</v>
      </c>
      <c r="DA56">
        <f t="shared" si="55"/>
        <v>1996</v>
      </c>
      <c r="DB56" s="4">
        <f>'Freight-based Activity'!G54</f>
        <v>764686.5</v>
      </c>
      <c r="DC56" s="4">
        <f>'Freight-based Activity'!I54</f>
        <v>870193.4</v>
      </c>
      <c r="DD56">
        <f t="shared" si="56"/>
        <v>205.46122121212122</v>
      </c>
      <c r="DE56">
        <f t="shared" si="72"/>
        <v>1996</v>
      </c>
      <c r="DF56" s="136">
        <f t="shared" si="73"/>
        <v>0.2686868686868687</v>
      </c>
      <c r="DG56" s="136">
        <f t="shared" si="74"/>
        <v>0.23610983628710722</v>
      </c>
      <c r="DH56" s="136">
        <f t="shared" si="70"/>
        <v>0.89533825425871583</v>
      </c>
      <c r="DI56" s="136">
        <f t="shared" si="71"/>
        <v>0.85016898482673231</v>
      </c>
      <c r="DJ56" s="136">
        <f t="shared" si="52"/>
        <v>0.87875465385051188</v>
      </c>
    </row>
    <row r="57" spans="1:114" x14ac:dyDescent="0.2">
      <c r="A57" s="133" t="s">
        <v>664</v>
      </c>
      <c r="B57" s="133">
        <f t="shared" si="90"/>
        <v>1997</v>
      </c>
      <c r="D57" s="5">
        <f>'Freight-Trucks'!F58</f>
        <v>5138.5714687877444</v>
      </c>
      <c r="E57" s="5">
        <f>'Freight-based Energy Use'!D55</f>
        <v>499.73610000000002</v>
      </c>
      <c r="F57" s="5">
        <f>'Freight-based Energy Use'!E55</f>
        <v>457.88864575263381</v>
      </c>
      <c r="G57" s="5">
        <f>'Freight-based Energy Use'!N55</f>
        <v>188.1710334</v>
      </c>
      <c r="H57" s="5">
        <f>Pipelines!F58</f>
        <v>809.97721045334561</v>
      </c>
      <c r="I57" s="5">
        <f t="shared" si="5"/>
        <v>7094.3444583937244</v>
      </c>
      <c r="K57" s="4">
        <f>'Freight-Trucks'!J58</f>
        <v>1414066.8933429914</v>
      </c>
      <c r="L57" s="4">
        <f>'Freight-based Activity'!E55</f>
        <v>1348926</v>
      </c>
      <c r="M57" s="4">
        <f>'Freight-based Activity'!F55</f>
        <v>27610.097000000002</v>
      </c>
      <c r="N57" s="4">
        <f>'Freight-based Activity'!G55</f>
        <v>707409.9</v>
      </c>
      <c r="O57" s="4">
        <f>Pipelines!J58</f>
        <v>288566.24442060001</v>
      </c>
      <c r="P57" s="4">
        <f t="shared" si="6"/>
        <v>3786579.1347635915</v>
      </c>
      <c r="R57" s="4">
        <f t="shared" si="75"/>
        <v>3633.8956049240801</v>
      </c>
      <c r="S57" s="4">
        <f t="shared" si="76"/>
        <v>370.46961805169445</v>
      </c>
      <c r="T57" s="4">
        <f t="shared" si="77"/>
        <v>16584.1013073092</v>
      </c>
      <c r="U57" s="4">
        <f t="shared" si="78"/>
        <v>266</v>
      </c>
      <c r="V57" s="4">
        <f t="shared" si="79"/>
        <v>2806.9021450504883</v>
      </c>
      <c r="W57" s="4">
        <f t="shared" si="80"/>
        <v>1873.5497677210562</v>
      </c>
      <c r="Y57" s="129">
        <f>'Freight-Trucks'!W58</f>
        <v>0.90661017972899871</v>
      </c>
      <c r="Z57" s="129">
        <f t="shared" si="54"/>
        <v>0.74500472033122067</v>
      </c>
      <c r="AA57" s="129">
        <f t="shared" si="59"/>
        <v>0.77260034205905204</v>
      </c>
      <c r="AB57" s="129">
        <f t="shared" si="60"/>
        <v>0.88638487171612867</v>
      </c>
      <c r="AC57" s="129">
        <f t="shared" si="81"/>
        <v>1.1348645984562102</v>
      </c>
      <c r="AD57" s="129"/>
      <c r="AE57" s="142">
        <f>'Freight-Trucks'!V58</f>
        <v>0.9849273929025506</v>
      </c>
      <c r="AF57" s="142">
        <v>1</v>
      </c>
      <c r="AG57" s="142">
        <v>1</v>
      </c>
      <c r="AH57" s="142">
        <v>1</v>
      </c>
      <c r="AI57" s="142">
        <v>1</v>
      </c>
      <c r="AK57" s="131">
        <f t="shared" si="61"/>
        <v>1.3022405229269418</v>
      </c>
      <c r="AL57" s="131">
        <f t="shared" si="62"/>
        <v>1.0596075827645279</v>
      </c>
      <c r="AM57" s="131">
        <f t="shared" si="82"/>
        <v>1.1822265331106607</v>
      </c>
      <c r="AN57" s="131">
        <f t="shared" si="83"/>
        <v>0.9891416302948447</v>
      </c>
      <c r="AO57" s="131">
        <f t="shared" si="84"/>
        <v>0.90612033080496157</v>
      </c>
      <c r="AP57" s="131">
        <f t="shared" si="85"/>
        <v>1.3798639326766309</v>
      </c>
      <c r="AQ57" s="131">
        <f t="shared" si="67"/>
        <v>1.3798639326766313</v>
      </c>
      <c r="AR57" s="131"/>
      <c r="AS57" s="131">
        <f t="shared" si="86"/>
        <v>1.1693894803389011</v>
      </c>
      <c r="AU57" s="134"/>
      <c r="AW57" s="129">
        <f t="shared" si="9"/>
        <v>0.72431942076170364</v>
      </c>
      <c r="AX57" s="129">
        <f t="shared" si="10"/>
        <v>7.0441476718646451E-2</v>
      </c>
      <c r="AY57" s="129">
        <f t="shared" si="11"/>
        <v>6.4542770433268087E-2</v>
      </c>
      <c r="AZ57" s="129">
        <f t="shared" si="12"/>
        <v>2.6524090351627075E-2</v>
      </c>
      <c r="BA57" s="129">
        <f t="shared" si="13"/>
        <v>0.11417224173475468</v>
      </c>
      <c r="BC57" s="129">
        <f t="shared" si="23"/>
        <v>0.72671927379869428</v>
      </c>
      <c r="BD57" s="129">
        <f t="shared" si="24"/>
        <v>7.1051099433616594E-2</v>
      </c>
      <c r="BE57" s="129">
        <f t="shared" si="25"/>
        <v>6.2091093606793483E-2</v>
      </c>
      <c r="BF57" s="129">
        <f t="shared" si="26"/>
        <v>2.7976195241697633E-2</v>
      </c>
      <c r="BG57" s="129">
        <f t="shared" si="27"/>
        <v>0.1120877021121278</v>
      </c>
      <c r="BH57" s="129">
        <f t="shared" si="28"/>
        <v>0.99992536419292977</v>
      </c>
      <c r="BI57" s="129"/>
      <c r="BJ57" s="129">
        <f t="shared" si="29"/>
        <v>0.72677351712670235</v>
      </c>
      <c r="BK57" s="129">
        <f t="shared" si="30"/>
        <v>7.1056402785586004E-2</v>
      </c>
      <c r="BL57" s="129">
        <f t="shared" si="31"/>
        <v>6.2095728171581183E-2</v>
      </c>
      <c r="BM57" s="129">
        <f t="shared" si="32"/>
        <v>2.7978283423461384E-2</v>
      </c>
      <c r="BN57" s="129">
        <f t="shared" si="33"/>
        <v>0.11209606849266915</v>
      </c>
      <c r="BQ57" s="129">
        <f t="shared" si="34"/>
        <v>-3.2376949911637781E-2</v>
      </c>
      <c r="BR57" s="129">
        <f t="shared" si="35"/>
        <v>5.7672795967713911E-3</v>
      </c>
      <c r="BS57" s="129">
        <f t="shared" si="36"/>
        <v>-7.8935725796554987E-3</v>
      </c>
      <c r="BT57" s="129">
        <f t="shared" si="37"/>
        <v>-1.0050335853501562E-2</v>
      </c>
      <c r="BU57" s="129">
        <f t="shared" si="38"/>
        <v>4.8228278087554581E-2</v>
      </c>
      <c r="BW57" s="129">
        <f t="shared" si="14"/>
        <v>0.37344179086627649</v>
      </c>
      <c r="BX57" s="129">
        <f t="shared" si="15"/>
        <v>0.35623869249578427</v>
      </c>
      <c r="BY57" s="129">
        <f t="shared" si="16"/>
        <v>7.2915674061896476E-3</v>
      </c>
      <c r="BZ57" s="129">
        <f t="shared" si="17"/>
        <v>0.18682031322294443</v>
      </c>
      <c r="CA57" s="129">
        <f t="shared" si="18"/>
        <v>7.6207636008805119E-2</v>
      </c>
      <c r="CC57" s="129">
        <f t="shared" si="39"/>
        <v>4.349839068016443E-2</v>
      </c>
      <c r="CD57" s="129">
        <f t="shared" si="40"/>
        <v>-5.3985313125494393E-3</v>
      </c>
      <c r="CE57" s="129">
        <f t="shared" si="41"/>
        <v>0.10342933068859601</v>
      </c>
      <c r="CF57" s="129">
        <f t="shared" si="42"/>
        <v>-7.8042173142994276E-2</v>
      </c>
      <c r="CG57" s="129">
        <f t="shared" si="43"/>
        <v>6.3169926323447976E-3</v>
      </c>
      <c r="CI57" s="129">
        <f t="shared" si="44"/>
        <v>-1.5511933413841857E-4</v>
      </c>
      <c r="CJ57" s="129">
        <f t="shared" si="45"/>
        <v>0</v>
      </c>
      <c r="CK57" s="129">
        <f t="shared" si="46"/>
        <v>0</v>
      </c>
      <c r="CL57" s="129">
        <f t="shared" si="47"/>
        <v>0</v>
      </c>
      <c r="CM57" s="129">
        <f t="shared" si="48"/>
        <v>0</v>
      </c>
      <c r="CO57" s="129">
        <f t="shared" si="49"/>
        <v>0.98168376354873321</v>
      </c>
      <c r="CP57" s="129">
        <f t="shared" si="91"/>
        <v>0.91810595531774497</v>
      </c>
      <c r="CQ57" s="129">
        <f t="shared" si="87"/>
        <v>0.90612033080496157</v>
      </c>
      <c r="CR57" s="129"/>
      <c r="CS57" s="129">
        <f t="shared" si="50"/>
        <v>1.0368393733890502</v>
      </c>
      <c r="CT57" s="129">
        <f t="shared" si="92"/>
        <v>1.2371161758315401</v>
      </c>
      <c r="CU57" s="129">
        <f t="shared" si="88"/>
        <v>1.1822265331106607</v>
      </c>
      <c r="CV57" s="129"/>
      <c r="CW57" s="129">
        <f t="shared" si="93"/>
        <v>0.99988726973048825</v>
      </c>
      <c r="CX57" s="129">
        <f t="shared" si="94"/>
        <v>1.0078681846690916</v>
      </c>
      <c r="CY57" s="129">
        <f t="shared" si="89"/>
        <v>0.9891416302948447</v>
      </c>
      <c r="DA57">
        <f t="shared" si="55"/>
        <v>1997</v>
      </c>
      <c r="DB57" s="4">
        <f>'Freight-based Activity'!G55</f>
        <v>707409.9</v>
      </c>
      <c r="DC57" s="4">
        <f>'Freight-based Activity'!I55</f>
        <v>813800.1</v>
      </c>
      <c r="DD57">
        <f t="shared" si="56"/>
        <v>188.1710334</v>
      </c>
      <c r="DE57">
        <f t="shared" si="72"/>
        <v>1997</v>
      </c>
      <c r="DF57" s="136">
        <f t="shared" si="73"/>
        <v>0.26600000000000001</v>
      </c>
      <c r="DG57" s="136">
        <f t="shared" si="74"/>
        <v>0.23122512936530729</v>
      </c>
      <c r="DH57" s="136">
        <f t="shared" si="70"/>
        <v>0.88638487171612879</v>
      </c>
      <c r="DI57" s="136">
        <f t="shared" si="71"/>
        <v>0.83258044895636329</v>
      </c>
      <c r="DJ57" s="136">
        <f t="shared" si="52"/>
        <v>0.86926740362897481</v>
      </c>
    </row>
    <row r="58" spans="1:114" x14ac:dyDescent="0.2">
      <c r="A58" s="133" t="s">
        <v>664</v>
      </c>
      <c r="B58" s="133">
        <f t="shared" si="90"/>
        <v>1998</v>
      </c>
      <c r="D58" s="5">
        <f>'Freight-Trucks'!F59</f>
        <v>5468.3381908166775</v>
      </c>
      <c r="E58" s="5">
        <f>'Freight-based Energy Use'!D56</f>
        <v>501.95530000000002</v>
      </c>
      <c r="F58" s="5">
        <f>'Freight-based Energy Use'!E56</f>
        <v>464.77621457924266</v>
      </c>
      <c r="G58" s="5">
        <f>'Freight-based Energy Use'!N56</f>
        <v>172.2355968</v>
      </c>
      <c r="H58" s="5">
        <f>Pipelines!F59</f>
        <v>684.95334190486676</v>
      </c>
      <c r="I58" s="5">
        <f t="shared" si="5"/>
        <v>7292.258644100787</v>
      </c>
      <c r="K58" s="4">
        <f>'Freight-Trucks'!J59</f>
        <v>1449042.5328821195</v>
      </c>
      <c r="L58" s="4">
        <f>'Freight-based Activity'!E56</f>
        <v>1376802</v>
      </c>
      <c r="M58" s="4">
        <f>'Freight-based Activity'!F56</f>
        <v>28015.071</v>
      </c>
      <c r="N58" s="4">
        <f>'Freight-based Activity'!G56</f>
        <v>672795.3</v>
      </c>
      <c r="O58" s="4">
        <f>Pipelines!J59</f>
        <v>283777.41513510002</v>
      </c>
      <c r="P58" s="4">
        <f t="shared" si="6"/>
        <v>3810432.3190172198</v>
      </c>
      <c r="R58" s="4">
        <f t="shared" si="75"/>
        <v>3773.7596148680682</v>
      </c>
      <c r="S58" s="4">
        <f t="shared" si="76"/>
        <v>364.58060055113231</v>
      </c>
      <c r="T58" s="4">
        <f t="shared" si="77"/>
        <v>16590.220834323161</v>
      </c>
      <c r="U58" s="4">
        <f t="shared" si="78"/>
        <v>256</v>
      </c>
      <c r="V58" s="4">
        <f t="shared" si="79"/>
        <v>2413.6992775791405</v>
      </c>
      <c r="W58" s="4">
        <f t="shared" si="80"/>
        <v>1913.7614930742541</v>
      </c>
      <c r="Y58" s="129">
        <f>'Freight-Trucks'!W59</f>
        <v>0.94332609671961265</v>
      </c>
      <c r="Z58" s="129">
        <f t="shared" si="54"/>
        <v>0.73316206003668671</v>
      </c>
      <c r="AA58" s="129">
        <f t="shared" si="59"/>
        <v>0.77288543128858667</v>
      </c>
      <c r="AB58" s="129">
        <f t="shared" si="60"/>
        <v>0.85306213217792837</v>
      </c>
      <c r="AC58" s="129">
        <f t="shared" si="81"/>
        <v>0.97588790769712608</v>
      </c>
      <c r="AD58" s="129"/>
      <c r="AE58" s="142">
        <f>'Freight-Trucks'!V59</f>
        <v>0.98302541032210966</v>
      </c>
      <c r="AF58" s="142">
        <v>1</v>
      </c>
      <c r="AG58" s="142">
        <v>1</v>
      </c>
      <c r="AH58" s="142">
        <v>1</v>
      </c>
      <c r="AI58" s="142">
        <v>1</v>
      </c>
      <c r="AK58" s="131">
        <f t="shared" si="61"/>
        <v>1.3104438595086971</v>
      </c>
      <c r="AL58" s="131">
        <f t="shared" si="62"/>
        <v>1.082349785739003</v>
      </c>
      <c r="AM58" s="131">
        <f t="shared" si="82"/>
        <v>1.1954246777678375</v>
      </c>
      <c r="AN58" s="131">
        <f t="shared" si="83"/>
        <v>0.98773284947842555</v>
      </c>
      <c r="AO58" s="131">
        <f t="shared" si="84"/>
        <v>0.91665501968409024</v>
      </c>
      <c r="AP58" s="131">
        <f t="shared" si="85"/>
        <v>1.4183586305622295</v>
      </c>
      <c r="AQ58" s="131">
        <f t="shared" si="67"/>
        <v>1.4183586305622304</v>
      </c>
      <c r="AR58" s="131"/>
      <c r="AS58" s="131">
        <f t="shared" si="86"/>
        <v>1.1807602233084546</v>
      </c>
      <c r="AU58" s="134"/>
      <c r="AW58" s="129">
        <f t="shared" si="9"/>
        <v>0.74988264373211655</v>
      </c>
      <c r="AX58" s="129">
        <f t="shared" si="10"/>
        <v>6.8833995679249041E-2</v>
      </c>
      <c r="AY58" s="129">
        <f t="shared" si="11"/>
        <v>6.3735563597326919E-2</v>
      </c>
      <c r="AZ58" s="129">
        <f t="shared" si="12"/>
        <v>2.3618964329979342E-2</v>
      </c>
      <c r="BA58" s="129">
        <f t="shared" si="13"/>
        <v>9.3928832661328177E-2</v>
      </c>
      <c r="BC58" s="129">
        <f t="shared" si="23"/>
        <v>0.73702714699163374</v>
      </c>
      <c r="BD58" s="129">
        <f t="shared" si="24"/>
        <v>6.9634643901544224E-2</v>
      </c>
      <c r="BE58" s="129">
        <f t="shared" si="25"/>
        <v>6.413832043201767E-2</v>
      </c>
      <c r="BF58" s="129">
        <f t="shared" si="26"/>
        <v>2.5043449922802778E-2</v>
      </c>
      <c r="BG58" s="129">
        <f t="shared" si="27"/>
        <v>0.10372150249641926</v>
      </c>
      <c r="BH58" s="129">
        <f t="shared" si="28"/>
        <v>0.99956506374441756</v>
      </c>
      <c r="BI58" s="129"/>
      <c r="BJ58" s="129">
        <f t="shared" si="29"/>
        <v>0.73734784630296657</v>
      </c>
      <c r="BK58" s="129">
        <f t="shared" si="30"/>
        <v>6.9664943711307381E-2</v>
      </c>
      <c r="BL58" s="129">
        <f t="shared" si="31"/>
        <v>6.4166228651242094E-2</v>
      </c>
      <c r="BM58" s="129">
        <f t="shared" si="32"/>
        <v>2.5054346966658519E-2</v>
      </c>
      <c r="BN58" s="129">
        <f t="shared" si="33"/>
        <v>0.1037666343678256</v>
      </c>
      <c r="BQ58" s="129">
        <f t="shared" si="34"/>
        <v>3.9699463706172756E-2</v>
      </c>
      <c r="BR58" s="129">
        <f t="shared" si="35"/>
        <v>-1.6023785469776581E-2</v>
      </c>
      <c r="BS58" s="129">
        <f t="shared" si="36"/>
        <v>3.6893155237627723E-4</v>
      </c>
      <c r="BT58" s="129">
        <f t="shared" si="37"/>
        <v>-3.8318864302136539E-2</v>
      </c>
      <c r="BU58" s="129">
        <f t="shared" si="38"/>
        <v>-0.15092089513825421</v>
      </c>
      <c r="BW58" s="129">
        <f t="shared" si="14"/>
        <v>0.38028297357499163</v>
      </c>
      <c r="BX58" s="129">
        <f t="shared" si="15"/>
        <v>0.36132435501573279</v>
      </c>
      <c r="BY58" s="129">
        <f t="shared" si="16"/>
        <v>7.3522027566744969E-3</v>
      </c>
      <c r="BZ58" s="129">
        <f t="shared" si="17"/>
        <v>0.17656665797269069</v>
      </c>
      <c r="CA58" s="129">
        <f t="shared" si="18"/>
        <v>7.447381067991031E-2</v>
      </c>
      <c r="CC58" s="129">
        <f t="shared" si="39"/>
        <v>1.8153498216151507E-2</v>
      </c>
      <c r="CD58" s="129">
        <f t="shared" si="40"/>
        <v>1.4175054563921194E-2</v>
      </c>
      <c r="CE58" s="129">
        <f t="shared" si="41"/>
        <v>8.2814324933865383E-3</v>
      </c>
      <c r="CF58" s="129">
        <f t="shared" si="42"/>
        <v>-5.6448792402832959E-2</v>
      </c>
      <c r="CG58" s="129">
        <f t="shared" si="43"/>
        <v>-2.3014138676281215E-2</v>
      </c>
      <c r="CI58" s="129">
        <f t="shared" si="44"/>
        <v>-1.9329560846434134E-3</v>
      </c>
      <c r="CJ58" s="129">
        <f t="shared" si="45"/>
        <v>0</v>
      </c>
      <c r="CK58" s="129">
        <f t="shared" si="46"/>
        <v>0</v>
      </c>
      <c r="CL58" s="129">
        <f t="shared" si="47"/>
        <v>0</v>
      </c>
      <c r="CM58" s="129">
        <f t="shared" si="48"/>
        <v>0</v>
      </c>
      <c r="CO58" s="129">
        <f t="shared" si="49"/>
        <v>1.0116261477874247</v>
      </c>
      <c r="CP58" s="129">
        <f t="shared" si="91"/>
        <v>0.92877999083878382</v>
      </c>
      <c r="CQ58" s="129">
        <f t="shared" si="87"/>
        <v>0.91665501968409024</v>
      </c>
      <c r="CR58" s="129"/>
      <c r="CS58" s="129">
        <f t="shared" si="50"/>
        <v>1.0111638034568975</v>
      </c>
      <c r="CT58" s="129">
        <f t="shared" si="92"/>
        <v>1.250927097671872</v>
      </c>
      <c r="CU58" s="129">
        <f t="shared" si="88"/>
        <v>1.1954246777678375</v>
      </c>
      <c r="CV58" s="129"/>
      <c r="CW58" s="129">
        <f t="shared" si="93"/>
        <v>0.99857575419609101</v>
      </c>
      <c r="CX58" s="129">
        <f t="shared" si="94"/>
        <v>1.0064327326361833</v>
      </c>
      <c r="CY58" s="129">
        <f t="shared" si="89"/>
        <v>0.98773284947842555</v>
      </c>
      <c r="DA58">
        <f t="shared" si="55"/>
        <v>1998</v>
      </c>
      <c r="DB58" s="4">
        <f>'Freight-based Activity'!G56</f>
        <v>672795.3</v>
      </c>
      <c r="DC58" s="4">
        <f>'Freight-based Activity'!I56</f>
        <v>780499.8</v>
      </c>
      <c r="DD58">
        <f t="shared" si="56"/>
        <v>172.2355968</v>
      </c>
      <c r="DE58">
        <f t="shared" si="72"/>
        <v>1998</v>
      </c>
      <c r="DF58" s="136">
        <f t="shared" si="73"/>
        <v>0.25600000000000001</v>
      </c>
      <c r="DG58" s="136">
        <f t="shared" si="74"/>
        <v>0.2206734669246552</v>
      </c>
      <c r="DH58" s="136">
        <f t="shared" si="70"/>
        <v>0.85306213217792837</v>
      </c>
      <c r="DI58" s="136">
        <f t="shared" si="71"/>
        <v>0.79458670720265134</v>
      </c>
      <c r="DJ58" s="136">
        <f t="shared" si="52"/>
        <v>0.86200573017443438</v>
      </c>
    </row>
    <row r="59" spans="1:114" x14ac:dyDescent="0.2">
      <c r="A59" s="133" t="s">
        <v>664</v>
      </c>
      <c r="B59" s="133">
        <f t="shared" si="90"/>
        <v>1999</v>
      </c>
      <c r="D59" s="5">
        <f>'Freight-Trucks'!F60</f>
        <v>5726.0772850133417</v>
      </c>
      <c r="E59" s="5">
        <f>'Freight-based Energy Use'!D57</f>
        <v>519.98630000000003</v>
      </c>
      <c r="F59" s="5">
        <f>'Freight-based Energy Use'!E57</f>
        <v>419.95651612393101</v>
      </c>
      <c r="G59" s="5">
        <f>'Freight-based Energy Use'!N57</f>
        <v>174.459159</v>
      </c>
      <c r="H59" s="5">
        <f>Pipelines!F60</f>
        <v>695.56161062835042</v>
      </c>
      <c r="I59" s="5">
        <f t="shared" si="5"/>
        <v>7536.0408707656234</v>
      </c>
      <c r="K59" s="4">
        <f>'Freight-Trucks'!J60</f>
        <v>1496112.9097153016</v>
      </c>
      <c r="L59" s="4">
        <f>'Freight-based Activity'!E57</f>
        <v>1433461</v>
      </c>
      <c r="M59" s="4">
        <f>'Freight-based Activity'!F57</f>
        <v>25147.844000000001</v>
      </c>
      <c r="N59" s="4">
        <f>'Freight-based Activity'!G57</f>
        <v>655861.5</v>
      </c>
      <c r="O59" s="4">
        <f>Pipelines!J60</f>
        <v>287152.04078580003</v>
      </c>
      <c r="P59" s="4">
        <f t="shared" si="6"/>
        <v>3897735.2945011016</v>
      </c>
      <c r="R59" s="4">
        <f t="shared" si="75"/>
        <v>3827.3029046336942</v>
      </c>
      <c r="S59" s="4">
        <f t="shared" si="76"/>
        <v>362.74882958099317</v>
      </c>
      <c r="T59" s="4">
        <f t="shared" si="77"/>
        <v>16699.503787439233</v>
      </c>
      <c r="U59" s="4">
        <f t="shared" si="78"/>
        <v>266</v>
      </c>
      <c r="V59" s="4">
        <f t="shared" si="79"/>
        <v>2422.2763965908989</v>
      </c>
      <c r="W59" s="4">
        <f t="shared" si="80"/>
        <v>1933.4409089805094</v>
      </c>
      <c r="Y59" s="129">
        <f>'Freight-Trucks'!W60</f>
        <v>0.9564907976601319</v>
      </c>
      <c r="Z59" s="129">
        <f t="shared" si="54"/>
        <v>0.72947841648584388</v>
      </c>
      <c r="AA59" s="129">
        <f t="shared" si="59"/>
        <v>0.77797657523387176</v>
      </c>
      <c r="AB59" s="129">
        <f t="shared" si="60"/>
        <v>0.88638487171612867</v>
      </c>
      <c r="AC59" s="129">
        <f t="shared" si="81"/>
        <v>0.97935574099525313</v>
      </c>
      <c r="AD59" s="129"/>
      <c r="AE59" s="142">
        <f>'Freight-Trucks'!V60</f>
        <v>0.98325100656885123</v>
      </c>
      <c r="AF59" s="142">
        <v>1</v>
      </c>
      <c r="AG59" s="142">
        <v>1</v>
      </c>
      <c r="AH59" s="142">
        <v>1</v>
      </c>
      <c r="AI59" s="142">
        <v>1</v>
      </c>
      <c r="AK59" s="131">
        <f t="shared" si="61"/>
        <v>1.3404681818326265</v>
      </c>
      <c r="AL59" s="131">
        <f t="shared" si="62"/>
        <v>1.0934797053589176</v>
      </c>
      <c r="AM59" s="131">
        <f t="shared" si="82"/>
        <v>1.1934227123186514</v>
      </c>
      <c r="AN59" s="131">
        <f t="shared" si="83"/>
        <v>0.98790396768755218</v>
      </c>
      <c r="AO59" s="131">
        <f t="shared" si="84"/>
        <v>0.92747390352672687</v>
      </c>
      <c r="AP59" s="131">
        <f t="shared" si="85"/>
        <v>1.4657747525133435</v>
      </c>
      <c r="AQ59" s="131">
        <f t="shared" si="67"/>
        <v>1.4657747525133444</v>
      </c>
      <c r="AR59" s="131"/>
      <c r="AS59" s="131">
        <f t="shared" si="86"/>
        <v>1.1789870326280358</v>
      </c>
      <c r="AU59" s="134"/>
      <c r="AW59" s="129">
        <f t="shared" si="9"/>
        <v>0.75982566751016056</v>
      </c>
      <c r="AX59" s="129">
        <f t="shared" si="10"/>
        <v>6.8999930987260163E-2</v>
      </c>
      <c r="AY59" s="129">
        <f t="shared" si="11"/>
        <v>5.5726411696234018E-2</v>
      </c>
      <c r="AZ59" s="129">
        <f t="shared" si="12"/>
        <v>2.314997516491386E-2</v>
      </c>
      <c r="BA59" s="129">
        <f t="shared" si="13"/>
        <v>9.2298014641431336E-2</v>
      </c>
      <c r="BC59" s="129">
        <f t="shared" si="23"/>
        <v>0.75484324127600133</v>
      </c>
      <c r="BD59" s="129">
        <f t="shared" si="24"/>
        <v>6.8916930038915566E-2</v>
      </c>
      <c r="BE59" s="129">
        <f t="shared" si="25"/>
        <v>5.9641386495416275E-2</v>
      </c>
      <c r="BF59" s="129">
        <f t="shared" si="26"/>
        <v>2.3383685905514928E-2</v>
      </c>
      <c r="BG59" s="129">
        <f t="shared" si="27"/>
        <v>9.3111043380719585E-2</v>
      </c>
      <c r="BH59" s="129">
        <f t="shared" si="28"/>
        <v>0.99989628709656775</v>
      </c>
      <c r="BI59" s="129"/>
      <c r="BJ59" s="129">
        <f t="shared" si="29"/>
        <v>0.75492153638040282</v>
      </c>
      <c r="BK59" s="129">
        <f t="shared" si="30"/>
        <v>6.8924078355198176E-2</v>
      </c>
      <c r="BL59" s="129">
        <f t="shared" si="31"/>
        <v>5.9647572718365585E-2</v>
      </c>
      <c r="BM59" s="129">
        <f t="shared" si="32"/>
        <v>2.3386111347022717E-2</v>
      </c>
      <c r="BN59" s="129">
        <f t="shared" si="33"/>
        <v>9.3120701199010586E-2</v>
      </c>
      <c r="BQ59" s="129">
        <f t="shared" si="34"/>
        <v>1.3859137369543865E-2</v>
      </c>
      <c r="BR59" s="129">
        <f t="shared" si="35"/>
        <v>-5.0369881022537958E-3</v>
      </c>
      <c r="BS59" s="129">
        <f t="shared" si="36"/>
        <v>6.565590249179294E-3</v>
      </c>
      <c r="BT59" s="129">
        <f t="shared" si="37"/>
        <v>3.8318864302136602E-2</v>
      </c>
      <c r="BU59" s="129">
        <f t="shared" si="38"/>
        <v>3.547217183582634E-3</v>
      </c>
      <c r="BW59" s="129">
        <f t="shared" si="14"/>
        <v>0.3838415891982217</v>
      </c>
      <c r="BX59" s="129">
        <f t="shared" si="15"/>
        <v>0.36776766293553004</v>
      </c>
      <c r="BY59" s="129">
        <f t="shared" si="16"/>
        <v>6.4519117128036905E-3</v>
      </c>
      <c r="BZ59" s="129">
        <f t="shared" si="17"/>
        <v>0.16826732716438825</v>
      </c>
      <c r="CA59" s="129">
        <f t="shared" si="18"/>
        <v>7.3671508989056333E-2</v>
      </c>
      <c r="CC59" s="129">
        <f t="shared" si="39"/>
        <v>9.314296449043474E-3</v>
      </c>
      <c r="CD59" s="129">
        <f t="shared" si="40"/>
        <v>1.7675342784137005E-2</v>
      </c>
      <c r="CE59" s="129">
        <f t="shared" si="41"/>
        <v>-0.13062348663594586</v>
      </c>
      <c r="CF59" s="129">
        <f t="shared" si="42"/>
        <v>-4.8144522788707754E-2</v>
      </c>
      <c r="CG59" s="129">
        <f t="shared" si="43"/>
        <v>-1.0831385512480324E-2</v>
      </c>
      <c r="CI59" s="129">
        <f t="shared" si="44"/>
        <v>2.2946544625525222E-4</v>
      </c>
      <c r="CJ59" s="129">
        <f t="shared" si="45"/>
        <v>0</v>
      </c>
      <c r="CK59" s="129">
        <f t="shared" si="46"/>
        <v>0</v>
      </c>
      <c r="CL59" s="129">
        <f t="shared" si="47"/>
        <v>0</v>
      </c>
      <c r="CM59" s="129">
        <f t="shared" si="48"/>
        <v>0</v>
      </c>
      <c r="CO59" s="129">
        <f t="shared" si="49"/>
        <v>1.0118025686984895</v>
      </c>
      <c r="CP59" s="129">
        <f t="shared" si="91"/>
        <v>0.93974198048644098</v>
      </c>
      <c r="CQ59" s="129">
        <f t="shared" si="87"/>
        <v>0.92747390352672687</v>
      </c>
      <c r="CR59" s="129"/>
      <c r="CS59" s="129">
        <f t="shared" si="50"/>
        <v>0.99832531025465854</v>
      </c>
      <c r="CT59" s="129">
        <f t="shared" si="92"/>
        <v>1.2488321828892313</v>
      </c>
      <c r="CU59" s="129">
        <f t="shared" si="88"/>
        <v>1.1934227123186514</v>
      </c>
      <c r="CV59" s="129"/>
      <c r="CW59" s="129">
        <f t="shared" si="93"/>
        <v>1.0001732434121402</v>
      </c>
      <c r="CX59" s="129">
        <f t="shared" si="94"/>
        <v>1.0066070904768747</v>
      </c>
      <c r="CY59" s="129">
        <f t="shared" si="89"/>
        <v>0.98790396768755218</v>
      </c>
      <c r="DA59">
        <f t="shared" si="55"/>
        <v>1999</v>
      </c>
      <c r="DB59" s="4">
        <f>'Freight-based Activity'!G57</f>
        <v>655861.5</v>
      </c>
      <c r="DC59" s="4">
        <f>'Freight-based Activity'!I57</f>
        <v>764447.4</v>
      </c>
      <c r="DD59">
        <f t="shared" si="56"/>
        <v>174.459159</v>
      </c>
      <c r="DE59">
        <f t="shared" si="72"/>
        <v>1999</v>
      </c>
      <c r="DF59" s="136">
        <f t="shared" si="73"/>
        <v>0.26600000000000001</v>
      </c>
      <c r="DG59" s="136">
        <f t="shared" si="74"/>
        <v>0.2282160407635633</v>
      </c>
      <c r="DH59" s="136">
        <f t="shared" si="70"/>
        <v>0.88638487171612879</v>
      </c>
      <c r="DI59" s="136">
        <f t="shared" si="71"/>
        <v>0.82174551788348926</v>
      </c>
      <c r="DJ59" s="136">
        <f t="shared" si="52"/>
        <v>0.85795504046452375</v>
      </c>
    </row>
    <row r="60" spans="1:114" x14ac:dyDescent="0.2">
      <c r="A60" s="133" t="s">
        <v>664</v>
      </c>
      <c r="B60" s="133">
        <f t="shared" si="90"/>
        <v>2000</v>
      </c>
      <c r="D60" s="5">
        <f>'Freight-Trucks'!F61</f>
        <v>5938.8378105066904</v>
      </c>
      <c r="E60" s="5">
        <f>'Freight-based Energy Use'!D58</f>
        <v>515.97787000000005</v>
      </c>
      <c r="F60" s="5">
        <f>'Freight-based Energy Use'!E58</f>
        <v>481.95910774019768</v>
      </c>
      <c r="G60" s="5">
        <f>'Freight-based Energy Use'!N58</f>
        <v>174.36581099999998</v>
      </c>
      <c r="H60" s="5">
        <f>Pipelines!F61</f>
        <v>692.21055313338434</v>
      </c>
      <c r="I60" s="5">
        <f t="shared" si="5"/>
        <v>7803.3511523802717</v>
      </c>
      <c r="K60" s="4">
        <f>'Freight-Trucks'!J61</f>
        <v>1513977.4711955048</v>
      </c>
      <c r="L60" s="4">
        <f>'Freight-based Activity'!E58</f>
        <v>1465960</v>
      </c>
      <c r="M60" s="4">
        <f>'Freight-based Activity'!F58</f>
        <v>30221.260999999999</v>
      </c>
      <c r="N60" s="4">
        <f>'Freight-based Activity'!G58</f>
        <v>645799.30000000005</v>
      </c>
      <c r="O60" s="4">
        <f>Pipelines!J61</f>
        <v>299080.82344360003</v>
      </c>
      <c r="P60" s="4">
        <f t="shared" si="6"/>
        <v>3955038.8556391047</v>
      </c>
      <c r="R60" s="4">
        <f t="shared" si="75"/>
        <v>3922.672512304372</v>
      </c>
      <c r="S60" s="4">
        <f t="shared" si="76"/>
        <v>351.9726800185544</v>
      </c>
      <c r="T60" s="4">
        <f t="shared" si="77"/>
        <v>15947.683577472088</v>
      </c>
      <c r="U60" s="4">
        <f t="shared" si="78"/>
        <v>269.99999999999994</v>
      </c>
      <c r="V60" s="4">
        <f t="shared" si="79"/>
        <v>2314.4598345133277</v>
      </c>
      <c r="W60" s="4">
        <f t="shared" si="80"/>
        <v>1973.0150416232277</v>
      </c>
      <c r="Y60" s="129">
        <f>'Freight-Trucks'!W61</f>
        <v>0.98207812574622932</v>
      </c>
      <c r="Z60" s="129">
        <f t="shared" si="54"/>
        <v>0.70780786133146179</v>
      </c>
      <c r="AA60" s="129">
        <f t="shared" si="59"/>
        <v>0.74295167152494901</v>
      </c>
      <c r="AB60" s="129">
        <f t="shared" si="60"/>
        <v>0.89971396753140864</v>
      </c>
      <c r="AC60" s="129">
        <f t="shared" si="81"/>
        <v>0.93576419661425336</v>
      </c>
      <c r="AD60" s="129"/>
      <c r="AE60" s="142">
        <f>'Freight-Trucks'!V61</f>
        <v>0.98149564066981343</v>
      </c>
      <c r="AF60" s="142">
        <v>1</v>
      </c>
      <c r="AG60" s="142">
        <v>1</v>
      </c>
      <c r="AH60" s="142">
        <v>1</v>
      </c>
      <c r="AI60" s="142">
        <v>1</v>
      </c>
      <c r="AK60" s="131">
        <f t="shared" si="61"/>
        <v>1.3601754206796468</v>
      </c>
      <c r="AL60" s="131">
        <f t="shared" si="62"/>
        <v>1.115861310455301</v>
      </c>
      <c r="AM60" s="131">
        <f t="shared" si="82"/>
        <v>1.2054959665581901</v>
      </c>
      <c r="AN60" s="131">
        <f t="shared" si="83"/>
        <v>0.98656240416545848</v>
      </c>
      <c r="AO60" s="131">
        <f t="shared" si="84"/>
        <v>0.93825285980950979</v>
      </c>
      <c r="AP60" s="131">
        <f t="shared" si="85"/>
        <v>1.5177671273686799</v>
      </c>
      <c r="AQ60" s="131">
        <f t="shared" si="67"/>
        <v>1.517767127368681</v>
      </c>
      <c r="AR60" s="131"/>
      <c r="AS60" s="131">
        <f t="shared" si="86"/>
        <v>1.1892969989794111</v>
      </c>
      <c r="AU60" s="134"/>
      <c r="AW60" s="129">
        <f t="shared" si="9"/>
        <v>0.76106248386568565</v>
      </c>
      <c r="AX60" s="129">
        <f t="shared" si="10"/>
        <v>6.6122600396191361E-2</v>
      </c>
      <c r="AY60" s="129">
        <f t="shared" si="11"/>
        <v>6.176309361564291E-2</v>
      </c>
      <c r="AZ60" s="129">
        <f t="shared" si="12"/>
        <v>2.234499096542808E-2</v>
      </c>
      <c r="BA60" s="129">
        <f t="shared" si="13"/>
        <v>8.8706831157052052E-2</v>
      </c>
      <c r="BC60" s="129">
        <f t="shared" si="23"/>
        <v>0.76044390805397721</v>
      </c>
      <c r="BD60" s="129">
        <f t="shared" si="24"/>
        <v>6.755105269890696E-2</v>
      </c>
      <c r="BE60" s="129">
        <f t="shared" si="25"/>
        <v>5.869302148422232E-2</v>
      </c>
      <c r="BF60" s="129">
        <f t="shared" si="26"/>
        <v>2.2745108979549726E-2</v>
      </c>
      <c r="BG60" s="129">
        <f t="shared" si="27"/>
        <v>9.0490546649196646E-2</v>
      </c>
      <c r="BH60" s="129">
        <f t="shared" si="28"/>
        <v>0.99992363786585281</v>
      </c>
      <c r="BI60" s="129"/>
      <c r="BJ60" s="129">
        <f t="shared" si="29"/>
        <v>0.76050198160831595</v>
      </c>
      <c r="BK60" s="129">
        <f t="shared" si="30"/>
        <v>6.7556211435387065E-2</v>
      </c>
      <c r="BL60" s="129">
        <f t="shared" si="31"/>
        <v>5.8697503750877851E-2</v>
      </c>
      <c r="BM60" s="129">
        <f t="shared" si="32"/>
        <v>2.2746845977253665E-2</v>
      </c>
      <c r="BN60" s="129">
        <f t="shared" si="33"/>
        <v>9.0497457228165476E-2</v>
      </c>
      <c r="BQ60" s="129">
        <f t="shared" si="34"/>
        <v>2.6399694988969904E-2</v>
      </c>
      <c r="BR60" s="129">
        <f t="shared" si="35"/>
        <v>-3.0157106239833545E-2</v>
      </c>
      <c r="BS60" s="129">
        <f t="shared" si="36"/>
        <v>-4.6065417222882113E-2</v>
      </c>
      <c r="BT60" s="129">
        <f t="shared" si="37"/>
        <v>1.4925650216675574E-2</v>
      </c>
      <c r="BU60" s="129">
        <f t="shared" si="38"/>
        <v>-4.5531430285526059E-2</v>
      </c>
      <c r="BW60" s="129">
        <f t="shared" si="14"/>
        <v>0.38279711690742851</v>
      </c>
      <c r="BX60" s="129">
        <f t="shared" si="15"/>
        <v>0.37065628265821721</v>
      </c>
      <c r="BY60" s="129">
        <f t="shared" si="16"/>
        <v>7.6412045755025757E-3</v>
      </c>
      <c r="BZ60" s="129">
        <f t="shared" si="17"/>
        <v>0.16328519733231386</v>
      </c>
      <c r="CA60" s="129">
        <f t="shared" si="18"/>
        <v>7.5620198526537813E-2</v>
      </c>
      <c r="CC60" s="129">
        <f t="shared" si="39"/>
        <v>-2.7248113843115753E-3</v>
      </c>
      <c r="CD60" s="129">
        <f t="shared" si="40"/>
        <v>7.8237832742508433E-3</v>
      </c>
      <c r="CE60" s="129">
        <f t="shared" si="41"/>
        <v>0.16917878122596711</v>
      </c>
      <c r="CF60" s="129">
        <f t="shared" si="42"/>
        <v>-3.0055599063955232E-2</v>
      </c>
      <c r="CG60" s="129">
        <f t="shared" si="43"/>
        <v>2.6107280204767477E-2</v>
      </c>
      <c r="CI60" s="129">
        <f t="shared" si="44"/>
        <v>-1.786862818736157E-3</v>
      </c>
      <c r="CJ60" s="129">
        <f t="shared" si="45"/>
        <v>0</v>
      </c>
      <c r="CK60" s="129">
        <f t="shared" si="46"/>
        <v>0</v>
      </c>
      <c r="CL60" s="129">
        <f t="shared" si="47"/>
        <v>0</v>
      </c>
      <c r="CM60" s="129">
        <f t="shared" si="48"/>
        <v>0</v>
      </c>
      <c r="CO60" s="129">
        <f t="shared" si="49"/>
        <v>1.0116218432042086</v>
      </c>
      <c r="CP60" s="129">
        <f t="shared" si="91"/>
        <v>0.95066351443606678</v>
      </c>
      <c r="CQ60" s="129">
        <f t="shared" si="87"/>
        <v>0.93825285980950979</v>
      </c>
      <c r="CR60" s="129"/>
      <c r="CS60" s="129">
        <f t="shared" si="50"/>
        <v>1.0101164944448577</v>
      </c>
      <c r="CT60" s="129">
        <f t="shared" si="92"/>
        <v>1.2614659867299898</v>
      </c>
      <c r="CU60" s="129">
        <f t="shared" si="88"/>
        <v>1.2054959665581901</v>
      </c>
      <c r="CV60" s="129"/>
      <c r="CW60" s="129">
        <f t="shared" si="93"/>
        <v>0.9986420101892759</v>
      </c>
      <c r="CX60" s="129">
        <f t="shared" si="94"/>
        <v>1.0052401283046044</v>
      </c>
      <c r="CY60" s="129">
        <f t="shared" si="89"/>
        <v>0.98656240416545848</v>
      </c>
      <c r="DA60">
        <f t="shared" si="55"/>
        <v>2000</v>
      </c>
      <c r="DB60" s="4">
        <f>'Freight-based Activity'!G58</f>
        <v>645799.30000000005</v>
      </c>
      <c r="DC60" s="4">
        <f>'Freight-based Activity'!I58</f>
        <v>763421.3</v>
      </c>
      <c r="DD60">
        <f t="shared" si="56"/>
        <v>174.36581099999998</v>
      </c>
      <c r="DE60">
        <f t="shared" si="72"/>
        <v>2000</v>
      </c>
      <c r="DF60" s="136">
        <f t="shared" si="73"/>
        <v>0.26999999999999996</v>
      </c>
      <c r="DG60" s="136">
        <f t="shared" si="74"/>
        <v>0.22840050572337969</v>
      </c>
      <c r="DH60" s="136">
        <f t="shared" si="70"/>
        <v>0.89971396753140864</v>
      </c>
      <c r="DI60" s="136">
        <f t="shared" si="71"/>
        <v>0.82240972734671769</v>
      </c>
      <c r="DJ60" s="136">
        <f t="shared" si="52"/>
        <v>0.84592779897548054</v>
      </c>
    </row>
    <row r="61" spans="1:114" x14ac:dyDescent="0.2">
      <c r="A61" s="133" t="s">
        <v>664</v>
      </c>
      <c r="B61" s="133">
        <f t="shared" si="90"/>
        <v>2001</v>
      </c>
      <c r="D61" s="5">
        <f>'Freight-Trucks'!F62</f>
        <v>5940.4281663402853</v>
      </c>
      <c r="E61" s="5">
        <f>'Freight-based Energy Use'!D59</f>
        <v>517.351</v>
      </c>
      <c r="F61" s="5">
        <f>'Freight-based Energy Use'!E59</f>
        <v>450.58343957821745</v>
      </c>
      <c r="G61" s="5">
        <f>'Freight-based Energy Use'!N59</f>
        <v>157.28655799999999</v>
      </c>
      <c r="H61" s="5">
        <f>Pipelines!F62</f>
        <v>673.62183107961232</v>
      </c>
      <c r="I61" s="5">
        <f t="shared" ref="I61:I66" si="95">SUM(D61:H61)</f>
        <v>7739.2709949981145</v>
      </c>
      <c r="K61" s="4">
        <f>'Freight-Trucks'!J62</f>
        <v>1543570.1536620131</v>
      </c>
      <c r="L61" s="4">
        <f>'Freight-based Activity'!E59</f>
        <v>1495472</v>
      </c>
      <c r="M61" s="4">
        <f>'Freight-based Activity'!F59</f>
        <v>27882</v>
      </c>
      <c r="N61" s="4">
        <f>'Freight-based Activity'!G59</f>
        <v>621686</v>
      </c>
      <c r="O61" s="4">
        <f>Pipelines!J62</f>
        <v>284573.10116920003</v>
      </c>
      <c r="P61" s="4">
        <f t="shared" ref="P61:P66" si="96">SUM(K61:O61)</f>
        <v>3973183.254831213</v>
      </c>
      <c r="R61" s="4">
        <f t="shared" ref="R61:W61" si="97">D61/K61*1000000</f>
        <v>3848.4989828593352</v>
      </c>
      <c r="S61" s="4">
        <f t="shared" si="97"/>
        <v>345.94495918345513</v>
      </c>
      <c r="T61" s="4">
        <f t="shared" si="97"/>
        <v>16160.37011614007</v>
      </c>
      <c r="U61" s="4">
        <f t="shared" si="97"/>
        <v>252.99999999999997</v>
      </c>
      <c r="V61" s="4">
        <f t="shared" si="97"/>
        <v>2367.1310756777875</v>
      </c>
      <c r="W61" s="4">
        <f t="shared" si="97"/>
        <v>1947.8766768654598</v>
      </c>
      <c r="Y61" s="129">
        <f>'Freight-Trucks'!W62</f>
        <v>0.96202043786610603</v>
      </c>
      <c r="Z61" s="129">
        <f t="shared" si="54"/>
        <v>0.69568627225594093</v>
      </c>
      <c r="AA61" s="129">
        <f t="shared" si="59"/>
        <v>0.75286005844814119</v>
      </c>
      <c r="AB61" s="129">
        <f t="shared" si="60"/>
        <v>0.84306531031646814</v>
      </c>
      <c r="AC61" s="129">
        <f t="shared" si="81"/>
        <v>0.95705981857232469</v>
      </c>
      <c r="AD61" s="129"/>
      <c r="AE61" s="142">
        <f>'Freight-Trucks'!V62</f>
        <v>0.9830134006042669</v>
      </c>
      <c r="AF61" s="142">
        <v>1</v>
      </c>
      <c r="AG61" s="142">
        <v>1</v>
      </c>
      <c r="AH61" s="142">
        <v>1</v>
      </c>
      <c r="AI61" s="142">
        <v>1</v>
      </c>
      <c r="AK61" s="131">
        <f t="shared" si="61"/>
        <v>1.3664154518664244</v>
      </c>
      <c r="AL61" s="131">
        <f t="shared" si="62"/>
        <v>1.1016440196341279</v>
      </c>
      <c r="AM61" s="131">
        <f t="shared" si="82"/>
        <v>1.2073433415886339</v>
      </c>
      <c r="AN61" s="131">
        <f t="shared" si="83"/>
        <v>0.98772826965328131</v>
      </c>
      <c r="AO61" s="131">
        <f t="shared" si="84"/>
        <v>0.92378946671681728</v>
      </c>
      <c r="AP61" s="131">
        <f t="shared" si="85"/>
        <v>1.50530341088431</v>
      </c>
      <c r="AQ61" s="131">
        <f t="shared" si="67"/>
        <v>1.5053034108843111</v>
      </c>
      <c r="AR61" s="131"/>
      <c r="AS61" s="131">
        <f t="shared" si="86"/>
        <v>1.1925271496647518</v>
      </c>
      <c r="AU61" s="134"/>
      <c r="AW61" s="129">
        <f t="shared" si="9"/>
        <v>0.7675694739439386</v>
      </c>
      <c r="AX61" s="129">
        <f t="shared" si="10"/>
        <v>6.6847510616227748E-2</v>
      </c>
      <c r="AY61" s="129">
        <f t="shared" si="11"/>
        <v>5.8220398260951094E-2</v>
      </c>
      <c r="AZ61" s="129">
        <f t="shared" si="12"/>
        <v>2.032317489614386E-2</v>
      </c>
      <c r="BA61" s="129">
        <f t="shared" si="13"/>
        <v>8.703944228273873E-2</v>
      </c>
      <c r="BC61" s="129">
        <f t="shared" si="23"/>
        <v>0.76431136245411002</v>
      </c>
      <c r="BD61" s="129">
        <f t="shared" si="24"/>
        <v>6.6484396838146956E-2</v>
      </c>
      <c r="BE61" s="129">
        <f t="shared" si="25"/>
        <v>5.9974307970582078E-2</v>
      </c>
      <c r="BF61" s="129">
        <f t="shared" si="26"/>
        <v>2.1318106185030123E-2</v>
      </c>
      <c r="BG61" s="129">
        <f t="shared" si="27"/>
        <v>8.7870500104107893E-2</v>
      </c>
      <c r="BH61" s="129">
        <f t="shared" si="28"/>
        <v>0.99995867355197721</v>
      </c>
      <c r="BI61" s="129"/>
      <c r="BJ61" s="129">
        <f t="shared" si="29"/>
        <v>0.76434295003330621</v>
      </c>
      <c r="BK61" s="129">
        <f t="shared" si="30"/>
        <v>6.6487144515668964E-2</v>
      </c>
      <c r="BL61" s="129">
        <f t="shared" si="31"/>
        <v>5.9976786598135996E-2</v>
      </c>
      <c r="BM61" s="129">
        <f t="shared" si="32"/>
        <v>2.1318987223047495E-2</v>
      </c>
      <c r="BN61" s="129">
        <f t="shared" si="33"/>
        <v>8.7874131629841243E-2</v>
      </c>
      <c r="BQ61" s="129">
        <f t="shared" si="34"/>
        <v>-2.0635167353204156E-2</v>
      </c>
      <c r="BR61" s="129">
        <f t="shared" si="35"/>
        <v>-1.7273874103263715E-2</v>
      </c>
      <c r="BS61" s="129">
        <f t="shared" si="36"/>
        <v>1.3248367625778131E-2</v>
      </c>
      <c r="BT61" s="129">
        <f t="shared" si="37"/>
        <v>-6.5032470270854445E-2</v>
      </c>
      <c r="BU61" s="129">
        <f t="shared" si="38"/>
        <v>2.2502377800122975E-2</v>
      </c>
      <c r="BW61" s="129">
        <f t="shared" si="14"/>
        <v>0.3884970953164823</v>
      </c>
      <c r="BX61" s="129">
        <f t="shared" si="15"/>
        <v>0.37639139805131638</v>
      </c>
      <c r="BY61" s="129">
        <f t="shared" si="16"/>
        <v>7.0175469420134936E-3</v>
      </c>
      <c r="BZ61" s="129">
        <f t="shared" si="17"/>
        <v>0.15647050743105234</v>
      </c>
      <c r="CA61" s="129">
        <f t="shared" si="18"/>
        <v>7.1623452259135509E-2</v>
      </c>
      <c r="CC61" s="129">
        <f t="shared" si="39"/>
        <v>1.4780565156253632E-2</v>
      </c>
      <c r="CD61" s="129">
        <f t="shared" si="40"/>
        <v>1.5354382900195423E-2</v>
      </c>
      <c r="CE61" s="129">
        <f t="shared" si="41"/>
        <v>-8.5141539190642462E-2</v>
      </c>
      <c r="CF61" s="129">
        <f t="shared" si="42"/>
        <v>-4.2630807489342309E-2</v>
      </c>
      <c r="CG61" s="129">
        <f t="shared" si="43"/>
        <v>-5.4300857923287364E-2</v>
      </c>
      <c r="CI61" s="129">
        <f t="shared" si="44"/>
        <v>1.5451801997821057E-3</v>
      </c>
      <c r="CJ61" s="129">
        <f t="shared" si="45"/>
        <v>0</v>
      </c>
      <c r="CK61" s="129">
        <f t="shared" si="46"/>
        <v>0</v>
      </c>
      <c r="CL61" s="129">
        <f t="shared" si="47"/>
        <v>0</v>
      </c>
      <c r="CM61" s="129">
        <f t="shared" si="48"/>
        <v>0</v>
      </c>
      <c r="CO61" s="129">
        <f t="shared" si="49"/>
        <v>0.98458475991682137</v>
      </c>
      <c r="CP61" s="129">
        <f t="shared" si="91"/>
        <v>0.93600880812271647</v>
      </c>
      <c r="CQ61" s="129">
        <f t="shared" si="87"/>
        <v>0.92378946671681728</v>
      </c>
      <c r="CR61" s="129"/>
      <c r="CS61" s="129">
        <f t="shared" si="50"/>
        <v>1.0015324605653539</v>
      </c>
      <c r="CT61" s="129">
        <f t="shared" si="92"/>
        <v>1.2633991336091888</v>
      </c>
      <c r="CU61" s="129">
        <f t="shared" si="88"/>
        <v>1.2073433415886339</v>
      </c>
      <c r="CV61" s="129"/>
      <c r="CW61" s="129">
        <f t="shared" si="93"/>
        <v>1.0011817453035918</v>
      </c>
      <c r="CX61" s="129">
        <f t="shared" si="94"/>
        <v>1.0064280661052105</v>
      </c>
      <c r="CY61" s="129">
        <f t="shared" si="89"/>
        <v>0.98772826965328131</v>
      </c>
      <c r="DA61">
        <f t="shared" si="55"/>
        <v>2001</v>
      </c>
      <c r="DB61" s="4">
        <f>'Freight-based Activity'!G59</f>
        <v>621686</v>
      </c>
      <c r="DC61" s="4">
        <f>'Freight-based Activity'!I59</f>
        <v>736930</v>
      </c>
      <c r="DD61">
        <f t="shared" si="56"/>
        <v>157.28655799999999</v>
      </c>
      <c r="DE61">
        <f t="shared" si="72"/>
        <v>2001</v>
      </c>
      <c r="DF61" s="136">
        <f t="shared" si="73"/>
        <v>0.25299999999999995</v>
      </c>
      <c r="DG61" s="136">
        <f t="shared" si="74"/>
        <v>0.21343486898348552</v>
      </c>
      <c r="DH61" s="136">
        <f t="shared" si="70"/>
        <v>0.84306531031646814</v>
      </c>
      <c r="DI61" s="136">
        <f t="shared" si="71"/>
        <v>0.76852243321903868</v>
      </c>
      <c r="DJ61" s="136">
        <f t="shared" si="52"/>
        <v>0.84361608293867807</v>
      </c>
    </row>
    <row r="62" spans="1:114" x14ac:dyDescent="0.2">
      <c r="A62" s="133" t="s">
        <v>664</v>
      </c>
      <c r="B62" s="133">
        <f t="shared" si="90"/>
        <v>2002</v>
      </c>
      <c r="D62" s="5">
        <f>'Freight-Trucks'!F63</f>
        <v>6231.8404205425031</v>
      </c>
      <c r="E62" s="5">
        <f>'Freight-based Energy Use'!D60</f>
        <v>520.31917999999996</v>
      </c>
      <c r="F62" s="5">
        <f>'Freight-based Energy Use'!E60</f>
        <v>454.77838706658429</v>
      </c>
      <c r="G62" s="5">
        <f>'Freight-based Energy Use'!N60</f>
        <v>154.856493</v>
      </c>
      <c r="H62" s="5">
        <f>Pipelines!F63</f>
        <v>718.84439994264687</v>
      </c>
      <c r="I62" s="5">
        <f t="shared" si="95"/>
        <v>8080.6388805517354</v>
      </c>
      <c r="K62" s="4">
        <f>'Freight-Trucks'!J63</f>
        <v>1589647.0472300448</v>
      </c>
      <c r="L62" s="4">
        <f>'Freight-based Activity'!E60</f>
        <v>1507011</v>
      </c>
      <c r="M62" s="4">
        <f>'Freight-based Activity'!F60</f>
        <v>30507</v>
      </c>
      <c r="N62" s="4">
        <f>'Freight-based Activity'!G60</f>
        <v>612081</v>
      </c>
      <c r="O62" s="4">
        <f>Pipelines!J63</f>
        <v>294735.5667735</v>
      </c>
      <c r="P62" s="4">
        <f t="shared" si="96"/>
        <v>4033981.6140035447</v>
      </c>
      <c r="R62" s="4">
        <f t="shared" ref="R62:W63" si="98">D62/K62*1000000</f>
        <v>3920.2667229819767</v>
      </c>
      <c r="S62" s="4">
        <f t="shared" si="98"/>
        <v>345.26568153782551</v>
      </c>
      <c r="T62" s="4">
        <f t="shared" si="98"/>
        <v>14907.345431100543</v>
      </c>
      <c r="U62" s="4">
        <f t="shared" si="98"/>
        <v>253.00000000000003</v>
      </c>
      <c r="V62" s="4">
        <f t="shared" si="98"/>
        <v>2438.9469103166243</v>
      </c>
      <c r="W62" s="4">
        <f t="shared" si="98"/>
        <v>2003.142218720245</v>
      </c>
      <c r="Y62" s="129">
        <f>'Freight-Trucks'!W63</f>
        <v>0.97670175147992533</v>
      </c>
      <c r="Z62" s="129">
        <f t="shared" si="54"/>
        <v>0.69432026266230418</v>
      </c>
      <c r="AA62" s="129">
        <f t="shared" si="59"/>
        <v>0.69448563813250408</v>
      </c>
      <c r="AB62" s="129">
        <f t="shared" si="60"/>
        <v>0.84306531031646836</v>
      </c>
      <c r="AC62" s="129">
        <f t="shared" si="81"/>
        <v>0.98609583198800976</v>
      </c>
      <c r="AD62" s="129"/>
      <c r="AE62" s="142">
        <f>'Freight-Trucks'!V63</f>
        <v>0.98629313510440364</v>
      </c>
      <c r="AF62" s="142">
        <v>1</v>
      </c>
      <c r="AG62" s="142">
        <v>1</v>
      </c>
      <c r="AH62" s="142">
        <v>1</v>
      </c>
      <c r="AI62" s="142">
        <v>1</v>
      </c>
      <c r="AK62" s="131">
        <f t="shared" si="61"/>
        <v>1.3873245849450919</v>
      </c>
      <c r="AL62" s="131">
        <f t="shared" si="62"/>
        <v>1.1329000813752321</v>
      </c>
      <c r="AM62" s="131">
        <f>CU62</f>
        <v>1.226669462689767</v>
      </c>
      <c r="AN62" s="131">
        <f>CY62</f>
        <v>0.99026284228289307</v>
      </c>
      <c r="AO62" s="131">
        <f>CQ62</f>
        <v>0.93263899682568752</v>
      </c>
      <c r="AP62" s="131">
        <f>AK62*AM62*AN62*AO62</f>
        <v>1.5717001351781532</v>
      </c>
      <c r="AQ62" s="131">
        <f t="shared" si="67"/>
        <v>1.5717001351781548</v>
      </c>
      <c r="AR62" s="131"/>
      <c r="AS62" s="131">
        <f>AM62*AN62</f>
        <v>1.2147251886647978</v>
      </c>
      <c r="AU62" s="134"/>
      <c r="AW62" s="129">
        <f t="shared" ref="AW62:BA63" si="99">D62/$I62</f>
        <v>0.7712063999718054</v>
      </c>
      <c r="AX62" s="129">
        <f t="shared" si="99"/>
        <v>6.4390846774787847E-2</v>
      </c>
      <c r="AY62" s="129">
        <f t="shared" si="99"/>
        <v>5.6280003820135149E-2</v>
      </c>
      <c r="AZ62" s="129">
        <f t="shared" si="99"/>
        <v>1.9163892272516279E-2</v>
      </c>
      <c r="BA62" s="129">
        <f t="shared" si="99"/>
        <v>8.8958857160755231E-2</v>
      </c>
      <c r="BC62" s="129">
        <f t="shared" ref="BC62:BG63" si="100">(AW62-AW61)/LN(AW62/AW61)</f>
        <v>0.76938650429842448</v>
      </c>
      <c r="BD62" s="129">
        <f t="shared" si="100"/>
        <v>6.5611513556812009E-2</v>
      </c>
      <c r="BE62" s="129">
        <f t="shared" si="100"/>
        <v>5.7244720100582042E-2</v>
      </c>
      <c r="BF62" s="129">
        <f t="shared" si="100"/>
        <v>1.9737859805815501E-2</v>
      </c>
      <c r="BG62" s="129">
        <f t="shared" si="100"/>
        <v>8.7995660795677721E-2</v>
      </c>
      <c r="BH62" s="129">
        <f>SUM(BC62:BG62)</f>
        <v>0.99997625855731176</v>
      </c>
      <c r="BI62" s="129"/>
      <c r="BJ62" s="129">
        <f t="shared" ref="BJ62:BN63" si="101">BC62/$BH62</f>
        <v>0.76940477107770111</v>
      </c>
      <c r="BK62" s="129">
        <f t="shared" si="101"/>
        <v>6.5613071305784018E-2</v>
      </c>
      <c r="BL62" s="129">
        <f t="shared" si="101"/>
        <v>5.7246079205090616E-2</v>
      </c>
      <c r="BM62" s="129">
        <f t="shared" si="101"/>
        <v>1.97383284222085E-2</v>
      </c>
      <c r="BN62" s="129">
        <f t="shared" si="101"/>
        <v>8.7997749989215779E-2</v>
      </c>
      <c r="BQ62" s="129">
        <f t="shared" ref="BQ62:BU63" si="102">LN(Y62/Y61)</f>
        <v>1.5145640091682342E-2</v>
      </c>
      <c r="BR62" s="129">
        <f t="shared" si="102"/>
        <v>-1.9654728219933009E-3</v>
      </c>
      <c r="BS62" s="129">
        <f t="shared" si="102"/>
        <v>-8.0707882628374944E-2</v>
      </c>
      <c r="BT62" s="129">
        <f t="shared" si="102"/>
        <v>2.2204460492503128E-16</v>
      </c>
      <c r="BU62" s="129">
        <f t="shared" si="102"/>
        <v>2.9887646720659626E-2</v>
      </c>
      <c r="BW62" s="129">
        <f t="shared" ref="BW62:CA63" si="103">K62/$P62</f>
        <v>0.39406402887701608</v>
      </c>
      <c r="BX62" s="129">
        <f t="shared" si="103"/>
        <v>0.37357904527094749</v>
      </c>
      <c r="BY62" s="129">
        <f t="shared" si="103"/>
        <v>7.5625034814482406E-3</v>
      </c>
      <c r="BZ62" s="129">
        <f t="shared" si="103"/>
        <v>0.1517312319608064</v>
      </c>
      <c r="CA62" s="129">
        <f t="shared" si="103"/>
        <v>7.3063190409781834E-2</v>
      </c>
      <c r="CC62" s="129">
        <f t="shared" ref="CC62:CG63" si="104">LN(BW62/BW61)</f>
        <v>1.4227712817882069E-2</v>
      </c>
      <c r="CD62" s="129">
        <f t="shared" si="104"/>
        <v>-7.4999381324531321E-3</v>
      </c>
      <c r="CE62" s="129">
        <f t="shared" si="104"/>
        <v>7.4788565203387891E-2</v>
      </c>
      <c r="CF62" s="129">
        <f t="shared" si="104"/>
        <v>-3.0756796369147972E-2</v>
      </c>
      <c r="CG62" s="129">
        <f t="shared" si="104"/>
        <v>1.990212291156274E-2</v>
      </c>
      <c r="CI62" s="129">
        <f t="shared" ref="CI62:CM63" si="105">LN(AE62/AE61)</f>
        <v>3.33085527615299E-3</v>
      </c>
      <c r="CJ62" s="129">
        <f t="shared" si="105"/>
        <v>0</v>
      </c>
      <c r="CK62" s="129">
        <f t="shared" si="105"/>
        <v>0</v>
      </c>
      <c r="CL62" s="129">
        <f t="shared" si="105"/>
        <v>0</v>
      </c>
      <c r="CM62" s="129">
        <f t="shared" si="105"/>
        <v>0</v>
      </c>
      <c r="CO62" s="129">
        <f>EXP(SUMPRODUCT($BJ62:$BN62,BQ62:BU62))</f>
        <v>1.0095795962475322</v>
      </c>
      <c r="CP62" s="129">
        <f>IF(ISERR(CO62),CP61,CO62*CP61)</f>
        <v>0.94497539458866597</v>
      </c>
      <c r="CQ62" s="129">
        <f t="shared" si="87"/>
        <v>0.93263899682568752</v>
      </c>
      <c r="CR62" s="129"/>
      <c r="CS62" s="129">
        <f>EXP(SUMPRODUCT($BJ62:$BN62,CC62:CG62))</f>
        <v>1.0160071459670317</v>
      </c>
      <c r="CT62" s="129">
        <f>IF(ISERR(CS62),CT61,CS62*CT61)</f>
        <v>1.2836225479554924</v>
      </c>
      <c r="CU62" s="129">
        <f t="shared" si="88"/>
        <v>1.226669462689767</v>
      </c>
      <c r="CV62" s="129"/>
      <c r="CW62" s="129">
        <f>EXP(SUMPRODUCT($BJ62:$BL62,CI62:CK62))</f>
        <v>1.002566062658611</v>
      </c>
      <c r="CX62" s="129">
        <f>IF(ISERR(CW62),CX61,CW62*CX61)</f>
        <v>1.0090106235842211</v>
      </c>
      <c r="CY62" s="129">
        <f t="shared" si="89"/>
        <v>0.99026284228289307</v>
      </c>
      <c r="DA62">
        <f t="shared" si="55"/>
        <v>2002</v>
      </c>
      <c r="DB62" s="4">
        <f>'Freight-based Activity'!G60</f>
        <v>612081</v>
      </c>
      <c r="DC62" s="4">
        <f>'Freight-based Activity'!I60</f>
        <v>721422</v>
      </c>
      <c r="DD62">
        <f t="shared" si="56"/>
        <v>154.856493</v>
      </c>
      <c r="DE62">
        <f t="shared" si="72"/>
        <v>2002</v>
      </c>
      <c r="DF62" s="136">
        <f t="shared" si="73"/>
        <v>0.253</v>
      </c>
      <c r="DG62" s="136">
        <f t="shared" si="74"/>
        <v>0.21465451982334888</v>
      </c>
      <c r="DH62" s="136">
        <f t="shared" si="70"/>
        <v>0.84306531031646825</v>
      </c>
      <c r="DI62" s="136">
        <f t="shared" si="71"/>
        <v>0.77291407285877323</v>
      </c>
      <c r="DJ62" s="136">
        <f t="shared" si="52"/>
        <v>0.84843683724643826</v>
      </c>
    </row>
    <row r="63" spans="1:114" x14ac:dyDescent="0.2">
      <c r="A63" s="133" t="s">
        <v>664</v>
      </c>
      <c r="B63" s="133">
        <f t="shared" si="90"/>
        <v>2003</v>
      </c>
      <c r="D63" s="5">
        <f>'Freight-Trucks'!F64</f>
        <v>5974.9752133089787</v>
      </c>
      <c r="E63" s="5">
        <f>'Freight-based Energy Use'!D61</f>
        <v>533.88404000000003</v>
      </c>
      <c r="F63" s="5">
        <f>'Freight-based Energy Use'!E61</f>
        <v>466.09357979369253</v>
      </c>
      <c r="G63" s="5">
        <f>'Freight-based Energy Use'!N61</f>
        <v>152.14264599999998</v>
      </c>
      <c r="H63" s="5">
        <f>Pipelines!F64</f>
        <v>637.54380114220544</v>
      </c>
      <c r="I63" s="5">
        <f t="shared" si="95"/>
        <v>7764.6392802448772</v>
      </c>
      <c r="K63" s="4">
        <f>'Freight-Trucks'!J64</f>
        <v>1606988.3011028208</v>
      </c>
      <c r="L63" s="4">
        <f>'Freight-based Activity'!E61</f>
        <v>1551438</v>
      </c>
      <c r="M63" s="4">
        <f>'Freight-based Activity'!F61</f>
        <v>32446</v>
      </c>
      <c r="N63" s="4">
        <f>'Freight-based Activity'!G61</f>
        <v>606146</v>
      </c>
      <c r="O63" s="4">
        <f>Pipelines!J64</f>
        <v>285511.98443740001</v>
      </c>
      <c r="P63" s="4">
        <f t="shared" si="96"/>
        <v>4082530.2855402208</v>
      </c>
      <c r="R63" s="4">
        <f t="shared" si="98"/>
        <v>3718.1199198578847</v>
      </c>
      <c r="S63" s="4">
        <f t="shared" si="98"/>
        <v>344.1220596633575</v>
      </c>
      <c r="T63" s="4">
        <f t="shared" si="98"/>
        <v>14365.209264429901</v>
      </c>
      <c r="U63" s="4">
        <f t="shared" si="98"/>
        <v>250.99999999999997</v>
      </c>
      <c r="V63" s="4">
        <f t="shared" si="98"/>
        <v>2232.9843785663934</v>
      </c>
      <c r="W63" s="4">
        <f t="shared" si="98"/>
        <v>1901.9183538567238</v>
      </c>
      <c r="Y63" s="129">
        <f>'Freight-Trucks'!W64</f>
        <v>0.92409286234289068</v>
      </c>
      <c r="Z63" s="129">
        <f t="shared" si="54"/>
        <v>0.69202046895929181</v>
      </c>
      <c r="AA63" s="129">
        <f t="shared" si="59"/>
        <v>0.66922924467163469</v>
      </c>
      <c r="AB63" s="129">
        <f t="shared" si="60"/>
        <v>0.8364007624088281</v>
      </c>
      <c r="AC63" s="129">
        <f t="shared" si="81"/>
        <v>0.90282268108607622</v>
      </c>
      <c r="AD63" s="129"/>
      <c r="AE63" s="142">
        <f>'Freight-Trucks'!V64</f>
        <v>0.98868999154889092</v>
      </c>
      <c r="AF63" s="142">
        <v>1</v>
      </c>
      <c r="AG63" s="142">
        <v>1</v>
      </c>
      <c r="AH63" s="142">
        <v>1</v>
      </c>
      <c r="AI63" s="142">
        <v>1</v>
      </c>
      <c r="AK63" s="131">
        <f t="shared" si="61"/>
        <v>1.4040209341191801</v>
      </c>
      <c r="AL63" s="131">
        <f t="shared" si="62"/>
        <v>1.0756517623745661</v>
      </c>
      <c r="AM63" s="131">
        <f>CU63</f>
        <v>1.2254496576577758</v>
      </c>
      <c r="AN63" s="131">
        <f>CY63</f>
        <v>0.99211636421288241</v>
      </c>
      <c r="AO63" s="131">
        <f>CQ63</f>
        <v>0.8847358087418512</v>
      </c>
      <c r="AP63" s="131">
        <f>AK63*AM63*AN63*AO63</f>
        <v>1.5102375921960796</v>
      </c>
      <c r="AQ63" s="131">
        <f t="shared" si="67"/>
        <v>1.5102375921960804</v>
      </c>
      <c r="AR63" s="131"/>
      <c r="AS63" s="131">
        <f>AM63*AN63</f>
        <v>1.215788658881354</v>
      </c>
      <c r="AU63" s="134"/>
      <c r="AW63" s="129">
        <f t="shared" si="99"/>
        <v>0.7695109840467107</v>
      </c>
      <c r="AX63" s="129">
        <f t="shared" si="99"/>
        <v>6.8758382808372098E-2</v>
      </c>
      <c r="AY63" s="129">
        <f t="shared" si="99"/>
        <v>6.0027718348687163E-2</v>
      </c>
      <c r="AZ63" s="129">
        <f t="shared" si="99"/>
        <v>1.9594296722461754E-2</v>
      </c>
      <c r="BA63" s="129">
        <f t="shared" si="99"/>
        <v>8.210861807376825E-2</v>
      </c>
      <c r="BC63" s="129">
        <f t="shared" si="100"/>
        <v>0.77035838106795784</v>
      </c>
      <c r="BD63" s="129">
        <f t="shared" si="100"/>
        <v>6.6550730753970652E-2</v>
      </c>
      <c r="BE63" s="129">
        <f t="shared" si="100"/>
        <v>5.8133728779550531E-2</v>
      </c>
      <c r="BF63" s="129">
        <f t="shared" si="100"/>
        <v>1.9378297874084665E-2</v>
      </c>
      <c r="BG63" s="129">
        <f t="shared" si="100"/>
        <v>8.5487999468061515E-2</v>
      </c>
      <c r="BH63" s="129">
        <f>SUM(BC63:BG63)</f>
        <v>0.99990913794362513</v>
      </c>
      <c r="BI63" s="129"/>
      <c r="BJ63" s="129">
        <f t="shared" si="101"/>
        <v>0.77042838377519718</v>
      </c>
      <c r="BK63" s="129">
        <f t="shared" si="101"/>
        <v>6.6556778239707196E-2</v>
      </c>
      <c r="BL63" s="129">
        <f t="shared" si="101"/>
        <v>5.813901140968282E-2</v>
      </c>
      <c r="BM63" s="129">
        <f t="shared" si="101"/>
        <v>1.9380058786078635E-2</v>
      </c>
      <c r="BN63" s="129">
        <f t="shared" si="101"/>
        <v>8.5495767789334209E-2</v>
      </c>
      <c r="BQ63" s="129">
        <f t="shared" si="102"/>
        <v>-5.5368768751821597E-2</v>
      </c>
      <c r="BR63" s="129">
        <f t="shared" si="102"/>
        <v>-3.3177930362784311E-3</v>
      </c>
      <c r="BS63" s="129">
        <f t="shared" si="102"/>
        <v>-3.7044813444060812E-2</v>
      </c>
      <c r="BT63" s="129">
        <f t="shared" si="102"/>
        <v>-7.9365495957365272E-3</v>
      </c>
      <c r="BU63" s="129">
        <f t="shared" si="102"/>
        <v>-8.8227374891375138E-2</v>
      </c>
      <c r="BW63" s="129">
        <f t="shared" si="103"/>
        <v>0.39362556765213957</v>
      </c>
      <c r="BX63" s="129">
        <f t="shared" si="103"/>
        <v>0.38001873629572008</v>
      </c>
      <c r="BY63" s="129">
        <f t="shared" si="103"/>
        <v>7.9475221812608261E-3</v>
      </c>
      <c r="BZ63" s="129">
        <f t="shared" si="103"/>
        <v>0.14847311779826558</v>
      </c>
      <c r="CA63" s="129">
        <f t="shared" si="103"/>
        <v>6.9935056072613952E-2</v>
      </c>
      <c r="CC63" s="129">
        <f t="shared" si="104"/>
        <v>-1.1132844005921942E-3</v>
      </c>
      <c r="CD63" s="129">
        <f t="shared" si="104"/>
        <v>1.7090941439832235E-2</v>
      </c>
      <c r="CE63" s="129">
        <f t="shared" si="104"/>
        <v>4.9657921058645929E-2</v>
      </c>
      <c r="CF63" s="129">
        <f t="shared" si="104"/>
        <v>-2.1706828003900846E-2</v>
      </c>
      <c r="CG63" s="129">
        <f t="shared" si="104"/>
        <v>-4.3757647752692731E-2</v>
      </c>
      <c r="CI63" s="129">
        <f t="shared" si="105"/>
        <v>2.4272183279695084E-3</v>
      </c>
      <c r="CJ63" s="129">
        <f t="shared" si="105"/>
        <v>0</v>
      </c>
      <c r="CK63" s="129">
        <f t="shared" si="105"/>
        <v>0</v>
      </c>
      <c r="CL63" s="129">
        <f t="shared" si="105"/>
        <v>0</v>
      </c>
      <c r="CM63" s="129">
        <f t="shared" si="105"/>
        <v>0</v>
      </c>
      <c r="CO63" s="129">
        <f>EXP(SUMPRODUCT($BJ63:$BN63,BQ63:BU63))</f>
        <v>0.94863694500564666</v>
      </c>
      <c r="CP63" s="129">
        <f>IF(ISERR(CO63),CP62,CO63*CP62)</f>
        <v>0.89643857142809757</v>
      </c>
      <c r="CQ63" s="129">
        <f t="shared" si="87"/>
        <v>0.8847358087418512</v>
      </c>
      <c r="CR63" s="129"/>
      <c r="CS63" s="129">
        <f>EXP(SUMPRODUCT($BJ63:$BN63,CC63:CG63))</f>
        <v>0.99900559599053174</v>
      </c>
      <c r="CT63" s="129">
        <f>IF(ISERR(CS63),CT62,CS63*CT62)</f>
        <v>1.2823461085471615</v>
      </c>
      <c r="CU63" s="129">
        <f t="shared" si="88"/>
        <v>1.2254496576577758</v>
      </c>
      <c r="CV63" s="129"/>
      <c r="CW63" s="129">
        <f>EXP(SUMPRODUCT($BJ63:$BL63,CI63:CK63))</f>
        <v>1.001871747429921</v>
      </c>
      <c r="CX63" s="129">
        <f>IF(ISERR(CW63),CX62,CW63*CX62)</f>
        <v>1.0108992366256779</v>
      </c>
      <c r="CY63" s="129">
        <f t="shared" si="89"/>
        <v>0.99211636421288241</v>
      </c>
      <c r="DA63">
        <f t="shared" si="55"/>
        <v>2003</v>
      </c>
      <c r="DB63" s="4">
        <f>'Freight-based Activity'!G61</f>
        <v>606146</v>
      </c>
      <c r="DC63" s="4">
        <f>'Freight-based Activity'!I61</f>
        <v>714440</v>
      </c>
      <c r="DD63">
        <f t="shared" si="56"/>
        <v>152.14264599999998</v>
      </c>
      <c r="DE63">
        <f t="shared" si="72"/>
        <v>2003</v>
      </c>
      <c r="DF63" s="136">
        <f t="shared" si="73"/>
        <v>0.251</v>
      </c>
      <c r="DG63" s="136">
        <f t="shared" si="74"/>
        <v>0.21295370639941771</v>
      </c>
      <c r="DH63" s="136">
        <f t="shared" si="70"/>
        <v>0.83640076240882821</v>
      </c>
      <c r="DI63" s="136">
        <f t="shared" si="71"/>
        <v>0.76678989419370092</v>
      </c>
      <c r="DJ63" s="136">
        <f t="shared" si="52"/>
        <v>0.84842114103353672</v>
      </c>
    </row>
    <row r="64" spans="1:114" x14ac:dyDescent="0.2">
      <c r="A64" s="133" t="s">
        <v>664</v>
      </c>
      <c r="B64" s="133">
        <f t="shared" si="90"/>
        <v>2004</v>
      </c>
      <c r="D64" s="5">
        <f>'Freight-Trucks'!F65</f>
        <v>6063.1916898136315</v>
      </c>
      <c r="E64" s="5">
        <f>'Freight-based Energy Use'!D62</f>
        <v>566.20114000000001</v>
      </c>
      <c r="F64" s="5">
        <f>'Freight-based Energy Use'!E62</f>
        <v>504.6358033970111</v>
      </c>
      <c r="G64" s="5">
        <f>'Freight-based Energy Use'!N62</f>
        <v>149.70196999999999</v>
      </c>
      <c r="H64" s="5">
        <f>Pipelines!F65</f>
        <v>610.26862942828791</v>
      </c>
      <c r="I64" s="5">
        <f t="shared" si="95"/>
        <v>7893.9992326389302</v>
      </c>
      <c r="K64" s="4">
        <f>'Freight-Trucks'!J65</f>
        <v>1629935.8095244148</v>
      </c>
      <c r="L64" s="4">
        <f>'Freight-based Activity'!E62</f>
        <v>1662598</v>
      </c>
      <c r="M64" s="4">
        <f>'Freight-based Activity'!F62</f>
        <v>37958</v>
      </c>
      <c r="N64" s="4">
        <f>'Freight-based Activity'!G62</f>
        <v>621170</v>
      </c>
      <c r="O64" s="4">
        <f>Pipelines!J65</f>
        <v>287763.52756670001</v>
      </c>
      <c r="P64" s="4">
        <f t="shared" si="96"/>
        <v>4239425.3370911153</v>
      </c>
      <c r="R64" s="4">
        <f t="shared" ref="R64:W64" si="106">D64/K64*1000000</f>
        <v>3719.895994912069</v>
      </c>
      <c r="S64" s="4">
        <f t="shared" si="106"/>
        <v>340.55203963916716</v>
      </c>
      <c r="T64" s="4">
        <f t="shared" si="106"/>
        <v>13294.583576505904</v>
      </c>
      <c r="U64" s="4">
        <f t="shared" si="106"/>
        <v>240.99999999999997</v>
      </c>
      <c r="V64" s="4">
        <f t="shared" si="106"/>
        <v>2120.7295955420732</v>
      </c>
      <c r="W64" s="4">
        <f t="shared" si="106"/>
        <v>1862.0446416578252</v>
      </c>
      <c r="Y64" s="129">
        <f>'Freight-Trucks'!W65</f>
        <v>0.92528732605739505</v>
      </c>
      <c r="Z64" s="129">
        <f t="shared" si="54"/>
        <v>0.68484125198682833</v>
      </c>
      <c r="AA64" s="129">
        <f t="shared" si="59"/>
        <v>0.61935221139864527</v>
      </c>
      <c r="AB64" s="129">
        <f t="shared" si="60"/>
        <v>0.80307802287062779</v>
      </c>
      <c r="AC64" s="129">
        <f t="shared" si="81"/>
        <v>0.85743671011935674</v>
      </c>
      <c r="AD64" s="129"/>
      <c r="AE64" s="142">
        <f>'Freight-Trucks'!V65</f>
        <v>0.98788534933200944</v>
      </c>
      <c r="AF64" s="142">
        <v>1</v>
      </c>
      <c r="AG64" s="142">
        <v>1</v>
      </c>
      <c r="AH64" s="142">
        <v>1</v>
      </c>
      <c r="AI64" s="142">
        <v>1</v>
      </c>
      <c r="AK64" s="131">
        <f t="shared" si="61"/>
        <v>1.4579786322696089</v>
      </c>
      <c r="AL64" s="131">
        <f t="shared" si="62"/>
        <v>1.0531007266204873</v>
      </c>
      <c r="AM64" s="131">
        <f>CU64</f>
        <v>1.2118865171931243</v>
      </c>
      <c r="AN64" s="131">
        <f>CY64</f>
        <v>0.99149552310735611</v>
      </c>
      <c r="AO64" s="131">
        <f>CQ64</f>
        <v>0.87642993164642391</v>
      </c>
      <c r="AP64" s="131">
        <f>AK64*AM64*AN64*AO64</f>
        <v>1.5353983570402678</v>
      </c>
      <c r="AQ64" s="131">
        <f t="shared" si="67"/>
        <v>1.5353983570402694</v>
      </c>
      <c r="AR64" s="131"/>
      <c r="AS64" s="131">
        <f>AM64*AN64</f>
        <v>1.2015800563111487</v>
      </c>
      <c r="AU64" s="134"/>
      <c r="AW64" s="129">
        <f t="shared" si="9"/>
        <v>0.7680760424632993</v>
      </c>
      <c r="AX64" s="129">
        <f t="shared" si="10"/>
        <v>7.1725512419478846E-2</v>
      </c>
      <c r="AY64" s="129">
        <f t="shared" si="11"/>
        <v>6.3926507784611675E-2</v>
      </c>
      <c r="AZ64" s="129">
        <f t="shared" si="12"/>
        <v>1.8964021351944731E-2</v>
      </c>
      <c r="BA64" s="129">
        <f t="shared" si="13"/>
        <v>7.7307915980665443E-2</v>
      </c>
      <c r="BC64" s="129">
        <f t="shared" si="23"/>
        <v>0.76879329006351638</v>
      </c>
      <c r="BD64" s="129">
        <f t="shared" si="24"/>
        <v>7.0231501688626852E-2</v>
      </c>
      <c r="BE64" s="129">
        <f t="shared" si="25"/>
        <v>6.1956669268144637E-2</v>
      </c>
      <c r="BF64" s="129">
        <f t="shared" si="26"/>
        <v>1.9277441831634785E-2</v>
      </c>
      <c r="BG64" s="129">
        <f t="shared" si="27"/>
        <v>7.9684166310204224E-2</v>
      </c>
      <c r="BH64" s="129">
        <f t="shared" si="28"/>
        <v>0.99994306916212683</v>
      </c>
      <c r="BI64" s="129"/>
      <c r="BJ64" s="129">
        <f t="shared" si="29"/>
        <v>0.76883706060156431</v>
      </c>
      <c r="BK64" s="129">
        <f t="shared" si="30"/>
        <v>7.0235500254504785E-2</v>
      </c>
      <c r="BL64" s="129">
        <f t="shared" si="31"/>
        <v>6.1960196714058356E-2</v>
      </c>
      <c r="BM64" s="129">
        <f t="shared" si="32"/>
        <v>1.9278539375034376E-2</v>
      </c>
      <c r="BN64" s="129">
        <f t="shared" si="33"/>
        <v>7.9688703054838161E-2</v>
      </c>
      <c r="BQ64" s="129">
        <f t="shared" si="34"/>
        <v>1.29174508095954E-3</v>
      </c>
      <c r="BR64" s="129">
        <f t="shared" si="35"/>
        <v>-1.0428472121193529E-2</v>
      </c>
      <c r="BS64" s="129">
        <f t="shared" si="36"/>
        <v>-7.7452557592550542E-2</v>
      </c>
      <c r="BT64" s="129">
        <f t="shared" si="37"/>
        <v>-4.0656005641128853E-2</v>
      </c>
      <c r="BU64" s="129">
        <f t="shared" si="38"/>
        <v>-5.1578798798757097E-2</v>
      </c>
      <c r="BW64" s="129">
        <f t="shared" si="14"/>
        <v>0.38447093177086034</v>
      </c>
      <c r="BX64" s="129">
        <f t="shared" si="15"/>
        <v>0.39217532278579831</v>
      </c>
      <c r="BY64" s="129">
        <f t="shared" si="16"/>
        <v>8.9535720013516999E-3</v>
      </c>
      <c r="BZ64" s="129">
        <f t="shared" si="17"/>
        <v>0.14652221718951566</v>
      </c>
      <c r="CA64" s="129">
        <f t="shared" si="18"/>
        <v>6.7877956252473864E-2</v>
      </c>
      <c r="CC64" s="129">
        <f t="shared" si="39"/>
        <v>-2.3531935522107344E-2</v>
      </c>
      <c r="CD64" s="129">
        <f t="shared" si="40"/>
        <v>3.1488434261387033E-2</v>
      </c>
      <c r="CE64" s="129">
        <f t="shared" si="41"/>
        <v>0.11919235418901784</v>
      </c>
      <c r="CF64" s="129">
        <f t="shared" si="42"/>
        <v>-1.3226846798562199E-2</v>
      </c>
      <c r="CG64" s="129">
        <f t="shared" si="43"/>
        <v>-2.9855709342908106E-2</v>
      </c>
      <c r="CI64" s="129">
        <f t="shared" si="44"/>
        <v>-8.1417818454799368E-4</v>
      </c>
      <c r="CJ64" s="129">
        <f t="shared" si="45"/>
        <v>0</v>
      </c>
      <c r="CK64" s="129">
        <f t="shared" si="46"/>
        <v>0</v>
      </c>
      <c r="CL64" s="129">
        <f t="shared" si="47"/>
        <v>0</v>
      </c>
      <c r="CM64" s="129">
        <f t="shared" si="48"/>
        <v>0</v>
      </c>
      <c r="CO64" s="129">
        <f t="shared" si="49"/>
        <v>0.99061202563142692</v>
      </c>
      <c r="CP64" s="129">
        <f t="shared" si="91"/>
        <v>0.8880228290965303</v>
      </c>
      <c r="CQ64" s="129">
        <f t="shared" si="87"/>
        <v>0.87642993164642391</v>
      </c>
      <c r="CR64" s="129"/>
      <c r="CS64" s="129">
        <f t="shared" si="50"/>
        <v>0.98893211126226521</v>
      </c>
      <c r="CT64" s="129">
        <f t="shared" si="92"/>
        <v>1.2681532444944943</v>
      </c>
      <c r="CU64" s="129">
        <f t="shared" si="88"/>
        <v>1.2118865171931243</v>
      </c>
      <c r="CV64" s="129"/>
      <c r="CW64" s="129">
        <f t="shared" si="93"/>
        <v>0.9993742255163599</v>
      </c>
      <c r="CX64" s="129">
        <f t="shared" si="94"/>
        <v>1.0102666416778663</v>
      </c>
      <c r="CY64" s="129">
        <f t="shared" si="89"/>
        <v>0.99149552310735611</v>
      </c>
      <c r="DA64">
        <f t="shared" si="55"/>
        <v>2004</v>
      </c>
      <c r="DB64" s="4">
        <f>'Freight-based Activity'!G62</f>
        <v>621170</v>
      </c>
      <c r="DC64" s="4">
        <f>'Freight-based Activity'!I62</f>
        <v>743536</v>
      </c>
      <c r="DD64">
        <f t="shared" si="56"/>
        <v>149.70196999999999</v>
      </c>
      <c r="DE64">
        <f t="shared" si="72"/>
        <v>2004</v>
      </c>
      <c r="DF64" s="136">
        <f t="shared" si="73"/>
        <v>0.24099999999999996</v>
      </c>
      <c r="DG64" s="136">
        <f t="shared" si="74"/>
        <v>0.20133789083514447</v>
      </c>
      <c r="DH64" s="136">
        <f t="shared" si="70"/>
        <v>0.80307802287062779</v>
      </c>
      <c r="DI64" s="136">
        <f t="shared" si="71"/>
        <v>0.72496441889158625</v>
      </c>
      <c r="DJ64" s="136">
        <f t="shared" si="52"/>
        <v>0.83542693292591075</v>
      </c>
    </row>
    <row r="65" spans="1:114" x14ac:dyDescent="0.2">
      <c r="A65" s="133" t="s">
        <v>664</v>
      </c>
      <c r="B65" s="133">
        <f t="shared" si="90"/>
        <v>2005</v>
      </c>
      <c r="D65" s="5">
        <f>'Freight-Trucks'!F66</f>
        <v>6227.848495549254</v>
      </c>
      <c r="E65" s="5">
        <f>'Freight-based Energy Use'!D63</f>
        <v>571.43012999999996</v>
      </c>
      <c r="F65" s="5">
        <f>'Freight-based Energy Use'!E63</f>
        <v>516.2191755378575</v>
      </c>
      <c r="G65" s="5">
        <f>'Freight-based Energy Use'!N63</f>
        <v>142.49775700000001</v>
      </c>
      <c r="H65" s="5">
        <f>Pipelines!F66</f>
        <v>629.49652069768808</v>
      </c>
      <c r="I65" s="5">
        <f t="shared" si="95"/>
        <v>8087.4920787847987</v>
      </c>
      <c r="K65" s="4">
        <f>'Freight-Trucks'!J66</f>
        <v>1645130.6991672497</v>
      </c>
      <c r="L65" s="4">
        <f>'Freight-based Activity'!E63</f>
        <v>1696425</v>
      </c>
      <c r="M65" s="4">
        <f>'Freight-based Activity'!F63</f>
        <v>39292</v>
      </c>
      <c r="N65" s="4">
        <f>'Freight-based Activity'!G63</f>
        <v>591277</v>
      </c>
      <c r="O65" s="4">
        <f>Pipelines!J66</f>
        <v>282073.10078460001</v>
      </c>
      <c r="P65" s="4">
        <f t="shared" si="96"/>
        <v>4254197.7999518495</v>
      </c>
      <c r="R65" s="4">
        <f t="shared" ref="R65:W65" si="107">D65/K65*1000000</f>
        <v>3785.625360162408</v>
      </c>
      <c r="S65" s="4">
        <f t="shared" si="107"/>
        <v>336.84373314470133</v>
      </c>
      <c r="T65" s="4">
        <f t="shared" si="107"/>
        <v>13138.022384654829</v>
      </c>
      <c r="U65" s="4">
        <f t="shared" si="107"/>
        <v>241</v>
      </c>
      <c r="V65" s="4">
        <f t="shared" si="107"/>
        <v>2231.6786639587858</v>
      </c>
      <c r="W65" s="4">
        <f t="shared" si="107"/>
        <v>1901.0616005857405</v>
      </c>
      <c r="Y65" s="129">
        <f>'Freight-Trucks'!W66</f>
        <v>0.94290859615042211</v>
      </c>
      <c r="Z65" s="129">
        <f t="shared" si="54"/>
        <v>0.67738394453651407</v>
      </c>
      <c r="AA65" s="129">
        <f t="shared" si="59"/>
        <v>0.61205852522681736</v>
      </c>
      <c r="AB65" s="129">
        <f t="shared" si="60"/>
        <v>0.80307802287062791</v>
      </c>
      <c r="AC65" s="129">
        <f t="shared" si="81"/>
        <v>0.90229476482562732</v>
      </c>
      <c r="AD65" s="129"/>
      <c r="AE65" s="142">
        <f>'Freight-Trucks'!V66</f>
        <v>0.98655294650068237</v>
      </c>
      <c r="AF65" s="142">
        <v>1</v>
      </c>
      <c r="AG65" s="142">
        <v>1</v>
      </c>
      <c r="AH65" s="142">
        <v>1</v>
      </c>
      <c r="AI65" s="142">
        <v>1</v>
      </c>
      <c r="AK65" s="131">
        <f t="shared" si="61"/>
        <v>1.4630590225311166</v>
      </c>
      <c r="AL65" s="131">
        <f t="shared" si="62"/>
        <v>1.0751672157251346</v>
      </c>
      <c r="AM65" s="131">
        <f>CU65</f>
        <v>1.2177749321863147</v>
      </c>
      <c r="AN65" s="131">
        <f>CY65</f>
        <v>0.9904669001352292</v>
      </c>
      <c r="AO65" s="131">
        <f>CQ65</f>
        <v>0.89139258422749901</v>
      </c>
      <c r="AP65" s="131">
        <f>AK65*AM65*AN65*AO65</f>
        <v>1.5730330956963168</v>
      </c>
      <c r="AQ65" s="131">
        <f t="shared" si="67"/>
        <v>1.5730330956963177</v>
      </c>
      <c r="AR65" s="131"/>
      <c r="AS65" s="131">
        <f>AM65*AN65</f>
        <v>1.2061657621449682</v>
      </c>
      <c r="AU65" s="134"/>
      <c r="AW65" s="129">
        <f t="shared" ref="AW65:BA66" si="108">D65/$I65</f>
        <v>0.77005930081665452</v>
      </c>
      <c r="AX65" s="129">
        <f t="shared" si="108"/>
        <v>7.0656035818443888E-2</v>
      </c>
      <c r="AY65" s="129">
        <f t="shared" si="108"/>
        <v>6.3829326880209189E-2</v>
      </c>
      <c r="AZ65" s="129">
        <f t="shared" si="108"/>
        <v>1.7619523532369417E-2</v>
      </c>
      <c r="BA65" s="129">
        <f t="shared" si="108"/>
        <v>7.7835812952323072E-2</v>
      </c>
      <c r="BC65" s="129">
        <f t="shared" ref="BC65:BG66" si="109">(AW65-AW64)/LN(AW65/AW64)</f>
        <v>0.7690672454404337</v>
      </c>
      <c r="BD65" s="129">
        <f t="shared" si="109"/>
        <v>7.1189435231276146E-2</v>
      </c>
      <c r="BE65" s="129">
        <f t="shared" si="109"/>
        <v>6.3877905011864078E-2</v>
      </c>
      <c r="BF65" s="129">
        <f t="shared" si="109"/>
        <v>1.8283534102859884E-2</v>
      </c>
      <c r="BG65" s="129">
        <f t="shared" si="109"/>
        <v>7.7571565092407369E-2</v>
      </c>
      <c r="BH65" s="129">
        <f>SUM(BC65:BG65)</f>
        <v>0.99998968487884121</v>
      </c>
      <c r="BI65" s="129"/>
      <c r="BJ65" s="129">
        <f t="shared" ref="BJ65:BN66" si="110">BC65/$BH65</f>
        <v>0.76907517854408058</v>
      </c>
      <c r="BK65" s="129">
        <f t="shared" si="110"/>
        <v>7.1190169566500539E-2</v>
      </c>
      <c r="BL65" s="129">
        <f t="shared" si="110"/>
        <v>6.3878563926990428E-2</v>
      </c>
      <c r="BM65" s="129">
        <f t="shared" si="110"/>
        <v>1.8283722701674786E-2</v>
      </c>
      <c r="BN65" s="129">
        <f t="shared" si="110"/>
        <v>7.7572365260753603E-2</v>
      </c>
      <c r="BQ65" s="129">
        <f t="shared" ref="BQ65:BU66" si="111">LN(Y65/Y64)</f>
        <v>1.8865037101000556E-2</v>
      </c>
      <c r="BR65" s="129">
        <f t="shared" si="111"/>
        <v>-1.0948823976648869E-2</v>
      </c>
      <c r="BS65" s="129">
        <f t="shared" si="111"/>
        <v>-1.1846204113420248E-2</v>
      </c>
      <c r="BT65" s="129">
        <f t="shared" si="111"/>
        <v>2.2204460492503128E-16</v>
      </c>
      <c r="BU65" s="129">
        <f t="shared" si="111"/>
        <v>5.0993888075418284E-2</v>
      </c>
      <c r="BW65" s="129">
        <f t="shared" ref="BW65:CA66" si="112">K65/$P65</f>
        <v>0.38670761834014156</v>
      </c>
      <c r="BX65" s="129">
        <f t="shared" si="112"/>
        <v>0.39876495634951453</v>
      </c>
      <c r="BY65" s="129">
        <f t="shared" si="112"/>
        <v>9.2360538573088256E-3</v>
      </c>
      <c r="BZ65" s="129">
        <f t="shared" si="112"/>
        <v>0.13898672036516316</v>
      </c>
      <c r="CA65" s="129">
        <f t="shared" si="112"/>
        <v>6.6304651087871994E-2</v>
      </c>
      <c r="CC65" s="129">
        <f t="shared" ref="CC65:CG66" si="113">LN(BW65/BW64)</f>
        <v>5.8007133125685144E-3</v>
      </c>
      <c r="CD65" s="129">
        <f t="shared" si="113"/>
        <v>1.6663169674516375E-2</v>
      </c>
      <c r="CE65" s="129">
        <f t="shared" si="113"/>
        <v>3.1062163751359124E-2</v>
      </c>
      <c r="CF65" s="129">
        <f t="shared" si="113"/>
        <v>-5.2798678504222533E-2</v>
      </c>
      <c r="CG65" s="129">
        <f t="shared" si="113"/>
        <v>-2.3451284783690039E-2</v>
      </c>
      <c r="CI65" s="129">
        <f t="shared" ref="CI65:CM66" si="114">LN(AE65/AE64)</f>
        <v>-1.3496527456886419E-3</v>
      </c>
      <c r="CJ65" s="129">
        <f t="shared" si="114"/>
        <v>0</v>
      </c>
      <c r="CK65" s="129">
        <f t="shared" si="114"/>
        <v>0</v>
      </c>
      <c r="CL65" s="129">
        <f t="shared" si="114"/>
        <v>0</v>
      </c>
      <c r="CM65" s="129">
        <f t="shared" si="114"/>
        <v>0</v>
      </c>
      <c r="CO65" s="129">
        <f>EXP(SUMPRODUCT($BJ65:$BN65,BQ65:BU65))</f>
        <v>1.0170722747373164</v>
      </c>
      <c r="CP65" s="129">
        <f>IF(ISERR(CO65),CP64,CO65*CP64)</f>
        <v>0.90318339880787524</v>
      </c>
      <c r="CQ65" s="129">
        <f t="shared" si="87"/>
        <v>0.89139258422749901</v>
      </c>
      <c r="CR65" s="129"/>
      <c r="CS65" s="129">
        <f>EXP(SUMPRODUCT($BJ65:$BN65,CC65:CG65))</f>
        <v>1.0048588831624503</v>
      </c>
      <c r="CT65" s="129">
        <f>IF(ISERR(CS65),CT64,CS65*CT64)</f>
        <v>1.2743150529415754</v>
      </c>
      <c r="CU65" s="129">
        <f t="shared" si="88"/>
        <v>1.2177749321863147</v>
      </c>
      <c r="CV65" s="129"/>
      <c r="CW65" s="129">
        <f>EXP(SUMPRODUCT($BJ65:$BL65,CI65:CK65))</f>
        <v>0.99896255409313062</v>
      </c>
      <c r="CX65" s="129">
        <f>IF(ISERR(CW65),CX64,CW65*CX64)</f>
        <v>1.009218544685611</v>
      </c>
      <c r="CY65" s="129">
        <f t="shared" si="89"/>
        <v>0.9904669001352292</v>
      </c>
      <c r="DA65">
        <f t="shared" si="55"/>
        <v>2005</v>
      </c>
      <c r="DB65" s="4">
        <f>'Freight-based Activity'!G63</f>
        <v>591277</v>
      </c>
      <c r="DC65" s="4">
        <f>'Freight-based Activity'!I63</f>
        <v>705176</v>
      </c>
      <c r="DD65">
        <f t="shared" si="56"/>
        <v>142.49775700000001</v>
      </c>
      <c r="DE65">
        <f t="shared" si="72"/>
        <v>2005</v>
      </c>
      <c r="DF65" s="136">
        <f t="shared" si="73"/>
        <v>0.24099999999999999</v>
      </c>
      <c r="DG65" s="136">
        <f t="shared" si="74"/>
        <v>0.20207403116385131</v>
      </c>
      <c r="DH65" s="136">
        <f t="shared" si="70"/>
        <v>0.80307802287062779</v>
      </c>
      <c r="DI65" s="136">
        <f t="shared" si="71"/>
        <v>0.72761506524240438</v>
      </c>
      <c r="DJ65" s="136">
        <f t="shared" si="52"/>
        <v>0.8384814571114162</v>
      </c>
    </row>
    <row r="66" spans="1:114" x14ac:dyDescent="0.2">
      <c r="A66" s="133" t="s">
        <v>664</v>
      </c>
      <c r="B66" s="133">
        <f t="shared" si="90"/>
        <v>2006</v>
      </c>
      <c r="D66" s="5">
        <f>'Freight-Trucks'!F67</f>
        <v>6368.2214308953171</v>
      </c>
      <c r="E66" s="5">
        <f>'Freight-based Energy Use'!D64</f>
        <v>584.53728000000001</v>
      </c>
      <c r="F66" s="5">
        <f>'Freight-based Energy Use'!E64</f>
        <v>524.30734577426995</v>
      </c>
      <c r="G66" s="5">
        <f>'Freight-based Energy Use'!N64</f>
        <v>131.98281499999999</v>
      </c>
      <c r="H66" s="5">
        <f>Pipelines!F67</f>
        <v>629.69807993298821</v>
      </c>
      <c r="I66" s="5">
        <f t="shared" si="95"/>
        <v>8238.7469516025758</v>
      </c>
      <c r="K66" s="4">
        <f>'Freight-Trucks'!J67</f>
        <v>1636517.3244998364</v>
      </c>
      <c r="L66" s="4">
        <f>'Freight-based Activity'!E64</f>
        <v>1771897</v>
      </c>
      <c r="M66" s="4">
        <f>'Freight-based Activity'!F64</f>
        <v>39754</v>
      </c>
      <c r="N66" s="4">
        <f>'Freight-based Activity'!G64</f>
        <v>561629</v>
      </c>
      <c r="O66" s="4">
        <f>Pipelines!J67</f>
        <v>277121.67758990003</v>
      </c>
      <c r="P66" s="4">
        <f t="shared" si="96"/>
        <v>4286919.0020897361</v>
      </c>
      <c r="R66" s="4">
        <f t="shared" ref="R66:W67" si="115">D66/K66*1000000</f>
        <v>3891.3253991011775</v>
      </c>
      <c r="S66" s="4">
        <f t="shared" si="115"/>
        <v>329.89348703677473</v>
      </c>
      <c r="T66" s="4">
        <f t="shared" si="115"/>
        <v>13188.794731958293</v>
      </c>
      <c r="U66" s="4">
        <f t="shared" si="115"/>
        <v>234.99999999999997</v>
      </c>
      <c r="V66" s="4">
        <f t="shared" si="115"/>
        <v>2272.2801240574554</v>
      </c>
      <c r="W66" s="4">
        <f t="shared" si="115"/>
        <v>1921.8340602158451</v>
      </c>
      <c r="Y66" s="129">
        <f>'Freight-Trucks'!W67</f>
        <v>0.96468762564489896</v>
      </c>
      <c r="Z66" s="129">
        <f t="shared" si="54"/>
        <v>0.66340718124591003</v>
      </c>
      <c r="AA66" s="129">
        <f t="shared" si="59"/>
        <v>0.61442384681807594</v>
      </c>
      <c r="AB66" s="129">
        <f t="shared" si="60"/>
        <v>0.78308437914770757</v>
      </c>
      <c r="AC66" s="129">
        <f t="shared" si="81"/>
        <v>0.91871042783435108</v>
      </c>
      <c r="AD66" s="129"/>
      <c r="AE66" s="142">
        <f>'Freight-Trucks'!V67</f>
        <v>0.99120435558139275</v>
      </c>
      <c r="AF66" s="142">
        <v>1</v>
      </c>
      <c r="AG66" s="142">
        <v>1</v>
      </c>
      <c r="AH66" s="142">
        <v>1</v>
      </c>
      <c r="AI66" s="142">
        <v>1</v>
      </c>
      <c r="AK66" s="131">
        <f t="shared" si="61"/>
        <v>1.4743121546766038</v>
      </c>
      <c r="AL66" s="131">
        <f t="shared" si="62"/>
        <v>1.0869153187731269</v>
      </c>
      <c r="AM66" s="131">
        <f>CU66</f>
        <v>1.2055183002170096</v>
      </c>
      <c r="AN66" s="131">
        <f>CY66</f>
        <v>0.99406786021015958</v>
      </c>
      <c r="AO66" s="131">
        <f>CQ66</f>
        <v>0.90699703960999467</v>
      </c>
      <c r="AP66" s="131">
        <f>AK66*AM66*AN66*AO66</f>
        <v>1.6024524655714145</v>
      </c>
      <c r="AQ66" s="131">
        <f t="shared" si="67"/>
        <v>1.6024524655714165</v>
      </c>
      <c r="AR66" s="131"/>
      <c r="AS66" s="131">
        <f>AM66*AN66</f>
        <v>1.1983669971409114</v>
      </c>
      <c r="AU66" s="134"/>
      <c r="AW66" s="129">
        <f t="shared" si="108"/>
        <v>0.77295994989342287</v>
      </c>
      <c r="AX66" s="129">
        <f t="shared" si="108"/>
        <v>7.094977955188897E-2</v>
      </c>
      <c r="AY66" s="129">
        <f t="shared" si="108"/>
        <v>6.3639209803899033E-2</v>
      </c>
      <c r="AZ66" s="129">
        <f t="shared" si="108"/>
        <v>1.6019768027263792E-2</v>
      </c>
      <c r="BA66" s="129">
        <f t="shared" si="108"/>
        <v>7.6431292723525307E-2</v>
      </c>
      <c r="BC66" s="129">
        <f t="shared" si="109"/>
        <v>0.77150871655527542</v>
      </c>
      <c r="BD66" s="129">
        <f t="shared" si="109"/>
        <v>7.0802806129213761E-2</v>
      </c>
      <c r="BE66" s="129">
        <f t="shared" si="109"/>
        <v>6.3734221082647535E-2</v>
      </c>
      <c r="BF66" s="129">
        <f t="shared" si="109"/>
        <v>1.6806958419155804E-2</v>
      </c>
      <c r="BG66" s="129">
        <f t="shared" si="109"/>
        <v>7.7131421555441768E-2</v>
      </c>
      <c r="BH66" s="129">
        <f>SUM(BC66:BG66)</f>
        <v>0.99998412374173429</v>
      </c>
      <c r="BI66" s="129"/>
      <c r="BJ66" s="129">
        <f t="shared" si="110"/>
        <v>0.77152096542137982</v>
      </c>
      <c r="BK66" s="129">
        <f t="shared" si="110"/>
        <v>7.0803930230696324E-2</v>
      </c>
      <c r="BL66" s="129">
        <f t="shared" si="110"/>
        <v>6.3735232959666627E-2</v>
      </c>
      <c r="BM66" s="129">
        <f t="shared" si="110"/>
        <v>1.6807225255004683E-2</v>
      </c>
      <c r="BN66" s="129">
        <f t="shared" si="110"/>
        <v>7.7132646133252492E-2</v>
      </c>
      <c r="BQ66" s="129">
        <f t="shared" si="111"/>
        <v>2.2834995795701238E-2</v>
      </c>
      <c r="BR66" s="129">
        <f t="shared" si="111"/>
        <v>-2.0849287138014944E-2</v>
      </c>
      <c r="BS66" s="129">
        <f t="shared" si="111"/>
        <v>3.8570868650074789E-3</v>
      </c>
      <c r="BT66" s="129">
        <f t="shared" si="111"/>
        <v>-2.5211419346496171E-2</v>
      </c>
      <c r="BU66" s="129">
        <f t="shared" si="111"/>
        <v>1.8029720903881531E-2</v>
      </c>
      <c r="BW66" s="129">
        <f t="shared" si="112"/>
        <v>0.38174673319045366</v>
      </c>
      <c r="BX66" s="129">
        <f t="shared" si="112"/>
        <v>0.41332644706752258</v>
      </c>
      <c r="BY66" s="129">
        <f t="shared" si="112"/>
        <v>9.2733265967052791E-3</v>
      </c>
      <c r="BZ66" s="129">
        <f t="shared" si="112"/>
        <v>0.13100993970873342</v>
      </c>
      <c r="CA66" s="129">
        <f t="shared" si="112"/>
        <v>6.4643553436585122E-2</v>
      </c>
      <c r="CC66" s="129">
        <f t="shared" si="113"/>
        <v>-1.2911512720406675E-2</v>
      </c>
      <c r="CD66" s="129">
        <f t="shared" si="113"/>
        <v>3.5865547989477761E-2</v>
      </c>
      <c r="CE66" s="129">
        <f t="shared" si="113"/>
        <v>4.0274486626310155E-3</v>
      </c>
      <c r="CF66" s="129">
        <f t="shared" si="113"/>
        <v>-5.9105195663547966E-2</v>
      </c>
      <c r="CG66" s="129">
        <f t="shared" si="113"/>
        <v>-2.5371661464858083E-2</v>
      </c>
      <c r="CI66" s="129">
        <f t="shared" si="114"/>
        <v>4.7037294736553357E-3</v>
      </c>
      <c r="CJ66" s="129">
        <f t="shared" si="114"/>
        <v>0</v>
      </c>
      <c r="CK66" s="129">
        <f t="shared" si="114"/>
        <v>0</v>
      </c>
      <c r="CL66" s="129">
        <f t="shared" si="114"/>
        <v>0</v>
      </c>
      <c r="CM66" s="129">
        <f t="shared" si="114"/>
        <v>0</v>
      </c>
      <c r="CO66" s="129">
        <f>EXP(SUMPRODUCT($BJ66:$BN66,BQ66:BU66))</f>
        <v>1.0175057047350453</v>
      </c>
      <c r="CP66" s="129">
        <f>IF(ISERR(CO66),CP65,CO66*CP65)</f>
        <v>0.91899426070900059</v>
      </c>
      <c r="CQ66" s="129">
        <f t="shared" si="87"/>
        <v>0.90699703960999467</v>
      </c>
      <c r="CR66" s="129"/>
      <c r="CS66" s="129">
        <f>EXP(SUMPRODUCT($BJ66:$BN66,CC66:CG66))</f>
        <v>0.98993522395201528</v>
      </c>
      <c r="CT66" s="129">
        <f>IF(ISERR(CS66),CT65,CS66*CT65)</f>
        <v>1.2614893573191426</v>
      </c>
      <c r="CU66" s="129">
        <f t="shared" si="88"/>
        <v>1.2055183002170096</v>
      </c>
      <c r="CV66" s="129"/>
      <c r="CW66" s="129">
        <f>EXP(SUMPRODUCT($BJ66:$BL66,CI66:CK66))</f>
        <v>1.0036356187919442</v>
      </c>
      <c r="CX66" s="129">
        <f>IF(ISERR(CW66),CX65,CW66*CX65)</f>
        <v>1.0128876785918486</v>
      </c>
      <c r="CY66" s="129">
        <f t="shared" si="89"/>
        <v>0.99406786021015958</v>
      </c>
      <c r="DA66">
        <f t="shared" si="55"/>
        <v>2006</v>
      </c>
      <c r="DB66" s="4">
        <f>'Freight-based Activity'!G64</f>
        <v>561629</v>
      </c>
      <c r="DC66" s="4">
        <f>'Freight-based Activity'!I64</f>
        <v>681988</v>
      </c>
      <c r="DD66">
        <f t="shared" si="56"/>
        <v>131.98281499999999</v>
      </c>
      <c r="DE66">
        <f t="shared" si="72"/>
        <v>2006</v>
      </c>
      <c r="DF66" s="136">
        <f t="shared" si="73"/>
        <v>0.23499999999999996</v>
      </c>
      <c r="DG66" s="136">
        <f t="shared" si="74"/>
        <v>0.19352659430957728</v>
      </c>
      <c r="DH66" s="136">
        <f t="shared" si="70"/>
        <v>0.78308437914770757</v>
      </c>
      <c r="DI66" s="136">
        <f t="shared" si="71"/>
        <v>0.6968380089895152</v>
      </c>
      <c r="DJ66" s="136">
        <f t="shared" si="52"/>
        <v>0.82351742259394589</v>
      </c>
    </row>
    <row r="67" spans="1:114" x14ac:dyDescent="0.2">
      <c r="A67" s="133" t="s">
        <v>664</v>
      </c>
      <c r="B67" s="133">
        <f t="shared" si="90"/>
        <v>2007</v>
      </c>
      <c r="D67" s="5">
        <f>'Freight-Trucks'!F68</f>
        <v>6466.141521399999</v>
      </c>
      <c r="E67" s="5">
        <f>'Freight-based Energy Use'!D65</f>
        <v>566.92237999999998</v>
      </c>
      <c r="F67" s="5">
        <f>'Freight-based Energy Use'!E65</f>
        <v>513.63612057458249</v>
      </c>
      <c r="G67" s="5">
        <f>'Freight-based Energy Use'!N65</f>
        <v>124.458975</v>
      </c>
      <c r="H67" s="5">
        <f>Pipelines!F68</f>
        <v>669.74154581308176</v>
      </c>
      <c r="I67" s="5">
        <f t="shared" si="5"/>
        <v>8340.9005427876618</v>
      </c>
      <c r="K67" s="4">
        <f>'Freight-Trucks'!J68</f>
        <v>1662087.3320437097</v>
      </c>
      <c r="L67" s="4">
        <f>'Freight-based Activity'!E65</f>
        <v>1770545</v>
      </c>
      <c r="M67" s="4">
        <f>'Freight-based Activity'!F65</f>
        <v>39842</v>
      </c>
      <c r="N67" s="4">
        <f>'Freight-based Activity'!G65</f>
        <v>553151</v>
      </c>
      <c r="O67" s="4">
        <f>Pipelines!J68</f>
        <v>295046.21291100001</v>
      </c>
      <c r="P67" s="4">
        <f>SUM(K67:O67)</f>
        <v>4320671.5449547097</v>
      </c>
      <c r="R67" s="4">
        <f t="shared" si="75"/>
        <v>3890.3741077487207</v>
      </c>
      <c r="S67" s="4">
        <f t="shared" si="76"/>
        <v>320.19653835400959</v>
      </c>
      <c r="T67" s="4">
        <f t="shared" si="77"/>
        <v>12891.825725982191</v>
      </c>
      <c r="U67" s="4">
        <f t="shared" si="115"/>
        <v>225</v>
      </c>
      <c r="V67" s="4">
        <f t="shared" si="115"/>
        <v>2269.9547274484344</v>
      </c>
      <c r="W67" s="4">
        <f t="shared" si="80"/>
        <v>1930.4639234906465</v>
      </c>
      <c r="Y67" s="129">
        <f>'Freight-Trucks'!W68</f>
        <v>0.96445179365914169</v>
      </c>
      <c r="Z67" s="129">
        <f t="shared" si="54"/>
        <v>0.64390687085753817</v>
      </c>
      <c r="AA67" s="129">
        <f t="shared" si="59"/>
        <v>0.60058900877973431</v>
      </c>
      <c r="AB67" s="129">
        <f t="shared" si="60"/>
        <v>0.74976163960950737</v>
      </c>
      <c r="AC67" s="129">
        <f t="shared" si="81"/>
        <v>0.91777024176708777</v>
      </c>
      <c r="AD67" s="129"/>
      <c r="AE67" s="142">
        <f>'Freight-Trucks'!V68</f>
        <v>0.99120435558139275</v>
      </c>
      <c r="AF67" s="142">
        <v>1</v>
      </c>
      <c r="AG67" s="142">
        <v>1</v>
      </c>
      <c r="AH67" s="142">
        <v>1</v>
      </c>
      <c r="AI67" s="142">
        <v>1</v>
      </c>
      <c r="AK67" s="131">
        <f t="shared" si="61"/>
        <v>1.4859199746920548</v>
      </c>
      <c r="AL67" s="131">
        <f t="shared" si="62"/>
        <v>1.0917960370341226</v>
      </c>
      <c r="AM67" s="131">
        <f t="shared" si="82"/>
        <v>1.2163199222813343</v>
      </c>
      <c r="AN67" s="131">
        <f t="shared" si="83"/>
        <v>0.99406786021015958</v>
      </c>
      <c r="AO67" s="131">
        <f t="shared" si="84"/>
        <v>0.90297902181467271</v>
      </c>
      <c r="AP67" s="131">
        <f t="shared" si="85"/>
        <v>1.6223215397186279</v>
      </c>
      <c r="AQ67" s="131">
        <f t="shared" si="67"/>
        <v>1.6223215397186292</v>
      </c>
      <c r="AR67" s="131"/>
      <c r="AS67" s="131">
        <f t="shared" si="86"/>
        <v>1.2091045424731937</v>
      </c>
      <c r="AU67" s="134"/>
      <c r="AW67" s="129">
        <f t="shared" si="9"/>
        <v>0.77523302049096388</v>
      </c>
      <c r="AX67" s="129">
        <f t="shared" si="10"/>
        <v>6.7968965352334182E-2</v>
      </c>
      <c r="AY67" s="129">
        <f t="shared" si="11"/>
        <v>6.1580415440718961E-2</v>
      </c>
      <c r="AZ67" s="129">
        <f t="shared" si="12"/>
        <v>1.4921527281322051E-2</v>
      </c>
      <c r="BA67" s="129">
        <f t="shared" si="13"/>
        <v>8.0296071434661109E-2</v>
      </c>
      <c r="BC67" s="129">
        <f t="shared" si="23"/>
        <v>0.77409592896813739</v>
      </c>
      <c r="BD67" s="129">
        <f t="shared" si="24"/>
        <v>6.944871113055287E-2</v>
      </c>
      <c r="BE67" s="129">
        <f t="shared" si="25"/>
        <v>6.2604170615567736E-2</v>
      </c>
      <c r="BF67" s="129">
        <f t="shared" si="26"/>
        <v>1.5464148582403584E-2</v>
      </c>
      <c r="BG67" s="129">
        <f t="shared" si="27"/>
        <v>7.8347795747482255E-2</v>
      </c>
      <c r="BH67" s="129">
        <f t="shared" si="28"/>
        <v>0.99996075504414395</v>
      </c>
      <c r="BI67" s="129"/>
      <c r="BJ67" s="129">
        <f t="shared" si="29"/>
        <v>0.7741263095209816</v>
      </c>
      <c r="BK67" s="129">
        <f t="shared" si="30"/>
        <v>6.9451436749122228E-2</v>
      </c>
      <c r="BL67" s="129">
        <f t="shared" si="31"/>
        <v>6.2606627609904583E-2</v>
      </c>
      <c r="BM67" s="129">
        <f t="shared" si="32"/>
        <v>1.5464755496050352E-2</v>
      </c>
      <c r="BN67" s="129">
        <f t="shared" si="33"/>
        <v>7.835087062394118E-2</v>
      </c>
      <c r="BQ67" s="129">
        <f t="shared" si="34"/>
        <v>-2.4449449798411211E-4</v>
      </c>
      <c r="BR67" s="129">
        <f t="shared" si="35"/>
        <v>-2.9834846187701422E-2</v>
      </c>
      <c r="BS67" s="129">
        <f t="shared" si="36"/>
        <v>-2.2774139278979824E-2</v>
      </c>
      <c r="BT67" s="129">
        <f t="shared" si="37"/>
        <v>-4.3485111939738662E-2</v>
      </c>
      <c r="BU67" s="129">
        <f t="shared" si="38"/>
        <v>-1.0238998590777165E-3</v>
      </c>
      <c r="BW67" s="129">
        <f t="shared" si="14"/>
        <v>0.38468263897183885</v>
      </c>
      <c r="BX67" s="129">
        <f t="shared" si="15"/>
        <v>0.4097846785107937</v>
      </c>
      <c r="BY67" s="129">
        <f t="shared" si="16"/>
        <v>9.2212517395643956E-3</v>
      </c>
      <c r="BZ67" s="129">
        <f t="shared" si="17"/>
        <v>0.12802431155543861</v>
      </c>
      <c r="CA67" s="129">
        <f t="shared" si="18"/>
        <v>6.8287119222364481E-2</v>
      </c>
      <c r="CC67" s="129">
        <f t="shared" si="39"/>
        <v>7.6612933907770422E-3</v>
      </c>
      <c r="CD67" s="129">
        <f t="shared" si="40"/>
        <v>-8.605862089600385E-3</v>
      </c>
      <c r="CE67" s="129">
        <f t="shared" si="41"/>
        <v>-5.6313795115906376E-3</v>
      </c>
      <c r="CF67" s="129">
        <f t="shared" si="42"/>
        <v>-2.305301605062959E-2</v>
      </c>
      <c r="CG67" s="129">
        <f t="shared" si="43"/>
        <v>5.4832772189240139E-2</v>
      </c>
      <c r="CI67" s="129">
        <f t="shared" si="44"/>
        <v>0</v>
      </c>
      <c r="CJ67" s="129">
        <f t="shared" si="45"/>
        <v>0</v>
      </c>
      <c r="CK67" s="129">
        <f t="shared" si="46"/>
        <v>0</v>
      </c>
      <c r="CL67" s="129">
        <f t="shared" si="47"/>
        <v>0</v>
      </c>
      <c r="CM67" s="129">
        <f t="shared" si="48"/>
        <v>0</v>
      </c>
      <c r="CO67" s="129">
        <f t="shared" si="49"/>
        <v>0.9955699769460663</v>
      </c>
      <c r="CP67" s="129">
        <f t="shared" si="91"/>
        <v>0.91492309494762691</v>
      </c>
      <c r="CQ67" s="129">
        <f t="shared" si="87"/>
        <v>0.90297902181467271</v>
      </c>
      <c r="CR67" s="129"/>
      <c r="CS67" s="129">
        <f t="shared" si="50"/>
        <v>1.0089601477326229</v>
      </c>
      <c r="CT67" s="129">
        <f t="shared" si="92"/>
        <v>1.2727924883238535</v>
      </c>
      <c r="CU67" s="129">
        <f t="shared" si="88"/>
        <v>1.2163199222813343</v>
      </c>
      <c r="CV67" s="129"/>
      <c r="CW67" s="129">
        <f t="shared" si="93"/>
        <v>1</v>
      </c>
      <c r="CX67" s="129">
        <f t="shared" si="94"/>
        <v>1.0128876785918486</v>
      </c>
      <c r="CY67" s="129">
        <f t="shared" si="89"/>
        <v>0.99406786021015958</v>
      </c>
      <c r="DA67">
        <f t="shared" si="55"/>
        <v>2007</v>
      </c>
      <c r="DB67" s="4">
        <f>'Freight-based Activity'!G65</f>
        <v>553151</v>
      </c>
      <c r="DC67" s="4">
        <f>'Freight-based Activity'!I65</f>
        <v>670030</v>
      </c>
      <c r="DD67">
        <f t="shared" si="56"/>
        <v>124.458975</v>
      </c>
      <c r="DE67">
        <f t="shared" si="72"/>
        <v>2007</v>
      </c>
      <c r="DF67" s="136">
        <f t="shared" si="73"/>
        <v>0.22500000000000001</v>
      </c>
      <c r="DG67" s="136">
        <f t="shared" si="74"/>
        <v>0.18575134695461398</v>
      </c>
      <c r="DH67" s="136">
        <f t="shared" si="70"/>
        <v>0.74976163960950737</v>
      </c>
      <c r="DI67" s="136">
        <f t="shared" si="71"/>
        <v>0.66884140260286795</v>
      </c>
      <c r="DJ67" s="136">
        <f t="shared" si="52"/>
        <v>0.82556154202050658</v>
      </c>
    </row>
    <row r="68" spans="1:114" x14ac:dyDescent="0.2">
      <c r="A68" s="133" t="s">
        <v>664</v>
      </c>
      <c r="B68" s="133">
        <f>B67+1</f>
        <v>2008</v>
      </c>
      <c r="D68" s="5">
        <f>'Freight-Trucks'!F69</f>
        <v>6532.8324214999993</v>
      </c>
      <c r="E68" s="5">
        <f>'Freight-based Energy Use'!D66</f>
        <v>542.48343999999997</v>
      </c>
      <c r="F68" s="5">
        <f>'Freight-based Energy Use'!E66</f>
        <v>451.50374566705074</v>
      </c>
      <c r="G68" s="5">
        <f>'Freight-based Energy Use'!N66</f>
        <v>131.17104</v>
      </c>
      <c r="H68" s="5">
        <f>Pipelines!F69</f>
        <v>698.40391956060603</v>
      </c>
      <c r="I68" s="5">
        <f t="shared" si="5"/>
        <v>8356.3945667276566</v>
      </c>
      <c r="K68" s="4">
        <f>'Freight-Trucks'!J69</f>
        <v>1680078.4986523651</v>
      </c>
      <c r="L68" s="4">
        <f>'Freight-based Activity'!E66</f>
        <v>1777236</v>
      </c>
      <c r="M68" s="4">
        <f>'Freight-based Activity'!F66</f>
        <v>35529</v>
      </c>
      <c r="N68" s="4">
        <f>'Freight-based Activity'!G66</f>
        <v>520520</v>
      </c>
      <c r="O68" s="4">
        <f>Pipelines!J69</f>
        <v>297142.97800530004</v>
      </c>
      <c r="P68" s="4">
        <f>SUM(K68:O68)</f>
        <v>4310506.4766576653</v>
      </c>
      <c r="R68" s="4">
        <f t="shared" ref="R68:W68" si="116">D68/K68*1000000</f>
        <v>3888.4090396610368</v>
      </c>
      <c r="S68" s="4">
        <f t="shared" si="116"/>
        <v>305.23995687685817</v>
      </c>
      <c r="T68" s="4">
        <f t="shared" si="116"/>
        <v>12708.034159898976</v>
      </c>
      <c r="U68" s="4">
        <f t="shared" si="116"/>
        <v>252</v>
      </c>
      <c r="V68" s="4">
        <f t="shared" si="116"/>
        <v>2350.3968501929357</v>
      </c>
      <c r="W68" s="4">
        <f t="shared" si="116"/>
        <v>1938.6108365639536</v>
      </c>
      <c r="Y68" s="129">
        <f>'Freight-Trucks'!W69</f>
        <v>0.95670393095399653</v>
      </c>
      <c r="Z68" s="129">
        <f t="shared" si="54"/>
        <v>0.61382957637089153</v>
      </c>
      <c r="AA68" s="129">
        <f t="shared" si="59"/>
        <v>0.59202674639407959</v>
      </c>
      <c r="AB68" s="129">
        <f t="shared" si="60"/>
        <v>0.83973303636264829</v>
      </c>
      <c r="AC68" s="129">
        <f t="shared" si="81"/>
        <v>0.95029396814222344</v>
      </c>
      <c r="AD68" s="129"/>
      <c r="AE68" s="142">
        <f>'Freight-Trucks'!V69</f>
        <v>0.99872689763087308</v>
      </c>
      <c r="AF68" s="142">
        <v>1</v>
      </c>
      <c r="AG68" s="142">
        <v>1</v>
      </c>
      <c r="AH68" s="142">
        <v>1</v>
      </c>
      <c r="AI68" s="142">
        <v>1</v>
      </c>
      <c r="AK68" s="131">
        <f t="shared" si="61"/>
        <v>1.4824241111741892</v>
      </c>
      <c r="AL68" s="131">
        <f t="shared" si="62"/>
        <v>1.0964036172635501</v>
      </c>
      <c r="AM68" s="131">
        <f t="shared" si="82"/>
        <v>1.2212239361223893</v>
      </c>
      <c r="AN68" s="131">
        <f t="shared" si="83"/>
        <v>0.99993682094640057</v>
      </c>
      <c r="AO68" s="131">
        <f t="shared" si="84"/>
        <v>0.89784752734590734</v>
      </c>
      <c r="AP68" s="131">
        <f t="shared" si="85"/>
        <v>1.6253351578100819</v>
      </c>
      <c r="AQ68" s="131">
        <f t="shared" si="67"/>
        <v>1.6253351578100841</v>
      </c>
      <c r="AR68" s="131"/>
      <c r="AS68" s="131">
        <f t="shared" si="86"/>
        <v>1.2211467803498721</v>
      </c>
      <c r="AU68" s="134"/>
      <c r="AW68" s="129">
        <f t="shared" si="9"/>
        <v>0.78177644309802385</v>
      </c>
      <c r="AX68" s="129">
        <f t="shared" si="10"/>
        <v>6.4918361102763861E-2</v>
      </c>
      <c r="AY68" s="129">
        <f t="shared" si="11"/>
        <v>5.4030927101597896E-2</v>
      </c>
      <c r="AZ68" s="129">
        <f t="shared" si="12"/>
        <v>1.5697085501716113E-2</v>
      </c>
      <c r="BA68" s="129">
        <f t="shared" si="13"/>
        <v>8.3577183195898241E-2</v>
      </c>
      <c r="BC68" s="129">
        <f t="shared" ref="BC68:BG70" si="117">(AW68-AW67)/LN(AW68/AW67)</f>
        <v>0.77850014858738037</v>
      </c>
      <c r="BD68" s="129">
        <f t="shared" si="117"/>
        <v>6.6431989811294556E-2</v>
      </c>
      <c r="BE68" s="129">
        <f t="shared" si="117"/>
        <v>5.7723413297335852E-2</v>
      </c>
      <c r="BF68" s="129">
        <f t="shared" si="117"/>
        <v>1.530603173033207E-2</v>
      </c>
      <c r="BG68" s="129">
        <f t="shared" si="117"/>
        <v>8.1925676936226821E-2</v>
      </c>
      <c r="BH68" s="129">
        <f>SUM(BC68:BG68)</f>
        <v>0.9998872603625697</v>
      </c>
      <c r="BI68" s="129"/>
      <c r="BJ68" s="129">
        <f t="shared" ref="BJ68:BN70" si="118">BC68/$BH68</f>
        <v>0.77858792630789997</v>
      </c>
      <c r="BK68" s="129">
        <f t="shared" si="118"/>
        <v>6.6439480174200455E-2</v>
      </c>
      <c r="BL68" s="129">
        <f t="shared" si="118"/>
        <v>5.7729921747782575E-2</v>
      </c>
      <c r="BM68" s="129">
        <f t="shared" si="118"/>
        <v>1.5307757521364901E-2</v>
      </c>
      <c r="BN68" s="129">
        <f t="shared" si="118"/>
        <v>8.1934914248752114E-2</v>
      </c>
      <c r="BQ68" s="129">
        <f t="shared" ref="BQ68:BU70" si="119">LN(Y68/Y67)</f>
        <v>-8.0658788989708546E-3</v>
      </c>
      <c r="BR68" s="129">
        <f t="shared" si="119"/>
        <v>-4.7836778472020267E-2</v>
      </c>
      <c r="BS68" s="129">
        <f t="shared" si="119"/>
        <v>-1.4359041398570799E-2</v>
      </c>
      <c r="BT68" s="129">
        <f t="shared" si="119"/>
        <v>0.11332868530700327</v>
      </c>
      <c r="BU68" s="129">
        <f t="shared" si="119"/>
        <v>3.4824298882136222E-2</v>
      </c>
      <c r="BW68" s="129">
        <f t="shared" si="14"/>
        <v>0.38976359454517867</v>
      </c>
      <c r="BX68" s="129">
        <f t="shared" si="15"/>
        <v>0.41230328956101131</v>
      </c>
      <c r="BY68" s="129">
        <f t="shared" si="16"/>
        <v>8.2424188879885226E-3</v>
      </c>
      <c r="BZ68" s="129">
        <f t="shared" si="17"/>
        <v>0.12075611133372136</v>
      </c>
      <c r="CA68" s="129">
        <f t="shared" si="18"/>
        <v>6.8934585672100063E-2</v>
      </c>
      <c r="CC68" s="129">
        <f t="shared" ref="CC68:CG70" si="120">LN(BW68/BW67)</f>
        <v>1.312170750179719E-2</v>
      </c>
      <c r="CD68" s="129">
        <f t="shared" si="120"/>
        <v>6.1273708607022543E-3</v>
      </c>
      <c r="CE68" s="129">
        <f t="shared" si="120"/>
        <v>-0.11221693665344273</v>
      </c>
      <c r="CF68" s="129">
        <f t="shared" si="120"/>
        <v>-5.8447277199942256E-2</v>
      </c>
      <c r="CG68" s="129">
        <f t="shared" si="120"/>
        <v>9.4368635807887281E-3</v>
      </c>
      <c r="CI68" s="129">
        <f t="shared" ref="CI68:CM70" si="121">LN(AE68/AE67)</f>
        <v>7.5606409736434154E-3</v>
      </c>
      <c r="CJ68" s="129">
        <f t="shared" si="121"/>
        <v>0</v>
      </c>
      <c r="CK68" s="129">
        <f t="shared" si="121"/>
        <v>0</v>
      </c>
      <c r="CL68" s="129">
        <f t="shared" si="121"/>
        <v>0</v>
      </c>
      <c r="CM68" s="129">
        <f t="shared" si="121"/>
        <v>0</v>
      </c>
      <c r="CO68" s="129">
        <f t="shared" si="49"/>
        <v>0.99431714985088704</v>
      </c>
      <c r="CP68" s="129">
        <f>IF(ISERR(CO68),CP67,CO68*CP67)</f>
        <v>0.90972372410107694</v>
      </c>
      <c r="CQ68" s="129">
        <f t="shared" si="87"/>
        <v>0.89784752734590734</v>
      </c>
      <c r="CR68" s="129"/>
      <c r="CS68" s="129">
        <f t="shared" si="50"/>
        <v>1.0040318453650394</v>
      </c>
      <c r="CT68" s="129">
        <f>IF(ISERR(CS68),CT67,CS68*CT67)</f>
        <v>1.277924190818559</v>
      </c>
      <c r="CU68" s="129">
        <f t="shared" si="88"/>
        <v>1.2212239361223893</v>
      </c>
      <c r="CV68" s="129"/>
      <c r="CW68" s="129">
        <f t="shared" si="93"/>
        <v>1.0059039839946142</v>
      </c>
      <c r="CX68" s="129">
        <f>IF(ISERR(CW68),CX67,CW68*CX67)</f>
        <v>1.0188677512345967</v>
      </c>
      <c r="CY68" s="129">
        <f t="shared" si="89"/>
        <v>0.99993682094640057</v>
      </c>
      <c r="DA68">
        <f t="shared" si="55"/>
        <v>2008</v>
      </c>
      <c r="DB68" s="4">
        <f>'Freight-based Activity'!G66</f>
        <v>520520</v>
      </c>
      <c r="DC68" s="4">
        <f>'Freight-based Activity'!I66</f>
        <v>633923</v>
      </c>
      <c r="DD68">
        <f t="shared" si="56"/>
        <v>131.17104</v>
      </c>
      <c r="DE68">
        <f t="shared" si="72"/>
        <v>2008</v>
      </c>
      <c r="DF68" s="136">
        <f t="shared" si="73"/>
        <v>0.252</v>
      </c>
      <c r="DG68" s="136">
        <f t="shared" si="74"/>
        <v>0.20691951546165702</v>
      </c>
      <c r="DH68" s="136">
        <f t="shared" si="70"/>
        <v>0.83973303636264829</v>
      </c>
      <c r="DI68" s="136">
        <f t="shared" si="71"/>
        <v>0.74506237083220672</v>
      </c>
      <c r="DJ68" s="136">
        <f t="shared" si="52"/>
        <v>0.82110918833990876</v>
      </c>
    </row>
    <row r="69" spans="1:114" ht="12.75" customHeight="1" x14ac:dyDescent="0.2">
      <c r="A69" s="133" t="s">
        <v>664</v>
      </c>
      <c r="B69" s="133">
        <f t="shared" si="90"/>
        <v>2009</v>
      </c>
      <c r="D69" s="5">
        <f>'Freight-Trucks'!F70</f>
        <v>6066.9547168999998</v>
      </c>
      <c r="E69" s="5">
        <f>'Freight-based Energy Use'!D67</f>
        <v>446.61399999999998</v>
      </c>
      <c r="F69" s="5">
        <f>'Freight-based Energy Use'!E67</f>
        <v>374.76648319453909</v>
      </c>
      <c r="G69" s="5">
        <f>'Freight-based Energy Use'!N67</f>
        <v>107.35233749999999</v>
      </c>
      <c r="H69" s="5">
        <f>Pipelines!F70</f>
        <v>722.35174664635156</v>
      </c>
      <c r="I69" s="5">
        <f>SUM(D69:H69)</f>
        <v>7718.039284240891</v>
      </c>
      <c r="K69" s="4">
        <f>'Freight-Trucks'!J70</f>
        <v>1548963.3407105771</v>
      </c>
      <c r="L69" s="4">
        <f>'Freight-based Activity'!E67</f>
        <v>1532214</v>
      </c>
      <c r="M69" s="4">
        <f>'Freight-based Activity'!F67</f>
        <v>30317</v>
      </c>
      <c r="N69" s="4">
        <f>'Freight-based Activity'!G67</f>
        <v>477121.5</v>
      </c>
      <c r="O69" s="4">
        <f>Pipelines!J70</f>
        <v>291113.99216120003</v>
      </c>
      <c r="P69" s="4">
        <f>SUM(K69:O69)</f>
        <v>3879729.832871777</v>
      </c>
      <c r="R69" s="4">
        <f t="shared" ref="R69:W70" si="122">D69/K69*1000000</f>
        <v>3916.7839273180107</v>
      </c>
      <c r="S69" s="4">
        <f t="shared" si="122"/>
        <v>291.48278243117471</v>
      </c>
      <c r="T69" s="4">
        <f t="shared" si="122"/>
        <v>12361.595250009535</v>
      </c>
      <c r="U69" s="4">
        <f t="shared" si="122"/>
        <v>224.99999999999997</v>
      </c>
      <c r="V69" s="4">
        <f t="shared" si="122"/>
        <v>2481.3364046286033</v>
      </c>
      <c r="W69" s="4">
        <f t="shared" si="122"/>
        <v>1989.3239005583014</v>
      </c>
      <c r="Y69" s="129">
        <f>'Freight-Trucks'!W70</f>
        <v>0.95911746221013772</v>
      </c>
      <c r="Z69" s="129">
        <f t="shared" si="54"/>
        <v>0.58616425808013739</v>
      </c>
      <c r="AA69" s="129">
        <f t="shared" si="59"/>
        <v>0.57588726344451624</v>
      </c>
      <c r="AB69" s="129">
        <f t="shared" si="60"/>
        <v>0.74976163960950726</v>
      </c>
      <c r="AC69" s="129">
        <f t="shared" si="81"/>
        <v>1.0032344189266222</v>
      </c>
      <c r="AD69" s="129"/>
      <c r="AE69" s="142">
        <f>'Freight-Trucks'!V70</f>
        <v>1.0034833631341531</v>
      </c>
      <c r="AF69" s="142">
        <v>1</v>
      </c>
      <c r="AG69" s="142">
        <v>1</v>
      </c>
      <c r="AH69" s="142">
        <v>1</v>
      </c>
      <c r="AI69" s="142">
        <v>1</v>
      </c>
      <c r="AK69" s="131">
        <f t="shared" si="61"/>
        <v>1.3342759325930826</v>
      </c>
      <c r="AL69" s="131">
        <f t="shared" si="62"/>
        <v>1.1250849728802716</v>
      </c>
      <c r="AM69" s="131">
        <f>CU69</f>
        <v>1.2474465952710618</v>
      </c>
      <c r="AN69" s="131">
        <f>CY69</f>
        <v>1.0036689889543946</v>
      </c>
      <c r="AO69" s="131">
        <f>CQ69</f>
        <v>0.89861332960903328</v>
      </c>
      <c r="AP69" s="131">
        <f>AK69*AM69*AN69*AO69</f>
        <v>1.5011738014362856</v>
      </c>
      <c r="AQ69" s="131">
        <f t="shared" si="67"/>
        <v>1.5011738014362876</v>
      </c>
      <c r="AR69" s="131"/>
      <c r="AS69" s="131">
        <f>AM69*AN69</f>
        <v>1.2520234630503084</v>
      </c>
      <c r="AU69" s="134"/>
      <c r="AW69" s="129">
        <f t="shared" ref="AW69:BA70" si="123">D69/$I69</f>
        <v>0.78607460955632025</v>
      </c>
      <c r="AX69" s="129">
        <f t="shared" si="123"/>
        <v>5.7866251200861404E-2</v>
      </c>
      <c r="AY69" s="129">
        <f t="shared" si="123"/>
        <v>4.8557213742064974E-2</v>
      </c>
      <c r="AZ69" s="129">
        <f t="shared" si="123"/>
        <v>1.3909275859634166E-2</v>
      </c>
      <c r="BA69" s="129">
        <f t="shared" si="123"/>
        <v>9.359264964111913E-2</v>
      </c>
      <c r="BC69" s="129">
        <f t="shared" si="117"/>
        <v>0.78392356246376715</v>
      </c>
      <c r="BD69" s="129">
        <f t="shared" si="117"/>
        <v>6.132474057664028E-2</v>
      </c>
      <c r="BE69" s="129">
        <f t="shared" si="117"/>
        <v>5.1245357322456372E-2</v>
      </c>
      <c r="BF69" s="129">
        <f t="shared" si="117"/>
        <v>1.4785170039608695E-2</v>
      </c>
      <c r="BG69" s="129">
        <f t="shared" si="117"/>
        <v>8.8490472957354974E-2</v>
      </c>
      <c r="BH69" s="129">
        <f>SUM(BC69:BG69)</f>
        <v>0.9997693033598275</v>
      </c>
      <c r="BI69" s="129"/>
      <c r="BJ69" s="129">
        <f t="shared" si="118"/>
        <v>0.78410445272655549</v>
      </c>
      <c r="BK69" s="129">
        <f t="shared" si="118"/>
        <v>6.1338891252764198E-2</v>
      </c>
      <c r="BL69" s="129">
        <f t="shared" si="118"/>
        <v>5.1257182182170506E-2</v>
      </c>
      <c r="BM69" s="129">
        <f t="shared" si="118"/>
        <v>1.4788581715723429E-2</v>
      </c>
      <c r="BN69" s="129">
        <f t="shared" si="118"/>
        <v>8.8510892122786372E-2</v>
      </c>
      <c r="BQ69" s="129">
        <f t="shared" si="119"/>
        <v>2.5195798956705357E-3</v>
      </c>
      <c r="BR69" s="129">
        <f t="shared" si="119"/>
        <v>-4.6117272515333957E-2</v>
      </c>
      <c r="BS69" s="129">
        <f t="shared" si="119"/>
        <v>-2.7639895230156912E-2</v>
      </c>
      <c r="BT69" s="129">
        <f t="shared" si="119"/>
        <v>-0.11332868530700337</v>
      </c>
      <c r="BU69" s="129">
        <f t="shared" si="119"/>
        <v>5.4213101549927159E-2</v>
      </c>
      <c r="BW69" s="129">
        <f t="shared" ref="BW69:CA70" si="124">K69/$P69</f>
        <v>0.39924515557415347</v>
      </c>
      <c r="BX69" s="129">
        <f t="shared" si="124"/>
        <v>0.39492801457926641</v>
      </c>
      <c r="BY69" s="129">
        <f t="shared" si="124"/>
        <v>7.8142039023267121E-3</v>
      </c>
      <c r="BZ69" s="129">
        <f t="shared" si="124"/>
        <v>0.12297802180901719</v>
      </c>
      <c r="CA69" s="129">
        <f t="shared" si="124"/>
        <v>7.5034604135236244E-2</v>
      </c>
      <c r="CC69" s="129">
        <f t="shared" si="120"/>
        <v>2.4035265709167048E-2</v>
      </c>
      <c r="CD69" s="129">
        <f t="shared" si="120"/>
        <v>-4.3055711521148669E-2</v>
      </c>
      <c r="CE69" s="129">
        <f t="shared" si="120"/>
        <v>-5.3350764430165454E-2</v>
      </c>
      <c r="CF69" s="129">
        <f t="shared" si="120"/>
        <v>1.8232752215553445E-2</v>
      </c>
      <c r="CG69" s="129">
        <f t="shared" si="120"/>
        <v>8.4791374407823333E-2</v>
      </c>
      <c r="CI69" s="129">
        <f t="shared" si="121"/>
        <v>4.7512237293338916E-3</v>
      </c>
      <c r="CJ69" s="129">
        <f t="shared" si="121"/>
        <v>0</v>
      </c>
      <c r="CK69" s="129">
        <f t="shared" si="121"/>
        <v>0</v>
      </c>
      <c r="CL69" s="129">
        <f t="shared" si="121"/>
        <v>0</v>
      </c>
      <c r="CM69" s="129">
        <f t="shared" si="121"/>
        <v>0</v>
      </c>
      <c r="CO69" s="129">
        <f>EXP(SUMPRODUCT($BJ69:$BN69,BQ69:BU69))</f>
        <v>1.0008529313049284</v>
      </c>
      <c r="CP69" s="129">
        <f>IF(ISERR(CO69),CP68,CO69*CP68)</f>
        <v>0.91049965594419879</v>
      </c>
      <c r="CQ69" s="129">
        <f t="shared" si="87"/>
        <v>0.89861332960903328</v>
      </c>
      <c r="CR69" s="129"/>
      <c r="CS69" s="129">
        <f>EXP(SUMPRODUCT($BJ69:$BN69,CC69:CG69))</f>
        <v>1.0214724411903802</v>
      </c>
      <c r="CT69" s="129">
        <f>IF(ISERR(CS69),CT68,CS69*CT68)</f>
        <v>1.3053643428516746</v>
      </c>
      <c r="CU69" s="129">
        <f t="shared" si="88"/>
        <v>1.2474465952710618</v>
      </c>
      <c r="CV69" s="129"/>
      <c r="CW69" s="129">
        <f>EXP(SUMPRODUCT($BJ69:$BL69,CI69:CK69))</f>
        <v>1.0037324038177349</v>
      </c>
      <c r="CX69" s="129">
        <f>IF(ISERR(CW69),CX68,CW69*CX68)</f>
        <v>1.0226705771190716</v>
      </c>
      <c r="CY69" s="129">
        <f t="shared" si="89"/>
        <v>1.0036689889543946</v>
      </c>
      <c r="DA69">
        <f t="shared" si="55"/>
        <v>2009</v>
      </c>
      <c r="DB69" s="4">
        <f>'Freight-based Activity'!G67</f>
        <v>477121.5</v>
      </c>
      <c r="DC69" s="4">
        <f>'Freight-based Activity'!I67</f>
        <v>571299.30000000005</v>
      </c>
      <c r="DD69">
        <f t="shared" si="56"/>
        <v>107.35233749999999</v>
      </c>
      <c r="DE69">
        <f t="shared" si="72"/>
        <v>2009</v>
      </c>
      <c r="DF69" s="136">
        <f t="shared" si="73"/>
        <v>0.22499999999999998</v>
      </c>
      <c r="DG69" s="136">
        <f t="shared" si="74"/>
        <v>0.18790910036122918</v>
      </c>
      <c r="DH69" s="136">
        <f t="shared" si="70"/>
        <v>0.74976163960950726</v>
      </c>
      <c r="DI69" s="136">
        <f t="shared" si="71"/>
        <v>0.67661090112125155</v>
      </c>
      <c r="DJ69" s="136">
        <f t="shared" si="52"/>
        <v>0.83515155716101863</v>
      </c>
    </row>
    <row r="70" spans="1:114" ht="12.75" customHeight="1" x14ac:dyDescent="0.2">
      <c r="A70" s="133" t="s">
        <v>664</v>
      </c>
      <c r="B70" s="133">
        <f t="shared" si="90"/>
        <v>2010</v>
      </c>
      <c r="D70" s="5">
        <f>'Freight-Trucks'!F71</f>
        <v>6165.6901151999991</v>
      </c>
      <c r="E70" s="5">
        <f>'Freight-based Energy Use'!D68</f>
        <v>488.08530000000002</v>
      </c>
      <c r="F70" s="5">
        <f>'Freight-based Energy Use'!E68</f>
        <v>416.98023461528214</v>
      </c>
      <c r="G70" s="5">
        <f>'Freight-based Energy Use'!N68</f>
        <v>108.98000399999999</v>
      </c>
      <c r="H70" s="5">
        <f>Pipelines!F71</f>
        <v>726.60928183076135</v>
      </c>
      <c r="I70" s="5">
        <f>SUM(D70:H70)</f>
        <v>7906.3449356460424</v>
      </c>
      <c r="K70" s="4">
        <f>'Freight-Trucks'!J71</f>
        <v>1574911.8687160716</v>
      </c>
      <c r="L70" s="4">
        <f>'Freight-based Activity'!E68</f>
        <v>1691004</v>
      </c>
      <c r="M70" s="4">
        <f>'Freight-based Activity'!F68</f>
        <v>35209</v>
      </c>
      <c r="N70" s="4">
        <f>'Freight-based Activity'!G68</f>
        <v>502212</v>
      </c>
      <c r="O70" s="4">
        <f>Pipelines!J71</f>
        <v>307231.73230000003</v>
      </c>
      <c r="P70" s="4">
        <f>SUM(K70:O70)</f>
        <v>4110568.6010160716</v>
      </c>
      <c r="R70" s="4">
        <f t="shared" si="122"/>
        <v>3914.94294866576</v>
      </c>
      <c r="S70" s="4">
        <f t="shared" si="122"/>
        <v>288.63639589261766</v>
      </c>
      <c r="T70" s="4">
        <f t="shared" si="122"/>
        <v>11843.001352361105</v>
      </c>
      <c r="U70" s="4">
        <f t="shared" si="122"/>
        <v>217</v>
      </c>
      <c r="V70" s="4">
        <f t="shared" si="122"/>
        <v>2365.0202939364844</v>
      </c>
      <c r="W70" s="4">
        <f t="shared" si="122"/>
        <v>1923.4188023748616</v>
      </c>
      <c r="X70" s="50">
        <f>W70/W45</f>
        <v>1.0878115878967718</v>
      </c>
      <c r="Y70" s="129">
        <f>'Freight-Trucks'!W71</f>
        <v>0.9745014540842708</v>
      </c>
      <c r="Z70" s="129">
        <f t="shared" si="54"/>
        <v>0.58044024913639636</v>
      </c>
      <c r="AA70" s="129">
        <f t="shared" si="59"/>
        <v>0.55172762914848561</v>
      </c>
      <c r="AB70" s="129">
        <f t="shared" si="60"/>
        <v>0.7231034479789471</v>
      </c>
      <c r="AC70" s="129">
        <f t="shared" si="81"/>
        <v>0.95620640390038947</v>
      </c>
      <c r="AD70" s="129"/>
      <c r="AE70" s="142">
        <f>'Freight-Trucks'!V71</f>
        <v>0.98717763320463658</v>
      </c>
      <c r="AF70" s="142">
        <v>1</v>
      </c>
      <c r="AG70" s="142">
        <v>1</v>
      </c>
      <c r="AH70" s="142">
        <v>1</v>
      </c>
      <c r="AI70" s="142">
        <v>1</v>
      </c>
      <c r="AK70" s="131">
        <f t="shared" si="61"/>
        <v>1.4136635770715085</v>
      </c>
      <c r="AL70" s="131">
        <f t="shared" si="62"/>
        <v>1.0878115878967718</v>
      </c>
      <c r="AM70" s="131">
        <f>CU70</f>
        <v>1.2159027000241958</v>
      </c>
      <c r="AN70" s="131">
        <f>CY70</f>
        <v>0.99087661404008176</v>
      </c>
      <c r="AO70" s="131">
        <f>CQ70</f>
        <v>0.90289090714267362</v>
      </c>
      <c r="AP70" s="131">
        <f>AK70*AM70*AN70*AO70</f>
        <v>1.5377996205259863</v>
      </c>
      <c r="AQ70" s="131">
        <f t="shared" si="67"/>
        <v>1.5377996205259881</v>
      </c>
      <c r="AR70" s="131"/>
      <c r="AS70" s="131">
        <f>AM70*AN70</f>
        <v>1.2048095504021683</v>
      </c>
      <c r="AU70" s="134"/>
      <c r="AW70" s="129">
        <f t="shared" si="123"/>
        <v>0.77984076907671485</v>
      </c>
      <c r="AX70" s="129">
        <f t="shared" si="123"/>
        <v>6.1733367816960497E-2</v>
      </c>
      <c r="AY70" s="129">
        <f t="shared" si="123"/>
        <v>5.2739949750397516E-2</v>
      </c>
      <c r="AZ70" s="129">
        <f t="shared" si="123"/>
        <v>1.3783866614351683E-2</v>
      </c>
      <c r="BA70" s="129">
        <f t="shared" si="123"/>
        <v>9.1902046741575497E-2</v>
      </c>
      <c r="BC70" s="129">
        <f t="shared" si="117"/>
        <v>0.78295355319142435</v>
      </c>
      <c r="BD70" s="129">
        <f t="shared" si="117"/>
        <v>5.9778963898388757E-2</v>
      </c>
      <c r="BE70" s="129">
        <f t="shared" si="117"/>
        <v>5.0619783239638165E-2</v>
      </c>
      <c r="BF70" s="129">
        <f t="shared" si="117"/>
        <v>1.3846476583206202E-2</v>
      </c>
      <c r="BG70" s="129">
        <f t="shared" si="117"/>
        <v>9.2744780102220994E-2</v>
      </c>
      <c r="BH70" s="129">
        <f>SUM(BC70:BG70)</f>
        <v>0.99994355701487847</v>
      </c>
      <c r="BI70" s="129"/>
      <c r="BJ70" s="129">
        <f t="shared" si="118"/>
        <v>0.78299774792166044</v>
      </c>
      <c r="BK70" s="129">
        <f t="shared" si="118"/>
        <v>5.9782338192013861E-2</v>
      </c>
      <c r="BL70" s="129">
        <f t="shared" si="118"/>
        <v>5.0622640532584556E-2</v>
      </c>
      <c r="BM70" s="129">
        <f t="shared" si="118"/>
        <v>1.3847258163792715E-2</v>
      </c>
      <c r="BN70" s="129">
        <f t="shared" si="118"/>
        <v>9.2750015189948382E-2</v>
      </c>
      <c r="BQ70" s="129">
        <f t="shared" si="119"/>
        <v>1.5912459640851112E-2</v>
      </c>
      <c r="BR70" s="129">
        <f t="shared" si="119"/>
        <v>-9.8131883475401221E-3</v>
      </c>
      <c r="BS70" s="129">
        <f t="shared" si="119"/>
        <v>-4.2857419305951251E-2</v>
      </c>
      <c r="BT70" s="129">
        <f t="shared" si="119"/>
        <v>-3.6203048663960471E-2</v>
      </c>
      <c r="BU70" s="129">
        <f t="shared" si="119"/>
        <v>-4.8010685018438679E-2</v>
      </c>
      <c r="BW70" s="129">
        <f t="shared" si="124"/>
        <v>0.3831372302913949</v>
      </c>
      <c r="BX70" s="129">
        <f t="shared" si="124"/>
        <v>0.41137958373496281</v>
      </c>
      <c r="BY70" s="129">
        <f t="shared" si="124"/>
        <v>8.5654816687153346E-3</v>
      </c>
      <c r="BZ70" s="129">
        <f t="shared" si="124"/>
        <v>0.12217579822797767</v>
      </c>
      <c r="CA70" s="129">
        <f t="shared" si="124"/>
        <v>7.4741906076949277E-2</v>
      </c>
      <c r="CC70" s="129">
        <f t="shared" si="120"/>
        <v>-4.1182424567872807E-2</v>
      </c>
      <c r="CD70" s="129">
        <f t="shared" si="120"/>
        <v>4.0812842953117552E-2</v>
      </c>
      <c r="CE70" s="129">
        <f t="shared" si="120"/>
        <v>9.1797276275850589E-2</v>
      </c>
      <c r="CF70" s="129">
        <f t="shared" si="120"/>
        <v>-6.5446783115532666E-3</v>
      </c>
      <c r="CG70" s="129">
        <f t="shared" si="120"/>
        <v>-3.9084690981252617E-3</v>
      </c>
      <c r="CI70" s="129">
        <f t="shared" si="121"/>
        <v>-1.6382593167035504E-2</v>
      </c>
      <c r="CJ70" s="129">
        <f t="shared" si="121"/>
        <v>0</v>
      </c>
      <c r="CK70" s="129">
        <f t="shared" si="121"/>
        <v>0</v>
      </c>
      <c r="CL70" s="129">
        <f t="shared" si="121"/>
        <v>0</v>
      </c>
      <c r="CM70" s="129">
        <f t="shared" si="121"/>
        <v>0</v>
      </c>
      <c r="CO70" s="129">
        <f>EXP(SUMPRODUCT($BJ70:$BN70,BQ70:BU70))</f>
        <v>1.0047601981772309</v>
      </c>
      <c r="CP70" s="129">
        <f>IF(ISERR(CO70),CP69,CO70*CP69)</f>
        <v>0.91483381474679382</v>
      </c>
      <c r="CQ70" s="129">
        <f t="shared" si="87"/>
        <v>0.90289090714267362</v>
      </c>
      <c r="CR70" s="129"/>
      <c r="CS70" s="129">
        <f>EXP(SUMPRODUCT($BJ70:$BN70,CC70:CG70))</f>
        <v>0.97471322991585718</v>
      </c>
      <c r="CT70" s="129">
        <f>IF(ISERR(CS70),CT69,CS70*CT69)</f>
        <v>1.2723558948379461</v>
      </c>
      <c r="CU70" s="129">
        <f t="shared" si="88"/>
        <v>1.2159027000241958</v>
      </c>
      <c r="CV70" s="129"/>
      <c r="CW70" s="129">
        <f>EXP(SUMPRODUCT($BJ70:$BL70,CI70:CK70))</f>
        <v>0.98725438859315584</v>
      </c>
      <c r="CX70" s="129">
        <f>IF(ISERR(CW70),CX69,CW70*CX69)</f>
        <v>1.009636015345899</v>
      </c>
      <c r="CY70" s="129">
        <f t="shared" si="89"/>
        <v>0.99087661404008176</v>
      </c>
      <c r="DA70">
        <f t="shared" si="55"/>
        <v>2010</v>
      </c>
      <c r="DB70" s="4">
        <f>'Freight-based Activity'!G68</f>
        <v>502212</v>
      </c>
      <c r="DC70" s="4">
        <f>'Freight-based Activity'!I68</f>
        <v>605605</v>
      </c>
      <c r="DD70">
        <f t="shared" si="56"/>
        <v>108.98000399999999</v>
      </c>
      <c r="DE70">
        <f t="shared" si="72"/>
        <v>2010</v>
      </c>
      <c r="DF70" s="136">
        <f t="shared" si="73"/>
        <v>0.217</v>
      </c>
      <c r="DG70" s="136">
        <f t="shared" si="74"/>
        <v>0.17995228573079811</v>
      </c>
      <c r="DH70" s="136">
        <f t="shared" si="70"/>
        <v>0.7231034479789471</v>
      </c>
      <c r="DI70" s="136">
        <f t="shared" si="71"/>
        <v>0.64796051906523944</v>
      </c>
      <c r="DJ70" s="136">
        <f t="shared" si="52"/>
        <v>0.82927320613271027</v>
      </c>
    </row>
    <row r="71" spans="1:114" ht="12.75" customHeight="1" x14ac:dyDescent="0.2">
      <c r="A71" s="133" t="s">
        <v>664</v>
      </c>
      <c r="B71" s="133">
        <f t="shared" si="90"/>
        <v>2011</v>
      </c>
      <c r="D71" s="5">
        <f>'Freight-Trucks'!F72</f>
        <v>5803.0669048</v>
      </c>
      <c r="E71" s="5">
        <f>'Freight-based Energy Use'!D69</f>
        <v>514.64634999999998</v>
      </c>
      <c r="F71" s="5">
        <f>'Freight-based Energy Use'!E69</f>
        <v>422.25297180334917</v>
      </c>
      <c r="G71" s="5">
        <f>'Freight-based Energy Use'!N69</f>
        <v>108.44531599999999</v>
      </c>
      <c r="H71" s="5">
        <f>Pipelines!F72</f>
        <v>736.94700844598913</v>
      </c>
      <c r="I71" s="5">
        <f>SUM(D71:H71)</f>
        <v>7585.3585510493385</v>
      </c>
      <c r="K71" s="4">
        <f>'Freight-Trucks'!J72</f>
        <v>1467726.0495871254</v>
      </c>
      <c r="L71" s="4">
        <f>'Freight-based Activity'!E69</f>
        <v>1729256</v>
      </c>
      <c r="M71" s="4">
        <f>'Freight-based Activity'!F69</f>
        <v>35713</v>
      </c>
      <c r="N71" s="4">
        <f>'Freight-based Activity'!G69</f>
        <v>499748</v>
      </c>
      <c r="O71" s="4">
        <f>Pipelines!J72</f>
        <v>310716.84220000001</v>
      </c>
      <c r="P71" s="4">
        <f>SUM(K71:O71)</f>
        <v>4043159.8917871253</v>
      </c>
      <c r="R71" s="4">
        <f t="shared" ref="R71" si="125">D71/K71*1000000</f>
        <v>3953.7806843670965</v>
      </c>
      <c r="S71" s="4">
        <f t="shared" ref="S71" si="126">E71/L71*1000000</f>
        <v>297.61142942398351</v>
      </c>
      <c r="T71" s="4">
        <f t="shared" ref="T71" si="127">F71/M71*1000000</f>
        <v>11823.508856812623</v>
      </c>
      <c r="U71" s="4">
        <f t="shared" ref="U71" si="128">G71/N71*1000000</f>
        <v>217</v>
      </c>
      <c r="V71" s="4">
        <f t="shared" ref="V71" si="129">H71/O71*1000000</f>
        <v>2371.7639611297163</v>
      </c>
      <c r="W71" s="4">
        <f t="shared" ref="W71" si="130">I71/P71*1000000</f>
        <v>1876.0966061365727</v>
      </c>
      <c r="X71" s="50"/>
      <c r="Y71" s="129">
        <f>'Freight-Trucks'!W72</f>
        <v>0.98370046704305958</v>
      </c>
      <c r="Z71" s="129">
        <f t="shared" si="54"/>
        <v>0.59848880702128482</v>
      </c>
      <c r="AA71" s="129">
        <f t="shared" si="59"/>
        <v>0.55081953600256972</v>
      </c>
      <c r="AB71" s="129">
        <f t="shared" si="60"/>
        <v>0.7231034479789471</v>
      </c>
      <c r="AC71" s="129">
        <f t="shared" si="81"/>
        <v>0.95893295037970461</v>
      </c>
      <c r="AD71" s="129"/>
      <c r="AE71" s="142">
        <f>'Freight-Trucks'!V72</f>
        <v>0.98764770420441805</v>
      </c>
      <c r="AF71" s="142">
        <v>1</v>
      </c>
      <c r="AG71" s="142">
        <v>1</v>
      </c>
      <c r="AH71" s="142">
        <v>1</v>
      </c>
      <c r="AI71" s="142">
        <v>1</v>
      </c>
      <c r="AK71" s="131">
        <f t="shared" si="61"/>
        <v>1.390481081834521</v>
      </c>
      <c r="AL71" s="131">
        <f t="shared" si="62"/>
        <v>1.0610479764725849</v>
      </c>
      <c r="AM71" s="131">
        <f>CU71</f>
        <v>1.1744355125437158</v>
      </c>
      <c r="AN71" s="131">
        <f>CY71</f>
        <v>0.99124108479496564</v>
      </c>
      <c r="AO71" s="131">
        <f>CQ71</f>
        <v>0.91143678448002097</v>
      </c>
      <c r="AP71" s="131">
        <f>AK71*AM71*AN71*AO71</f>
        <v>1.4753671382039277</v>
      </c>
      <c r="AQ71" s="131">
        <f t="shared" si="67"/>
        <v>1.4753671382039293</v>
      </c>
      <c r="AR71" s="131"/>
      <c r="AS71" s="131">
        <f>AM71*AN71</f>
        <v>1.1641487314755643</v>
      </c>
      <c r="AU71" s="134"/>
      <c r="AW71" s="129">
        <f t="shared" ref="AW71" si="131">D71/$I71</f>
        <v>0.76503528023697953</v>
      </c>
      <c r="AX71" s="129">
        <f t="shared" ref="AX71" si="132">E71/$I71</f>
        <v>6.7847333324646222E-2</v>
      </c>
      <c r="AY71" s="129">
        <f t="shared" ref="AY71" si="133">F71/$I71</f>
        <v>5.566684408674865E-2</v>
      </c>
      <c r="AZ71" s="129">
        <f t="shared" ref="AZ71" si="134">G71/$I71</f>
        <v>1.429666313993792E-2</v>
      </c>
      <c r="BA71" s="129">
        <f t="shared" ref="BA71" si="135">H71/$I71</f>
        <v>9.7153879211687597E-2</v>
      </c>
      <c r="BC71" s="129">
        <f t="shared" ref="BC71" si="136">(AW71-AW70)/LN(AW71/AW70)</f>
        <v>0.77241437574027794</v>
      </c>
      <c r="BD71" s="129">
        <f t="shared" ref="BD71" si="137">(AX71-AX70)/LN(AX71/AX70)</f>
        <v>6.4742243109616224E-2</v>
      </c>
      <c r="BE71" s="129">
        <f t="shared" ref="BE71" si="138">(AY71-AY70)/LN(AY71/AY70)</f>
        <v>5.4190223733793445E-2</v>
      </c>
      <c r="BF71" s="129">
        <f t="shared" ref="BF71" si="139">(AZ71-AZ70)/LN(AZ71/AZ70)</f>
        <v>1.4038703987398425E-2</v>
      </c>
      <c r="BG71" s="129">
        <f t="shared" ref="BG71" si="140">(BA71-BA70)/LN(BA71/BA70)</f>
        <v>9.4503642640105578E-2</v>
      </c>
      <c r="BH71" s="129">
        <f>SUM(BC71:BG71)</f>
        <v>0.99988918921119152</v>
      </c>
      <c r="BI71" s="129"/>
      <c r="BJ71" s="129">
        <f t="shared" ref="BJ71" si="141">BC71/$BH71</f>
        <v>0.77249997707209184</v>
      </c>
      <c r="BK71" s="129">
        <f t="shared" ref="BK71" si="142">BD71/$BH71</f>
        <v>6.4749418043704543E-2</v>
      </c>
      <c r="BL71" s="129">
        <f t="shared" ref="BL71" si="143">BE71/$BH71</f>
        <v>5.4196229260708273E-2</v>
      </c>
      <c r="BM71" s="129">
        <f t="shared" ref="BM71" si="144">BF71/$BH71</f>
        <v>1.4040259799661902E-2</v>
      </c>
      <c r="BN71" s="129">
        <f t="shared" ref="BN71" si="145">BG71/$BH71</f>
        <v>9.4514115823833553E-2</v>
      </c>
      <c r="BQ71" s="129">
        <f t="shared" ref="BQ71" si="146">LN(Y71/Y70)</f>
        <v>9.3954362204239483E-3</v>
      </c>
      <c r="BR71" s="129">
        <f t="shared" ref="BR71" si="147">LN(Z71/Z70)</f>
        <v>3.0620957261630187E-2</v>
      </c>
      <c r="BS71" s="129">
        <f t="shared" ref="BS71" si="148">LN(AA71/AA70)</f>
        <v>-1.6472644072918425E-3</v>
      </c>
      <c r="BT71" s="129">
        <f t="shared" ref="BT71" si="149">LN(AB71/AB70)</f>
        <v>0</v>
      </c>
      <c r="BU71" s="129">
        <f t="shared" ref="BU71" si="150">LN(AC71/AC70)</f>
        <v>2.8473628463001432E-3</v>
      </c>
      <c r="BW71" s="129">
        <f t="shared" ref="BW71" si="151">K71/$P71</f>
        <v>0.36301459474024733</v>
      </c>
      <c r="BX71" s="129">
        <f t="shared" ref="BX71" si="152">L71/$P71</f>
        <v>0.42769913787298874</v>
      </c>
      <c r="BY71" s="129">
        <f t="shared" ref="BY71" si="153">M71/$P71</f>
        <v>8.8329427862954054E-3</v>
      </c>
      <c r="BZ71" s="129">
        <f t="shared" ref="BZ71" si="154">N71/$P71</f>
        <v>0.12360332348348098</v>
      </c>
      <c r="CA71" s="129">
        <f t="shared" ref="CA71" si="155">O71/$P71</f>
        <v>7.6850001116987587E-2</v>
      </c>
      <c r="CC71" s="129">
        <f t="shared" ref="CC71" si="156">LN(BW71/BW70)</f>
        <v>-5.3950189285499633E-2</v>
      </c>
      <c r="CD71" s="129">
        <f t="shared" ref="CD71" si="157">LN(BX71/BX70)</f>
        <v>3.8903649827741756E-2</v>
      </c>
      <c r="CE71" s="129">
        <f t="shared" ref="CE71" si="158">LN(BY71/BY70)</f>
        <v>3.0747863418478891E-2</v>
      </c>
      <c r="CF71" s="129">
        <f t="shared" ref="CF71" si="159">LN(BZ71/BZ70)</f>
        <v>1.1616457071658405E-2</v>
      </c>
      <c r="CG71" s="129">
        <f t="shared" ref="CG71" si="160">LN(CA71/CA70)</f>
        <v>2.7814558018181033E-2</v>
      </c>
      <c r="CI71" s="129">
        <f t="shared" ref="CI71" si="161">LN(AE71/AE70)</f>
        <v>4.7606337609182368E-4</v>
      </c>
      <c r="CJ71" s="129">
        <f t="shared" ref="CJ71" si="162">LN(AF71/AF70)</f>
        <v>0</v>
      </c>
      <c r="CK71" s="129">
        <f t="shared" ref="CK71" si="163">LN(AG71/AG70)</f>
        <v>0</v>
      </c>
      <c r="CL71" s="129">
        <f t="shared" ref="CL71" si="164">LN(AH71/AH70)</f>
        <v>0</v>
      </c>
      <c r="CM71" s="129">
        <f t="shared" ref="CM71" si="165">LN(AI71/AI70)</f>
        <v>0</v>
      </c>
      <c r="CO71" s="129">
        <f>EXP(SUMPRODUCT($BJ71:$BN71,BQ71:BU71))</f>
        <v>1.009465016503923</v>
      </c>
      <c r="CP71" s="129">
        <f>IF(ISERR(CO71),CP70,CO71*CP70)</f>
        <v>0.92349273190171899</v>
      </c>
      <c r="CQ71" s="129">
        <f t="shared" si="87"/>
        <v>0.91143678448002097</v>
      </c>
      <c r="CR71" s="129"/>
      <c r="CS71" s="129">
        <f>EXP(SUMPRODUCT($BJ71:$BN71,CC71:CG71))</f>
        <v>0.96589596562319102</v>
      </c>
      <c r="CT71" s="129">
        <f>IF(ISERR(CS71),CT70,CS71*CT70)</f>
        <v>1.2289634256608573</v>
      </c>
      <c r="CU71" s="129">
        <f t="shared" si="88"/>
        <v>1.1744355125437158</v>
      </c>
      <c r="CV71" s="129"/>
      <c r="CW71" s="129">
        <f>EXP(SUMPRODUCT($BJ71:$BL71,CI71:CK71))</f>
        <v>1.0003678265787279</v>
      </c>
      <c r="CX71" s="129">
        <f>IF(ISERR(CW71),CX70,CW71*CX70)</f>
        <v>1.0100073863071841</v>
      </c>
      <c r="CY71" s="129">
        <f t="shared" si="89"/>
        <v>0.99124108479496564</v>
      </c>
      <c r="DA71">
        <f t="shared" si="55"/>
        <v>2011</v>
      </c>
      <c r="DB71" s="4">
        <f>'Freight-based Activity'!G69</f>
        <v>499748</v>
      </c>
      <c r="DC71" s="4">
        <f>'Freight-based Activity'!I69</f>
        <v>604306</v>
      </c>
      <c r="DD71">
        <f t="shared" ref="DD71" si="166">G71</f>
        <v>108.44531599999999</v>
      </c>
      <c r="DE71">
        <f t="shared" ref="DE71" si="167">DA71</f>
        <v>2011</v>
      </c>
      <c r="DF71" s="136">
        <f t="shared" ref="DF71" si="168">DD71/DB71*1000</f>
        <v>0.217</v>
      </c>
      <c r="DG71" s="136">
        <f t="shared" ref="DG71" si="169">DD71/DC71*1000</f>
        <v>0.17945430957164085</v>
      </c>
      <c r="DH71" s="136">
        <f t="shared" ref="DH71" si="170">DF71/DF$45</f>
        <v>0.7231034479789471</v>
      </c>
      <c r="DI71" s="136">
        <f t="shared" ref="DI71" si="171">DG71/DG$45</f>
        <v>0.64616743880921901</v>
      </c>
      <c r="DJ71" s="136">
        <f t="shared" ref="DJ71" si="172">DB71/DC71</f>
        <v>0.82697838512276889</v>
      </c>
    </row>
    <row r="72" spans="1:114" ht="12.75" hidden="1" customHeight="1" x14ac:dyDescent="0.2">
      <c r="A72" s="133"/>
      <c r="B72" s="133"/>
      <c r="C72" s="173"/>
      <c r="D72" s="489"/>
      <c r="E72" s="500"/>
      <c r="F72" s="5"/>
      <c r="G72" s="5"/>
      <c r="H72" s="5"/>
      <c r="I72" s="5"/>
      <c r="K72" s="5"/>
      <c r="L72" s="5"/>
      <c r="M72" s="5"/>
      <c r="N72" s="5"/>
      <c r="O72" s="5"/>
      <c r="P72" s="5"/>
      <c r="AU72" s="134"/>
      <c r="CO72" s="129"/>
      <c r="CP72" s="129"/>
      <c r="CQ72" s="129"/>
      <c r="CR72" s="129"/>
      <c r="CS72" s="129"/>
      <c r="CT72" s="129"/>
      <c r="CU72" s="129"/>
      <c r="CV72" s="129"/>
      <c r="CW72" s="129"/>
      <c r="CX72" s="129"/>
      <c r="CY72" s="129"/>
    </row>
    <row r="73" spans="1:114" ht="12.75" hidden="1" customHeight="1" x14ac:dyDescent="0.2">
      <c r="A73" s="133" t="s">
        <v>684</v>
      </c>
      <c r="B73" s="133">
        <f>Base_year</f>
        <v>1985</v>
      </c>
      <c r="D73" s="5"/>
      <c r="E73" s="5">
        <f>INDEX(E9:E70,Base_row,0)</f>
        <v>436.099153</v>
      </c>
      <c r="F73" s="5">
        <f>INDEX(F9:F70,Base_row,0)</f>
        <v>194.21375717266014</v>
      </c>
      <c r="G73" s="5">
        <f>INDEX(G9:G70,Base_row,0)</f>
        <v>267.97616653826503</v>
      </c>
      <c r="H73" s="5"/>
      <c r="I73" s="5">
        <f>INDEX(I9:I70,Base_row,0)</f>
        <v>5141.3362509100898</v>
      </c>
      <c r="K73" s="5"/>
      <c r="L73" s="5">
        <f>INDEX(L9:L70,Base_row,0)</f>
        <v>876984</v>
      </c>
      <c r="M73" s="5">
        <f>INDEX(M9:M70,Base_row,0)</f>
        <v>9047.7990000000009</v>
      </c>
      <c r="N73" s="5">
        <f>INDEX(N9:N70,Base_row,0)</f>
        <v>892970</v>
      </c>
      <c r="O73" s="5"/>
      <c r="P73" s="5">
        <f>INDEX(P9:P70,Base_row,0)</f>
        <v>2907741.7482392583</v>
      </c>
      <c r="R73" s="125">
        <f t="shared" ref="R73:W73" si="173">INDEX(R9:R70,Base_row,0)</f>
        <v>4069.5617178723223</v>
      </c>
      <c r="S73" s="125">
        <f t="shared" si="173"/>
        <v>497.27150438320422</v>
      </c>
      <c r="T73" s="125">
        <f t="shared" si="173"/>
        <v>21465.304122324127</v>
      </c>
      <c r="U73" s="125">
        <f t="shared" si="173"/>
        <v>300.09537446752415</v>
      </c>
      <c r="V73" s="125">
        <f t="shared" si="173"/>
        <v>2473.336597924369</v>
      </c>
      <c r="W73" s="125">
        <f t="shared" si="173"/>
        <v>1768.154360346256</v>
      </c>
      <c r="AU73" s="134"/>
      <c r="CO73" s="129"/>
      <c r="CP73" s="129">
        <f>INDEX(CP9:CP70,Base_row,1)</f>
        <v>1.0132274093244722</v>
      </c>
      <c r="CQ73" s="129"/>
      <c r="CR73" s="129"/>
      <c r="CS73" s="129"/>
      <c r="CT73" s="129">
        <f>INDEX(CT9:CT70,Base_row,1)</f>
        <v>1.0464290397682536</v>
      </c>
      <c r="CU73" s="129"/>
      <c r="CV73" s="129"/>
      <c r="CW73" s="129"/>
      <c r="CX73" s="129">
        <f>INDEX(CX9:CX70,Base_row,1)</f>
        <v>1.0189321264020248</v>
      </c>
      <c r="CY73" s="129"/>
    </row>
    <row r="74" spans="1:114" ht="12.75" hidden="1" customHeight="1" x14ac:dyDescent="0.2">
      <c r="A74" s="133" t="s">
        <v>683</v>
      </c>
      <c r="B74" s="133">
        <f>Base_year2</f>
        <v>1996</v>
      </c>
      <c r="K74" s="5"/>
      <c r="L74" s="5"/>
      <c r="M74" s="5">
        <f>INDEX(M9:M70,Base_row2,0)</f>
        <v>24892.478999999999</v>
      </c>
      <c r="N74" s="5"/>
      <c r="O74" s="5"/>
      <c r="P74" s="5">
        <f>INDEX(P9:P70,Base_row2,0)</f>
        <v>3785873.0080900108</v>
      </c>
      <c r="R74" s="125">
        <f t="shared" ref="R74:W74" si="174">INDEX(R9:R70,Base_row2,0)</f>
        <v>3754.0577119025302</v>
      </c>
      <c r="S74" s="125">
        <f t="shared" si="174"/>
        <v>368.3391655450875</v>
      </c>
      <c r="T74" s="125">
        <f t="shared" si="174"/>
        <v>16715.527141917588</v>
      </c>
      <c r="U74" s="125">
        <f t="shared" si="174"/>
        <v>268.68686868686871</v>
      </c>
      <c r="V74" s="125">
        <f t="shared" si="174"/>
        <v>2674.7426166418095</v>
      </c>
      <c r="W74" s="125">
        <f t="shared" si="174"/>
        <v>1840.9038490575156</v>
      </c>
      <c r="AM74" s="596">
        <f>1.24*0.88</f>
        <v>1.0911999999999999</v>
      </c>
      <c r="AU74" s="134"/>
    </row>
    <row r="75" spans="1:114" x14ac:dyDescent="0.2">
      <c r="A75" s="133"/>
      <c r="B75" s="133"/>
      <c r="AM75" s="136"/>
      <c r="AU75" s="134"/>
    </row>
    <row r="76" spans="1:114" x14ac:dyDescent="0.2">
      <c r="A76" s="133"/>
      <c r="B76" s="133"/>
      <c r="AK76" s="136">
        <f>1.174*0.99</f>
        <v>1.1622599999999998</v>
      </c>
      <c r="AL76" s="136">
        <f>AK76*0.91</f>
        <v>1.0576565999999998</v>
      </c>
      <c r="AU76" s="134"/>
    </row>
    <row r="77" spans="1:114" x14ac:dyDescent="0.2">
      <c r="A77" s="133"/>
      <c r="B77" s="133"/>
      <c r="F77" s="136"/>
      <c r="G77" s="136"/>
      <c r="H77" s="136"/>
      <c r="AU77" s="134"/>
    </row>
    <row r="78" spans="1:114" x14ac:dyDescent="0.2">
      <c r="A78" s="133"/>
      <c r="B78" s="133"/>
      <c r="AU78" s="134"/>
    </row>
    <row r="79" spans="1:114" x14ac:dyDescent="0.2">
      <c r="A79" s="133"/>
      <c r="B79" s="133"/>
      <c r="AU79" s="134"/>
    </row>
    <row r="80" spans="1:114" x14ac:dyDescent="0.2">
      <c r="A80" s="133"/>
      <c r="B80" s="133"/>
      <c r="AU80" s="134"/>
    </row>
    <row r="81" spans="1:47" x14ac:dyDescent="0.2">
      <c r="A81" s="133"/>
      <c r="B81" s="133"/>
      <c r="AU81" s="134"/>
    </row>
    <row r="82" spans="1:47" ht="15" x14ac:dyDescent="0.2">
      <c r="A82" s="133"/>
      <c r="B82" s="133"/>
      <c r="Q82" s="643" t="s">
        <v>1161</v>
      </c>
      <c r="X82" s="643" t="s">
        <v>1162</v>
      </c>
      <c r="AU82" s="134"/>
    </row>
    <row r="83" spans="1:47" x14ac:dyDescent="0.2">
      <c r="A83" s="133"/>
      <c r="B83" s="133"/>
      <c r="AU83" s="134"/>
    </row>
    <row r="84" spans="1:47" x14ac:dyDescent="0.2">
      <c r="A84" s="133"/>
      <c r="B84" s="133"/>
      <c r="AU84" s="134"/>
    </row>
    <row r="85" spans="1:47" x14ac:dyDescent="0.2">
      <c r="A85" s="133"/>
      <c r="B85" s="133"/>
      <c r="R85" s="220" t="str">
        <f>R6</f>
        <v xml:space="preserve">  Highway</v>
      </c>
      <c r="S85" s="220" t="str">
        <f>S6</f>
        <v>Rail</v>
      </c>
      <c r="T85" s="220" t="str">
        <f>T6</f>
        <v>Air</v>
      </c>
      <c r="U85" s="220" t="str">
        <f>U6</f>
        <v>Waterborne</v>
      </c>
      <c r="V85" s="220" t="str">
        <f>V6</f>
        <v>Pipeline</v>
      </c>
      <c r="Y85" t="str">
        <f>Y6</f>
        <v xml:space="preserve">  Highway</v>
      </c>
      <c r="Z85" t="str">
        <f>Z6</f>
        <v>Rail</v>
      </c>
      <c r="AA85" t="str">
        <f>AA6</f>
        <v>Air</v>
      </c>
      <c r="AB85" t="str">
        <f>AB6</f>
        <v>Waterborne</v>
      </c>
      <c r="AC85" t="str">
        <f>AC6</f>
        <v>Pipeline</v>
      </c>
      <c r="AU85" s="134"/>
    </row>
    <row r="86" spans="1:47" x14ac:dyDescent="0.2">
      <c r="A86" s="133"/>
      <c r="B86" s="133"/>
      <c r="Q86">
        <f>1970</f>
        <v>1970</v>
      </c>
      <c r="R86">
        <f t="shared" ref="R86:S105" si="175">R30</f>
        <v>3310.3607480379032</v>
      </c>
      <c r="S86">
        <f t="shared" si="175"/>
        <v>690.5290838627684</v>
      </c>
      <c r="U86">
        <f t="shared" ref="U86:V105" si="176">U30</f>
        <v>348.92443384575643</v>
      </c>
      <c r="V86">
        <f t="shared" si="176"/>
        <v>2947.6731915201676</v>
      </c>
      <c r="X86">
        <f>1970</f>
        <v>1970</v>
      </c>
      <c r="Y86" s="136">
        <f t="shared" ref="Y86:AC95" si="177">Y30</f>
        <v>0.83899610764976162</v>
      </c>
      <c r="Z86" s="136">
        <f t="shared" si="177"/>
        <v>1.3886359418870646</v>
      </c>
      <c r="AA86" s="136">
        <f t="shared" si="177"/>
        <v>1.8627098160814253</v>
      </c>
      <c r="AB86" s="136">
        <f t="shared" si="177"/>
        <v>1.1627118027556151</v>
      </c>
      <c r="AC86" s="136">
        <f t="shared" si="177"/>
        <v>1.1917800407732062</v>
      </c>
      <c r="AU86" s="134"/>
    </row>
    <row r="87" spans="1:47" x14ac:dyDescent="0.2">
      <c r="A87" s="133"/>
      <c r="B87" s="133"/>
      <c r="Q87">
        <f>Q86+1</f>
        <v>1971</v>
      </c>
      <c r="R87">
        <f t="shared" si="175"/>
        <v>3213.7442510744586</v>
      </c>
      <c r="S87">
        <f t="shared" si="175"/>
        <v>716.78569570783372</v>
      </c>
      <c r="U87">
        <f t="shared" si="176"/>
        <v>345.43518950729879</v>
      </c>
      <c r="V87">
        <f t="shared" si="176"/>
        <v>2935.5408360815291</v>
      </c>
      <c r="X87">
        <f>X86+1</f>
        <v>1971</v>
      </c>
      <c r="Y87" s="136">
        <f t="shared" si="177"/>
        <v>0.81638838324961338</v>
      </c>
      <c r="Z87" s="136">
        <f t="shared" si="177"/>
        <v>1.441437302137202</v>
      </c>
      <c r="AA87" s="136">
        <f t="shared" si="177"/>
        <v>1.7835718420577034</v>
      </c>
      <c r="AB87" s="136">
        <f t="shared" si="177"/>
        <v>1.1510846847280589</v>
      </c>
      <c r="AC87" s="136">
        <f t="shared" si="177"/>
        <v>1.1868747822455881</v>
      </c>
      <c r="AU87" s="134"/>
    </row>
    <row r="88" spans="1:47" x14ac:dyDescent="0.2">
      <c r="A88" s="133"/>
      <c r="B88" s="133"/>
      <c r="Q88">
        <f t="shared" ref="Q88:Q127" si="178">Q87+1</f>
        <v>1972</v>
      </c>
      <c r="R88">
        <f t="shared" si="175"/>
        <v>3346.0502125876415</v>
      </c>
      <c r="S88">
        <f t="shared" si="175"/>
        <v>713.7234301818097</v>
      </c>
      <c r="U88">
        <f t="shared" si="176"/>
        <v>341.98083761222586</v>
      </c>
      <c r="V88">
        <f t="shared" si="176"/>
        <v>2991.7433106462722</v>
      </c>
      <c r="X88">
        <f t="shared" ref="X88:X89" si="179">X87+1</f>
        <v>1972</v>
      </c>
      <c r="Y88" s="136">
        <f t="shared" si="177"/>
        <v>0.84422157578282475</v>
      </c>
      <c r="Z88" s="136">
        <f t="shared" si="177"/>
        <v>1.4352791661912818</v>
      </c>
      <c r="AA88" s="136">
        <f t="shared" si="177"/>
        <v>1.6131389317911105</v>
      </c>
      <c r="AB88" s="136">
        <f t="shared" si="177"/>
        <v>1.1395738378807785</v>
      </c>
      <c r="AC88" s="136">
        <f t="shared" si="177"/>
        <v>1.2095981247182255</v>
      </c>
      <c r="AU88" s="134"/>
    </row>
    <row r="89" spans="1:47" x14ac:dyDescent="0.2">
      <c r="A89" s="133"/>
      <c r="B89" s="133"/>
      <c r="Q89">
        <f t="shared" si="178"/>
        <v>1973</v>
      </c>
      <c r="R89">
        <f t="shared" si="175"/>
        <v>3435.8499651694124</v>
      </c>
      <c r="S89">
        <f t="shared" si="175"/>
        <v>677.49137541397181</v>
      </c>
      <c r="U89">
        <f t="shared" si="176"/>
        <v>338.56102923610359</v>
      </c>
      <c r="V89">
        <f t="shared" si="176"/>
        <v>2851.2508040708694</v>
      </c>
      <c r="X89">
        <f t="shared" si="179"/>
        <v>1973</v>
      </c>
      <c r="Y89" s="136">
        <f t="shared" si="177"/>
        <v>0.86751770957652163</v>
      </c>
      <c r="Z89" s="136">
        <f t="shared" si="177"/>
        <v>1.3624174509140738</v>
      </c>
      <c r="AA89" s="136">
        <f t="shared" si="177"/>
        <v>1.6755788187723677</v>
      </c>
      <c r="AB89" s="136">
        <f t="shared" si="177"/>
        <v>1.1281780995019706</v>
      </c>
      <c r="AC89" s="136">
        <f t="shared" si="177"/>
        <v>1.1527952994605131</v>
      </c>
      <c r="AU89" s="134"/>
    </row>
    <row r="90" spans="1:47" x14ac:dyDescent="0.2">
      <c r="A90" s="133"/>
      <c r="B90" s="133"/>
      <c r="Q90">
        <f t="shared" si="178"/>
        <v>1974</v>
      </c>
      <c r="R90">
        <f t="shared" si="175"/>
        <v>3496.6145296054247</v>
      </c>
      <c r="S90">
        <f t="shared" si="175"/>
        <v>680.55353006777045</v>
      </c>
      <c r="U90">
        <f t="shared" si="176"/>
        <v>335.1754189437425</v>
      </c>
      <c r="V90">
        <f t="shared" si="176"/>
        <v>2721.4451180375331</v>
      </c>
      <c r="X90">
        <f t="shared" ref="X90:X127" si="180">X89+1</f>
        <v>1974</v>
      </c>
      <c r="Y90" s="136">
        <f t="shared" si="177"/>
        <v>0.8797253823689305</v>
      </c>
      <c r="Z90" s="136">
        <f t="shared" si="177"/>
        <v>1.3685753638988463</v>
      </c>
      <c r="AA90" s="136">
        <f t="shared" si="177"/>
        <v>1.6353910609422622</v>
      </c>
      <c r="AB90" s="136">
        <f t="shared" si="177"/>
        <v>1.1168963185069507</v>
      </c>
      <c r="AC90" s="136">
        <f t="shared" si="177"/>
        <v>1.1003132854304496</v>
      </c>
      <c r="AU90" s="134"/>
    </row>
    <row r="91" spans="1:47" x14ac:dyDescent="0.2">
      <c r="A91" s="133"/>
      <c r="B91" s="133"/>
      <c r="Q91">
        <f t="shared" si="178"/>
        <v>1975</v>
      </c>
      <c r="R91">
        <f t="shared" si="175"/>
        <v>3788.9063464902365</v>
      </c>
      <c r="S91">
        <f t="shared" si="175"/>
        <v>687.1050137089461</v>
      </c>
      <c r="U91">
        <f t="shared" si="176"/>
        <v>331.82366475430507</v>
      </c>
      <c r="V91">
        <f t="shared" si="176"/>
        <v>2577.3577697632868</v>
      </c>
      <c r="X91">
        <f t="shared" si="180"/>
        <v>1975</v>
      </c>
      <c r="Y91" s="136">
        <f t="shared" si="177"/>
        <v>0.92444462122853799</v>
      </c>
      <c r="Z91" s="136">
        <f t="shared" si="177"/>
        <v>1.3817502262897687</v>
      </c>
      <c r="AA91" s="136">
        <f t="shared" si="177"/>
        <v>1.6484199147739309</v>
      </c>
      <c r="AB91" s="136">
        <f t="shared" si="177"/>
        <v>1.1057273553218812</v>
      </c>
      <c r="AC91" s="136">
        <f t="shared" si="177"/>
        <v>1.0420570220511889</v>
      </c>
      <c r="AU91" s="134"/>
    </row>
    <row r="92" spans="1:47" x14ac:dyDescent="0.2">
      <c r="A92" s="133"/>
      <c r="B92" s="133"/>
      <c r="Q92">
        <f t="shared" si="178"/>
        <v>1976</v>
      </c>
      <c r="R92">
        <f t="shared" si="175"/>
        <v>3610.3452441181557</v>
      </c>
      <c r="S92">
        <f t="shared" si="175"/>
        <v>680.44273208917718</v>
      </c>
      <c r="U92">
        <f t="shared" si="176"/>
        <v>328.505428106762</v>
      </c>
      <c r="V92">
        <f t="shared" si="176"/>
        <v>2396.1700606431882</v>
      </c>
      <c r="X92">
        <f t="shared" si="180"/>
        <v>1976</v>
      </c>
      <c r="Y92" s="136">
        <f t="shared" si="177"/>
        <v>0.89563792053012126</v>
      </c>
      <c r="Z92" s="136">
        <f t="shared" si="177"/>
        <v>1.3683525520594051</v>
      </c>
      <c r="AA92" s="136">
        <f t="shared" si="177"/>
        <v>1.4570902261655481</v>
      </c>
      <c r="AB92" s="136">
        <f t="shared" si="177"/>
        <v>1.0946700817686623</v>
      </c>
      <c r="AC92" s="136">
        <f t="shared" si="177"/>
        <v>0.96880063257627802</v>
      </c>
      <c r="AU92" s="134"/>
    </row>
    <row r="93" spans="1:47" x14ac:dyDescent="0.2">
      <c r="A93" s="133"/>
      <c r="B93" s="133"/>
      <c r="Q93">
        <f t="shared" si="178"/>
        <v>1977</v>
      </c>
      <c r="R93">
        <f t="shared" si="175"/>
        <v>3677.8509629965811</v>
      </c>
      <c r="S93">
        <f t="shared" si="175"/>
        <v>668.92705036476207</v>
      </c>
      <c r="U93">
        <f t="shared" si="176"/>
        <v>325.22037382569442</v>
      </c>
      <c r="V93">
        <f t="shared" si="176"/>
        <v>2386.2018106113405</v>
      </c>
      <c r="X93">
        <f t="shared" si="180"/>
        <v>1977</v>
      </c>
      <c r="Y93" s="136">
        <f t="shared" si="177"/>
        <v>0.91393190589525397</v>
      </c>
      <c r="Z93" s="136">
        <f t="shared" si="177"/>
        <v>1.3451948170536587</v>
      </c>
      <c r="AA93" s="136">
        <f t="shared" si="177"/>
        <v>1.2933771801114757</v>
      </c>
      <c r="AB93" s="136">
        <f t="shared" si="177"/>
        <v>1.0837233809509759</v>
      </c>
      <c r="AC93" s="136">
        <f t="shared" si="177"/>
        <v>0.96477034812562423</v>
      </c>
      <c r="AU93" s="134"/>
    </row>
    <row r="94" spans="1:47" x14ac:dyDescent="0.2">
      <c r="A94" s="133"/>
      <c r="B94" s="133"/>
      <c r="Q94">
        <f t="shared" si="178"/>
        <v>1978</v>
      </c>
      <c r="R94">
        <f t="shared" si="175"/>
        <v>3780.0608916343817</v>
      </c>
      <c r="S94">
        <f t="shared" si="175"/>
        <v>641.36972852972531</v>
      </c>
      <c r="U94">
        <f t="shared" si="176"/>
        <v>321.96817008743739</v>
      </c>
      <c r="V94">
        <f t="shared" si="176"/>
        <v>2359.8760262339852</v>
      </c>
      <c r="X94">
        <f t="shared" si="180"/>
        <v>1978</v>
      </c>
      <c r="Y94" s="136">
        <f t="shared" si="177"/>
        <v>0.93772567089734571</v>
      </c>
      <c r="Z94" s="136">
        <f t="shared" si="177"/>
        <v>1.2897777630054528</v>
      </c>
      <c r="AA94" s="136">
        <f t="shared" si="177"/>
        <v>1.1693500680011124</v>
      </c>
      <c r="AB94" s="136">
        <f t="shared" si="177"/>
        <v>1.0728861471414657</v>
      </c>
      <c r="AC94" s="136">
        <f t="shared" si="177"/>
        <v>0.95412651404357973</v>
      </c>
      <c r="AU94" s="134"/>
    </row>
    <row r="95" spans="1:47" x14ac:dyDescent="0.2">
      <c r="A95" s="133"/>
      <c r="B95" s="133"/>
      <c r="Q95">
        <f t="shared" si="178"/>
        <v>1979</v>
      </c>
      <c r="R95">
        <f t="shared" si="175"/>
        <v>3873.9476199737169</v>
      </c>
      <c r="S95">
        <f t="shared" si="175"/>
        <v>618.18047553326198</v>
      </c>
      <c r="U95">
        <f t="shared" si="176"/>
        <v>318.74848838656305</v>
      </c>
      <c r="V95">
        <f t="shared" si="176"/>
        <v>2571.5690455718768</v>
      </c>
      <c r="X95">
        <f t="shared" si="180"/>
        <v>1979</v>
      </c>
      <c r="Y95" s="136">
        <f t="shared" si="177"/>
        <v>0.96870551682502759</v>
      </c>
      <c r="Z95" s="136">
        <f t="shared" si="177"/>
        <v>1.2431447812398349</v>
      </c>
      <c r="AA95" s="136">
        <f t="shared" si="177"/>
        <v>1.0932179643019484</v>
      </c>
      <c r="AB95" s="136">
        <f t="shared" si="177"/>
        <v>1.0621572856700512</v>
      </c>
      <c r="AC95" s="136">
        <f t="shared" si="177"/>
        <v>1.0397165706155582</v>
      </c>
      <c r="AU95" s="134"/>
    </row>
    <row r="96" spans="1:47" x14ac:dyDescent="0.2">
      <c r="A96" s="133"/>
      <c r="B96" s="133"/>
      <c r="Q96">
        <f t="shared" si="178"/>
        <v>1980</v>
      </c>
      <c r="R96">
        <f t="shared" si="175"/>
        <v>4207.325844910285</v>
      </c>
      <c r="S96">
        <f t="shared" si="175"/>
        <v>597.08566136863715</v>
      </c>
      <c r="U96">
        <f t="shared" si="176"/>
        <v>315.56100350269742</v>
      </c>
      <c r="V96">
        <f t="shared" si="176"/>
        <v>2704.4187432226886</v>
      </c>
      <c r="X96">
        <f t="shared" si="180"/>
        <v>1980</v>
      </c>
      <c r="Y96" s="136">
        <f t="shared" ref="Y96:AC105" si="181">Y40</f>
        <v>1.042755475424004</v>
      </c>
      <c r="Z96" s="136">
        <f t="shared" si="181"/>
        <v>1.2007236612305756</v>
      </c>
      <c r="AA96" s="136">
        <f t="shared" si="181"/>
        <v>1.0511274587541013</v>
      </c>
      <c r="AB96" s="136">
        <f t="shared" si="181"/>
        <v>1.0515357128133507</v>
      </c>
      <c r="AC96" s="136">
        <f t="shared" si="181"/>
        <v>1.0934293154810568</v>
      </c>
      <c r="AU96" s="134"/>
    </row>
    <row r="97" spans="1:47" x14ac:dyDescent="0.2">
      <c r="A97" s="133"/>
      <c r="B97" s="133"/>
      <c r="Q97">
        <f t="shared" si="178"/>
        <v>1981</v>
      </c>
      <c r="R97">
        <f t="shared" si="175"/>
        <v>4459.5465336431753</v>
      </c>
      <c r="S97">
        <f t="shared" si="175"/>
        <v>575.15356961179737</v>
      </c>
      <c r="U97">
        <f t="shared" si="176"/>
        <v>312.40539346767042</v>
      </c>
      <c r="V97">
        <f t="shared" si="176"/>
        <v>2795.9209127207378</v>
      </c>
      <c r="X97">
        <f t="shared" si="180"/>
        <v>1981</v>
      </c>
      <c r="Y97" s="136">
        <f t="shared" si="181"/>
        <v>1.0941752701555822</v>
      </c>
      <c r="Z97" s="136">
        <f t="shared" si="181"/>
        <v>1.1566187978641467</v>
      </c>
      <c r="AA97" s="136">
        <f t="shared" si="181"/>
        <v>1.1111062213081393</v>
      </c>
      <c r="AB97" s="136">
        <f t="shared" si="181"/>
        <v>1.0410203556852171</v>
      </c>
      <c r="AC97" s="136">
        <f t="shared" si="181"/>
        <v>1.130424752970171</v>
      </c>
      <c r="AU97" s="134"/>
    </row>
    <row r="98" spans="1:47" x14ac:dyDescent="0.2">
      <c r="A98" s="133"/>
      <c r="B98" s="133"/>
      <c r="Q98">
        <f t="shared" si="178"/>
        <v>1982</v>
      </c>
      <c r="R98">
        <f t="shared" si="175"/>
        <v>4474.2192593426271</v>
      </c>
      <c r="S98">
        <f t="shared" si="175"/>
        <v>552.55370255929415</v>
      </c>
      <c r="U98">
        <f t="shared" si="176"/>
        <v>309.28133953299363</v>
      </c>
      <c r="V98">
        <f t="shared" si="176"/>
        <v>2841.2014870058815</v>
      </c>
      <c r="X98">
        <f t="shared" si="180"/>
        <v>1982</v>
      </c>
      <c r="Y98" s="136">
        <f t="shared" si="181"/>
        <v>1.0886182459848992</v>
      </c>
      <c r="Z98" s="136">
        <f t="shared" si="181"/>
        <v>1.1111710558292693</v>
      </c>
      <c r="AA98" s="136">
        <f t="shared" si="181"/>
        <v>1.0500002088074458</v>
      </c>
      <c r="AB98" s="136">
        <f t="shared" si="181"/>
        <v>1.0306101521283646</v>
      </c>
      <c r="AC98" s="136">
        <f t="shared" si="181"/>
        <v>1.1487322386246279</v>
      </c>
      <c r="AU98" s="134"/>
    </row>
    <row r="99" spans="1:47" x14ac:dyDescent="0.2">
      <c r="A99" s="133"/>
      <c r="B99" s="133"/>
      <c r="Q99">
        <f t="shared" si="178"/>
        <v>1983</v>
      </c>
      <c r="R99">
        <f t="shared" si="175"/>
        <v>4175.1288550506242</v>
      </c>
      <c r="S99">
        <f t="shared" si="175"/>
        <v>525.36031692372694</v>
      </c>
      <c r="U99">
        <f t="shared" si="176"/>
        <v>306.1885261376637</v>
      </c>
      <c r="V99">
        <f t="shared" si="176"/>
        <v>2475.5527679805291</v>
      </c>
      <c r="X99">
        <f t="shared" si="180"/>
        <v>1983</v>
      </c>
      <c r="Y99" s="136">
        <f t="shared" si="181"/>
        <v>1.0275108010061607</v>
      </c>
      <c r="Z99" s="136">
        <f t="shared" si="181"/>
        <v>1.0564858679673652</v>
      </c>
      <c r="AA99" s="136">
        <f t="shared" si="181"/>
        <v>0.99386788700907736</v>
      </c>
      <c r="AB99" s="136">
        <f t="shared" si="181"/>
        <v>1.0203040506070811</v>
      </c>
      <c r="AC99" s="136">
        <f t="shared" si="181"/>
        <v>1.0008960244464986</v>
      </c>
      <c r="AU99" s="134"/>
    </row>
    <row r="100" spans="1:47" x14ac:dyDescent="0.2">
      <c r="A100" s="133"/>
      <c r="B100" s="133"/>
      <c r="Q100">
        <f t="shared" si="178"/>
        <v>1984</v>
      </c>
      <c r="R100">
        <f t="shared" si="175"/>
        <v>4101.5530193402237</v>
      </c>
      <c r="S100">
        <f t="shared" si="175"/>
        <v>509.9491885340006</v>
      </c>
      <c r="U100">
        <f t="shared" si="176"/>
        <v>303.12664087628707</v>
      </c>
      <c r="V100">
        <f t="shared" si="176"/>
        <v>2511.2440435642379</v>
      </c>
      <c r="X100">
        <f t="shared" si="180"/>
        <v>1984</v>
      </c>
      <c r="Y100" s="136">
        <f t="shared" si="181"/>
        <v>1.0114505892514025</v>
      </c>
      <c r="Z100" s="136">
        <f t="shared" si="181"/>
        <v>1.0254944915183131</v>
      </c>
      <c r="AA100" s="136">
        <f t="shared" si="181"/>
        <v>1.0230969204098488</v>
      </c>
      <c r="AB100" s="136">
        <f t="shared" si="181"/>
        <v>1.0101010101010102</v>
      </c>
      <c r="AC100" s="136">
        <f t="shared" si="181"/>
        <v>1.0153264402716884</v>
      </c>
      <c r="AU100" s="134"/>
    </row>
    <row r="101" spans="1:47" x14ac:dyDescent="0.2">
      <c r="A101" s="133"/>
      <c r="B101" s="133"/>
      <c r="Q101">
        <f t="shared" si="178"/>
        <v>1985</v>
      </c>
      <c r="R101">
        <f t="shared" si="175"/>
        <v>4069.5617178723223</v>
      </c>
      <c r="S101">
        <f t="shared" si="175"/>
        <v>497.27150438320422</v>
      </c>
      <c r="U101">
        <f t="shared" si="176"/>
        <v>300.09537446752415</v>
      </c>
      <c r="V101">
        <f t="shared" si="176"/>
        <v>2473.336597924369</v>
      </c>
      <c r="X101">
        <f t="shared" si="180"/>
        <v>1985</v>
      </c>
      <c r="Y101" s="136">
        <f t="shared" si="181"/>
        <v>1</v>
      </c>
      <c r="Z101" s="136">
        <f t="shared" si="181"/>
        <v>1</v>
      </c>
      <c r="AA101" s="136">
        <f t="shared" si="181"/>
        <v>1</v>
      </c>
      <c r="AB101" s="136">
        <f t="shared" si="181"/>
        <v>1</v>
      </c>
      <c r="AC101" s="136">
        <f t="shared" si="181"/>
        <v>1</v>
      </c>
      <c r="AU101" s="134"/>
    </row>
    <row r="102" spans="1:47" x14ac:dyDescent="0.2">
      <c r="A102" s="133"/>
      <c r="B102" s="133"/>
      <c r="Q102">
        <f t="shared" si="178"/>
        <v>1986</v>
      </c>
      <c r="R102">
        <f t="shared" si="175"/>
        <v>4025.2165689546637</v>
      </c>
      <c r="S102">
        <f t="shared" si="175"/>
        <v>485.77640108237432</v>
      </c>
      <c r="U102">
        <f t="shared" si="176"/>
        <v>297.09442072284889</v>
      </c>
      <c r="V102">
        <f t="shared" si="176"/>
        <v>2541.7402846297605</v>
      </c>
      <c r="X102">
        <f t="shared" si="180"/>
        <v>1986</v>
      </c>
      <c r="Y102" s="136">
        <f t="shared" si="181"/>
        <v>0.99593533776503185</v>
      </c>
      <c r="Z102" s="136">
        <f t="shared" si="181"/>
        <v>0.97688364766630265</v>
      </c>
      <c r="AA102" s="136">
        <f t="shared" si="181"/>
        <v>0.99168936986328837</v>
      </c>
      <c r="AB102" s="136">
        <f t="shared" si="181"/>
        <v>0.99</v>
      </c>
      <c r="AC102" s="136">
        <f t="shared" si="181"/>
        <v>1.0276564406004407</v>
      </c>
      <c r="AU102" s="134"/>
    </row>
    <row r="103" spans="1:47" x14ac:dyDescent="0.2">
      <c r="A103" s="133"/>
      <c r="B103" s="133"/>
      <c r="Q103">
        <f t="shared" si="178"/>
        <v>1987</v>
      </c>
      <c r="R103">
        <f t="shared" si="175"/>
        <v>3944.1368355763771</v>
      </c>
      <c r="S103">
        <f t="shared" si="175"/>
        <v>455.92609555315136</v>
      </c>
      <c r="U103">
        <f t="shared" si="176"/>
        <v>294.12347651562033</v>
      </c>
      <c r="V103">
        <f t="shared" si="176"/>
        <v>2593.061073915906</v>
      </c>
      <c r="X103">
        <f t="shared" si="180"/>
        <v>1987</v>
      </c>
      <c r="Y103" s="136">
        <f t="shared" si="181"/>
        <v>0.97522693411106076</v>
      </c>
      <c r="Z103" s="136">
        <f t="shared" si="181"/>
        <v>0.91685546333217693</v>
      </c>
      <c r="AA103" s="136">
        <f t="shared" si="181"/>
        <v>0.94175396036011549</v>
      </c>
      <c r="AB103" s="136">
        <f t="shared" si="181"/>
        <v>0.98009999999999964</v>
      </c>
      <c r="AC103" s="136">
        <f t="shared" si="181"/>
        <v>1.0484060584766384</v>
      </c>
      <c r="AU103" s="134"/>
    </row>
    <row r="104" spans="1:47" x14ac:dyDescent="0.2">
      <c r="A104" s="133"/>
      <c r="B104" s="133"/>
      <c r="Q104">
        <f t="shared" si="178"/>
        <v>1988</v>
      </c>
      <c r="R104">
        <f t="shared" si="175"/>
        <v>3829.9382562714127</v>
      </c>
      <c r="S104">
        <f t="shared" si="175"/>
        <v>443.07208210949398</v>
      </c>
      <c r="U104">
        <f t="shared" si="176"/>
        <v>291.18224175046413</v>
      </c>
      <c r="V104">
        <f t="shared" si="176"/>
        <v>2920.174476009423</v>
      </c>
      <c r="X104">
        <f t="shared" si="180"/>
        <v>1988</v>
      </c>
      <c r="Y104" s="136">
        <f t="shared" si="181"/>
        <v>0.95223370625609904</v>
      </c>
      <c r="Z104" s="136">
        <f t="shared" si="181"/>
        <v>0.89100637821397577</v>
      </c>
      <c r="AA104" s="136">
        <f t="shared" si="181"/>
        <v>0.9345425111869794</v>
      </c>
      <c r="AB104" s="136">
        <f t="shared" si="181"/>
        <v>0.97029899999999969</v>
      </c>
      <c r="AC104" s="136">
        <f t="shared" si="181"/>
        <v>1.180661976400641</v>
      </c>
      <c r="AU104" s="134"/>
    </row>
    <row r="105" spans="1:47" x14ac:dyDescent="0.2">
      <c r="A105" s="133"/>
      <c r="B105" s="133"/>
      <c r="Q105">
        <f t="shared" si="178"/>
        <v>1989</v>
      </c>
      <c r="R105">
        <f t="shared" si="175"/>
        <v>3829.2337444532836</v>
      </c>
      <c r="S105">
        <f t="shared" si="175"/>
        <v>436.52411028948325</v>
      </c>
      <c r="U105">
        <f t="shared" si="176"/>
        <v>288.27041933295948</v>
      </c>
      <c r="V105">
        <f t="shared" si="176"/>
        <v>2804.3858021779156</v>
      </c>
      <c r="X105">
        <f t="shared" si="180"/>
        <v>1989</v>
      </c>
      <c r="Y105" s="136">
        <f t="shared" si="181"/>
        <v>0.95080777849981069</v>
      </c>
      <c r="Z105" s="136">
        <f t="shared" si="181"/>
        <v>0.87783857800364085</v>
      </c>
      <c r="AA105" s="136">
        <f t="shared" si="181"/>
        <v>0.91877661673821298</v>
      </c>
      <c r="AB105" s="136">
        <f t="shared" si="181"/>
        <v>0.96059600999999972</v>
      </c>
      <c r="AC105" s="136">
        <f t="shared" si="181"/>
        <v>1.1338472104974973</v>
      </c>
      <c r="AU105" s="134"/>
    </row>
    <row r="106" spans="1:47" x14ac:dyDescent="0.2">
      <c r="A106" s="133"/>
      <c r="B106" s="133"/>
      <c r="Q106">
        <f t="shared" si="178"/>
        <v>1990</v>
      </c>
      <c r="R106">
        <f t="shared" ref="R106:S125" si="182">R50</f>
        <v>3908.9022194650111</v>
      </c>
      <c r="S106">
        <f t="shared" si="182"/>
        <v>420.4050604998796</v>
      </c>
      <c r="U106">
        <f t="shared" ref="U106:V125" si="183">U50</f>
        <v>285.38771513962985</v>
      </c>
      <c r="V106">
        <f t="shared" si="183"/>
        <v>2964.5794955098272</v>
      </c>
      <c r="X106">
        <f t="shared" si="180"/>
        <v>1990</v>
      </c>
      <c r="Y106" s="136">
        <f t="shared" ref="Y106:AC115" si="184">Y50</f>
        <v>0.97190293635708291</v>
      </c>
      <c r="Z106" s="136">
        <f t="shared" si="184"/>
        <v>0.84542359011971402</v>
      </c>
      <c r="AA106" s="136">
        <f t="shared" si="184"/>
        <v>0.93003867364269621</v>
      </c>
      <c r="AB106" s="136">
        <f t="shared" si="184"/>
        <v>0.95099004989999958</v>
      </c>
      <c r="AC106" s="136">
        <f t="shared" si="184"/>
        <v>1.1986154646309406</v>
      </c>
      <c r="AU106" s="134"/>
    </row>
    <row r="107" spans="1:47" x14ac:dyDescent="0.2">
      <c r="A107" s="133"/>
      <c r="B107" s="133"/>
      <c r="Q107">
        <f t="shared" si="178"/>
        <v>1991</v>
      </c>
      <c r="R107">
        <f t="shared" si="182"/>
        <v>3878.0861391785438</v>
      </c>
      <c r="S107">
        <f t="shared" si="182"/>
        <v>390.6496931777163</v>
      </c>
      <c r="U107">
        <f t="shared" si="183"/>
        <v>282.53383798823359</v>
      </c>
      <c r="V107">
        <f t="shared" si="183"/>
        <v>2617.7276708635327</v>
      </c>
      <c r="X107">
        <f t="shared" si="180"/>
        <v>1991</v>
      </c>
      <c r="Y107" s="136">
        <f t="shared" si="184"/>
        <v>0.96511375278514988</v>
      </c>
      <c r="Z107" s="136">
        <f t="shared" si="184"/>
        <v>0.78558632403894257</v>
      </c>
      <c r="AA107" s="136">
        <f t="shared" si="184"/>
        <v>0.85811851680397466</v>
      </c>
      <c r="AB107" s="136">
        <f t="shared" si="184"/>
        <v>0.94148014940099967</v>
      </c>
      <c r="AC107" s="136">
        <f t="shared" si="184"/>
        <v>1.0583790629469265</v>
      </c>
      <c r="AU107" s="134"/>
    </row>
    <row r="108" spans="1:47" x14ac:dyDescent="0.2">
      <c r="A108" s="133"/>
      <c r="B108" s="133"/>
      <c r="Q108">
        <f t="shared" si="178"/>
        <v>1992</v>
      </c>
      <c r="R108">
        <f t="shared" si="182"/>
        <v>3855.1401622565681</v>
      </c>
      <c r="S108">
        <f t="shared" si="182"/>
        <v>392.91232221046312</v>
      </c>
      <c r="U108">
        <f t="shared" si="183"/>
        <v>279.70849960835119</v>
      </c>
      <c r="V108">
        <f t="shared" si="183"/>
        <v>2470.1351070732717</v>
      </c>
      <c r="X108">
        <f t="shared" si="180"/>
        <v>1992</v>
      </c>
      <c r="Y108" s="136">
        <f t="shared" si="184"/>
        <v>0.96073392506628852</v>
      </c>
      <c r="Z108" s="136">
        <f t="shared" si="184"/>
        <v>0.7901364118939731</v>
      </c>
      <c r="AA108" s="136">
        <f t="shared" si="184"/>
        <v>0.86076686272450087</v>
      </c>
      <c r="AB108" s="136">
        <f t="shared" si="184"/>
        <v>0.93206534790698947</v>
      </c>
      <c r="AC108" s="136">
        <f t="shared" si="184"/>
        <v>0.99870559839943174</v>
      </c>
      <c r="AU108" s="134"/>
    </row>
    <row r="109" spans="1:47" x14ac:dyDescent="0.2">
      <c r="A109" s="133"/>
      <c r="B109" s="133"/>
      <c r="Q109">
        <f t="shared" si="178"/>
        <v>1993</v>
      </c>
      <c r="R109">
        <f t="shared" si="182"/>
        <v>3796.8132331612019</v>
      </c>
      <c r="S109">
        <f t="shared" si="182"/>
        <v>389.10204460614676</v>
      </c>
      <c r="U109">
        <f t="shared" si="183"/>
        <v>276.91141461226772</v>
      </c>
      <c r="V109">
        <f t="shared" si="183"/>
        <v>2551.5798811393665</v>
      </c>
      <c r="X109">
        <f t="shared" si="180"/>
        <v>1993</v>
      </c>
      <c r="Y109" s="136">
        <f t="shared" si="184"/>
        <v>0.94447939951928916</v>
      </c>
      <c r="Z109" s="136">
        <f t="shared" si="184"/>
        <v>0.78247404320658476</v>
      </c>
      <c r="AA109" s="136">
        <f t="shared" si="184"/>
        <v>0.84036023993764919</v>
      </c>
      <c r="AB109" s="136">
        <f t="shared" si="184"/>
        <v>0.92274469442791973</v>
      </c>
      <c r="AC109" s="136">
        <f t="shared" si="184"/>
        <v>1.0316347088708668</v>
      </c>
      <c r="AU109" s="134"/>
    </row>
    <row r="110" spans="1:47" x14ac:dyDescent="0.2">
      <c r="A110" s="133"/>
      <c r="B110" s="133"/>
      <c r="Q110">
        <f t="shared" si="178"/>
        <v>1994</v>
      </c>
      <c r="R110">
        <f t="shared" si="182"/>
        <v>3761.0657565260967</v>
      </c>
      <c r="S110">
        <f t="shared" si="182"/>
        <v>387.67120207278913</v>
      </c>
      <c r="U110">
        <f t="shared" si="183"/>
        <v>274.14230046614495</v>
      </c>
      <c r="V110">
        <f t="shared" si="183"/>
        <v>2737.0676456039891</v>
      </c>
      <c r="X110">
        <f t="shared" si="180"/>
        <v>1994</v>
      </c>
      <c r="Y110" s="136">
        <f t="shared" si="184"/>
        <v>0.93279905855468037</v>
      </c>
      <c r="Z110" s="136">
        <f t="shared" si="184"/>
        <v>0.77959665626455121</v>
      </c>
      <c r="AA110" s="136">
        <f t="shared" si="184"/>
        <v>0.81665702253121875</v>
      </c>
      <c r="AB110" s="136">
        <f t="shared" si="184"/>
        <v>0.91351724748364016</v>
      </c>
      <c r="AC110" s="136">
        <f t="shared" si="184"/>
        <v>1.106629662901905</v>
      </c>
      <c r="AU110" s="134"/>
    </row>
    <row r="111" spans="1:47" x14ac:dyDescent="0.2">
      <c r="A111" s="133"/>
      <c r="B111" s="133"/>
      <c r="Q111">
        <f t="shared" si="178"/>
        <v>1995</v>
      </c>
      <c r="R111">
        <f t="shared" si="182"/>
        <v>3771.5545521321965</v>
      </c>
      <c r="S111">
        <f t="shared" si="182"/>
        <v>372.11500756689196</v>
      </c>
      <c r="U111">
        <f t="shared" si="183"/>
        <v>271.40087746148356</v>
      </c>
      <c r="V111">
        <f t="shared" si="183"/>
        <v>2679.9001671430897</v>
      </c>
      <c r="X111">
        <f t="shared" si="180"/>
        <v>1995</v>
      </c>
      <c r="Y111" s="136">
        <f t="shared" si="184"/>
        <v>0.93967783758902723</v>
      </c>
      <c r="Z111" s="136">
        <f t="shared" si="184"/>
        <v>0.74831355564692692</v>
      </c>
      <c r="AA111" s="136">
        <f t="shared" si="184"/>
        <v>0.80627488818260895</v>
      </c>
      <c r="AB111" s="136">
        <f t="shared" si="184"/>
        <v>0.90438207500880408</v>
      </c>
      <c r="AC111" s="136">
        <f t="shared" si="184"/>
        <v>1.083516157643917</v>
      </c>
      <c r="AU111" s="134"/>
    </row>
    <row r="112" spans="1:47" x14ac:dyDescent="0.2">
      <c r="A112" s="133"/>
      <c r="B112" s="133"/>
      <c r="Q112">
        <f t="shared" si="178"/>
        <v>1996</v>
      </c>
      <c r="R112">
        <f t="shared" si="182"/>
        <v>3754.0577119025302</v>
      </c>
      <c r="S112">
        <f t="shared" si="182"/>
        <v>368.3391655450875</v>
      </c>
      <c r="U112">
        <f t="shared" si="183"/>
        <v>268.68686868686871</v>
      </c>
      <c r="V112">
        <f t="shared" si="183"/>
        <v>2674.7426166418095</v>
      </c>
      <c r="X112">
        <f t="shared" si="180"/>
        <v>1996</v>
      </c>
      <c r="Y112" s="136">
        <f t="shared" si="184"/>
        <v>0.93644380694642282</v>
      </c>
      <c r="Z112" s="136">
        <f t="shared" si="184"/>
        <v>0.74072043601605675</v>
      </c>
      <c r="AA112" s="136">
        <f t="shared" si="184"/>
        <v>0.77872305217112092</v>
      </c>
      <c r="AB112" s="136">
        <f t="shared" si="184"/>
        <v>0.89533825425871594</v>
      </c>
      <c r="AC112" s="136">
        <f t="shared" si="184"/>
        <v>1.0814308973903759</v>
      </c>
      <c r="AU112" s="134"/>
    </row>
    <row r="113" spans="1:47" x14ac:dyDescent="0.2">
      <c r="A113" s="133"/>
      <c r="B113" s="133"/>
      <c r="Q113">
        <f t="shared" si="178"/>
        <v>1997</v>
      </c>
      <c r="R113">
        <f t="shared" si="182"/>
        <v>3633.8956049240801</v>
      </c>
      <c r="S113">
        <f t="shared" si="182"/>
        <v>370.46961805169445</v>
      </c>
      <c r="U113">
        <f t="shared" si="183"/>
        <v>266</v>
      </c>
      <c r="V113">
        <f t="shared" si="183"/>
        <v>2806.9021450504883</v>
      </c>
      <c r="X113">
        <f t="shared" si="180"/>
        <v>1997</v>
      </c>
      <c r="Y113" s="136">
        <f t="shared" si="184"/>
        <v>0.90661017972899871</v>
      </c>
      <c r="Z113" s="136">
        <f t="shared" si="184"/>
        <v>0.74500472033122067</v>
      </c>
      <c r="AA113" s="136">
        <f t="shared" si="184"/>
        <v>0.77260034205905204</v>
      </c>
      <c r="AB113" s="136">
        <f t="shared" si="184"/>
        <v>0.88638487171612867</v>
      </c>
      <c r="AC113" s="136">
        <f t="shared" si="184"/>
        <v>1.1348645984562102</v>
      </c>
      <c r="AU113" s="134"/>
    </row>
    <row r="114" spans="1:47" x14ac:dyDescent="0.2">
      <c r="A114" s="133"/>
      <c r="B114" s="133"/>
      <c r="Q114">
        <f t="shared" si="178"/>
        <v>1998</v>
      </c>
      <c r="R114">
        <f t="shared" si="182"/>
        <v>3773.7596148680682</v>
      </c>
      <c r="S114">
        <f t="shared" si="182"/>
        <v>364.58060055113231</v>
      </c>
      <c r="U114">
        <f t="shared" si="183"/>
        <v>256</v>
      </c>
      <c r="V114">
        <f t="shared" si="183"/>
        <v>2413.6992775791405</v>
      </c>
      <c r="X114">
        <f t="shared" si="180"/>
        <v>1998</v>
      </c>
      <c r="Y114" s="136">
        <f t="shared" si="184"/>
        <v>0.94332609671961265</v>
      </c>
      <c r="Z114" s="136">
        <f t="shared" si="184"/>
        <v>0.73316206003668671</v>
      </c>
      <c r="AA114" s="136">
        <f t="shared" si="184"/>
        <v>0.77288543128858667</v>
      </c>
      <c r="AB114" s="136">
        <f t="shared" si="184"/>
        <v>0.85306213217792837</v>
      </c>
      <c r="AC114" s="136">
        <f t="shared" si="184"/>
        <v>0.97588790769712608</v>
      </c>
      <c r="AU114" s="134"/>
    </row>
    <row r="115" spans="1:47" x14ac:dyDescent="0.2">
      <c r="A115" s="133"/>
      <c r="B115" s="133"/>
      <c r="Q115">
        <f t="shared" si="178"/>
        <v>1999</v>
      </c>
      <c r="R115">
        <f t="shared" si="182"/>
        <v>3827.3029046336942</v>
      </c>
      <c r="S115">
        <f t="shared" si="182"/>
        <v>362.74882958099317</v>
      </c>
      <c r="U115">
        <f t="shared" si="183"/>
        <v>266</v>
      </c>
      <c r="V115">
        <f t="shared" si="183"/>
        <v>2422.2763965908989</v>
      </c>
      <c r="X115">
        <f t="shared" si="180"/>
        <v>1999</v>
      </c>
      <c r="Y115" s="136">
        <f t="shared" si="184"/>
        <v>0.9564907976601319</v>
      </c>
      <c r="Z115" s="136">
        <f t="shared" si="184"/>
        <v>0.72947841648584388</v>
      </c>
      <c r="AA115" s="136">
        <f t="shared" si="184"/>
        <v>0.77797657523387176</v>
      </c>
      <c r="AB115" s="136">
        <f t="shared" si="184"/>
        <v>0.88638487171612867</v>
      </c>
      <c r="AC115" s="136">
        <f t="shared" si="184"/>
        <v>0.97935574099525313</v>
      </c>
      <c r="AU115" s="134"/>
    </row>
    <row r="116" spans="1:47" x14ac:dyDescent="0.2">
      <c r="A116" s="133"/>
      <c r="B116" s="133"/>
      <c r="Q116">
        <f t="shared" si="178"/>
        <v>2000</v>
      </c>
      <c r="R116">
        <f t="shared" si="182"/>
        <v>3922.672512304372</v>
      </c>
      <c r="S116">
        <f t="shared" si="182"/>
        <v>351.9726800185544</v>
      </c>
      <c r="U116">
        <f t="shared" si="183"/>
        <v>269.99999999999994</v>
      </c>
      <c r="V116">
        <f t="shared" si="183"/>
        <v>2314.4598345133277</v>
      </c>
      <c r="X116">
        <f t="shared" si="180"/>
        <v>2000</v>
      </c>
      <c r="Y116" s="136">
        <f t="shared" ref="Y116:AC125" si="185">Y60</f>
        <v>0.98207812574622932</v>
      </c>
      <c r="Z116" s="136">
        <f t="shared" si="185"/>
        <v>0.70780786133146179</v>
      </c>
      <c r="AA116" s="136">
        <f t="shared" si="185"/>
        <v>0.74295167152494901</v>
      </c>
      <c r="AB116" s="136">
        <f t="shared" si="185"/>
        <v>0.89971396753140864</v>
      </c>
      <c r="AC116" s="136">
        <f t="shared" si="185"/>
        <v>0.93576419661425336</v>
      </c>
      <c r="AU116" s="134"/>
    </row>
    <row r="117" spans="1:47" x14ac:dyDescent="0.2">
      <c r="A117" s="133"/>
      <c r="B117" s="133"/>
      <c r="Q117">
        <f t="shared" si="178"/>
        <v>2001</v>
      </c>
      <c r="R117">
        <f t="shared" si="182"/>
        <v>3848.4989828593352</v>
      </c>
      <c r="S117">
        <f t="shared" si="182"/>
        <v>345.94495918345513</v>
      </c>
      <c r="U117">
        <f t="shared" si="183"/>
        <v>252.99999999999997</v>
      </c>
      <c r="V117">
        <f t="shared" si="183"/>
        <v>2367.1310756777875</v>
      </c>
      <c r="X117">
        <f t="shared" si="180"/>
        <v>2001</v>
      </c>
      <c r="Y117" s="136">
        <f t="shared" si="185"/>
        <v>0.96202043786610603</v>
      </c>
      <c r="Z117" s="136">
        <f t="shared" si="185"/>
        <v>0.69568627225594093</v>
      </c>
      <c r="AA117" s="136">
        <f t="shared" si="185"/>
        <v>0.75286005844814119</v>
      </c>
      <c r="AB117" s="136">
        <f t="shared" si="185"/>
        <v>0.84306531031646814</v>
      </c>
      <c r="AC117" s="136">
        <f t="shared" si="185"/>
        <v>0.95705981857232469</v>
      </c>
      <c r="AU117" s="134"/>
    </row>
    <row r="118" spans="1:47" x14ac:dyDescent="0.2">
      <c r="A118" s="133"/>
      <c r="B118" s="133"/>
      <c r="Q118">
        <f t="shared" si="178"/>
        <v>2002</v>
      </c>
      <c r="R118">
        <f t="shared" si="182"/>
        <v>3920.2667229819767</v>
      </c>
      <c r="S118">
        <f t="shared" si="182"/>
        <v>345.26568153782551</v>
      </c>
      <c r="U118">
        <f t="shared" si="183"/>
        <v>253.00000000000003</v>
      </c>
      <c r="V118">
        <f t="shared" si="183"/>
        <v>2438.9469103166243</v>
      </c>
      <c r="X118">
        <f t="shared" si="180"/>
        <v>2002</v>
      </c>
      <c r="Y118" s="136">
        <f t="shared" si="185"/>
        <v>0.97670175147992533</v>
      </c>
      <c r="Z118" s="136">
        <f t="shared" si="185"/>
        <v>0.69432026266230418</v>
      </c>
      <c r="AA118" s="136">
        <f t="shared" si="185"/>
        <v>0.69448563813250408</v>
      </c>
      <c r="AB118" s="136">
        <f t="shared" si="185"/>
        <v>0.84306531031646836</v>
      </c>
      <c r="AC118" s="136">
        <f t="shared" si="185"/>
        <v>0.98609583198800976</v>
      </c>
      <c r="AU118" s="134"/>
    </row>
    <row r="119" spans="1:47" x14ac:dyDescent="0.2">
      <c r="A119" s="133"/>
      <c r="B119" s="133"/>
      <c r="Q119">
        <f t="shared" si="178"/>
        <v>2003</v>
      </c>
      <c r="R119">
        <f t="shared" si="182"/>
        <v>3718.1199198578847</v>
      </c>
      <c r="S119">
        <f t="shared" si="182"/>
        <v>344.1220596633575</v>
      </c>
      <c r="U119">
        <f t="shared" si="183"/>
        <v>250.99999999999997</v>
      </c>
      <c r="V119">
        <f t="shared" si="183"/>
        <v>2232.9843785663934</v>
      </c>
      <c r="X119">
        <f t="shared" si="180"/>
        <v>2003</v>
      </c>
      <c r="Y119" s="136">
        <f t="shared" si="185"/>
        <v>0.92409286234289068</v>
      </c>
      <c r="Z119" s="136">
        <f t="shared" si="185"/>
        <v>0.69202046895929181</v>
      </c>
      <c r="AA119" s="136">
        <f t="shared" si="185"/>
        <v>0.66922924467163469</v>
      </c>
      <c r="AB119" s="136">
        <f t="shared" si="185"/>
        <v>0.8364007624088281</v>
      </c>
      <c r="AC119" s="136">
        <f t="shared" si="185"/>
        <v>0.90282268108607622</v>
      </c>
      <c r="AU119" s="134"/>
    </row>
    <row r="120" spans="1:47" x14ac:dyDescent="0.2">
      <c r="A120" s="133"/>
      <c r="B120" s="133"/>
      <c r="Q120">
        <f t="shared" si="178"/>
        <v>2004</v>
      </c>
      <c r="R120">
        <f t="shared" si="182"/>
        <v>3719.895994912069</v>
      </c>
      <c r="S120">
        <f t="shared" si="182"/>
        <v>340.55203963916716</v>
      </c>
      <c r="U120">
        <f t="shared" si="183"/>
        <v>240.99999999999997</v>
      </c>
      <c r="V120">
        <f t="shared" si="183"/>
        <v>2120.7295955420732</v>
      </c>
      <c r="X120">
        <f t="shared" si="180"/>
        <v>2004</v>
      </c>
      <c r="Y120" s="136">
        <f t="shared" si="185"/>
        <v>0.92528732605739505</v>
      </c>
      <c r="Z120" s="136">
        <f t="shared" si="185"/>
        <v>0.68484125198682833</v>
      </c>
      <c r="AA120" s="136">
        <f t="shared" si="185"/>
        <v>0.61935221139864527</v>
      </c>
      <c r="AB120" s="136">
        <f t="shared" si="185"/>
        <v>0.80307802287062779</v>
      </c>
      <c r="AC120" s="136">
        <f t="shared" si="185"/>
        <v>0.85743671011935674</v>
      </c>
      <c r="AU120" s="134"/>
    </row>
    <row r="121" spans="1:47" x14ac:dyDescent="0.2">
      <c r="A121" s="133"/>
      <c r="B121" s="133"/>
      <c r="Q121">
        <f t="shared" si="178"/>
        <v>2005</v>
      </c>
      <c r="R121">
        <f t="shared" si="182"/>
        <v>3785.625360162408</v>
      </c>
      <c r="S121">
        <f t="shared" si="182"/>
        <v>336.84373314470133</v>
      </c>
      <c r="U121">
        <f t="shared" si="183"/>
        <v>241</v>
      </c>
      <c r="V121">
        <f t="shared" si="183"/>
        <v>2231.6786639587858</v>
      </c>
      <c r="X121">
        <f t="shared" si="180"/>
        <v>2005</v>
      </c>
      <c r="Y121" s="136">
        <f t="shared" si="185"/>
        <v>0.94290859615042211</v>
      </c>
      <c r="Z121" s="136">
        <f t="shared" si="185"/>
        <v>0.67738394453651407</v>
      </c>
      <c r="AA121" s="136">
        <f t="shared" si="185"/>
        <v>0.61205852522681736</v>
      </c>
      <c r="AB121" s="136">
        <f t="shared" si="185"/>
        <v>0.80307802287062791</v>
      </c>
      <c r="AC121" s="136">
        <f t="shared" si="185"/>
        <v>0.90229476482562732</v>
      </c>
      <c r="AU121" s="134"/>
    </row>
    <row r="122" spans="1:47" x14ac:dyDescent="0.2">
      <c r="A122" s="133"/>
      <c r="B122" s="133"/>
      <c r="Q122">
        <f t="shared" si="178"/>
        <v>2006</v>
      </c>
      <c r="R122">
        <f t="shared" si="182"/>
        <v>3891.3253991011775</v>
      </c>
      <c r="S122">
        <f t="shared" si="182"/>
        <v>329.89348703677473</v>
      </c>
      <c r="U122">
        <f t="shared" si="183"/>
        <v>234.99999999999997</v>
      </c>
      <c r="V122">
        <f t="shared" si="183"/>
        <v>2272.2801240574554</v>
      </c>
      <c r="X122">
        <f t="shared" si="180"/>
        <v>2006</v>
      </c>
      <c r="Y122" s="136">
        <f t="shared" si="185"/>
        <v>0.96468762564489896</v>
      </c>
      <c r="Z122" s="136">
        <f t="shared" si="185"/>
        <v>0.66340718124591003</v>
      </c>
      <c r="AA122" s="136">
        <f t="shared" si="185"/>
        <v>0.61442384681807594</v>
      </c>
      <c r="AB122" s="136">
        <f t="shared" si="185"/>
        <v>0.78308437914770757</v>
      </c>
      <c r="AC122" s="136">
        <f t="shared" si="185"/>
        <v>0.91871042783435108</v>
      </c>
      <c r="AU122" s="134"/>
    </row>
    <row r="123" spans="1:47" x14ac:dyDescent="0.2">
      <c r="A123" s="133"/>
      <c r="B123" s="133"/>
      <c r="Q123">
        <f t="shared" si="178"/>
        <v>2007</v>
      </c>
      <c r="R123">
        <f t="shared" si="182"/>
        <v>3890.3741077487207</v>
      </c>
      <c r="S123">
        <f t="shared" si="182"/>
        <v>320.19653835400959</v>
      </c>
      <c r="U123">
        <f t="shared" si="183"/>
        <v>225</v>
      </c>
      <c r="V123">
        <f t="shared" si="183"/>
        <v>2269.9547274484344</v>
      </c>
      <c r="X123">
        <f t="shared" si="180"/>
        <v>2007</v>
      </c>
      <c r="Y123" s="136">
        <f t="shared" si="185"/>
        <v>0.96445179365914169</v>
      </c>
      <c r="Z123" s="136">
        <f t="shared" si="185"/>
        <v>0.64390687085753817</v>
      </c>
      <c r="AA123" s="136">
        <f t="shared" si="185"/>
        <v>0.60058900877973431</v>
      </c>
      <c r="AB123" s="136">
        <f t="shared" si="185"/>
        <v>0.74976163960950737</v>
      </c>
      <c r="AC123" s="136">
        <f t="shared" si="185"/>
        <v>0.91777024176708777</v>
      </c>
      <c r="AU123" s="134"/>
    </row>
    <row r="124" spans="1:47" x14ac:dyDescent="0.2">
      <c r="A124" s="133"/>
      <c r="B124" s="133"/>
      <c r="Q124">
        <f t="shared" si="178"/>
        <v>2008</v>
      </c>
      <c r="R124">
        <f t="shared" si="182"/>
        <v>3888.4090396610368</v>
      </c>
      <c r="S124">
        <f t="shared" si="182"/>
        <v>305.23995687685817</v>
      </c>
      <c r="U124">
        <f t="shared" si="183"/>
        <v>252</v>
      </c>
      <c r="V124">
        <f t="shared" si="183"/>
        <v>2350.3968501929357</v>
      </c>
      <c r="X124">
        <f t="shared" si="180"/>
        <v>2008</v>
      </c>
      <c r="Y124" s="136">
        <f t="shared" si="185"/>
        <v>0.95670393095399653</v>
      </c>
      <c r="Z124" s="136">
        <f t="shared" si="185"/>
        <v>0.61382957637089153</v>
      </c>
      <c r="AA124" s="136">
        <f t="shared" si="185"/>
        <v>0.59202674639407959</v>
      </c>
      <c r="AB124" s="136">
        <f t="shared" si="185"/>
        <v>0.83973303636264829</v>
      </c>
      <c r="AC124" s="136">
        <f t="shared" si="185"/>
        <v>0.95029396814222344</v>
      </c>
      <c r="AU124" s="134"/>
    </row>
    <row r="125" spans="1:47" x14ac:dyDescent="0.2">
      <c r="A125" s="133"/>
      <c r="B125" s="133"/>
      <c r="Q125">
        <f t="shared" si="178"/>
        <v>2009</v>
      </c>
      <c r="R125">
        <f t="shared" si="182"/>
        <v>3916.7839273180107</v>
      </c>
      <c r="S125">
        <f t="shared" si="182"/>
        <v>291.48278243117471</v>
      </c>
      <c r="U125">
        <f t="shared" si="183"/>
        <v>224.99999999999997</v>
      </c>
      <c r="V125">
        <f t="shared" si="183"/>
        <v>2481.3364046286033</v>
      </c>
      <c r="X125">
        <f t="shared" si="180"/>
        <v>2009</v>
      </c>
      <c r="Y125" s="136">
        <f t="shared" si="185"/>
        <v>0.95911746221013772</v>
      </c>
      <c r="Z125" s="136">
        <f t="shared" si="185"/>
        <v>0.58616425808013739</v>
      </c>
      <c r="AA125" s="136">
        <f t="shared" si="185"/>
        <v>0.57588726344451624</v>
      </c>
      <c r="AB125" s="136">
        <f t="shared" si="185"/>
        <v>0.74976163960950726</v>
      </c>
      <c r="AC125" s="136">
        <f t="shared" si="185"/>
        <v>1.0032344189266222</v>
      </c>
      <c r="AU125" s="134"/>
    </row>
    <row r="126" spans="1:47" x14ac:dyDescent="0.2">
      <c r="A126" s="133"/>
      <c r="B126" s="133"/>
      <c r="Q126">
        <f t="shared" si="178"/>
        <v>2010</v>
      </c>
      <c r="R126">
        <f t="shared" ref="R126:S127" si="186">R70</f>
        <v>3914.94294866576</v>
      </c>
      <c r="S126">
        <f t="shared" si="186"/>
        <v>288.63639589261766</v>
      </c>
      <c r="U126">
        <f t="shared" ref="U126:V127" si="187">U70</f>
        <v>217</v>
      </c>
      <c r="V126">
        <f t="shared" si="187"/>
        <v>2365.0202939364844</v>
      </c>
      <c r="X126">
        <f t="shared" si="180"/>
        <v>2010</v>
      </c>
      <c r="Y126" s="136">
        <f t="shared" ref="Y126:AC127" si="188">Y70</f>
        <v>0.9745014540842708</v>
      </c>
      <c r="Z126" s="136">
        <f t="shared" si="188"/>
        <v>0.58044024913639636</v>
      </c>
      <c r="AA126" s="136">
        <f t="shared" si="188"/>
        <v>0.55172762914848561</v>
      </c>
      <c r="AB126" s="136">
        <f t="shared" si="188"/>
        <v>0.7231034479789471</v>
      </c>
      <c r="AC126" s="136">
        <f t="shared" si="188"/>
        <v>0.95620640390038947</v>
      </c>
      <c r="AU126" s="134"/>
    </row>
    <row r="127" spans="1:47" x14ac:dyDescent="0.2">
      <c r="A127" s="133"/>
      <c r="B127" s="133"/>
      <c r="Q127">
        <f t="shared" si="178"/>
        <v>2011</v>
      </c>
      <c r="R127">
        <f t="shared" si="186"/>
        <v>3953.7806843670965</v>
      </c>
      <c r="S127">
        <f t="shared" si="186"/>
        <v>297.61142942398351</v>
      </c>
      <c r="U127">
        <f t="shared" si="187"/>
        <v>217</v>
      </c>
      <c r="V127">
        <f t="shared" si="187"/>
        <v>2371.7639611297163</v>
      </c>
      <c r="X127">
        <f t="shared" si="180"/>
        <v>2011</v>
      </c>
      <c r="Y127" s="136">
        <f t="shared" si="188"/>
        <v>0.98370046704305958</v>
      </c>
      <c r="Z127" s="136">
        <f t="shared" si="188"/>
        <v>0.59848880702128482</v>
      </c>
      <c r="AA127" s="136">
        <f t="shared" si="188"/>
        <v>0.55081953600256972</v>
      </c>
      <c r="AB127" s="136">
        <f t="shared" si="188"/>
        <v>0.7231034479789471</v>
      </c>
      <c r="AC127" s="136">
        <f t="shared" si="188"/>
        <v>0.95893295037970461</v>
      </c>
      <c r="AU127" s="134"/>
    </row>
    <row r="128" spans="1:47" x14ac:dyDescent="0.2">
      <c r="A128" s="133"/>
      <c r="B128" s="133"/>
      <c r="AU128" s="134"/>
    </row>
    <row r="129" spans="1:47" x14ac:dyDescent="0.2">
      <c r="A129" s="133"/>
      <c r="B129" s="133"/>
      <c r="AU129" s="134"/>
    </row>
    <row r="130" spans="1:47" x14ac:dyDescent="0.2">
      <c r="A130" s="133"/>
      <c r="B130" s="133"/>
      <c r="AU130" s="134"/>
    </row>
    <row r="131" spans="1:47" x14ac:dyDescent="0.2">
      <c r="A131" s="133"/>
      <c r="B131" s="133"/>
      <c r="AU131" s="134"/>
    </row>
    <row r="132" spans="1:47" x14ac:dyDescent="0.2">
      <c r="A132" s="133"/>
      <c r="B132" s="133"/>
      <c r="AU132" s="134"/>
    </row>
    <row r="133" spans="1:47" x14ac:dyDescent="0.2">
      <c r="A133" s="133"/>
      <c r="B133" s="133"/>
      <c r="AU133" s="134"/>
    </row>
    <row r="134" spans="1:47" x14ac:dyDescent="0.2">
      <c r="A134" s="133"/>
      <c r="B134" s="133"/>
      <c r="AU134" s="134"/>
    </row>
    <row r="135" spans="1:47" x14ac:dyDescent="0.2">
      <c r="A135" s="133"/>
      <c r="B135" s="133"/>
      <c r="AU135" s="134"/>
    </row>
    <row r="136" spans="1:47" x14ac:dyDescent="0.2">
      <c r="A136" s="133"/>
      <c r="B136" s="133"/>
      <c r="AU136" s="134"/>
    </row>
    <row r="137" spans="1:47" x14ac:dyDescent="0.2">
      <c r="A137" s="133"/>
      <c r="B137" s="133"/>
      <c r="AU137" s="134"/>
    </row>
    <row r="138" spans="1:47" x14ac:dyDescent="0.2">
      <c r="A138" s="133"/>
      <c r="B138" s="133"/>
      <c r="AU138" s="134"/>
    </row>
    <row r="139" spans="1:47" x14ac:dyDescent="0.2">
      <c r="A139" s="133"/>
      <c r="B139" s="133"/>
      <c r="AU139" s="134"/>
    </row>
    <row r="140" spans="1:47" x14ac:dyDescent="0.2">
      <c r="A140" s="133"/>
      <c r="B140" s="133"/>
      <c r="AU140" s="134"/>
    </row>
    <row r="141" spans="1:47" x14ac:dyDescent="0.2">
      <c r="A141" s="133"/>
      <c r="B141" s="133"/>
      <c r="AU141" s="134"/>
    </row>
    <row r="142" spans="1:47" x14ac:dyDescent="0.2">
      <c r="A142" s="133"/>
      <c r="B142" s="133"/>
      <c r="AU142" s="134"/>
    </row>
    <row r="143" spans="1:47" x14ac:dyDescent="0.2">
      <c r="A143" s="133"/>
      <c r="B143" s="133"/>
      <c r="AU143" s="134"/>
    </row>
    <row r="144" spans="1:47" x14ac:dyDescent="0.2">
      <c r="A144" s="133"/>
      <c r="B144" s="133"/>
      <c r="AU144" s="134"/>
    </row>
    <row r="145" spans="1:47" x14ac:dyDescent="0.2">
      <c r="A145" s="133"/>
      <c r="B145" s="133"/>
      <c r="AU145" s="134"/>
    </row>
    <row r="146" spans="1:47" x14ac:dyDescent="0.2">
      <c r="A146" s="133"/>
      <c r="B146" s="133"/>
      <c r="AU146" s="134"/>
    </row>
    <row r="147" spans="1:47" x14ac:dyDescent="0.2">
      <c r="A147" s="133"/>
      <c r="B147" s="133"/>
      <c r="AU147" s="134"/>
    </row>
    <row r="148" spans="1:47" x14ac:dyDescent="0.2">
      <c r="A148" s="133"/>
      <c r="B148" s="133"/>
      <c r="AU148" s="134"/>
    </row>
    <row r="149" spans="1:47" x14ac:dyDescent="0.2">
      <c r="A149" s="133"/>
      <c r="B149" s="133"/>
      <c r="AU149" s="134"/>
    </row>
    <row r="150" spans="1:47" x14ac:dyDescent="0.2">
      <c r="A150" s="133"/>
      <c r="B150" s="133"/>
      <c r="AU150" s="134"/>
    </row>
    <row r="151" spans="1:47" x14ac:dyDescent="0.2">
      <c r="A151" s="133"/>
      <c r="B151" s="133"/>
      <c r="AU151" s="134"/>
    </row>
    <row r="152" spans="1:47" x14ac:dyDescent="0.2">
      <c r="A152" s="133"/>
      <c r="B152" s="133"/>
      <c r="AU152" s="134"/>
    </row>
    <row r="153" spans="1:47" x14ac:dyDescent="0.2">
      <c r="A153" s="133"/>
      <c r="B153" s="133"/>
      <c r="AU153" s="134"/>
    </row>
    <row r="154" spans="1:47" x14ac:dyDescent="0.2">
      <c r="A154" s="133"/>
      <c r="B154" s="133"/>
      <c r="AU154" s="134"/>
    </row>
    <row r="155" spans="1:47" x14ac:dyDescent="0.2">
      <c r="A155" s="133"/>
      <c r="B155" s="133"/>
      <c r="AU155" s="134"/>
    </row>
    <row r="156" spans="1:47" x14ac:dyDescent="0.2">
      <c r="A156" s="133"/>
      <c r="B156" s="133"/>
      <c r="AU156" s="134"/>
    </row>
    <row r="157" spans="1:47" x14ac:dyDescent="0.2">
      <c r="A157" s="133"/>
      <c r="B157" s="133"/>
      <c r="AU157" s="134"/>
    </row>
    <row r="158" spans="1:47" x14ac:dyDescent="0.2">
      <c r="A158" s="133"/>
      <c r="B158" s="133"/>
      <c r="AU158" s="134"/>
    </row>
    <row r="159" spans="1:47" x14ac:dyDescent="0.2">
      <c r="A159" s="133"/>
      <c r="B159" s="133"/>
      <c r="AU159" s="134"/>
    </row>
    <row r="160" spans="1:47" x14ac:dyDescent="0.2">
      <c r="A160" s="133"/>
      <c r="B160" s="133"/>
      <c r="AU160" s="134"/>
    </row>
    <row r="161" spans="1:47" x14ac:dyDescent="0.2">
      <c r="A161" s="133"/>
      <c r="B161" s="133"/>
      <c r="AU161" s="134"/>
    </row>
    <row r="162" spans="1:47" x14ac:dyDescent="0.2">
      <c r="A162" s="133"/>
      <c r="B162" s="133"/>
      <c r="AU162" s="134"/>
    </row>
    <row r="163" spans="1:47" x14ac:dyDescent="0.2">
      <c r="A163" s="133"/>
      <c r="B163" s="133"/>
      <c r="AU163" s="134"/>
    </row>
    <row r="164" spans="1:47" x14ac:dyDescent="0.2">
      <c r="A164" s="133"/>
      <c r="B164" s="133"/>
      <c r="AU164" s="134"/>
    </row>
    <row r="165" spans="1:47" x14ac:dyDescent="0.2">
      <c r="A165" s="133"/>
      <c r="B165" s="133"/>
      <c r="AU165" s="134"/>
    </row>
    <row r="166" spans="1:47" x14ac:dyDescent="0.2">
      <c r="A166" s="133"/>
      <c r="B166" s="133"/>
      <c r="AU166" s="134"/>
    </row>
    <row r="167" spans="1:47" x14ac:dyDescent="0.2">
      <c r="A167" s="133"/>
      <c r="B167" s="133"/>
      <c r="AU167" s="134"/>
    </row>
    <row r="168" spans="1:47" x14ac:dyDescent="0.2">
      <c r="A168" s="133"/>
      <c r="B168" s="133"/>
      <c r="AU168" s="134"/>
    </row>
    <row r="169" spans="1:47" x14ac:dyDescent="0.2">
      <c r="A169" s="133"/>
      <c r="B169" s="133"/>
      <c r="AU169" s="134"/>
    </row>
    <row r="170" spans="1:47" x14ac:dyDescent="0.2">
      <c r="A170" s="133"/>
      <c r="B170" s="133"/>
      <c r="AU170" s="134"/>
    </row>
    <row r="171" spans="1:47" x14ac:dyDescent="0.2">
      <c r="A171" s="133"/>
      <c r="B171" s="133"/>
      <c r="AU171" s="134"/>
    </row>
    <row r="172" spans="1:47" x14ac:dyDescent="0.2">
      <c r="A172" s="133"/>
      <c r="B172" s="133"/>
      <c r="AU172" s="134"/>
    </row>
    <row r="173" spans="1:47" x14ac:dyDescent="0.2">
      <c r="A173" s="133"/>
      <c r="B173" s="133"/>
      <c r="AU173" s="134"/>
    </row>
    <row r="174" spans="1:47" x14ac:dyDescent="0.2">
      <c r="A174" s="133"/>
      <c r="B174" s="133"/>
      <c r="AU174" s="134"/>
    </row>
    <row r="175" spans="1:47" x14ac:dyDescent="0.2">
      <c r="A175" s="133"/>
      <c r="B175" s="133"/>
      <c r="AU175" s="134"/>
    </row>
    <row r="176" spans="1:47" x14ac:dyDescent="0.2">
      <c r="A176" s="133"/>
      <c r="B176" s="133"/>
      <c r="AU176" s="134"/>
    </row>
    <row r="177" spans="1:47" x14ac:dyDescent="0.2">
      <c r="A177" s="133"/>
      <c r="B177" s="133"/>
      <c r="AU177" s="134"/>
    </row>
    <row r="178" spans="1:47" x14ac:dyDescent="0.2">
      <c r="A178" s="133"/>
      <c r="B178" s="133"/>
      <c r="AU178" s="134"/>
    </row>
    <row r="179" spans="1:47" x14ac:dyDescent="0.2">
      <c r="A179" s="133"/>
      <c r="B179" s="133"/>
      <c r="AU179" s="134"/>
    </row>
    <row r="180" spans="1:47" x14ac:dyDescent="0.2">
      <c r="A180" s="133"/>
      <c r="B180" s="133"/>
      <c r="AU180" s="134"/>
    </row>
    <row r="181" spans="1:47" x14ac:dyDescent="0.2">
      <c r="A181" s="133"/>
      <c r="B181" s="133"/>
      <c r="AU181" s="134"/>
    </row>
    <row r="182" spans="1:47" x14ac:dyDescent="0.2">
      <c r="A182" s="133"/>
      <c r="B182" s="133"/>
      <c r="AU182" s="134"/>
    </row>
    <row r="183" spans="1:47" x14ac:dyDescent="0.2">
      <c r="A183" s="133"/>
      <c r="B183" s="133"/>
      <c r="AU183" s="134"/>
    </row>
    <row r="184" spans="1:47" x14ac:dyDescent="0.2">
      <c r="A184" s="133"/>
      <c r="B184" s="133"/>
      <c r="AU184" s="134"/>
    </row>
    <row r="185" spans="1:47" x14ac:dyDescent="0.2">
      <c r="A185" s="133"/>
      <c r="B185" s="133"/>
      <c r="AU185" s="134"/>
    </row>
    <row r="186" spans="1:47" x14ac:dyDescent="0.2">
      <c r="A186" s="133"/>
      <c r="B186" s="133"/>
      <c r="AU186" s="134"/>
    </row>
    <row r="187" spans="1:47" x14ac:dyDescent="0.2">
      <c r="A187" s="133"/>
      <c r="B187" s="133"/>
      <c r="AU187" s="134"/>
    </row>
    <row r="188" spans="1:47" x14ac:dyDescent="0.2">
      <c r="A188" s="133"/>
      <c r="B188" s="133"/>
      <c r="AU188" s="134"/>
    </row>
    <row r="189" spans="1:47" x14ac:dyDescent="0.2">
      <c r="A189" s="133"/>
      <c r="B189" s="133"/>
      <c r="AU189" s="134"/>
    </row>
    <row r="190" spans="1:47" x14ac:dyDescent="0.2">
      <c r="A190" s="133"/>
      <c r="B190" s="133"/>
      <c r="AU190" s="134"/>
    </row>
    <row r="191" spans="1:47" x14ac:dyDescent="0.2">
      <c r="A191" s="133"/>
      <c r="B191" s="133"/>
      <c r="AU191" s="134"/>
    </row>
    <row r="192" spans="1:47" x14ac:dyDescent="0.2">
      <c r="A192" s="133"/>
      <c r="B192" s="133"/>
      <c r="AU192" s="134"/>
    </row>
    <row r="193" spans="1:47" x14ac:dyDescent="0.2">
      <c r="A193" s="133"/>
      <c r="B193" s="133"/>
      <c r="AU193" s="134"/>
    </row>
    <row r="194" spans="1:47" x14ac:dyDescent="0.2">
      <c r="A194" s="133"/>
      <c r="B194" s="133"/>
      <c r="AU194" s="134"/>
    </row>
    <row r="195" spans="1:47" x14ac:dyDescent="0.2">
      <c r="A195" s="133"/>
      <c r="B195" s="133"/>
      <c r="AU195" s="134"/>
    </row>
    <row r="196" spans="1:47" x14ac:dyDescent="0.2">
      <c r="A196" s="133"/>
      <c r="B196" s="133"/>
      <c r="AU196" s="134"/>
    </row>
    <row r="197" spans="1:47" x14ac:dyDescent="0.2">
      <c r="A197" s="133"/>
      <c r="B197" s="133"/>
      <c r="AU197" s="134"/>
    </row>
    <row r="198" spans="1:47" x14ac:dyDescent="0.2">
      <c r="A198" s="133"/>
      <c r="B198" s="133"/>
      <c r="AU198" s="134"/>
    </row>
    <row r="199" spans="1:47" x14ac:dyDescent="0.2">
      <c r="A199" s="133"/>
      <c r="B199" s="133"/>
      <c r="AU199" s="134"/>
    </row>
    <row r="200" spans="1:47" x14ac:dyDescent="0.2">
      <c r="A200" s="133"/>
      <c r="B200" s="133"/>
      <c r="AU200" s="134"/>
    </row>
    <row r="201" spans="1:47" x14ac:dyDescent="0.2">
      <c r="A201" s="133"/>
      <c r="B201" s="133"/>
      <c r="AU201" s="134"/>
    </row>
    <row r="202" spans="1:47" x14ac:dyDescent="0.2">
      <c r="A202" s="133"/>
      <c r="B202" s="133"/>
      <c r="AU202" s="134"/>
    </row>
    <row r="203" spans="1:47" x14ac:dyDescent="0.2">
      <c r="A203" s="133"/>
      <c r="B203" s="133"/>
      <c r="AU203" s="134"/>
    </row>
    <row r="204" spans="1:47" x14ac:dyDescent="0.2">
      <c r="A204" s="133"/>
      <c r="B204" s="133"/>
      <c r="AU204" s="134"/>
    </row>
    <row r="205" spans="1:47" x14ac:dyDescent="0.2">
      <c r="A205" s="133"/>
      <c r="B205" s="133"/>
      <c r="AU205" s="134"/>
    </row>
    <row r="206" spans="1:47" x14ac:dyDescent="0.2">
      <c r="A206" s="133"/>
      <c r="B206" s="133"/>
      <c r="AU206" s="134"/>
    </row>
    <row r="207" spans="1:47" x14ac:dyDescent="0.2">
      <c r="A207" s="133"/>
      <c r="B207" s="133"/>
      <c r="AU207" s="134"/>
    </row>
    <row r="208" spans="1:47" x14ac:dyDescent="0.2">
      <c r="A208" s="133"/>
      <c r="B208" s="133"/>
      <c r="AU208" s="134"/>
    </row>
    <row r="209" spans="1:47" x14ac:dyDescent="0.2">
      <c r="A209" s="133"/>
      <c r="B209" s="133"/>
      <c r="AU209" s="134"/>
    </row>
    <row r="210" spans="1:47" x14ac:dyDescent="0.2">
      <c r="A210" s="133"/>
      <c r="B210" s="133"/>
      <c r="AU210" s="134"/>
    </row>
    <row r="211" spans="1:47" x14ac:dyDescent="0.2">
      <c r="A211" s="133"/>
      <c r="B211" s="133"/>
      <c r="AU211" s="134"/>
    </row>
    <row r="212" spans="1:47" x14ac:dyDescent="0.2">
      <c r="A212" s="133"/>
      <c r="B212" s="133"/>
      <c r="AU212" s="134"/>
    </row>
    <row r="213" spans="1:47" x14ac:dyDescent="0.2">
      <c r="A213" s="133"/>
      <c r="B213" s="133"/>
      <c r="AU213" s="134"/>
    </row>
    <row r="214" spans="1:47" x14ac:dyDescent="0.2">
      <c r="A214" s="133"/>
      <c r="B214" s="133"/>
      <c r="AU214" s="134"/>
    </row>
    <row r="215" spans="1:47" x14ac:dyDescent="0.2">
      <c r="A215" s="133"/>
      <c r="B215" s="133"/>
      <c r="AU215" s="134"/>
    </row>
    <row r="216" spans="1:47" x14ac:dyDescent="0.2">
      <c r="A216" s="133"/>
      <c r="B216" s="133"/>
      <c r="AU216" s="134"/>
    </row>
    <row r="217" spans="1:47" x14ac:dyDescent="0.2">
      <c r="A217" s="133"/>
      <c r="B217" s="133"/>
      <c r="AU217" s="134"/>
    </row>
    <row r="218" spans="1:47" x14ac:dyDescent="0.2">
      <c r="A218" s="133"/>
      <c r="B218" s="133"/>
      <c r="AU218" s="134"/>
    </row>
    <row r="219" spans="1:47" x14ac:dyDescent="0.2">
      <c r="A219" s="133"/>
      <c r="B219" s="133"/>
      <c r="AU219" s="134"/>
    </row>
    <row r="220" spans="1:47" x14ac:dyDescent="0.2">
      <c r="A220" s="133"/>
      <c r="B220" s="133"/>
      <c r="AU220" s="134"/>
    </row>
    <row r="221" spans="1:47" x14ac:dyDescent="0.2">
      <c r="A221" s="133"/>
      <c r="B221" s="133"/>
      <c r="AU221" s="134"/>
    </row>
    <row r="222" spans="1:47" x14ac:dyDescent="0.2">
      <c r="A222" s="133"/>
      <c r="B222" s="133"/>
      <c r="AU222" s="134"/>
    </row>
    <row r="223" spans="1:47" x14ac:dyDescent="0.2">
      <c r="A223" s="133"/>
      <c r="B223" s="133"/>
      <c r="AU223" s="134"/>
    </row>
    <row r="224" spans="1:47" x14ac:dyDescent="0.2">
      <c r="A224" s="133"/>
      <c r="B224" s="133"/>
      <c r="AU224" s="134"/>
    </row>
    <row r="225" spans="1:47" x14ac:dyDescent="0.2">
      <c r="A225" s="133"/>
      <c r="B225" s="133"/>
      <c r="AU225" s="134"/>
    </row>
    <row r="226" spans="1:47" x14ac:dyDescent="0.2">
      <c r="A226" s="133"/>
      <c r="B226" s="133"/>
      <c r="AU226" s="134"/>
    </row>
    <row r="227" spans="1:47" x14ac:dyDescent="0.2">
      <c r="A227" s="133"/>
      <c r="B227" s="133"/>
      <c r="AU227" s="134"/>
    </row>
    <row r="228" spans="1:47" x14ac:dyDescent="0.2">
      <c r="A228" s="133"/>
      <c r="B228" s="133"/>
      <c r="AU228" s="134"/>
    </row>
    <row r="229" spans="1:47" x14ac:dyDescent="0.2">
      <c r="A229" s="133"/>
      <c r="B229" s="133"/>
      <c r="AU229" s="134"/>
    </row>
    <row r="230" spans="1:47" x14ac:dyDescent="0.2">
      <c r="A230" s="133"/>
      <c r="B230" s="133"/>
      <c r="AU230" s="134"/>
    </row>
    <row r="231" spans="1:47" x14ac:dyDescent="0.2">
      <c r="A231" s="133"/>
      <c r="B231" s="133"/>
      <c r="AU231" s="134"/>
    </row>
    <row r="232" spans="1:47" x14ac:dyDescent="0.2">
      <c r="A232" s="133"/>
      <c r="B232" s="133"/>
      <c r="AU232" s="134"/>
    </row>
    <row r="233" spans="1:47" x14ac:dyDescent="0.2">
      <c r="A233" s="133"/>
      <c r="B233" s="133"/>
      <c r="AU233" s="134"/>
    </row>
    <row r="234" spans="1:47" x14ac:dyDescent="0.2">
      <c r="A234" s="133"/>
      <c r="B234" s="133"/>
      <c r="AU234" s="134"/>
    </row>
    <row r="235" spans="1:47" x14ac:dyDescent="0.2">
      <c r="A235" s="133"/>
      <c r="B235" s="133"/>
      <c r="AU235" s="134"/>
    </row>
    <row r="236" spans="1:47" x14ac:dyDescent="0.2">
      <c r="A236" s="133"/>
      <c r="B236" s="133"/>
      <c r="AU236" s="134"/>
    </row>
    <row r="237" spans="1:47" x14ac:dyDescent="0.2">
      <c r="A237" s="133"/>
      <c r="B237" s="133"/>
      <c r="AU237" s="134"/>
    </row>
    <row r="238" spans="1:47" x14ac:dyDescent="0.2">
      <c r="A238" s="133"/>
      <c r="B238" s="133"/>
      <c r="AU238" s="134"/>
    </row>
    <row r="239" spans="1:47" x14ac:dyDescent="0.2">
      <c r="A239" s="133"/>
      <c r="B239" s="133"/>
      <c r="AU239" s="134"/>
    </row>
    <row r="240" spans="1:47" x14ac:dyDescent="0.2">
      <c r="A240" s="133"/>
      <c r="B240" s="133"/>
      <c r="AU240" s="134"/>
    </row>
    <row r="241" spans="1:47" x14ac:dyDescent="0.2">
      <c r="A241" s="133"/>
      <c r="B241" s="133"/>
      <c r="AU241" s="134"/>
    </row>
    <row r="242" spans="1:47" x14ac:dyDescent="0.2">
      <c r="A242" s="133"/>
      <c r="B242" s="133"/>
      <c r="AU242" s="134"/>
    </row>
    <row r="243" spans="1:47" x14ac:dyDescent="0.2">
      <c r="A243" s="133"/>
      <c r="B243" s="133"/>
      <c r="AU243" s="134"/>
    </row>
    <row r="244" spans="1:47" x14ac:dyDescent="0.2">
      <c r="A244" s="133"/>
      <c r="B244" s="133"/>
      <c r="AU244" s="134"/>
    </row>
    <row r="245" spans="1:47" x14ac:dyDescent="0.2">
      <c r="A245" s="133"/>
      <c r="B245" s="133"/>
      <c r="AU245" s="134"/>
    </row>
    <row r="246" spans="1:47" x14ac:dyDescent="0.2">
      <c r="A246" s="133"/>
      <c r="B246" s="133"/>
      <c r="AU246" s="134"/>
    </row>
    <row r="247" spans="1:47" x14ac:dyDescent="0.2">
      <c r="A247" s="133"/>
      <c r="B247" s="133"/>
      <c r="AU247" s="134"/>
    </row>
    <row r="248" spans="1:47" x14ac:dyDescent="0.2">
      <c r="A248" s="133"/>
      <c r="B248" s="133"/>
      <c r="AU248" s="134"/>
    </row>
    <row r="249" spans="1:47" x14ac:dyDescent="0.2">
      <c r="A249" s="133"/>
      <c r="B249" s="133"/>
      <c r="AU249" s="134"/>
    </row>
    <row r="250" spans="1:47" x14ac:dyDescent="0.2">
      <c r="A250" s="133"/>
      <c r="B250" s="133"/>
      <c r="AU250" s="134"/>
    </row>
    <row r="251" spans="1:47" x14ac:dyDescent="0.2">
      <c r="A251" s="133"/>
      <c r="B251" s="133"/>
      <c r="AU251" s="134"/>
    </row>
    <row r="252" spans="1:47" x14ac:dyDescent="0.2">
      <c r="A252" s="133"/>
      <c r="B252" s="133"/>
      <c r="AU252" s="134"/>
    </row>
    <row r="253" spans="1:47" x14ac:dyDescent="0.2">
      <c r="A253" s="133"/>
      <c r="B253" s="133"/>
      <c r="AU253" s="134"/>
    </row>
    <row r="254" spans="1:47" x14ac:dyDescent="0.2">
      <c r="A254" s="133"/>
      <c r="B254" s="133"/>
      <c r="AU254" s="134"/>
    </row>
    <row r="255" spans="1:47" x14ac:dyDescent="0.2">
      <c r="A255" s="133"/>
      <c r="B255" s="133"/>
      <c r="AU255" s="134"/>
    </row>
    <row r="256" spans="1:47" x14ac:dyDescent="0.2">
      <c r="A256" s="133"/>
      <c r="B256" s="133"/>
      <c r="AU256" s="134"/>
    </row>
    <row r="257" spans="47:47" x14ac:dyDescent="0.2">
      <c r="AU257" s="134"/>
    </row>
    <row r="258" spans="47:47" x14ac:dyDescent="0.2">
      <c r="AU258" s="134"/>
    </row>
    <row r="259" spans="47:47" x14ac:dyDescent="0.2">
      <c r="AU259" s="134"/>
    </row>
    <row r="260" spans="47:47" x14ac:dyDescent="0.2">
      <c r="AU260" s="134"/>
    </row>
    <row r="261" spans="47:47" x14ac:dyDescent="0.2">
      <c r="AU261" s="134"/>
    </row>
    <row r="262" spans="47:47" x14ac:dyDescent="0.2">
      <c r="AU262" s="134"/>
    </row>
    <row r="263" spans="47:47" x14ac:dyDescent="0.2">
      <c r="AU263" s="134"/>
    </row>
    <row r="264" spans="47:47" x14ac:dyDescent="0.2">
      <c r="AU264" s="134"/>
    </row>
    <row r="265" spans="47:47" x14ac:dyDescent="0.2">
      <c r="AU265" s="134"/>
    </row>
    <row r="266" spans="47:47" x14ac:dyDescent="0.2">
      <c r="AU266" s="134"/>
    </row>
    <row r="267" spans="47:47" x14ac:dyDescent="0.2">
      <c r="AU267" s="134"/>
    </row>
    <row r="268" spans="47:47" x14ac:dyDescent="0.2">
      <c r="AU268" s="134"/>
    </row>
    <row r="269" spans="47:47" x14ac:dyDescent="0.2">
      <c r="AU269" s="134"/>
    </row>
    <row r="270" spans="47:47" x14ac:dyDescent="0.2">
      <c r="AU270" s="134"/>
    </row>
    <row r="271" spans="47:47" x14ac:dyDescent="0.2">
      <c r="AU271" s="134"/>
    </row>
    <row r="272" spans="47:47" x14ac:dyDescent="0.2">
      <c r="AU272" s="134"/>
    </row>
    <row r="273" spans="47:47" x14ac:dyDescent="0.2">
      <c r="AU273" s="134"/>
    </row>
    <row r="274" spans="47:47" x14ac:dyDescent="0.2">
      <c r="AU274" s="134"/>
    </row>
    <row r="275" spans="47:47" x14ac:dyDescent="0.2">
      <c r="AU275" s="134"/>
    </row>
    <row r="276" spans="47:47" x14ac:dyDescent="0.2">
      <c r="AU276" s="134"/>
    </row>
    <row r="277" spans="47:47" x14ac:dyDescent="0.2">
      <c r="AU277" s="134"/>
    </row>
    <row r="278" spans="47:47" x14ac:dyDescent="0.2">
      <c r="AU278" s="134"/>
    </row>
    <row r="279" spans="47:47" x14ac:dyDescent="0.2">
      <c r="AU279" s="134"/>
    </row>
    <row r="280" spans="47:47" x14ac:dyDescent="0.2">
      <c r="AU280" s="134"/>
    </row>
    <row r="281" spans="47:47" x14ac:dyDescent="0.2">
      <c r="AU281" s="134"/>
    </row>
    <row r="282" spans="47:47" x14ac:dyDescent="0.2">
      <c r="AU282" s="134"/>
    </row>
    <row r="283" spans="47:47" x14ac:dyDescent="0.2">
      <c r="AU283" s="134"/>
    </row>
    <row r="284" spans="47:47" x14ac:dyDescent="0.2">
      <c r="AU284" s="134"/>
    </row>
    <row r="285" spans="47:47" x14ac:dyDescent="0.2">
      <c r="AU285" s="134"/>
    </row>
    <row r="286" spans="47:47" x14ac:dyDescent="0.2">
      <c r="AU286" s="134"/>
    </row>
    <row r="287" spans="47:47" x14ac:dyDescent="0.2">
      <c r="AU287" s="134"/>
    </row>
    <row r="288" spans="47:47" x14ac:dyDescent="0.2">
      <c r="AU288" s="134"/>
    </row>
    <row r="289" spans="47:47" x14ac:dyDescent="0.2">
      <c r="AU289" s="134"/>
    </row>
    <row r="290" spans="47:47" x14ac:dyDescent="0.2">
      <c r="AU290" s="134"/>
    </row>
    <row r="291" spans="47:47" x14ac:dyDescent="0.2">
      <c r="AU291" s="134"/>
    </row>
    <row r="292" spans="47:47" x14ac:dyDescent="0.2">
      <c r="AU292" s="134"/>
    </row>
    <row r="293" spans="47:47" x14ac:dyDescent="0.2">
      <c r="AU293" s="134"/>
    </row>
    <row r="294" spans="47:47" x14ac:dyDescent="0.2">
      <c r="AU294" s="134"/>
    </row>
    <row r="295" spans="47:47" x14ac:dyDescent="0.2">
      <c r="AU295" s="134"/>
    </row>
    <row r="296" spans="47:47" x14ac:dyDescent="0.2">
      <c r="AU296" s="134"/>
    </row>
    <row r="297" spans="47:47" x14ac:dyDescent="0.2">
      <c r="AU297" s="134"/>
    </row>
    <row r="298" spans="47:47" x14ac:dyDescent="0.2">
      <c r="AU298" s="134"/>
    </row>
    <row r="299" spans="47:47" x14ac:dyDescent="0.2">
      <c r="AU299" s="134"/>
    </row>
    <row r="300" spans="47:47" x14ac:dyDescent="0.2">
      <c r="AU300" s="134"/>
    </row>
    <row r="301" spans="47:47" x14ac:dyDescent="0.2">
      <c r="AU301" s="134"/>
    </row>
    <row r="302" spans="47:47" x14ac:dyDescent="0.2">
      <c r="AU302" s="134"/>
    </row>
    <row r="303" spans="47:47" x14ac:dyDescent="0.2">
      <c r="AU303" s="134"/>
    </row>
    <row r="304" spans="47:47" x14ac:dyDescent="0.2">
      <c r="AU304" s="134"/>
    </row>
    <row r="305" spans="47:47" x14ac:dyDescent="0.2">
      <c r="AU305" s="134"/>
    </row>
    <row r="306" spans="47:47" x14ac:dyDescent="0.2">
      <c r="AU306" s="134"/>
    </row>
    <row r="307" spans="47:47" x14ac:dyDescent="0.2">
      <c r="AU307" s="134"/>
    </row>
    <row r="308" spans="47:47" x14ac:dyDescent="0.2">
      <c r="AU308" s="134"/>
    </row>
    <row r="309" spans="47:47" x14ac:dyDescent="0.2">
      <c r="AU309" s="134"/>
    </row>
    <row r="310" spans="47:47" x14ac:dyDescent="0.2">
      <c r="AU310" s="134"/>
    </row>
    <row r="311" spans="47:47" x14ac:dyDescent="0.2">
      <c r="AU311" s="134"/>
    </row>
    <row r="312" spans="47:47" x14ac:dyDescent="0.2">
      <c r="AU312" s="134"/>
    </row>
    <row r="313" spans="47:47" x14ac:dyDescent="0.2">
      <c r="AU313" s="134"/>
    </row>
    <row r="314" spans="47:47" x14ac:dyDescent="0.2">
      <c r="AU314" s="134"/>
    </row>
    <row r="315" spans="47:47" x14ac:dyDescent="0.2">
      <c r="AU315" s="134"/>
    </row>
    <row r="316" spans="47:47" x14ac:dyDescent="0.2">
      <c r="AU316" s="134"/>
    </row>
    <row r="317" spans="47:47" x14ac:dyDescent="0.2">
      <c r="AU317" s="134"/>
    </row>
    <row r="318" spans="47:47" x14ac:dyDescent="0.2">
      <c r="AU318" s="134"/>
    </row>
    <row r="319" spans="47:47" x14ac:dyDescent="0.2">
      <c r="AU319" s="134"/>
    </row>
    <row r="320" spans="47:47" x14ac:dyDescent="0.2">
      <c r="AU320" s="134"/>
    </row>
    <row r="321" spans="47:47" x14ac:dyDescent="0.2">
      <c r="AU321" s="134"/>
    </row>
    <row r="322" spans="47:47" x14ac:dyDescent="0.2">
      <c r="AU322" s="134"/>
    </row>
    <row r="323" spans="47:47" x14ac:dyDescent="0.2">
      <c r="AU323" s="134"/>
    </row>
    <row r="324" spans="47:47" x14ac:dyDescent="0.2">
      <c r="AU324" s="134"/>
    </row>
    <row r="325" spans="47:47" x14ac:dyDescent="0.2">
      <c r="AU325" s="134"/>
    </row>
    <row r="326" spans="47:47" x14ac:dyDescent="0.2">
      <c r="AU326" s="134"/>
    </row>
    <row r="327" spans="47:47" x14ac:dyDescent="0.2">
      <c r="AU327" s="134"/>
    </row>
    <row r="328" spans="47:47" x14ac:dyDescent="0.2">
      <c r="AU328" s="134"/>
    </row>
    <row r="329" spans="47:47" x14ac:dyDescent="0.2">
      <c r="AU329" s="134"/>
    </row>
    <row r="330" spans="47:47" x14ac:dyDescent="0.2">
      <c r="AU330" s="134"/>
    </row>
    <row r="331" spans="47:47" x14ac:dyDescent="0.2">
      <c r="AU331" s="134"/>
    </row>
    <row r="332" spans="47:47" x14ac:dyDescent="0.2">
      <c r="AU332" s="134"/>
    </row>
    <row r="333" spans="47:47" x14ac:dyDescent="0.2">
      <c r="AU333" s="134"/>
    </row>
    <row r="334" spans="47:47" x14ac:dyDescent="0.2">
      <c r="AU334" s="134"/>
    </row>
    <row r="335" spans="47:47" x14ac:dyDescent="0.2">
      <c r="AU335" s="134"/>
    </row>
    <row r="336" spans="47:47" x14ac:dyDescent="0.2">
      <c r="AU336" s="134"/>
    </row>
    <row r="337" spans="47:47" x14ac:dyDescent="0.2">
      <c r="AU337" s="134"/>
    </row>
    <row r="338" spans="47:47" x14ac:dyDescent="0.2">
      <c r="AU338" s="134"/>
    </row>
    <row r="339" spans="47:47" x14ac:dyDescent="0.2">
      <c r="AU339" s="134"/>
    </row>
    <row r="340" spans="47:47" x14ac:dyDescent="0.2">
      <c r="AU340" s="134"/>
    </row>
    <row r="341" spans="47:47" x14ac:dyDescent="0.2">
      <c r="AU341" s="134"/>
    </row>
    <row r="342" spans="47:47" x14ac:dyDescent="0.2">
      <c r="AU342" s="134"/>
    </row>
    <row r="343" spans="47:47" x14ac:dyDescent="0.2">
      <c r="AU343" s="134"/>
    </row>
    <row r="344" spans="47:47" x14ac:dyDescent="0.2">
      <c r="AU344" s="134"/>
    </row>
    <row r="345" spans="47:47" x14ac:dyDescent="0.2">
      <c r="AU345" s="134"/>
    </row>
    <row r="346" spans="47:47" x14ac:dyDescent="0.2">
      <c r="AU346" s="134"/>
    </row>
    <row r="347" spans="47:47" x14ac:dyDescent="0.2">
      <c r="AU347" s="134"/>
    </row>
    <row r="348" spans="47:47" x14ac:dyDescent="0.2">
      <c r="AU348" s="134"/>
    </row>
    <row r="349" spans="47:47" x14ac:dyDescent="0.2">
      <c r="AU349" s="134"/>
    </row>
    <row r="350" spans="47:47" x14ac:dyDescent="0.2">
      <c r="AU350" s="134"/>
    </row>
    <row r="351" spans="47:47" x14ac:dyDescent="0.2">
      <c r="AU351" s="134"/>
    </row>
    <row r="352" spans="47:47" x14ac:dyDescent="0.2">
      <c r="AU352" s="134"/>
    </row>
    <row r="353" spans="47:47" x14ac:dyDescent="0.2">
      <c r="AU353" s="134"/>
    </row>
    <row r="354" spans="47:47" x14ac:dyDescent="0.2">
      <c r="AU354" s="134"/>
    </row>
    <row r="355" spans="47:47" x14ac:dyDescent="0.2">
      <c r="AU355" s="134"/>
    </row>
    <row r="356" spans="47:47" x14ac:dyDescent="0.2">
      <c r="AU356" s="134"/>
    </row>
    <row r="357" spans="47:47" x14ac:dyDescent="0.2">
      <c r="AU357" s="134"/>
    </row>
    <row r="358" spans="47:47" x14ac:dyDescent="0.2">
      <c r="AU358" s="134"/>
    </row>
    <row r="359" spans="47:47" x14ac:dyDescent="0.2">
      <c r="AU359" s="134"/>
    </row>
    <row r="360" spans="47:47" x14ac:dyDescent="0.2">
      <c r="AU360" s="134"/>
    </row>
    <row r="361" spans="47:47" x14ac:dyDescent="0.2">
      <c r="AU361" s="134"/>
    </row>
    <row r="362" spans="47:47" x14ac:dyDescent="0.2">
      <c r="AU362" s="134"/>
    </row>
    <row r="363" spans="47:47" x14ac:dyDescent="0.2">
      <c r="AU363" s="134"/>
    </row>
    <row r="364" spans="47:47" x14ac:dyDescent="0.2">
      <c r="AU364" s="134"/>
    </row>
    <row r="365" spans="47:47" x14ac:dyDescent="0.2">
      <c r="AU365" s="134"/>
    </row>
    <row r="366" spans="47:47" x14ac:dyDescent="0.2">
      <c r="AU366" s="134"/>
    </row>
    <row r="367" spans="47:47" x14ac:dyDescent="0.2">
      <c r="AU367" s="134"/>
    </row>
    <row r="368" spans="47:47" x14ac:dyDescent="0.2">
      <c r="AU368" s="134"/>
    </row>
    <row r="369" spans="47:47" x14ac:dyDescent="0.2">
      <c r="AU369" s="134"/>
    </row>
    <row r="370" spans="47:47" x14ac:dyDescent="0.2">
      <c r="AU370" s="134"/>
    </row>
    <row r="371" spans="47:47" x14ac:dyDescent="0.2">
      <c r="AU371" s="134"/>
    </row>
    <row r="372" spans="47:47" x14ac:dyDescent="0.2">
      <c r="AU372" s="134"/>
    </row>
    <row r="373" spans="47:47" x14ac:dyDescent="0.2">
      <c r="AU373" s="134"/>
    </row>
    <row r="374" spans="47:47" x14ac:dyDescent="0.2">
      <c r="AU374" s="134"/>
    </row>
    <row r="375" spans="47:47" x14ac:dyDescent="0.2">
      <c r="AU375" s="134"/>
    </row>
    <row r="376" spans="47:47" x14ac:dyDescent="0.2">
      <c r="AU376" s="134"/>
    </row>
    <row r="377" spans="47:47" x14ac:dyDescent="0.2">
      <c r="AU377" s="134"/>
    </row>
    <row r="378" spans="47:47" x14ac:dyDescent="0.2">
      <c r="AU378" s="134"/>
    </row>
    <row r="379" spans="47:47" x14ac:dyDescent="0.2">
      <c r="AU379" s="134"/>
    </row>
    <row r="380" spans="47:47" x14ac:dyDescent="0.2">
      <c r="AU380" s="134"/>
    </row>
    <row r="381" spans="47:47" x14ac:dyDescent="0.2">
      <c r="AU381" s="134"/>
    </row>
    <row r="382" spans="47:47" x14ac:dyDescent="0.2">
      <c r="AU382" s="134"/>
    </row>
    <row r="383" spans="47:47" x14ac:dyDescent="0.2">
      <c r="AU383" s="134"/>
    </row>
    <row r="384" spans="47:47" x14ac:dyDescent="0.2">
      <c r="AU384" s="134"/>
    </row>
    <row r="385" spans="47:47" x14ac:dyDescent="0.2">
      <c r="AU385" s="134"/>
    </row>
    <row r="386" spans="47:47" x14ac:dyDescent="0.2">
      <c r="AU386" s="134"/>
    </row>
    <row r="387" spans="47:47" x14ac:dyDescent="0.2">
      <c r="AU387" s="134"/>
    </row>
    <row r="388" spans="47:47" x14ac:dyDescent="0.2">
      <c r="AU388" s="134"/>
    </row>
    <row r="389" spans="47:47" x14ac:dyDescent="0.2">
      <c r="AU389" s="134"/>
    </row>
    <row r="390" spans="47:47" x14ac:dyDescent="0.2">
      <c r="AU390" s="134"/>
    </row>
    <row r="391" spans="47:47" x14ac:dyDescent="0.2">
      <c r="AU391" s="134"/>
    </row>
    <row r="392" spans="47:47" x14ac:dyDescent="0.2">
      <c r="AU392" s="134"/>
    </row>
    <row r="393" spans="47:47" x14ac:dyDescent="0.2">
      <c r="AU393" s="134"/>
    </row>
    <row r="394" spans="47:47" x14ac:dyDescent="0.2">
      <c r="AU394" s="134"/>
    </row>
    <row r="395" spans="47:47" x14ac:dyDescent="0.2">
      <c r="AU395" s="134"/>
    </row>
    <row r="396" spans="47:47" x14ac:dyDescent="0.2">
      <c r="AU396" s="134"/>
    </row>
    <row r="397" spans="47:47" x14ac:dyDescent="0.2">
      <c r="AU397" s="134"/>
    </row>
    <row r="398" spans="47:47" x14ac:dyDescent="0.2">
      <c r="AU398" s="134"/>
    </row>
    <row r="399" spans="47:47" x14ac:dyDescent="0.2">
      <c r="AU399" s="134"/>
    </row>
    <row r="400" spans="47:47" x14ac:dyDescent="0.2">
      <c r="AU400" s="134"/>
    </row>
    <row r="401" spans="47:47" x14ac:dyDescent="0.2">
      <c r="AU401" s="134"/>
    </row>
    <row r="402" spans="47:47" x14ac:dyDescent="0.2">
      <c r="AU402" s="134"/>
    </row>
    <row r="403" spans="47:47" x14ac:dyDescent="0.2">
      <c r="AU403" s="134"/>
    </row>
    <row r="404" spans="47:47" x14ac:dyDescent="0.2">
      <c r="AU404" s="134"/>
    </row>
    <row r="405" spans="47:47" x14ac:dyDescent="0.2">
      <c r="AU405" s="134"/>
    </row>
    <row r="406" spans="47:47" x14ac:dyDescent="0.2">
      <c r="AU406" s="134"/>
    </row>
    <row r="407" spans="47:47" x14ac:dyDescent="0.2">
      <c r="AU407" s="134"/>
    </row>
    <row r="408" spans="47:47" x14ac:dyDescent="0.2">
      <c r="AU408" s="134"/>
    </row>
    <row r="409" spans="47:47" x14ac:dyDescent="0.2">
      <c r="AU409" s="134"/>
    </row>
    <row r="410" spans="47:47" x14ac:dyDescent="0.2">
      <c r="AU410" s="134"/>
    </row>
    <row r="411" spans="47:47" x14ac:dyDescent="0.2">
      <c r="AU411" s="134"/>
    </row>
    <row r="412" spans="47:47" x14ac:dyDescent="0.2">
      <c r="AU412" s="134"/>
    </row>
    <row r="413" spans="47:47" x14ac:dyDescent="0.2">
      <c r="AU413" s="134"/>
    </row>
    <row r="414" spans="47:47" x14ac:dyDescent="0.2">
      <c r="AU414" s="134"/>
    </row>
    <row r="415" spans="47:47" x14ac:dyDescent="0.2">
      <c r="AU415" s="134"/>
    </row>
    <row r="416" spans="47:47" x14ac:dyDescent="0.2">
      <c r="AU416" s="134"/>
    </row>
    <row r="417" spans="47:47" x14ac:dyDescent="0.2">
      <c r="AU417" s="134"/>
    </row>
    <row r="418" spans="47:47" x14ac:dyDescent="0.2">
      <c r="AU418" s="134"/>
    </row>
    <row r="419" spans="47:47" x14ac:dyDescent="0.2">
      <c r="AU419" s="134"/>
    </row>
    <row r="420" spans="47:47" x14ac:dyDescent="0.2">
      <c r="AU420" s="134"/>
    </row>
    <row r="421" spans="47:47" x14ac:dyDescent="0.2">
      <c r="AU421" s="134"/>
    </row>
    <row r="422" spans="47:47" x14ac:dyDescent="0.2">
      <c r="AU422" s="134"/>
    </row>
    <row r="423" spans="47:47" x14ac:dyDescent="0.2">
      <c r="AU423" s="134"/>
    </row>
    <row r="424" spans="47:47" x14ac:dyDescent="0.2">
      <c r="AU424" s="134"/>
    </row>
    <row r="425" spans="47:47" x14ac:dyDescent="0.2">
      <c r="AU425" s="134"/>
    </row>
    <row r="426" spans="47:47" x14ac:dyDescent="0.2">
      <c r="AU426" s="134"/>
    </row>
    <row r="427" spans="47:47" x14ac:dyDescent="0.2">
      <c r="AU427" s="134"/>
    </row>
    <row r="428" spans="47:47" x14ac:dyDescent="0.2">
      <c r="AU428" s="134"/>
    </row>
    <row r="429" spans="47:47" x14ac:dyDescent="0.2">
      <c r="AU429" s="134"/>
    </row>
    <row r="430" spans="47:47" x14ac:dyDescent="0.2">
      <c r="AU430" s="134"/>
    </row>
    <row r="431" spans="47:47" x14ac:dyDescent="0.2">
      <c r="AU431" s="134"/>
    </row>
    <row r="432" spans="47:47" x14ac:dyDescent="0.2">
      <c r="AU432" s="134"/>
    </row>
    <row r="433" spans="47:47" x14ac:dyDescent="0.2">
      <c r="AU433" s="134"/>
    </row>
    <row r="434" spans="47:47" x14ac:dyDescent="0.2">
      <c r="AU434" s="134"/>
    </row>
    <row r="435" spans="47:47" x14ac:dyDescent="0.2">
      <c r="AU435" s="134"/>
    </row>
    <row r="436" spans="47:47" x14ac:dyDescent="0.2">
      <c r="AU436" s="134"/>
    </row>
    <row r="437" spans="47:47" x14ac:dyDescent="0.2">
      <c r="AU437" s="134"/>
    </row>
    <row r="438" spans="47:47" x14ac:dyDescent="0.2">
      <c r="AU438" s="134"/>
    </row>
    <row r="439" spans="47:47" x14ac:dyDescent="0.2">
      <c r="AU439" s="134"/>
    </row>
    <row r="440" spans="47:47" x14ac:dyDescent="0.2">
      <c r="AU440" s="134"/>
    </row>
    <row r="441" spans="47:47" x14ac:dyDescent="0.2">
      <c r="AU441" s="134"/>
    </row>
    <row r="442" spans="47:47" x14ac:dyDescent="0.2">
      <c r="AU442" s="134"/>
    </row>
    <row r="443" spans="47:47" x14ac:dyDescent="0.2">
      <c r="AU443" s="134"/>
    </row>
    <row r="444" spans="47:47" x14ac:dyDescent="0.2">
      <c r="AU444" s="134"/>
    </row>
    <row r="445" spans="47:47" x14ac:dyDescent="0.2">
      <c r="AU445" s="134"/>
    </row>
    <row r="446" spans="47:47" x14ac:dyDescent="0.2">
      <c r="AU446" s="134"/>
    </row>
    <row r="447" spans="47:47" x14ac:dyDescent="0.2">
      <c r="AU447" s="134"/>
    </row>
    <row r="448" spans="47:47" x14ac:dyDescent="0.2">
      <c r="AU448" s="134"/>
    </row>
    <row r="449" spans="47:47" x14ac:dyDescent="0.2">
      <c r="AU449" s="134"/>
    </row>
    <row r="450" spans="47:47" x14ac:dyDescent="0.2">
      <c r="AU450" s="134"/>
    </row>
    <row r="451" spans="47:47" x14ac:dyDescent="0.2">
      <c r="AU451" s="134"/>
    </row>
    <row r="452" spans="47:47" x14ac:dyDescent="0.2">
      <c r="AU452" s="134"/>
    </row>
    <row r="453" spans="47:47" x14ac:dyDescent="0.2">
      <c r="AU453" s="134"/>
    </row>
    <row r="454" spans="47:47" x14ac:dyDescent="0.2">
      <c r="AU454" s="134"/>
    </row>
    <row r="455" spans="47:47" x14ac:dyDescent="0.2">
      <c r="AU455" s="134"/>
    </row>
    <row r="456" spans="47:47" x14ac:dyDescent="0.2">
      <c r="AU456" s="134"/>
    </row>
    <row r="457" spans="47:47" x14ac:dyDescent="0.2">
      <c r="AU457" s="134"/>
    </row>
    <row r="458" spans="47:47" x14ac:dyDescent="0.2">
      <c r="AU458" s="134"/>
    </row>
    <row r="459" spans="47:47" x14ac:dyDescent="0.2">
      <c r="AU459" s="134"/>
    </row>
    <row r="460" spans="47:47" x14ac:dyDescent="0.2">
      <c r="AU460" s="134"/>
    </row>
    <row r="461" spans="47:47" x14ac:dyDescent="0.2">
      <c r="AU461" s="134"/>
    </row>
    <row r="462" spans="47:47" x14ac:dyDescent="0.2">
      <c r="AU462" s="134"/>
    </row>
    <row r="463" spans="47:47" x14ac:dyDescent="0.2">
      <c r="AU463" s="134"/>
    </row>
    <row r="464" spans="47:47" x14ac:dyDescent="0.2">
      <c r="AU464" s="134"/>
    </row>
    <row r="465" spans="47:47" x14ac:dyDescent="0.2">
      <c r="AU465" s="134"/>
    </row>
    <row r="466" spans="47:47" x14ac:dyDescent="0.2">
      <c r="AU466" s="134"/>
    </row>
    <row r="467" spans="47:47" x14ac:dyDescent="0.2">
      <c r="AU467" s="134"/>
    </row>
    <row r="468" spans="47:47" x14ac:dyDescent="0.2">
      <c r="AU468" s="134"/>
    </row>
    <row r="469" spans="47:47" x14ac:dyDescent="0.2">
      <c r="AU469" s="134"/>
    </row>
    <row r="470" spans="47:47" x14ac:dyDescent="0.2">
      <c r="AU470" s="134"/>
    </row>
    <row r="471" spans="47:47" x14ac:dyDescent="0.2">
      <c r="AU471" s="134"/>
    </row>
    <row r="472" spans="47:47" x14ac:dyDescent="0.2">
      <c r="AU472" s="134"/>
    </row>
    <row r="473" spans="47:47" x14ac:dyDescent="0.2">
      <c r="AU473" s="134"/>
    </row>
    <row r="474" spans="47:47" x14ac:dyDescent="0.2">
      <c r="AU474" s="134"/>
    </row>
    <row r="475" spans="47:47" x14ac:dyDescent="0.2">
      <c r="AU475" s="134"/>
    </row>
    <row r="476" spans="47:47" x14ac:dyDescent="0.2">
      <c r="AU476" s="134"/>
    </row>
    <row r="477" spans="47:47" x14ac:dyDescent="0.2">
      <c r="AU477" s="134"/>
    </row>
    <row r="478" spans="47:47" x14ac:dyDescent="0.2">
      <c r="AU478" s="134"/>
    </row>
    <row r="479" spans="47:47" x14ac:dyDescent="0.2">
      <c r="AU479" s="134"/>
    </row>
    <row r="480" spans="47:47" x14ac:dyDescent="0.2">
      <c r="AU480" s="134"/>
    </row>
    <row r="481" spans="47:47" x14ac:dyDescent="0.2">
      <c r="AU481" s="134"/>
    </row>
    <row r="482" spans="47:47" x14ac:dyDescent="0.2">
      <c r="AU482" s="134"/>
    </row>
    <row r="483" spans="47:47" x14ac:dyDescent="0.2">
      <c r="AU483" s="134"/>
    </row>
    <row r="484" spans="47:47" x14ac:dyDescent="0.2">
      <c r="AU484" s="134"/>
    </row>
    <row r="485" spans="47:47" x14ac:dyDescent="0.2">
      <c r="AU485" s="134"/>
    </row>
    <row r="486" spans="47:47" x14ac:dyDescent="0.2">
      <c r="AU486" s="134"/>
    </row>
    <row r="487" spans="47:47" x14ac:dyDescent="0.2">
      <c r="AU487" s="134"/>
    </row>
    <row r="488" spans="47:47" x14ac:dyDescent="0.2">
      <c r="AU488" s="134"/>
    </row>
    <row r="489" spans="47:47" x14ac:dyDescent="0.2">
      <c r="AU489" s="134"/>
    </row>
    <row r="490" spans="47:47" x14ac:dyDescent="0.2">
      <c r="AU490" s="134"/>
    </row>
    <row r="491" spans="47:47" x14ac:dyDescent="0.2">
      <c r="AU491" s="134"/>
    </row>
    <row r="492" spans="47:47" x14ac:dyDescent="0.2">
      <c r="AU492" s="134"/>
    </row>
    <row r="493" spans="47:47" x14ac:dyDescent="0.2">
      <c r="AU493" s="134"/>
    </row>
    <row r="494" spans="47:47" x14ac:dyDescent="0.2">
      <c r="AU494" s="134"/>
    </row>
    <row r="495" spans="47:47" x14ac:dyDescent="0.2">
      <c r="AU495" s="134"/>
    </row>
    <row r="496" spans="47:47" x14ac:dyDescent="0.2">
      <c r="AU496" s="134"/>
    </row>
    <row r="497" spans="47:47" x14ac:dyDescent="0.2">
      <c r="AU497" s="134"/>
    </row>
    <row r="498" spans="47:47" x14ac:dyDescent="0.2">
      <c r="AU498" s="134"/>
    </row>
    <row r="499" spans="47:47" x14ac:dyDescent="0.2">
      <c r="AU499" s="134"/>
    </row>
    <row r="500" spans="47:47" x14ac:dyDescent="0.2">
      <c r="AU500" s="134"/>
    </row>
    <row r="501" spans="47:47" x14ac:dyDescent="0.2">
      <c r="AU501" s="134"/>
    </row>
    <row r="502" spans="47:47" x14ac:dyDescent="0.2">
      <c r="AU502" s="134"/>
    </row>
    <row r="503" spans="47:47" x14ac:dyDescent="0.2">
      <c r="AU503" s="134"/>
    </row>
    <row r="504" spans="47:47" x14ac:dyDescent="0.2">
      <c r="AU504" s="134"/>
    </row>
    <row r="505" spans="47:47" x14ac:dyDescent="0.2">
      <c r="AU505" s="134"/>
    </row>
    <row r="506" spans="47:47" x14ac:dyDescent="0.2">
      <c r="AU506" s="134"/>
    </row>
    <row r="507" spans="47:47" x14ac:dyDescent="0.2">
      <c r="AU507" s="134"/>
    </row>
    <row r="508" spans="47:47" x14ac:dyDescent="0.2">
      <c r="AU508" s="134"/>
    </row>
    <row r="509" spans="47:47" x14ac:dyDescent="0.2">
      <c r="AU509" s="134"/>
    </row>
    <row r="510" spans="47:47" x14ac:dyDescent="0.2">
      <c r="AU510" s="134"/>
    </row>
    <row r="511" spans="47:47" x14ac:dyDescent="0.2">
      <c r="AU511" s="134"/>
    </row>
    <row r="512" spans="47:47" x14ac:dyDescent="0.2">
      <c r="AU512" s="134"/>
    </row>
    <row r="513" spans="47:47" x14ac:dyDescent="0.2">
      <c r="AU513" s="134"/>
    </row>
    <row r="514" spans="47:47" x14ac:dyDescent="0.2">
      <c r="AU514" s="134"/>
    </row>
    <row r="515" spans="47:47" x14ac:dyDescent="0.2">
      <c r="AU515" s="134"/>
    </row>
    <row r="516" spans="47:47" x14ac:dyDescent="0.2">
      <c r="AU516" s="134"/>
    </row>
    <row r="517" spans="47:47" x14ac:dyDescent="0.2">
      <c r="AU517" s="134"/>
    </row>
    <row r="518" spans="47:47" x14ac:dyDescent="0.2">
      <c r="AU518" s="134"/>
    </row>
    <row r="519" spans="47:47" x14ac:dyDescent="0.2">
      <c r="AU519" s="134"/>
    </row>
    <row r="520" spans="47:47" x14ac:dyDescent="0.2">
      <c r="AU520" s="134"/>
    </row>
    <row r="521" spans="47:47" x14ac:dyDescent="0.2">
      <c r="AU521" s="134"/>
    </row>
    <row r="522" spans="47:47" x14ac:dyDescent="0.2">
      <c r="AU522" s="134"/>
    </row>
    <row r="523" spans="47:47" x14ac:dyDescent="0.2">
      <c r="AU523" s="134"/>
    </row>
    <row r="524" spans="47:47" x14ac:dyDescent="0.2">
      <c r="AU524" s="134"/>
    </row>
    <row r="525" spans="47:47" x14ac:dyDescent="0.2">
      <c r="AU525" s="134"/>
    </row>
    <row r="526" spans="47:47" x14ac:dyDescent="0.2">
      <c r="AU526" s="134"/>
    </row>
    <row r="527" spans="47:47" x14ac:dyDescent="0.2">
      <c r="AU527" s="134"/>
    </row>
    <row r="528" spans="47:47" x14ac:dyDescent="0.2">
      <c r="AU528" s="134"/>
    </row>
    <row r="529" spans="47:47" x14ac:dyDescent="0.2">
      <c r="AU529" s="134"/>
    </row>
    <row r="530" spans="47:47" x14ac:dyDescent="0.2">
      <c r="AU530" s="134"/>
    </row>
    <row r="531" spans="47:47" x14ac:dyDescent="0.2">
      <c r="AU531" s="134"/>
    </row>
    <row r="532" spans="47:47" x14ac:dyDescent="0.2">
      <c r="AU532" s="134"/>
    </row>
    <row r="533" spans="47:47" x14ac:dyDescent="0.2">
      <c r="AU533" s="134"/>
    </row>
    <row r="534" spans="47:47" x14ac:dyDescent="0.2">
      <c r="AU534" s="134"/>
    </row>
    <row r="535" spans="47:47" x14ac:dyDescent="0.2">
      <c r="AU535" s="134"/>
    </row>
    <row r="536" spans="47:47" x14ac:dyDescent="0.2">
      <c r="AU536" s="134"/>
    </row>
    <row r="537" spans="47:47" x14ac:dyDescent="0.2">
      <c r="AU537" s="134"/>
    </row>
    <row r="538" spans="47:47" x14ac:dyDescent="0.2">
      <c r="AU538" s="134"/>
    </row>
    <row r="539" spans="47:47" x14ac:dyDescent="0.2">
      <c r="AU539" s="134"/>
    </row>
    <row r="540" spans="47:47" x14ac:dyDescent="0.2">
      <c r="AU540" s="134"/>
    </row>
    <row r="541" spans="47:47" x14ac:dyDescent="0.2">
      <c r="AU541" s="134"/>
    </row>
    <row r="542" spans="47:47" x14ac:dyDescent="0.2">
      <c r="AU542" s="134"/>
    </row>
    <row r="543" spans="47:47" x14ac:dyDescent="0.2">
      <c r="AU543" s="134"/>
    </row>
    <row r="544" spans="47:47" x14ac:dyDescent="0.2">
      <c r="AU544" s="134"/>
    </row>
    <row r="545" spans="47:47" x14ac:dyDescent="0.2">
      <c r="AU545" s="134"/>
    </row>
    <row r="546" spans="47:47" x14ac:dyDescent="0.2">
      <c r="AU546" s="134"/>
    </row>
    <row r="547" spans="47:47" x14ac:dyDescent="0.2">
      <c r="AU547" s="134"/>
    </row>
    <row r="548" spans="47:47" x14ac:dyDescent="0.2">
      <c r="AU548" s="134"/>
    </row>
    <row r="549" spans="47:47" x14ac:dyDescent="0.2">
      <c r="AU549" s="134"/>
    </row>
    <row r="550" spans="47:47" x14ac:dyDescent="0.2">
      <c r="AU550" s="134"/>
    </row>
    <row r="551" spans="47:47" x14ac:dyDescent="0.2">
      <c r="AU551" s="134"/>
    </row>
    <row r="552" spans="47:47" x14ac:dyDescent="0.2">
      <c r="AU552" s="134"/>
    </row>
    <row r="553" spans="47:47" x14ac:dyDescent="0.2">
      <c r="AU553" s="134"/>
    </row>
    <row r="554" spans="47:47" x14ac:dyDescent="0.2">
      <c r="AU554" s="134"/>
    </row>
    <row r="555" spans="47:47" x14ac:dyDescent="0.2">
      <c r="AU555" s="134"/>
    </row>
    <row r="556" spans="47:47" x14ac:dyDescent="0.2">
      <c r="AU556" s="134"/>
    </row>
    <row r="557" spans="47:47" x14ac:dyDescent="0.2">
      <c r="AU557" s="134"/>
    </row>
    <row r="558" spans="47:47" x14ac:dyDescent="0.2">
      <c r="AU558" s="134"/>
    </row>
    <row r="559" spans="47:47" x14ac:dyDescent="0.2">
      <c r="AU559" s="134"/>
    </row>
    <row r="560" spans="47:47" x14ac:dyDescent="0.2">
      <c r="AU560" s="134"/>
    </row>
    <row r="561" spans="47:47" x14ac:dyDescent="0.2">
      <c r="AU561" s="134"/>
    </row>
    <row r="562" spans="47:47" x14ac:dyDescent="0.2">
      <c r="AU562" s="134"/>
    </row>
    <row r="563" spans="47:47" x14ac:dyDescent="0.2">
      <c r="AU563" s="134"/>
    </row>
    <row r="564" spans="47:47" x14ac:dyDescent="0.2">
      <c r="AU564" s="134"/>
    </row>
    <row r="565" spans="47:47" x14ac:dyDescent="0.2">
      <c r="AU565" s="134"/>
    </row>
    <row r="566" spans="47:47" x14ac:dyDescent="0.2">
      <c r="AU566" s="134"/>
    </row>
    <row r="567" spans="47:47" x14ac:dyDescent="0.2">
      <c r="AU567" s="134"/>
    </row>
    <row r="568" spans="47:47" x14ac:dyDescent="0.2">
      <c r="AU568" s="134"/>
    </row>
    <row r="569" spans="47:47" x14ac:dyDescent="0.2">
      <c r="AU569" s="134"/>
    </row>
    <row r="570" spans="47:47" x14ac:dyDescent="0.2">
      <c r="AU570" s="134"/>
    </row>
    <row r="571" spans="47:47" x14ac:dyDescent="0.2">
      <c r="AU571" s="134"/>
    </row>
    <row r="572" spans="47:47" x14ac:dyDescent="0.2">
      <c r="AU572" s="134"/>
    </row>
    <row r="573" spans="47:47" x14ac:dyDescent="0.2">
      <c r="AU573" s="134"/>
    </row>
    <row r="574" spans="47:47" x14ac:dyDescent="0.2">
      <c r="AU574" s="134"/>
    </row>
    <row r="575" spans="47:47" x14ac:dyDescent="0.2">
      <c r="AU575" s="134"/>
    </row>
    <row r="576" spans="47:47" x14ac:dyDescent="0.2">
      <c r="AU576" s="134"/>
    </row>
    <row r="577" spans="47:47" x14ac:dyDescent="0.2">
      <c r="AU577" s="134"/>
    </row>
    <row r="578" spans="47:47" x14ac:dyDescent="0.2">
      <c r="AU578" s="134"/>
    </row>
    <row r="579" spans="47:47" x14ac:dyDescent="0.2">
      <c r="AU579" s="134"/>
    </row>
    <row r="580" spans="47:47" x14ac:dyDescent="0.2">
      <c r="AU580" s="134"/>
    </row>
    <row r="581" spans="47:47" x14ac:dyDescent="0.2">
      <c r="AU581" s="134"/>
    </row>
    <row r="582" spans="47:47" x14ac:dyDescent="0.2">
      <c r="AU582" s="134"/>
    </row>
    <row r="583" spans="47:47" x14ac:dyDescent="0.2">
      <c r="AU583" s="134"/>
    </row>
    <row r="584" spans="47:47" x14ac:dyDescent="0.2">
      <c r="AU584" s="134"/>
    </row>
    <row r="585" spans="47:47" x14ac:dyDescent="0.2">
      <c r="AU585" s="134"/>
    </row>
    <row r="586" spans="47:47" x14ac:dyDescent="0.2">
      <c r="AU586" s="134"/>
    </row>
    <row r="587" spans="47:47" x14ac:dyDescent="0.2">
      <c r="AU587" s="134"/>
    </row>
    <row r="588" spans="47:47" x14ac:dyDescent="0.2">
      <c r="AU588" s="134"/>
    </row>
    <row r="589" spans="47:47" x14ac:dyDescent="0.2">
      <c r="AU589" s="134"/>
    </row>
    <row r="590" spans="47:47" x14ac:dyDescent="0.2">
      <c r="AU590" s="134"/>
    </row>
    <row r="591" spans="47:47" x14ac:dyDescent="0.2">
      <c r="AU591" s="134"/>
    </row>
    <row r="592" spans="47:47" x14ac:dyDescent="0.2">
      <c r="AU592" s="134"/>
    </row>
    <row r="593" spans="47:47" x14ac:dyDescent="0.2">
      <c r="AU593" s="134"/>
    </row>
    <row r="594" spans="47:47" x14ac:dyDescent="0.2">
      <c r="AU594" s="134"/>
    </row>
    <row r="595" spans="47:47" x14ac:dyDescent="0.2">
      <c r="AU595" s="134"/>
    </row>
    <row r="596" spans="47:47" x14ac:dyDescent="0.2">
      <c r="AU596" s="134"/>
    </row>
    <row r="597" spans="47:47" x14ac:dyDescent="0.2">
      <c r="AU597" s="134"/>
    </row>
    <row r="598" spans="47:47" x14ac:dyDescent="0.2">
      <c r="AU598" s="134"/>
    </row>
    <row r="599" spans="47:47" x14ac:dyDescent="0.2">
      <c r="AU599" s="134"/>
    </row>
    <row r="600" spans="47:47" x14ac:dyDescent="0.2">
      <c r="AU600" s="134"/>
    </row>
    <row r="601" spans="47:47" x14ac:dyDescent="0.2">
      <c r="AU601" s="134"/>
    </row>
    <row r="602" spans="47:47" x14ac:dyDescent="0.2">
      <c r="AU602" s="134"/>
    </row>
    <row r="603" spans="47:47" x14ac:dyDescent="0.2">
      <c r="AU603" s="134"/>
    </row>
    <row r="604" spans="47:47" x14ac:dyDescent="0.2">
      <c r="AU604" s="134"/>
    </row>
    <row r="605" spans="47:47" x14ac:dyDescent="0.2">
      <c r="AU605" s="134"/>
    </row>
    <row r="606" spans="47:47" x14ac:dyDescent="0.2">
      <c r="AU606" s="134"/>
    </row>
    <row r="607" spans="47:47" x14ac:dyDescent="0.2">
      <c r="AU607" s="134"/>
    </row>
    <row r="608" spans="47:47" x14ac:dyDescent="0.2">
      <c r="AU608" s="134"/>
    </row>
    <row r="609" spans="47:47" x14ac:dyDescent="0.2">
      <c r="AU609" s="134"/>
    </row>
    <row r="610" spans="47:47" x14ac:dyDescent="0.2">
      <c r="AU610" s="134"/>
    </row>
    <row r="611" spans="47:47" x14ac:dyDescent="0.2">
      <c r="AU611" s="134"/>
    </row>
    <row r="612" spans="47:47" x14ac:dyDescent="0.2">
      <c r="AU612" s="134"/>
    </row>
    <row r="613" spans="47:47" x14ac:dyDescent="0.2">
      <c r="AU613" s="134"/>
    </row>
    <row r="614" spans="47:47" x14ac:dyDescent="0.2">
      <c r="AU614" s="134"/>
    </row>
    <row r="615" spans="47:47" x14ac:dyDescent="0.2">
      <c r="AU615" s="134"/>
    </row>
    <row r="616" spans="47:47" x14ac:dyDescent="0.2">
      <c r="AU616" s="134"/>
    </row>
    <row r="617" spans="47:47" x14ac:dyDescent="0.2">
      <c r="AU617" s="134"/>
    </row>
    <row r="618" spans="47:47" x14ac:dyDescent="0.2">
      <c r="AU618" s="134"/>
    </row>
    <row r="619" spans="47:47" x14ac:dyDescent="0.2">
      <c r="AU619" s="134"/>
    </row>
    <row r="620" spans="47:47" x14ac:dyDescent="0.2">
      <c r="AU620" s="134"/>
    </row>
    <row r="621" spans="47:47" x14ac:dyDescent="0.2">
      <c r="AU621" s="134"/>
    </row>
    <row r="622" spans="47:47" x14ac:dyDescent="0.2">
      <c r="AU622" s="134"/>
    </row>
    <row r="623" spans="47:47" x14ac:dyDescent="0.2">
      <c r="AU623" s="134"/>
    </row>
    <row r="624" spans="47:47" x14ac:dyDescent="0.2">
      <c r="AU624" s="134"/>
    </row>
    <row r="625" spans="47:47" x14ac:dyDescent="0.2">
      <c r="AU625" s="134"/>
    </row>
    <row r="626" spans="47:47" x14ac:dyDescent="0.2">
      <c r="AU626" s="134"/>
    </row>
    <row r="627" spans="47:47" x14ac:dyDescent="0.2">
      <c r="AU627" s="134"/>
    </row>
    <row r="628" spans="47:47" x14ac:dyDescent="0.2">
      <c r="AU628" s="134"/>
    </row>
    <row r="629" spans="47:47" x14ac:dyDescent="0.2">
      <c r="AU629" s="134"/>
    </row>
    <row r="630" spans="47:47" x14ac:dyDescent="0.2">
      <c r="AU630" s="134"/>
    </row>
    <row r="631" spans="47:47" x14ac:dyDescent="0.2">
      <c r="AU631" s="134"/>
    </row>
    <row r="632" spans="47:47" x14ac:dyDescent="0.2">
      <c r="AU632" s="134"/>
    </row>
    <row r="633" spans="47:47" x14ac:dyDescent="0.2">
      <c r="AU633" s="134"/>
    </row>
    <row r="634" spans="47:47" x14ac:dyDescent="0.2">
      <c r="AU634" s="134"/>
    </row>
    <row r="635" spans="47:47" x14ac:dyDescent="0.2">
      <c r="AU635" s="134"/>
    </row>
    <row r="636" spans="47:47" x14ac:dyDescent="0.2">
      <c r="AU636" s="134"/>
    </row>
    <row r="637" spans="47:47" x14ac:dyDescent="0.2">
      <c r="AU637" s="134"/>
    </row>
    <row r="638" spans="47:47" x14ac:dyDescent="0.2">
      <c r="AU638" s="134"/>
    </row>
    <row r="639" spans="47:47" x14ac:dyDescent="0.2">
      <c r="AU639" s="134"/>
    </row>
    <row r="640" spans="47:47" x14ac:dyDescent="0.2">
      <c r="AU640" s="134"/>
    </row>
    <row r="641" spans="47:47" x14ac:dyDescent="0.2">
      <c r="AU641" s="134"/>
    </row>
    <row r="642" spans="47:47" x14ac:dyDescent="0.2">
      <c r="AU642" s="134"/>
    </row>
    <row r="643" spans="47:47" x14ac:dyDescent="0.2">
      <c r="AU643" s="134"/>
    </row>
    <row r="644" spans="47:47" x14ac:dyDescent="0.2">
      <c r="AU644" s="134"/>
    </row>
    <row r="645" spans="47:47" x14ac:dyDescent="0.2">
      <c r="AU645" s="134"/>
    </row>
    <row r="646" spans="47:47" x14ac:dyDescent="0.2">
      <c r="AU646" s="134"/>
    </row>
    <row r="647" spans="47:47" x14ac:dyDescent="0.2">
      <c r="AU647" s="134"/>
    </row>
    <row r="648" spans="47:47" x14ac:dyDescent="0.2">
      <c r="AU648" s="134"/>
    </row>
    <row r="649" spans="47:47" x14ac:dyDescent="0.2">
      <c r="AU649" s="134"/>
    </row>
    <row r="650" spans="47:47" x14ac:dyDescent="0.2">
      <c r="AU650" s="134"/>
    </row>
    <row r="651" spans="47:47" x14ac:dyDescent="0.2">
      <c r="AU651" s="134"/>
    </row>
    <row r="652" spans="47:47" x14ac:dyDescent="0.2">
      <c r="AU652" s="134"/>
    </row>
    <row r="653" spans="47:47" x14ac:dyDescent="0.2">
      <c r="AU653" s="134"/>
    </row>
    <row r="654" spans="47:47" x14ac:dyDescent="0.2">
      <c r="AU654" s="134"/>
    </row>
    <row r="655" spans="47:47" x14ac:dyDescent="0.2">
      <c r="AU655" s="134"/>
    </row>
    <row r="656" spans="47:47" x14ac:dyDescent="0.2">
      <c r="AU656" s="134"/>
    </row>
    <row r="657" spans="47:47" x14ac:dyDescent="0.2">
      <c r="AU657" s="134"/>
    </row>
    <row r="658" spans="47:47" x14ac:dyDescent="0.2">
      <c r="AU658" s="134"/>
    </row>
    <row r="659" spans="47:47" x14ac:dyDescent="0.2">
      <c r="AU659" s="134"/>
    </row>
    <row r="660" spans="47:47" x14ac:dyDescent="0.2">
      <c r="AU660" s="134"/>
    </row>
    <row r="661" spans="47:47" x14ac:dyDescent="0.2">
      <c r="AU661" s="134"/>
    </row>
    <row r="662" spans="47:47" x14ac:dyDescent="0.2">
      <c r="AU662" s="134"/>
    </row>
    <row r="663" spans="47:47" x14ac:dyDescent="0.2">
      <c r="AU663" s="134"/>
    </row>
    <row r="664" spans="47:47" x14ac:dyDescent="0.2">
      <c r="AU664" s="134"/>
    </row>
    <row r="665" spans="47:47" x14ac:dyDescent="0.2">
      <c r="AU665" s="134"/>
    </row>
    <row r="666" spans="47:47" x14ac:dyDescent="0.2">
      <c r="AU666" s="134"/>
    </row>
    <row r="667" spans="47:47" x14ac:dyDescent="0.2">
      <c r="AU667" s="134"/>
    </row>
    <row r="668" spans="47:47" x14ac:dyDescent="0.2">
      <c r="AU668" s="134"/>
    </row>
    <row r="669" spans="47:47" x14ac:dyDescent="0.2">
      <c r="AU669" s="134"/>
    </row>
    <row r="670" spans="47:47" x14ac:dyDescent="0.2">
      <c r="AU670" s="134"/>
    </row>
    <row r="671" spans="47:47" x14ac:dyDescent="0.2">
      <c r="AU671" s="134"/>
    </row>
    <row r="672" spans="47:47" x14ac:dyDescent="0.2">
      <c r="AU672" s="134"/>
    </row>
    <row r="673" spans="47:47" x14ac:dyDescent="0.2">
      <c r="AU673" s="134"/>
    </row>
    <row r="674" spans="47:47" x14ac:dyDescent="0.2">
      <c r="AU674" s="134"/>
    </row>
    <row r="675" spans="47:47" x14ac:dyDescent="0.2">
      <c r="AU675" s="134"/>
    </row>
    <row r="676" spans="47:47" x14ac:dyDescent="0.2">
      <c r="AU676" s="134"/>
    </row>
    <row r="677" spans="47:47" x14ac:dyDescent="0.2">
      <c r="AU677" s="134"/>
    </row>
    <row r="678" spans="47:47" x14ac:dyDescent="0.2">
      <c r="AU678" s="134"/>
    </row>
    <row r="679" spans="47:47" x14ac:dyDescent="0.2">
      <c r="AU679" s="134"/>
    </row>
    <row r="680" spans="47:47" x14ac:dyDescent="0.2">
      <c r="AU680" s="134"/>
    </row>
    <row r="681" spans="47:47" x14ac:dyDescent="0.2">
      <c r="AU681" s="134"/>
    </row>
    <row r="682" spans="47:47" x14ac:dyDescent="0.2">
      <c r="AU682" s="134"/>
    </row>
    <row r="683" spans="47:47" x14ac:dyDescent="0.2">
      <c r="AU683" s="134"/>
    </row>
    <row r="684" spans="47:47" x14ac:dyDescent="0.2">
      <c r="AU684" s="134"/>
    </row>
    <row r="685" spans="47:47" x14ac:dyDescent="0.2">
      <c r="AU685" s="134"/>
    </row>
    <row r="686" spans="47:47" x14ac:dyDescent="0.2">
      <c r="AU686" s="134"/>
    </row>
    <row r="687" spans="47:47" x14ac:dyDescent="0.2">
      <c r="AU687" s="134"/>
    </row>
    <row r="688" spans="47:47" x14ac:dyDescent="0.2">
      <c r="AU688" s="134"/>
    </row>
    <row r="689" spans="47:47" x14ac:dyDescent="0.2">
      <c r="AU689" s="134"/>
    </row>
    <row r="690" spans="47:47" x14ac:dyDescent="0.2">
      <c r="AU690" s="134"/>
    </row>
    <row r="691" spans="47:47" x14ac:dyDescent="0.2">
      <c r="AU691" s="134"/>
    </row>
    <row r="692" spans="47:47" x14ac:dyDescent="0.2">
      <c r="AU692" s="134"/>
    </row>
    <row r="693" spans="47:47" x14ac:dyDescent="0.2">
      <c r="AU693" s="134"/>
    </row>
    <row r="694" spans="47:47" x14ac:dyDescent="0.2">
      <c r="AU694" s="134"/>
    </row>
    <row r="695" spans="47:47" x14ac:dyDescent="0.2">
      <c r="AU695" s="134"/>
    </row>
    <row r="696" spans="47:47" x14ac:dyDescent="0.2">
      <c r="AU696" s="134"/>
    </row>
    <row r="697" spans="47:47" x14ac:dyDescent="0.2">
      <c r="AU697" s="134"/>
    </row>
    <row r="698" spans="47:47" x14ac:dyDescent="0.2">
      <c r="AU698" s="134"/>
    </row>
    <row r="699" spans="47:47" x14ac:dyDescent="0.2">
      <c r="AU699" s="134"/>
    </row>
    <row r="700" spans="47:47" x14ac:dyDescent="0.2">
      <c r="AU700" s="134"/>
    </row>
    <row r="701" spans="47:47" x14ac:dyDescent="0.2">
      <c r="AU701" s="134"/>
    </row>
    <row r="702" spans="47:47" x14ac:dyDescent="0.2">
      <c r="AU702" s="134"/>
    </row>
    <row r="703" spans="47:47" x14ac:dyDescent="0.2">
      <c r="AU703" s="134"/>
    </row>
    <row r="704" spans="47:47" x14ac:dyDescent="0.2">
      <c r="AU704" s="134"/>
    </row>
    <row r="705" spans="47:47" x14ac:dyDescent="0.2">
      <c r="AU705" s="134"/>
    </row>
    <row r="706" spans="47:47" x14ac:dyDescent="0.2">
      <c r="AU706" s="134"/>
    </row>
    <row r="707" spans="47:47" x14ac:dyDescent="0.2">
      <c r="AU707" s="134"/>
    </row>
    <row r="708" spans="47:47" x14ac:dyDescent="0.2">
      <c r="AU708" s="134"/>
    </row>
    <row r="709" spans="47:47" x14ac:dyDescent="0.2">
      <c r="AU709" s="134"/>
    </row>
    <row r="710" spans="47:47" x14ac:dyDescent="0.2">
      <c r="AU710" s="134"/>
    </row>
    <row r="711" spans="47:47" x14ac:dyDescent="0.2">
      <c r="AU711" s="134"/>
    </row>
    <row r="712" spans="47:47" x14ac:dyDescent="0.2">
      <c r="AU712" s="134"/>
    </row>
    <row r="713" spans="47:47" x14ac:dyDescent="0.2">
      <c r="AU713" s="134"/>
    </row>
    <row r="714" spans="47:47" x14ac:dyDescent="0.2">
      <c r="AU714" s="134"/>
    </row>
    <row r="715" spans="47:47" x14ac:dyDescent="0.2">
      <c r="AU715" s="134"/>
    </row>
    <row r="716" spans="47:47" x14ac:dyDescent="0.2">
      <c r="AU716" s="134"/>
    </row>
    <row r="717" spans="47:47" x14ac:dyDescent="0.2">
      <c r="AU717" s="134"/>
    </row>
    <row r="718" spans="47:47" x14ac:dyDescent="0.2">
      <c r="AU718" s="134"/>
    </row>
    <row r="719" spans="47:47" x14ac:dyDescent="0.2">
      <c r="AU719" s="134"/>
    </row>
    <row r="720" spans="47:47" x14ac:dyDescent="0.2">
      <c r="AU720" s="134"/>
    </row>
    <row r="721" spans="47:47" x14ac:dyDescent="0.2">
      <c r="AU721" s="134"/>
    </row>
    <row r="722" spans="47:47" x14ac:dyDescent="0.2">
      <c r="AU722" s="134"/>
    </row>
    <row r="723" spans="47:47" x14ac:dyDescent="0.2">
      <c r="AU723" s="134"/>
    </row>
    <row r="724" spans="47:47" x14ac:dyDescent="0.2">
      <c r="AU724" s="134"/>
    </row>
    <row r="725" spans="47:47" x14ac:dyDescent="0.2">
      <c r="AU725" s="134"/>
    </row>
    <row r="726" spans="47:47" x14ac:dyDescent="0.2">
      <c r="AU726" s="134"/>
    </row>
    <row r="727" spans="47:47" x14ac:dyDescent="0.2">
      <c r="AU727" s="134"/>
    </row>
    <row r="728" spans="47:47" x14ac:dyDescent="0.2">
      <c r="AU728" s="134"/>
    </row>
    <row r="729" spans="47:47" x14ac:dyDescent="0.2">
      <c r="AU729" s="134"/>
    </row>
    <row r="730" spans="47:47" x14ac:dyDescent="0.2">
      <c r="AU730" s="134"/>
    </row>
    <row r="731" spans="47:47" x14ac:dyDescent="0.2">
      <c r="AU731" s="134"/>
    </row>
    <row r="732" spans="47:47" x14ac:dyDescent="0.2">
      <c r="AU732" s="134"/>
    </row>
    <row r="733" spans="47:47" x14ac:dyDescent="0.2">
      <c r="AU733" s="134"/>
    </row>
    <row r="734" spans="47:47" x14ac:dyDescent="0.2">
      <c r="AU734" s="134"/>
    </row>
    <row r="735" spans="47:47" x14ac:dyDescent="0.2">
      <c r="AU735" s="134"/>
    </row>
    <row r="736" spans="47:47" x14ac:dyDescent="0.2">
      <c r="AU736" s="134"/>
    </row>
  </sheetData>
  <phoneticPr fontId="0" type="noConversion"/>
  <pageMargins left="0.75" right="0.75" top="1" bottom="1" header="0.5" footer="0.5"/>
  <pageSetup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37"/>
  <sheetViews>
    <sheetView workbookViewId="0">
      <pane xSplit="2" topLeftCell="C1" activePane="topRight" state="frozen"/>
      <selection pane="topRight" activeCell="D10" sqref="D10"/>
    </sheetView>
  </sheetViews>
  <sheetFormatPr defaultRowHeight="12.75" x14ac:dyDescent="0.2"/>
  <cols>
    <col min="1" max="1" width="5.5703125" customWidth="1"/>
    <col min="2" max="2" width="6.85546875" customWidth="1"/>
    <col min="4" max="4" width="11.7109375" customWidth="1"/>
    <col min="5" max="5" width="11.28515625" customWidth="1"/>
    <col min="6" max="6" width="10.5703125" customWidth="1"/>
    <col min="8" max="8" width="12" customWidth="1"/>
    <col min="9" max="10" width="15.7109375" customWidth="1"/>
    <col min="12" max="12" width="10.7109375" customWidth="1"/>
    <col min="13" max="13" width="11.42578125" customWidth="1"/>
    <col min="14" max="14" width="11.5703125" customWidth="1"/>
    <col min="16" max="16" width="11.7109375" customWidth="1"/>
    <col min="17" max="17" width="11.140625" customWidth="1"/>
    <col min="18" max="18" width="10.140625" customWidth="1"/>
    <col min="20" max="20" width="9.5703125" customWidth="1"/>
    <col min="21" max="21" width="9.7109375" customWidth="1"/>
    <col min="23" max="23" width="10.42578125" customWidth="1"/>
    <col min="24" max="24" width="11" customWidth="1"/>
    <col min="26" max="26" width="5.7109375" customWidth="1"/>
    <col min="30" max="30" width="6.42578125" customWidth="1"/>
    <col min="32" max="32" width="10.7109375" customWidth="1"/>
    <col min="33" max="33" width="11.5703125" customWidth="1"/>
    <col min="35" max="36" width="11.140625" customWidth="1"/>
    <col min="37" max="37" width="9.5703125" customWidth="1"/>
    <col min="39" max="39" width="11.42578125" customWidth="1"/>
    <col min="40" max="40" width="11.140625" customWidth="1"/>
    <col min="43" max="43" width="11.7109375" customWidth="1"/>
    <col min="44" max="44" width="10.85546875" customWidth="1"/>
    <col min="45" max="45" width="7.140625" customWidth="1"/>
    <col min="46" max="46" width="12.85546875" customWidth="1"/>
    <col min="47" max="47" width="11" customWidth="1"/>
    <col min="49" max="49" width="11.140625" customWidth="1"/>
    <col min="50" max="50" width="11.42578125" customWidth="1"/>
  </cols>
  <sheetData>
    <row r="1" spans="1:59" ht="15.75" x14ac:dyDescent="0.25">
      <c r="A1" s="133"/>
      <c r="B1" s="133"/>
      <c r="D1" s="137" t="s">
        <v>746</v>
      </c>
      <c r="AD1" s="134"/>
    </row>
    <row r="2" spans="1:59" x14ac:dyDescent="0.2">
      <c r="A2" s="133"/>
      <c r="B2" s="133"/>
      <c r="AD2" s="134"/>
    </row>
    <row r="3" spans="1:59" x14ac:dyDescent="0.2">
      <c r="A3" s="133"/>
      <c r="B3" s="133"/>
      <c r="AD3" s="134"/>
    </row>
    <row r="4" spans="1:59" x14ac:dyDescent="0.2">
      <c r="A4" s="133"/>
      <c r="B4" s="133"/>
      <c r="AD4" s="134"/>
    </row>
    <row r="5" spans="1:59" x14ac:dyDescent="0.2">
      <c r="A5" s="133"/>
      <c r="B5" s="133"/>
      <c r="D5" s="6" t="s">
        <v>760</v>
      </c>
      <c r="H5" s="6" t="s">
        <v>747</v>
      </c>
      <c r="L5" s="6" t="s">
        <v>748</v>
      </c>
      <c r="P5" s="6" t="s">
        <v>685</v>
      </c>
      <c r="T5" s="6" t="s">
        <v>109</v>
      </c>
      <c r="U5" s="6"/>
      <c r="AD5" s="134"/>
      <c r="AF5" s="6" t="s">
        <v>694</v>
      </c>
      <c r="AI5" s="6" t="s">
        <v>772</v>
      </c>
      <c r="AM5" s="6" t="s">
        <v>696</v>
      </c>
      <c r="AN5" s="6"/>
      <c r="AQ5" s="6" t="s">
        <v>698</v>
      </c>
      <c r="AT5" s="6" t="s">
        <v>699</v>
      </c>
      <c r="AW5" s="6" t="s">
        <v>700</v>
      </c>
      <c r="BA5" s="6" t="s">
        <v>705</v>
      </c>
      <c r="BE5" s="6" t="s">
        <v>706</v>
      </c>
    </row>
    <row r="6" spans="1:59" x14ac:dyDescent="0.2">
      <c r="A6" s="133" t="s">
        <v>663</v>
      </c>
      <c r="B6" s="133"/>
      <c r="T6" s="149"/>
      <c r="U6" s="149" t="s">
        <v>712</v>
      </c>
      <c r="V6" s="149" t="s">
        <v>713</v>
      </c>
      <c r="W6" s="149" t="s">
        <v>714</v>
      </c>
      <c r="X6" s="149" t="s">
        <v>715</v>
      </c>
      <c r="Y6" s="149" t="s">
        <v>716</v>
      </c>
      <c r="Z6" s="149"/>
      <c r="AA6" s="149" t="s">
        <v>720</v>
      </c>
      <c r="AD6" s="134"/>
      <c r="AM6" s="6" t="s">
        <v>697</v>
      </c>
      <c r="AN6" s="6"/>
    </row>
    <row r="7" spans="1:59" ht="52.9" customHeight="1" x14ac:dyDescent="0.2">
      <c r="A7" s="133"/>
      <c r="B7" s="133"/>
      <c r="D7" s="273" t="s">
        <v>326</v>
      </c>
      <c r="E7" s="273" t="s">
        <v>353</v>
      </c>
      <c r="F7" s="273" t="s">
        <v>690</v>
      </c>
      <c r="G7" s="261"/>
      <c r="H7" s="273" t="str">
        <f>D7</f>
        <v>Single-Unit Truck</v>
      </c>
      <c r="I7" s="273" t="str">
        <f>E7</f>
        <v>Combination Truck</v>
      </c>
      <c r="J7" s="273" t="s">
        <v>690</v>
      </c>
      <c r="K7" s="261"/>
      <c r="L7" s="273" t="s">
        <v>326</v>
      </c>
      <c r="M7" s="273" t="str">
        <f>E7</f>
        <v>Combination Truck</v>
      </c>
      <c r="N7" s="273" t="str">
        <f>F7</f>
        <v xml:space="preserve">   Total</v>
      </c>
      <c r="O7" s="1"/>
      <c r="P7" s="273" t="s">
        <v>174</v>
      </c>
      <c r="Q7" s="273" t="str">
        <f>E7</f>
        <v>Combination Truck</v>
      </c>
      <c r="R7" s="126" t="str">
        <f>F7</f>
        <v xml:space="preserve">   Total</v>
      </c>
      <c r="S7" s="1"/>
      <c r="T7" s="150" t="s">
        <v>665</v>
      </c>
      <c r="U7" s="150" t="s">
        <v>707</v>
      </c>
      <c r="V7" s="306" t="s">
        <v>693</v>
      </c>
      <c r="W7" s="306" t="s">
        <v>653</v>
      </c>
      <c r="X7" s="150" t="s">
        <v>692</v>
      </c>
      <c r="Y7" s="306" t="s">
        <v>709</v>
      </c>
      <c r="Z7" s="150"/>
      <c r="AA7" s="150" t="s">
        <v>710</v>
      </c>
      <c r="AD7" s="134"/>
      <c r="AF7" s="126" t="str">
        <f>D7</f>
        <v>Single-Unit Truck</v>
      </c>
      <c r="AG7" s="126" t="str">
        <f>E7</f>
        <v>Combination Truck</v>
      </c>
      <c r="AI7" s="126" t="str">
        <f>D7</f>
        <v>Single-Unit Truck</v>
      </c>
      <c r="AJ7" s="126" t="str">
        <f>E7</f>
        <v>Combination Truck</v>
      </c>
      <c r="AK7" s="126" t="str">
        <f>F7</f>
        <v xml:space="preserve">   Total</v>
      </c>
      <c r="AL7" s="1"/>
      <c r="AM7" s="126" t="str">
        <f>D7</f>
        <v>Single-Unit Truck</v>
      </c>
      <c r="AN7" s="126" t="str">
        <f>E7</f>
        <v>Combination Truck</v>
      </c>
      <c r="AO7" s="1"/>
      <c r="AP7" s="1"/>
      <c r="AQ7" s="126" t="str">
        <f>D7</f>
        <v>Single-Unit Truck</v>
      </c>
      <c r="AR7" s="126" t="str">
        <f>E7</f>
        <v>Combination Truck</v>
      </c>
      <c r="AS7" s="1"/>
      <c r="AT7" s="126" t="str">
        <f>D7</f>
        <v>Single-Unit Truck</v>
      </c>
      <c r="AU7" s="126" t="str">
        <f>E7</f>
        <v>Combination Truck</v>
      </c>
      <c r="AV7" s="1"/>
      <c r="AW7" s="126" t="str">
        <f>D7</f>
        <v>Single-Unit Truck</v>
      </c>
      <c r="AX7" s="126" t="str">
        <f>E7</f>
        <v>Combination Truck</v>
      </c>
      <c r="AY7" s="1"/>
      <c r="AZ7" s="1"/>
      <c r="BA7" s="148" t="s">
        <v>701</v>
      </c>
      <c r="BB7" s="148" t="s">
        <v>702</v>
      </c>
      <c r="BC7" s="148" t="s">
        <v>702</v>
      </c>
      <c r="BE7" s="148" t="s">
        <v>701</v>
      </c>
      <c r="BF7" s="148" t="s">
        <v>702</v>
      </c>
      <c r="BG7" s="148" t="s">
        <v>702</v>
      </c>
    </row>
    <row r="8" spans="1:59" ht="28.5" customHeight="1" x14ac:dyDescent="0.2">
      <c r="A8" s="133" t="s">
        <v>663</v>
      </c>
      <c r="B8" s="133"/>
      <c r="D8" s="135" t="s">
        <v>663</v>
      </c>
      <c r="E8" s="135" t="s">
        <v>663</v>
      </c>
      <c r="F8" s="135" t="s">
        <v>691</v>
      </c>
      <c r="G8" s="1"/>
      <c r="H8" s="135"/>
      <c r="I8" s="135"/>
      <c r="J8" s="135"/>
      <c r="K8" s="1"/>
      <c r="L8" s="135"/>
      <c r="M8" s="135"/>
      <c r="N8" s="135"/>
      <c r="O8" s="1"/>
      <c r="P8" s="135"/>
      <c r="Q8" s="135"/>
      <c r="R8" s="135"/>
      <c r="S8" s="1"/>
      <c r="T8" s="151"/>
      <c r="U8" s="151"/>
      <c r="V8" s="151"/>
      <c r="W8" s="151"/>
      <c r="X8" s="152" t="s">
        <v>718</v>
      </c>
      <c r="Y8" s="152" t="s">
        <v>719</v>
      </c>
      <c r="Z8" s="151"/>
      <c r="AA8" s="152" t="s">
        <v>741</v>
      </c>
      <c r="AD8" s="134"/>
      <c r="BA8" t="s">
        <v>703</v>
      </c>
      <c r="BB8" t="s">
        <v>703</v>
      </c>
      <c r="BC8" t="s">
        <v>704</v>
      </c>
      <c r="BE8" t="s">
        <v>703</v>
      </c>
      <c r="BF8" t="s">
        <v>703</v>
      </c>
      <c r="BG8" t="s">
        <v>704</v>
      </c>
    </row>
    <row r="9" spans="1:59" ht="22.5" customHeight="1" thickBot="1" x14ac:dyDescent="0.25">
      <c r="A9" s="133"/>
      <c r="B9" s="133"/>
      <c r="D9" s="135" t="s">
        <v>761</v>
      </c>
      <c r="E9" s="135" t="s">
        <v>762</v>
      </c>
      <c r="F9" s="135" t="s">
        <v>762</v>
      </c>
      <c r="G9" s="1"/>
      <c r="H9" s="274" t="s">
        <v>745</v>
      </c>
      <c r="I9" s="274" t="s">
        <v>745</v>
      </c>
      <c r="J9" s="274" t="s">
        <v>745</v>
      </c>
      <c r="K9" s="1"/>
      <c r="L9" s="135" t="s">
        <v>745</v>
      </c>
      <c r="M9" s="135" t="s">
        <v>745</v>
      </c>
      <c r="N9" s="135" t="s">
        <v>745</v>
      </c>
      <c r="O9" s="1"/>
      <c r="P9" s="135" t="s">
        <v>689</v>
      </c>
      <c r="Q9" s="135" t="s">
        <v>689</v>
      </c>
      <c r="R9" s="135" t="s">
        <v>689</v>
      </c>
      <c r="S9" s="1"/>
      <c r="T9" s="153"/>
      <c r="U9" s="153"/>
      <c r="V9" s="153"/>
      <c r="W9" s="153"/>
      <c r="X9" s="153"/>
      <c r="Y9" s="153"/>
      <c r="Z9" s="153"/>
      <c r="AA9" s="153"/>
      <c r="AD9" s="134"/>
      <c r="BA9" s="130"/>
      <c r="BB9" s="130"/>
      <c r="BC9" s="130"/>
      <c r="BE9" s="130"/>
      <c r="BF9" s="130"/>
      <c r="BG9" s="130"/>
    </row>
    <row r="10" spans="1:59" x14ac:dyDescent="0.2">
      <c r="A10" s="133" t="s">
        <v>664</v>
      </c>
      <c r="B10" s="144">
        <v>1949</v>
      </c>
      <c r="H10" s="173"/>
      <c r="I10" s="4"/>
      <c r="J10" s="4"/>
      <c r="T10" s="131"/>
      <c r="U10" s="131"/>
      <c r="V10" s="131"/>
      <c r="W10" s="131"/>
      <c r="X10" s="131"/>
      <c r="Y10" s="131"/>
      <c r="Z10" s="131"/>
      <c r="AA10" s="131"/>
      <c r="AD10" s="134"/>
      <c r="AF10" s="129" t="e">
        <f t="shared" ref="AF10:AF41" si="0">D10/F10</f>
        <v>#DIV/0!</v>
      </c>
      <c r="AG10" s="129" t="e">
        <f t="shared" ref="AG10:AG41" si="1">E10/F10</f>
        <v>#DIV/0!</v>
      </c>
      <c r="AH10" s="129"/>
      <c r="AI10" s="129"/>
      <c r="AJ10" s="129"/>
      <c r="AK10" s="129"/>
      <c r="AL10" s="129"/>
      <c r="AM10" s="129"/>
      <c r="AN10" s="129"/>
      <c r="AO10" s="129"/>
      <c r="AP10" s="129"/>
      <c r="AQ10" s="129"/>
      <c r="AR10" s="129"/>
      <c r="AS10" s="129"/>
      <c r="AT10" s="129" t="e">
        <f t="shared" ref="AT10:AT41" si="2">H10/J10</f>
        <v>#DIV/0!</v>
      </c>
      <c r="AU10" s="129" t="e">
        <f t="shared" ref="AU10:AU41" si="3">I10/J10</f>
        <v>#DIV/0!</v>
      </c>
      <c r="AV10" s="129"/>
      <c r="AW10" s="129"/>
      <c r="AX10" s="129"/>
      <c r="AY10" s="129"/>
      <c r="AZ10" s="129"/>
      <c r="BA10" s="129"/>
      <c r="BB10" s="129">
        <v>1</v>
      </c>
      <c r="BC10" s="129">
        <f t="shared" ref="BC10:BC41" si="4">BB10/BB$74</f>
        <v>0.83899610764976162</v>
      </c>
      <c r="BF10">
        <v>1</v>
      </c>
      <c r="BG10" s="129">
        <f t="shared" ref="BG10:BG41" si="5">BF10/BF$74</f>
        <v>0.96954448094526824</v>
      </c>
    </row>
    <row r="11" spans="1:59" x14ac:dyDescent="0.2">
      <c r="A11" s="133" t="s">
        <v>664</v>
      </c>
      <c r="B11" s="144">
        <f t="shared" ref="B11:B42" si="6">B10+1</f>
        <v>1950</v>
      </c>
      <c r="H11" s="173"/>
      <c r="I11" s="4">
        <f>'Freight-based Activity'!C8</f>
        <v>201009.52380952382</v>
      </c>
      <c r="J11" s="4">
        <f t="shared" ref="J11:J41" si="7">H11+I11</f>
        <v>201009.52380952382</v>
      </c>
      <c r="T11" s="131"/>
      <c r="U11" s="131"/>
      <c r="V11" s="131"/>
      <c r="W11" s="131"/>
      <c r="X11" s="131"/>
      <c r="Y11" s="131"/>
      <c r="Z11" s="131"/>
      <c r="AA11" s="131"/>
      <c r="AD11" s="134"/>
      <c r="AF11" s="129" t="e">
        <f t="shared" si="0"/>
        <v>#DIV/0!</v>
      </c>
      <c r="AG11" s="129" t="e">
        <f t="shared" si="1"/>
        <v>#DIV/0!</v>
      </c>
      <c r="AH11" s="129"/>
      <c r="AI11" s="129" t="e">
        <f t="shared" ref="AI11:AI42" si="8">(AF11-AF10)/LN(AF11/AF10)</f>
        <v>#DIV/0!</v>
      </c>
      <c r="AJ11" s="129" t="e">
        <f t="shared" ref="AJ11:AJ42" si="9">(AG11-AG10)/LN(AG11/AG10)</f>
        <v>#DIV/0!</v>
      </c>
      <c r="AK11" s="129" t="e">
        <f t="shared" ref="AK11:AK42" si="10">AI11+AJ11</f>
        <v>#DIV/0!</v>
      </c>
      <c r="AL11" s="129"/>
      <c r="AM11" s="129" t="e">
        <f t="shared" ref="AM11:AM42" si="11">AI11/AK11</f>
        <v>#DIV/0!</v>
      </c>
      <c r="AN11" s="129" t="e">
        <f t="shared" ref="AN11:AN42" si="12">AJ11/AK11</f>
        <v>#DIV/0!</v>
      </c>
      <c r="AO11" s="129"/>
      <c r="AP11" s="129"/>
      <c r="AQ11" s="129" t="e">
        <f t="shared" ref="AQ11:AQ42" si="13">LN(P11/P10)</f>
        <v>#DIV/0!</v>
      </c>
      <c r="AR11" s="129" t="e">
        <f t="shared" ref="AR11:AR42" si="14">LN(Q11/Q10)</f>
        <v>#DIV/0!</v>
      </c>
      <c r="AS11" s="129"/>
      <c r="AT11" s="129">
        <f t="shared" si="2"/>
        <v>0</v>
      </c>
      <c r="AU11" s="129">
        <f t="shared" si="3"/>
        <v>1</v>
      </c>
      <c r="AV11" s="129"/>
      <c r="AW11" s="129" t="e">
        <f t="shared" ref="AW11:AW42" si="15">LN(AT11/AT10)</f>
        <v>#DIV/0!</v>
      </c>
      <c r="AX11" s="129" t="e">
        <f t="shared" ref="AX11:AX42" si="16">LN(AU11/AU10)</f>
        <v>#DIV/0!</v>
      </c>
      <c r="AY11" s="129"/>
      <c r="AZ11" s="129"/>
      <c r="BA11" s="129" t="e">
        <f t="shared" ref="BA11:BA42" si="17">EXP(SUMPRODUCT($AM11:$AN11,AQ11:AR11))</f>
        <v>#DIV/0!</v>
      </c>
      <c r="BB11" s="129">
        <f t="shared" ref="BB11:BB42" si="18">IF(ISERR(BA11),BB10,BA11*BB10)</f>
        <v>1</v>
      </c>
      <c r="BC11" s="129">
        <f t="shared" si="4"/>
        <v>0.83899610764976162</v>
      </c>
      <c r="BE11" t="e">
        <f t="shared" ref="BE11:BE42" si="19">EXP(SUMPRODUCT($AM11:$AN11,AW11:AX11))</f>
        <v>#DIV/0!</v>
      </c>
      <c r="BF11">
        <f t="shared" ref="BF11:BF42" si="20">IF(ISERR(BE11),BF10,BE11*BF10)</f>
        <v>1</v>
      </c>
      <c r="BG11" s="129">
        <f t="shared" si="5"/>
        <v>0.96954448094526824</v>
      </c>
    </row>
    <row r="12" spans="1:59" x14ac:dyDescent="0.2">
      <c r="A12" s="133" t="s">
        <v>664</v>
      </c>
      <c r="B12" s="144">
        <f t="shared" si="6"/>
        <v>1951</v>
      </c>
      <c r="H12" s="173"/>
      <c r="I12" s="4">
        <f>'Freight-based Activity'!C9</f>
        <v>218438.09523809527</v>
      </c>
      <c r="J12" s="4">
        <f t="shared" si="7"/>
        <v>218438.09523809527</v>
      </c>
      <c r="T12" s="131"/>
      <c r="U12" s="131"/>
      <c r="V12" s="131"/>
      <c r="W12" s="131"/>
      <c r="X12" s="131"/>
      <c r="Y12" s="131"/>
      <c r="Z12" s="131"/>
      <c r="AA12" s="131"/>
      <c r="AD12" s="134"/>
      <c r="AF12" s="129" t="e">
        <f t="shared" si="0"/>
        <v>#DIV/0!</v>
      </c>
      <c r="AG12" s="129" t="e">
        <f t="shared" si="1"/>
        <v>#DIV/0!</v>
      </c>
      <c r="AH12" s="129"/>
      <c r="AI12" s="129" t="e">
        <f t="shared" si="8"/>
        <v>#DIV/0!</v>
      </c>
      <c r="AJ12" s="129" t="e">
        <f t="shared" si="9"/>
        <v>#DIV/0!</v>
      </c>
      <c r="AK12" s="129" t="e">
        <f t="shared" si="10"/>
        <v>#DIV/0!</v>
      </c>
      <c r="AL12" s="129"/>
      <c r="AM12" s="129" t="e">
        <f t="shared" si="11"/>
        <v>#DIV/0!</v>
      </c>
      <c r="AN12" s="129" t="e">
        <f t="shared" si="12"/>
        <v>#DIV/0!</v>
      </c>
      <c r="AO12" s="129"/>
      <c r="AP12" s="129"/>
      <c r="AQ12" s="129" t="e">
        <f t="shared" si="13"/>
        <v>#DIV/0!</v>
      </c>
      <c r="AR12" s="129" t="e">
        <f t="shared" si="14"/>
        <v>#DIV/0!</v>
      </c>
      <c r="AS12" s="129"/>
      <c r="AT12" s="129">
        <f t="shared" si="2"/>
        <v>0</v>
      </c>
      <c r="AU12" s="129">
        <f t="shared" si="3"/>
        <v>1</v>
      </c>
      <c r="AV12" s="129"/>
      <c r="AW12" s="129" t="e">
        <f t="shared" si="15"/>
        <v>#DIV/0!</v>
      </c>
      <c r="AX12" s="129">
        <f t="shared" si="16"/>
        <v>0</v>
      </c>
      <c r="AY12" s="129"/>
      <c r="AZ12" s="129"/>
      <c r="BA12" s="129" t="e">
        <f t="shared" si="17"/>
        <v>#DIV/0!</v>
      </c>
      <c r="BB12" s="129">
        <f t="shared" si="18"/>
        <v>1</v>
      </c>
      <c r="BC12" s="129">
        <f t="shared" si="4"/>
        <v>0.83899610764976162</v>
      </c>
      <c r="BE12" t="e">
        <f t="shared" si="19"/>
        <v>#DIV/0!</v>
      </c>
      <c r="BF12">
        <f t="shared" si="20"/>
        <v>1</v>
      </c>
      <c r="BG12" s="129">
        <f t="shared" si="5"/>
        <v>0.96954448094526824</v>
      </c>
    </row>
    <row r="13" spans="1:59" x14ac:dyDescent="0.2">
      <c r="A13" s="133" t="s">
        <v>664</v>
      </c>
      <c r="B13" s="144">
        <f t="shared" si="6"/>
        <v>1952</v>
      </c>
      <c r="H13" s="173"/>
      <c r="I13" s="4">
        <f>'Freight-based Activity'!C10</f>
        <v>226571.42857142858</v>
      </c>
      <c r="J13" s="4">
        <f t="shared" si="7"/>
        <v>226571.42857142858</v>
      </c>
      <c r="T13" s="131"/>
      <c r="U13" s="131"/>
      <c r="V13" s="131"/>
      <c r="W13" s="131"/>
      <c r="X13" s="131"/>
      <c r="Y13" s="131"/>
      <c r="Z13" s="131"/>
      <c r="AA13" s="131"/>
      <c r="AD13" s="134"/>
      <c r="AF13" s="129" t="e">
        <f t="shared" si="0"/>
        <v>#DIV/0!</v>
      </c>
      <c r="AG13" s="129" t="e">
        <f t="shared" si="1"/>
        <v>#DIV/0!</v>
      </c>
      <c r="AH13" s="129"/>
      <c r="AI13" s="129" t="e">
        <f t="shared" si="8"/>
        <v>#DIV/0!</v>
      </c>
      <c r="AJ13" s="129" t="e">
        <f t="shared" si="9"/>
        <v>#DIV/0!</v>
      </c>
      <c r="AK13" s="129" t="e">
        <f t="shared" si="10"/>
        <v>#DIV/0!</v>
      </c>
      <c r="AL13" s="129"/>
      <c r="AM13" s="129" t="e">
        <f t="shared" si="11"/>
        <v>#DIV/0!</v>
      </c>
      <c r="AN13" s="129" t="e">
        <f t="shared" si="12"/>
        <v>#DIV/0!</v>
      </c>
      <c r="AO13" s="129"/>
      <c r="AP13" s="129"/>
      <c r="AQ13" s="129" t="e">
        <f t="shared" si="13"/>
        <v>#DIV/0!</v>
      </c>
      <c r="AR13" s="129" t="e">
        <f t="shared" si="14"/>
        <v>#DIV/0!</v>
      </c>
      <c r="AS13" s="129"/>
      <c r="AT13" s="129">
        <f t="shared" si="2"/>
        <v>0</v>
      </c>
      <c r="AU13" s="129">
        <f t="shared" si="3"/>
        <v>1</v>
      </c>
      <c r="AV13" s="129"/>
      <c r="AW13" s="129" t="e">
        <f t="shared" si="15"/>
        <v>#DIV/0!</v>
      </c>
      <c r="AX13" s="129">
        <f t="shared" si="16"/>
        <v>0</v>
      </c>
      <c r="AY13" s="129"/>
      <c r="AZ13" s="129"/>
      <c r="BA13" s="129" t="e">
        <f t="shared" si="17"/>
        <v>#DIV/0!</v>
      </c>
      <c r="BB13" s="129">
        <f t="shared" si="18"/>
        <v>1</v>
      </c>
      <c r="BC13" s="129">
        <f t="shared" si="4"/>
        <v>0.83899610764976162</v>
      </c>
      <c r="BE13" t="e">
        <f t="shared" si="19"/>
        <v>#DIV/0!</v>
      </c>
      <c r="BF13">
        <f t="shared" si="20"/>
        <v>1</v>
      </c>
      <c r="BG13" s="129">
        <f t="shared" si="5"/>
        <v>0.96954448094526824</v>
      </c>
    </row>
    <row r="14" spans="1:59" x14ac:dyDescent="0.2">
      <c r="A14" s="133" t="s">
        <v>664</v>
      </c>
      <c r="B14" s="144">
        <f t="shared" si="6"/>
        <v>1953</v>
      </c>
      <c r="H14" s="173"/>
      <c r="I14" s="4">
        <f>'Freight-based Activity'!C11</f>
        <v>252133.33333333334</v>
      </c>
      <c r="J14" s="4">
        <f t="shared" si="7"/>
        <v>252133.33333333334</v>
      </c>
      <c r="T14" s="131"/>
      <c r="U14" s="131"/>
      <c r="V14" s="131"/>
      <c r="W14" s="131"/>
      <c r="X14" s="131"/>
      <c r="Y14" s="131"/>
      <c r="Z14" s="131"/>
      <c r="AA14" s="131"/>
      <c r="AD14" s="134"/>
      <c r="AF14" s="129" t="e">
        <f t="shared" si="0"/>
        <v>#DIV/0!</v>
      </c>
      <c r="AG14" s="129" t="e">
        <f t="shared" si="1"/>
        <v>#DIV/0!</v>
      </c>
      <c r="AH14" s="129"/>
      <c r="AI14" s="129" t="e">
        <f t="shared" si="8"/>
        <v>#DIV/0!</v>
      </c>
      <c r="AJ14" s="129" t="e">
        <f t="shared" si="9"/>
        <v>#DIV/0!</v>
      </c>
      <c r="AK14" s="129" t="e">
        <f t="shared" si="10"/>
        <v>#DIV/0!</v>
      </c>
      <c r="AL14" s="129"/>
      <c r="AM14" s="129" t="e">
        <f t="shared" si="11"/>
        <v>#DIV/0!</v>
      </c>
      <c r="AN14" s="129" t="e">
        <f t="shared" si="12"/>
        <v>#DIV/0!</v>
      </c>
      <c r="AO14" s="129"/>
      <c r="AP14" s="129"/>
      <c r="AQ14" s="129" t="e">
        <f t="shared" si="13"/>
        <v>#DIV/0!</v>
      </c>
      <c r="AR14" s="129" t="e">
        <f t="shared" si="14"/>
        <v>#DIV/0!</v>
      </c>
      <c r="AS14" s="129"/>
      <c r="AT14" s="129">
        <f t="shared" si="2"/>
        <v>0</v>
      </c>
      <c r="AU14" s="129">
        <f t="shared" si="3"/>
        <v>1</v>
      </c>
      <c r="AV14" s="129"/>
      <c r="AW14" s="129" t="e">
        <f t="shared" si="15"/>
        <v>#DIV/0!</v>
      </c>
      <c r="AX14" s="129">
        <f t="shared" si="16"/>
        <v>0</v>
      </c>
      <c r="AY14" s="129"/>
      <c r="AZ14" s="129"/>
      <c r="BA14" s="129" t="e">
        <f t="shared" si="17"/>
        <v>#DIV/0!</v>
      </c>
      <c r="BB14" s="129">
        <f t="shared" si="18"/>
        <v>1</v>
      </c>
      <c r="BC14" s="129">
        <f t="shared" si="4"/>
        <v>0.83899610764976162</v>
      </c>
      <c r="BE14" t="e">
        <f t="shared" si="19"/>
        <v>#DIV/0!</v>
      </c>
      <c r="BF14">
        <f t="shared" si="20"/>
        <v>1</v>
      </c>
      <c r="BG14" s="129">
        <f t="shared" si="5"/>
        <v>0.96954448094526824</v>
      </c>
    </row>
    <row r="15" spans="1:59" x14ac:dyDescent="0.2">
      <c r="A15" s="133" t="s">
        <v>664</v>
      </c>
      <c r="B15" s="144">
        <f t="shared" si="6"/>
        <v>1954</v>
      </c>
      <c r="H15" s="173"/>
      <c r="I15" s="4">
        <f>'Freight-based Activity'!C12</f>
        <v>247485.71428571432</v>
      </c>
      <c r="J15" s="4">
        <f t="shared" si="7"/>
        <v>247485.71428571432</v>
      </c>
      <c r="T15" s="131"/>
      <c r="U15" s="131"/>
      <c r="V15" s="131"/>
      <c r="W15" s="131"/>
      <c r="X15" s="131"/>
      <c r="Y15" s="131"/>
      <c r="Z15" s="131"/>
      <c r="AA15" s="131"/>
      <c r="AD15" s="134"/>
      <c r="AF15" s="129" t="e">
        <f t="shared" si="0"/>
        <v>#DIV/0!</v>
      </c>
      <c r="AG15" s="129" t="e">
        <f t="shared" si="1"/>
        <v>#DIV/0!</v>
      </c>
      <c r="AH15" s="129"/>
      <c r="AI15" s="129" t="e">
        <f t="shared" si="8"/>
        <v>#DIV/0!</v>
      </c>
      <c r="AJ15" s="129" t="e">
        <f t="shared" si="9"/>
        <v>#DIV/0!</v>
      </c>
      <c r="AK15" s="129" t="e">
        <f t="shared" si="10"/>
        <v>#DIV/0!</v>
      </c>
      <c r="AL15" s="129"/>
      <c r="AM15" s="129" t="e">
        <f t="shared" si="11"/>
        <v>#DIV/0!</v>
      </c>
      <c r="AN15" s="129" t="e">
        <f t="shared" si="12"/>
        <v>#DIV/0!</v>
      </c>
      <c r="AO15" s="129"/>
      <c r="AP15" s="129"/>
      <c r="AQ15" s="129" t="e">
        <f t="shared" si="13"/>
        <v>#DIV/0!</v>
      </c>
      <c r="AR15" s="129" t="e">
        <f t="shared" si="14"/>
        <v>#DIV/0!</v>
      </c>
      <c r="AS15" s="129"/>
      <c r="AT15" s="129">
        <f t="shared" si="2"/>
        <v>0</v>
      </c>
      <c r="AU15" s="129">
        <f t="shared" si="3"/>
        <v>1</v>
      </c>
      <c r="AV15" s="129"/>
      <c r="AW15" s="129" t="e">
        <f t="shared" si="15"/>
        <v>#DIV/0!</v>
      </c>
      <c r="AX15" s="129">
        <f t="shared" si="16"/>
        <v>0</v>
      </c>
      <c r="AY15" s="129"/>
      <c r="AZ15" s="129"/>
      <c r="BA15" s="129" t="e">
        <f t="shared" si="17"/>
        <v>#DIV/0!</v>
      </c>
      <c r="BB15" s="129">
        <f t="shared" si="18"/>
        <v>1</v>
      </c>
      <c r="BC15" s="129">
        <f t="shared" si="4"/>
        <v>0.83899610764976162</v>
      </c>
      <c r="BE15" t="e">
        <f t="shared" si="19"/>
        <v>#DIV/0!</v>
      </c>
      <c r="BF15">
        <f t="shared" si="20"/>
        <v>1</v>
      </c>
      <c r="BG15" s="129">
        <f t="shared" si="5"/>
        <v>0.96954448094526824</v>
      </c>
    </row>
    <row r="16" spans="1:59" x14ac:dyDescent="0.2">
      <c r="A16" s="133" t="s">
        <v>664</v>
      </c>
      <c r="B16" s="144">
        <f t="shared" si="6"/>
        <v>1955</v>
      </c>
      <c r="H16" s="173"/>
      <c r="I16" s="4">
        <f>'Freight-based Activity'!C13</f>
        <v>259104.76190476192</v>
      </c>
      <c r="J16" s="4">
        <f t="shared" si="7"/>
        <v>259104.76190476192</v>
      </c>
      <c r="T16" s="131"/>
      <c r="U16" s="131"/>
      <c r="V16" s="131"/>
      <c r="W16" s="131"/>
      <c r="X16" s="131"/>
      <c r="Y16" s="131"/>
      <c r="Z16" s="131"/>
      <c r="AA16" s="131"/>
      <c r="AD16" s="134"/>
      <c r="AF16" s="129" t="e">
        <f t="shared" si="0"/>
        <v>#DIV/0!</v>
      </c>
      <c r="AG16" s="129" t="e">
        <f t="shared" si="1"/>
        <v>#DIV/0!</v>
      </c>
      <c r="AH16" s="129"/>
      <c r="AI16" s="129" t="e">
        <f t="shared" si="8"/>
        <v>#DIV/0!</v>
      </c>
      <c r="AJ16" s="129" t="e">
        <f t="shared" si="9"/>
        <v>#DIV/0!</v>
      </c>
      <c r="AK16" s="129" t="e">
        <f t="shared" si="10"/>
        <v>#DIV/0!</v>
      </c>
      <c r="AL16" s="129"/>
      <c r="AM16" s="129" t="e">
        <f t="shared" si="11"/>
        <v>#DIV/0!</v>
      </c>
      <c r="AN16" s="129" t="e">
        <f t="shared" si="12"/>
        <v>#DIV/0!</v>
      </c>
      <c r="AO16" s="129"/>
      <c r="AP16" s="129"/>
      <c r="AQ16" s="129" t="e">
        <f t="shared" si="13"/>
        <v>#DIV/0!</v>
      </c>
      <c r="AR16" s="129" t="e">
        <f t="shared" si="14"/>
        <v>#DIV/0!</v>
      </c>
      <c r="AS16" s="129"/>
      <c r="AT16" s="129">
        <f t="shared" si="2"/>
        <v>0</v>
      </c>
      <c r="AU16" s="129">
        <f t="shared" si="3"/>
        <v>1</v>
      </c>
      <c r="AV16" s="129"/>
      <c r="AW16" s="129" t="e">
        <f t="shared" si="15"/>
        <v>#DIV/0!</v>
      </c>
      <c r="AX16" s="129">
        <f t="shared" si="16"/>
        <v>0</v>
      </c>
      <c r="AY16" s="129"/>
      <c r="AZ16" s="129"/>
      <c r="BA16" s="129" t="e">
        <f t="shared" si="17"/>
        <v>#DIV/0!</v>
      </c>
      <c r="BB16" s="129">
        <f t="shared" si="18"/>
        <v>1</v>
      </c>
      <c r="BC16" s="129">
        <f t="shared" si="4"/>
        <v>0.83899610764976162</v>
      </c>
      <c r="BE16" t="e">
        <f t="shared" si="19"/>
        <v>#DIV/0!</v>
      </c>
      <c r="BF16">
        <f t="shared" si="20"/>
        <v>1</v>
      </c>
      <c r="BG16" s="129">
        <f t="shared" si="5"/>
        <v>0.96954448094526824</v>
      </c>
    </row>
    <row r="17" spans="1:59" x14ac:dyDescent="0.2">
      <c r="A17" s="133" t="s">
        <v>664</v>
      </c>
      <c r="B17" s="144">
        <f t="shared" si="6"/>
        <v>1956</v>
      </c>
      <c r="H17" s="173"/>
      <c r="I17" s="4">
        <f>'Freight-based Activity'!C14</f>
        <v>289314.28571428574</v>
      </c>
      <c r="J17" s="4">
        <f t="shared" si="7"/>
        <v>289314.28571428574</v>
      </c>
      <c r="T17" s="131"/>
      <c r="U17" s="131"/>
      <c r="V17" s="131"/>
      <c r="W17" s="131"/>
      <c r="X17" s="131"/>
      <c r="Y17" s="131"/>
      <c r="Z17" s="131"/>
      <c r="AA17" s="131"/>
      <c r="AD17" s="134"/>
      <c r="AF17" s="129" t="e">
        <f t="shared" si="0"/>
        <v>#DIV/0!</v>
      </c>
      <c r="AG17" s="129" t="e">
        <f t="shared" si="1"/>
        <v>#DIV/0!</v>
      </c>
      <c r="AH17" s="129"/>
      <c r="AI17" s="129" t="e">
        <f t="shared" si="8"/>
        <v>#DIV/0!</v>
      </c>
      <c r="AJ17" s="129" t="e">
        <f t="shared" si="9"/>
        <v>#DIV/0!</v>
      </c>
      <c r="AK17" s="129" t="e">
        <f t="shared" si="10"/>
        <v>#DIV/0!</v>
      </c>
      <c r="AL17" s="129"/>
      <c r="AM17" s="129" t="e">
        <f t="shared" si="11"/>
        <v>#DIV/0!</v>
      </c>
      <c r="AN17" s="129" t="e">
        <f t="shared" si="12"/>
        <v>#DIV/0!</v>
      </c>
      <c r="AO17" s="129"/>
      <c r="AP17" s="129"/>
      <c r="AQ17" s="129" t="e">
        <f t="shared" si="13"/>
        <v>#DIV/0!</v>
      </c>
      <c r="AR17" s="129" t="e">
        <f t="shared" si="14"/>
        <v>#DIV/0!</v>
      </c>
      <c r="AS17" s="129"/>
      <c r="AT17" s="129">
        <f t="shared" si="2"/>
        <v>0</v>
      </c>
      <c r="AU17" s="129">
        <f t="shared" si="3"/>
        <v>1</v>
      </c>
      <c r="AV17" s="129"/>
      <c r="AW17" s="129" t="e">
        <f t="shared" si="15"/>
        <v>#DIV/0!</v>
      </c>
      <c r="AX17" s="129">
        <f t="shared" si="16"/>
        <v>0</v>
      </c>
      <c r="AY17" s="129"/>
      <c r="AZ17" s="129"/>
      <c r="BA17" s="129" t="e">
        <f t="shared" si="17"/>
        <v>#DIV/0!</v>
      </c>
      <c r="BB17" s="129">
        <f t="shared" si="18"/>
        <v>1</v>
      </c>
      <c r="BC17" s="129">
        <f t="shared" si="4"/>
        <v>0.83899610764976162</v>
      </c>
      <c r="BE17" t="e">
        <f t="shared" si="19"/>
        <v>#DIV/0!</v>
      </c>
      <c r="BF17">
        <f t="shared" si="20"/>
        <v>1</v>
      </c>
      <c r="BG17" s="129">
        <f t="shared" si="5"/>
        <v>0.96954448094526824</v>
      </c>
    </row>
    <row r="18" spans="1:59" x14ac:dyDescent="0.2">
      <c r="A18" s="133" t="s">
        <v>664</v>
      </c>
      <c r="B18" s="144">
        <f t="shared" si="6"/>
        <v>1957</v>
      </c>
      <c r="H18" s="173"/>
      <c r="I18" s="4">
        <f>'Freight-based Activity'!C15</f>
        <v>295123.80952380953</v>
      </c>
      <c r="J18" s="4">
        <f t="shared" si="7"/>
        <v>295123.80952380953</v>
      </c>
      <c r="T18" s="131"/>
      <c r="U18" s="131"/>
      <c r="V18" s="131"/>
      <c r="W18" s="131"/>
      <c r="X18" s="131"/>
      <c r="Y18" s="131"/>
      <c r="Z18" s="131"/>
      <c r="AA18" s="131"/>
      <c r="AD18" s="134"/>
      <c r="AF18" s="129" t="e">
        <f t="shared" si="0"/>
        <v>#DIV/0!</v>
      </c>
      <c r="AG18" s="129" t="e">
        <f t="shared" si="1"/>
        <v>#DIV/0!</v>
      </c>
      <c r="AH18" s="129"/>
      <c r="AI18" s="129" t="e">
        <f t="shared" si="8"/>
        <v>#DIV/0!</v>
      </c>
      <c r="AJ18" s="129" t="e">
        <f t="shared" si="9"/>
        <v>#DIV/0!</v>
      </c>
      <c r="AK18" s="129" t="e">
        <f t="shared" si="10"/>
        <v>#DIV/0!</v>
      </c>
      <c r="AL18" s="129"/>
      <c r="AM18" s="129" t="e">
        <f t="shared" si="11"/>
        <v>#DIV/0!</v>
      </c>
      <c r="AN18" s="129" t="e">
        <f t="shared" si="12"/>
        <v>#DIV/0!</v>
      </c>
      <c r="AO18" s="129"/>
      <c r="AP18" s="129"/>
      <c r="AQ18" s="129" t="e">
        <f t="shared" si="13"/>
        <v>#DIV/0!</v>
      </c>
      <c r="AR18" s="129" t="e">
        <f t="shared" si="14"/>
        <v>#DIV/0!</v>
      </c>
      <c r="AS18" s="129"/>
      <c r="AT18" s="129">
        <f t="shared" si="2"/>
        <v>0</v>
      </c>
      <c r="AU18" s="129">
        <f t="shared" si="3"/>
        <v>1</v>
      </c>
      <c r="AV18" s="129"/>
      <c r="AW18" s="129" t="e">
        <f t="shared" si="15"/>
        <v>#DIV/0!</v>
      </c>
      <c r="AX18" s="129">
        <f t="shared" si="16"/>
        <v>0</v>
      </c>
      <c r="AY18" s="129"/>
      <c r="AZ18" s="129"/>
      <c r="BA18" s="129" t="e">
        <f t="shared" si="17"/>
        <v>#DIV/0!</v>
      </c>
      <c r="BB18" s="129">
        <f t="shared" si="18"/>
        <v>1</v>
      </c>
      <c r="BC18" s="129">
        <f t="shared" si="4"/>
        <v>0.83899610764976162</v>
      </c>
      <c r="BE18" t="e">
        <f t="shared" si="19"/>
        <v>#DIV/0!</v>
      </c>
      <c r="BF18">
        <f t="shared" si="20"/>
        <v>1</v>
      </c>
      <c r="BG18" s="129">
        <f t="shared" si="5"/>
        <v>0.96954448094526824</v>
      </c>
    </row>
    <row r="19" spans="1:59" x14ac:dyDescent="0.2">
      <c r="A19" s="133" t="s">
        <v>664</v>
      </c>
      <c r="B19" s="144">
        <f t="shared" si="6"/>
        <v>1958</v>
      </c>
      <c r="H19" s="173"/>
      <c r="I19" s="4">
        <f>'Freight-based Activity'!C16</f>
        <v>297447.61904761905</v>
      </c>
      <c r="J19" s="4">
        <f t="shared" si="7"/>
        <v>297447.61904761905</v>
      </c>
      <c r="T19" s="131"/>
      <c r="U19" s="131"/>
      <c r="V19" s="131"/>
      <c r="W19" s="131"/>
      <c r="X19" s="131"/>
      <c r="Y19" s="131"/>
      <c r="Z19" s="131"/>
      <c r="AA19" s="131"/>
      <c r="AD19" s="134"/>
      <c r="AF19" s="129" t="e">
        <f t="shared" si="0"/>
        <v>#DIV/0!</v>
      </c>
      <c r="AG19" s="129" t="e">
        <f t="shared" si="1"/>
        <v>#DIV/0!</v>
      </c>
      <c r="AH19" s="129"/>
      <c r="AI19" s="129" t="e">
        <f t="shared" si="8"/>
        <v>#DIV/0!</v>
      </c>
      <c r="AJ19" s="129" t="e">
        <f t="shared" si="9"/>
        <v>#DIV/0!</v>
      </c>
      <c r="AK19" s="129" t="e">
        <f t="shared" si="10"/>
        <v>#DIV/0!</v>
      </c>
      <c r="AL19" s="129"/>
      <c r="AM19" s="129" t="e">
        <f t="shared" si="11"/>
        <v>#DIV/0!</v>
      </c>
      <c r="AN19" s="129" t="e">
        <f t="shared" si="12"/>
        <v>#DIV/0!</v>
      </c>
      <c r="AO19" s="129"/>
      <c r="AP19" s="129"/>
      <c r="AQ19" s="129" t="e">
        <f t="shared" si="13"/>
        <v>#DIV/0!</v>
      </c>
      <c r="AR19" s="129" t="e">
        <f t="shared" si="14"/>
        <v>#DIV/0!</v>
      </c>
      <c r="AS19" s="129"/>
      <c r="AT19" s="129">
        <f t="shared" si="2"/>
        <v>0</v>
      </c>
      <c r="AU19" s="129">
        <f t="shared" si="3"/>
        <v>1</v>
      </c>
      <c r="AV19" s="129"/>
      <c r="AW19" s="129" t="e">
        <f t="shared" si="15"/>
        <v>#DIV/0!</v>
      </c>
      <c r="AX19" s="129">
        <f t="shared" si="16"/>
        <v>0</v>
      </c>
      <c r="AY19" s="129"/>
      <c r="AZ19" s="129"/>
      <c r="BA19" s="129" t="e">
        <f t="shared" si="17"/>
        <v>#DIV/0!</v>
      </c>
      <c r="BB19" s="129">
        <f t="shared" si="18"/>
        <v>1</v>
      </c>
      <c r="BC19" s="129">
        <f t="shared" si="4"/>
        <v>0.83899610764976162</v>
      </c>
      <c r="BE19" t="e">
        <f t="shared" si="19"/>
        <v>#DIV/0!</v>
      </c>
      <c r="BF19">
        <f t="shared" si="20"/>
        <v>1</v>
      </c>
      <c r="BG19" s="129">
        <f t="shared" si="5"/>
        <v>0.96954448094526824</v>
      </c>
    </row>
    <row r="20" spans="1:59" x14ac:dyDescent="0.2">
      <c r="A20" s="133" t="s">
        <v>664</v>
      </c>
      <c r="B20" s="144">
        <f t="shared" si="6"/>
        <v>1959</v>
      </c>
      <c r="H20" s="173"/>
      <c r="I20" s="4">
        <f>'Freight-based Activity'!C17</f>
        <v>324171.42857142858</v>
      </c>
      <c r="J20" s="4">
        <f t="shared" si="7"/>
        <v>324171.42857142858</v>
      </c>
      <c r="T20" s="131"/>
      <c r="U20" s="131"/>
      <c r="V20" s="131"/>
      <c r="W20" s="131"/>
      <c r="X20" s="131"/>
      <c r="Y20" s="131"/>
      <c r="Z20" s="131"/>
      <c r="AA20" s="131"/>
      <c r="AD20" s="134"/>
      <c r="AF20" s="129" t="e">
        <f t="shared" si="0"/>
        <v>#DIV/0!</v>
      </c>
      <c r="AG20" s="129" t="e">
        <f t="shared" si="1"/>
        <v>#DIV/0!</v>
      </c>
      <c r="AH20" s="129"/>
      <c r="AI20" s="129" t="e">
        <f t="shared" si="8"/>
        <v>#DIV/0!</v>
      </c>
      <c r="AJ20" s="129" t="e">
        <f t="shared" si="9"/>
        <v>#DIV/0!</v>
      </c>
      <c r="AK20" s="129" t="e">
        <f t="shared" si="10"/>
        <v>#DIV/0!</v>
      </c>
      <c r="AL20" s="129"/>
      <c r="AM20" s="129" t="e">
        <f t="shared" si="11"/>
        <v>#DIV/0!</v>
      </c>
      <c r="AN20" s="129" t="e">
        <f t="shared" si="12"/>
        <v>#DIV/0!</v>
      </c>
      <c r="AO20" s="129"/>
      <c r="AP20" s="129"/>
      <c r="AQ20" s="129" t="e">
        <f t="shared" si="13"/>
        <v>#DIV/0!</v>
      </c>
      <c r="AR20" s="129" t="e">
        <f t="shared" si="14"/>
        <v>#DIV/0!</v>
      </c>
      <c r="AS20" s="129"/>
      <c r="AT20" s="129">
        <f t="shared" si="2"/>
        <v>0</v>
      </c>
      <c r="AU20" s="129">
        <f t="shared" si="3"/>
        <v>1</v>
      </c>
      <c r="AV20" s="129"/>
      <c r="AW20" s="129" t="e">
        <f t="shared" si="15"/>
        <v>#DIV/0!</v>
      </c>
      <c r="AX20" s="129">
        <f t="shared" si="16"/>
        <v>0</v>
      </c>
      <c r="AY20" s="129"/>
      <c r="AZ20" s="129"/>
      <c r="BA20" s="129" t="e">
        <f t="shared" si="17"/>
        <v>#DIV/0!</v>
      </c>
      <c r="BB20" s="129">
        <f t="shared" si="18"/>
        <v>1</v>
      </c>
      <c r="BC20" s="129">
        <f t="shared" si="4"/>
        <v>0.83899610764976162</v>
      </c>
      <c r="BE20" t="e">
        <f t="shared" si="19"/>
        <v>#DIV/0!</v>
      </c>
      <c r="BF20">
        <f t="shared" si="20"/>
        <v>1</v>
      </c>
      <c r="BG20" s="129">
        <f t="shared" si="5"/>
        <v>0.96954448094526824</v>
      </c>
    </row>
    <row r="21" spans="1:59" x14ac:dyDescent="0.2">
      <c r="A21" s="133" t="s">
        <v>664</v>
      </c>
      <c r="B21" s="144">
        <f t="shared" si="6"/>
        <v>1960</v>
      </c>
      <c r="H21" s="173"/>
      <c r="I21" s="4">
        <f>'Freight-based Activity'!C18</f>
        <v>331142.85714285716</v>
      </c>
      <c r="J21" s="4">
        <f t="shared" si="7"/>
        <v>331142.85714285716</v>
      </c>
      <c r="T21" s="131"/>
      <c r="U21" s="131"/>
      <c r="V21" s="131"/>
      <c r="W21" s="131"/>
      <c r="X21" s="131"/>
      <c r="Y21" s="131"/>
      <c r="Z21" s="131"/>
      <c r="AA21" s="131"/>
      <c r="AD21" s="134"/>
      <c r="AF21" s="129" t="e">
        <f t="shared" si="0"/>
        <v>#DIV/0!</v>
      </c>
      <c r="AG21" s="129" t="e">
        <f t="shared" si="1"/>
        <v>#DIV/0!</v>
      </c>
      <c r="AH21" s="129"/>
      <c r="AI21" s="129" t="e">
        <f t="shared" si="8"/>
        <v>#DIV/0!</v>
      </c>
      <c r="AJ21" s="129" t="e">
        <f t="shared" si="9"/>
        <v>#DIV/0!</v>
      </c>
      <c r="AK21" s="129" t="e">
        <f t="shared" si="10"/>
        <v>#DIV/0!</v>
      </c>
      <c r="AL21" s="129"/>
      <c r="AM21" s="129" t="e">
        <f t="shared" si="11"/>
        <v>#DIV/0!</v>
      </c>
      <c r="AN21" s="129" t="e">
        <f t="shared" si="12"/>
        <v>#DIV/0!</v>
      </c>
      <c r="AO21" s="129"/>
      <c r="AP21" s="129"/>
      <c r="AQ21" s="129" t="e">
        <f t="shared" si="13"/>
        <v>#DIV/0!</v>
      </c>
      <c r="AR21" s="129" t="e">
        <f t="shared" si="14"/>
        <v>#DIV/0!</v>
      </c>
      <c r="AS21" s="129"/>
      <c r="AT21" s="129">
        <f t="shared" si="2"/>
        <v>0</v>
      </c>
      <c r="AU21" s="129">
        <f t="shared" si="3"/>
        <v>1</v>
      </c>
      <c r="AV21" s="129"/>
      <c r="AW21" s="129" t="e">
        <f t="shared" si="15"/>
        <v>#DIV/0!</v>
      </c>
      <c r="AX21" s="129">
        <f t="shared" si="16"/>
        <v>0</v>
      </c>
      <c r="AY21" s="129"/>
      <c r="AZ21" s="129"/>
      <c r="BA21" s="129" t="e">
        <f t="shared" si="17"/>
        <v>#DIV/0!</v>
      </c>
      <c r="BB21" s="129">
        <f t="shared" si="18"/>
        <v>1</v>
      </c>
      <c r="BC21" s="129">
        <f t="shared" si="4"/>
        <v>0.83899610764976162</v>
      </c>
      <c r="BE21" t="e">
        <f t="shared" si="19"/>
        <v>#DIV/0!</v>
      </c>
      <c r="BF21">
        <f t="shared" si="20"/>
        <v>1</v>
      </c>
      <c r="BG21" s="129">
        <f t="shared" si="5"/>
        <v>0.96954448094526824</v>
      </c>
    </row>
    <row r="22" spans="1:59" x14ac:dyDescent="0.2">
      <c r="A22" s="133" t="s">
        <v>664</v>
      </c>
      <c r="B22" s="144">
        <f t="shared" si="6"/>
        <v>1961</v>
      </c>
      <c r="H22" s="173"/>
      <c r="I22" s="4">
        <f>'Freight-based Activity'!C19</f>
        <v>343923.80952380953</v>
      </c>
      <c r="J22" s="4">
        <f t="shared" si="7"/>
        <v>343923.80952380953</v>
      </c>
      <c r="T22" s="131"/>
      <c r="U22" s="131"/>
      <c r="V22" s="131"/>
      <c r="W22" s="131"/>
      <c r="X22" s="131"/>
      <c r="Y22" s="131"/>
      <c r="Z22" s="131"/>
      <c r="AA22" s="131"/>
      <c r="AD22" s="134"/>
      <c r="AF22" s="129" t="e">
        <f t="shared" si="0"/>
        <v>#DIV/0!</v>
      </c>
      <c r="AG22" s="129" t="e">
        <f t="shared" si="1"/>
        <v>#DIV/0!</v>
      </c>
      <c r="AH22" s="129"/>
      <c r="AI22" s="129" t="e">
        <f t="shared" si="8"/>
        <v>#DIV/0!</v>
      </c>
      <c r="AJ22" s="129" t="e">
        <f t="shared" si="9"/>
        <v>#DIV/0!</v>
      </c>
      <c r="AK22" s="129" t="e">
        <f t="shared" si="10"/>
        <v>#DIV/0!</v>
      </c>
      <c r="AL22" s="129"/>
      <c r="AM22" s="129" t="e">
        <f t="shared" si="11"/>
        <v>#DIV/0!</v>
      </c>
      <c r="AN22" s="129" t="e">
        <f t="shared" si="12"/>
        <v>#DIV/0!</v>
      </c>
      <c r="AO22" s="129"/>
      <c r="AP22" s="129"/>
      <c r="AQ22" s="129" t="e">
        <f t="shared" si="13"/>
        <v>#DIV/0!</v>
      </c>
      <c r="AR22" s="129" t="e">
        <f t="shared" si="14"/>
        <v>#DIV/0!</v>
      </c>
      <c r="AS22" s="129"/>
      <c r="AT22" s="129">
        <f t="shared" si="2"/>
        <v>0</v>
      </c>
      <c r="AU22" s="129">
        <f t="shared" si="3"/>
        <v>1</v>
      </c>
      <c r="AV22" s="129"/>
      <c r="AW22" s="129" t="e">
        <f t="shared" si="15"/>
        <v>#DIV/0!</v>
      </c>
      <c r="AX22" s="129">
        <f t="shared" si="16"/>
        <v>0</v>
      </c>
      <c r="AY22" s="129"/>
      <c r="AZ22" s="129"/>
      <c r="BA22" s="129" t="e">
        <f t="shared" si="17"/>
        <v>#DIV/0!</v>
      </c>
      <c r="BB22" s="129">
        <f t="shared" si="18"/>
        <v>1</v>
      </c>
      <c r="BC22" s="129">
        <f t="shared" si="4"/>
        <v>0.83899610764976162</v>
      </c>
      <c r="BE22" t="e">
        <f t="shared" si="19"/>
        <v>#DIV/0!</v>
      </c>
      <c r="BF22">
        <f t="shared" si="20"/>
        <v>1</v>
      </c>
      <c r="BG22" s="129">
        <f t="shared" si="5"/>
        <v>0.96954448094526824</v>
      </c>
    </row>
    <row r="23" spans="1:59" x14ac:dyDescent="0.2">
      <c r="A23" s="133" t="s">
        <v>664</v>
      </c>
      <c r="B23" s="144">
        <f t="shared" si="6"/>
        <v>1962</v>
      </c>
      <c r="H23" s="173"/>
      <c r="I23" s="4">
        <f>'Freight-based Activity'!C20</f>
        <v>359028.57142857148</v>
      </c>
      <c r="J23" s="4">
        <f t="shared" si="7"/>
        <v>359028.57142857148</v>
      </c>
      <c r="T23" s="131"/>
      <c r="U23" s="131"/>
      <c r="V23" s="131"/>
      <c r="W23" s="131"/>
      <c r="X23" s="131"/>
      <c r="Y23" s="131"/>
      <c r="Z23" s="131"/>
      <c r="AA23" s="131"/>
      <c r="AD23" s="134"/>
      <c r="AF23" s="129" t="e">
        <f t="shared" si="0"/>
        <v>#DIV/0!</v>
      </c>
      <c r="AG23" s="129" t="e">
        <f t="shared" si="1"/>
        <v>#DIV/0!</v>
      </c>
      <c r="AH23" s="129"/>
      <c r="AI23" s="129" t="e">
        <f t="shared" si="8"/>
        <v>#DIV/0!</v>
      </c>
      <c r="AJ23" s="129" t="e">
        <f t="shared" si="9"/>
        <v>#DIV/0!</v>
      </c>
      <c r="AK23" s="129" t="e">
        <f t="shared" si="10"/>
        <v>#DIV/0!</v>
      </c>
      <c r="AL23" s="129"/>
      <c r="AM23" s="129" t="e">
        <f t="shared" si="11"/>
        <v>#DIV/0!</v>
      </c>
      <c r="AN23" s="129" t="e">
        <f t="shared" si="12"/>
        <v>#DIV/0!</v>
      </c>
      <c r="AO23" s="129"/>
      <c r="AP23" s="129"/>
      <c r="AQ23" s="129" t="e">
        <f t="shared" si="13"/>
        <v>#DIV/0!</v>
      </c>
      <c r="AR23" s="129" t="e">
        <f t="shared" si="14"/>
        <v>#DIV/0!</v>
      </c>
      <c r="AS23" s="129"/>
      <c r="AT23" s="129">
        <f t="shared" si="2"/>
        <v>0</v>
      </c>
      <c r="AU23" s="129">
        <f t="shared" si="3"/>
        <v>1</v>
      </c>
      <c r="AV23" s="129"/>
      <c r="AW23" s="129" t="e">
        <f t="shared" si="15"/>
        <v>#DIV/0!</v>
      </c>
      <c r="AX23" s="129">
        <f t="shared" si="16"/>
        <v>0</v>
      </c>
      <c r="AY23" s="129"/>
      <c r="AZ23" s="129"/>
      <c r="BA23" s="129" t="e">
        <f t="shared" si="17"/>
        <v>#DIV/0!</v>
      </c>
      <c r="BB23" s="129">
        <f t="shared" si="18"/>
        <v>1</v>
      </c>
      <c r="BC23" s="129">
        <f t="shared" si="4"/>
        <v>0.83899610764976162</v>
      </c>
      <c r="BE23" t="e">
        <f t="shared" si="19"/>
        <v>#DIV/0!</v>
      </c>
      <c r="BF23">
        <f t="shared" si="20"/>
        <v>1</v>
      </c>
      <c r="BG23" s="129">
        <f t="shared" si="5"/>
        <v>0.96954448094526824</v>
      </c>
    </row>
    <row r="24" spans="1:59" x14ac:dyDescent="0.2">
      <c r="A24" s="133" t="s">
        <v>664</v>
      </c>
      <c r="B24" s="144">
        <f t="shared" si="6"/>
        <v>1963</v>
      </c>
      <c r="D24" s="4"/>
      <c r="E24" s="4"/>
      <c r="F24" s="4"/>
      <c r="H24" s="173"/>
      <c r="I24" s="4">
        <f>'Freight-based Activity'!C21</f>
        <v>390400.00000000006</v>
      </c>
      <c r="J24" s="4">
        <f t="shared" si="7"/>
        <v>390400.00000000006</v>
      </c>
      <c r="L24" s="4"/>
      <c r="M24" s="4"/>
      <c r="N24" s="4"/>
      <c r="P24" s="129"/>
      <c r="Q24" s="129"/>
      <c r="R24" s="129"/>
      <c r="T24" s="131"/>
      <c r="U24" s="131"/>
      <c r="V24" s="131"/>
      <c r="W24" s="131"/>
      <c r="X24" s="131"/>
      <c r="Y24" s="131"/>
      <c r="Z24" s="131"/>
      <c r="AA24" s="131"/>
      <c r="AD24" s="134"/>
      <c r="AF24" s="129" t="e">
        <f t="shared" si="0"/>
        <v>#DIV/0!</v>
      </c>
      <c r="AG24" s="129" t="e">
        <f t="shared" si="1"/>
        <v>#DIV/0!</v>
      </c>
      <c r="AH24" s="129"/>
      <c r="AI24" s="129" t="e">
        <f t="shared" si="8"/>
        <v>#DIV/0!</v>
      </c>
      <c r="AJ24" s="129" t="e">
        <f t="shared" si="9"/>
        <v>#DIV/0!</v>
      </c>
      <c r="AK24" s="129" t="e">
        <f t="shared" si="10"/>
        <v>#DIV/0!</v>
      </c>
      <c r="AL24" s="129"/>
      <c r="AM24" s="129" t="e">
        <f t="shared" si="11"/>
        <v>#DIV/0!</v>
      </c>
      <c r="AN24" s="129" t="e">
        <f t="shared" si="12"/>
        <v>#DIV/0!</v>
      </c>
      <c r="AO24" s="129"/>
      <c r="AP24" s="129"/>
      <c r="AQ24" s="129" t="e">
        <f t="shared" si="13"/>
        <v>#DIV/0!</v>
      </c>
      <c r="AR24" s="129" t="e">
        <f t="shared" si="14"/>
        <v>#DIV/0!</v>
      </c>
      <c r="AS24" s="129"/>
      <c r="AT24" s="129">
        <f t="shared" si="2"/>
        <v>0</v>
      </c>
      <c r="AU24" s="129">
        <f t="shared" si="3"/>
        <v>1</v>
      </c>
      <c r="AV24" s="129"/>
      <c r="AW24" s="129" t="e">
        <f t="shared" si="15"/>
        <v>#DIV/0!</v>
      </c>
      <c r="AX24" s="129">
        <f t="shared" si="16"/>
        <v>0</v>
      </c>
      <c r="AY24" s="129"/>
      <c r="AZ24" s="129"/>
      <c r="BA24" s="129" t="e">
        <f t="shared" si="17"/>
        <v>#DIV/0!</v>
      </c>
      <c r="BB24" s="129">
        <f t="shared" si="18"/>
        <v>1</v>
      </c>
      <c r="BC24" s="129">
        <f t="shared" si="4"/>
        <v>0.83899610764976162</v>
      </c>
      <c r="BE24" t="e">
        <f t="shared" si="19"/>
        <v>#DIV/0!</v>
      </c>
      <c r="BF24">
        <f t="shared" si="20"/>
        <v>1</v>
      </c>
      <c r="BG24" s="129">
        <f t="shared" si="5"/>
        <v>0.96954448094526824</v>
      </c>
    </row>
    <row r="25" spans="1:59" x14ac:dyDescent="0.2">
      <c r="A25" s="133" t="s">
        <v>664</v>
      </c>
      <c r="B25" s="144">
        <f t="shared" si="6"/>
        <v>1964</v>
      </c>
      <c r="D25" s="4"/>
      <c r="E25" s="4"/>
      <c r="F25" s="4"/>
      <c r="H25" s="173"/>
      <c r="I25" s="4">
        <f>'Freight-based Activity'!C22</f>
        <v>413638.09523809527</v>
      </c>
      <c r="J25" s="4">
        <f t="shared" si="7"/>
        <v>413638.09523809527</v>
      </c>
      <c r="L25" s="4"/>
      <c r="M25" s="4"/>
      <c r="N25" s="4"/>
      <c r="P25" s="129"/>
      <c r="Q25" s="129"/>
      <c r="R25" s="129"/>
      <c r="T25" s="131"/>
      <c r="U25" s="131"/>
      <c r="V25" s="131"/>
      <c r="W25" s="131"/>
      <c r="X25" s="131"/>
      <c r="Y25" s="131"/>
      <c r="Z25" s="131"/>
      <c r="AA25" s="131"/>
      <c r="AD25" s="134"/>
      <c r="AF25" s="129" t="e">
        <f t="shared" si="0"/>
        <v>#DIV/0!</v>
      </c>
      <c r="AG25" s="129" t="e">
        <f t="shared" si="1"/>
        <v>#DIV/0!</v>
      </c>
      <c r="AH25" s="129"/>
      <c r="AI25" s="129" t="e">
        <f t="shared" si="8"/>
        <v>#DIV/0!</v>
      </c>
      <c r="AJ25" s="129" t="e">
        <f t="shared" si="9"/>
        <v>#DIV/0!</v>
      </c>
      <c r="AK25" s="129" t="e">
        <f t="shared" si="10"/>
        <v>#DIV/0!</v>
      </c>
      <c r="AL25" s="129"/>
      <c r="AM25" s="129" t="e">
        <f t="shared" si="11"/>
        <v>#DIV/0!</v>
      </c>
      <c r="AN25" s="129" t="e">
        <f t="shared" si="12"/>
        <v>#DIV/0!</v>
      </c>
      <c r="AO25" s="129"/>
      <c r="AP25" s="129"/>
      <c r="AQ25" s="129" t="e">
        <f t="shared" si="13"/>
        <v>#DIV/0!</v>
      </c>
      <c r="AR25" s="129" t="e">
        <f t="shared" si="14"/>
        <v>#DIV/0!</v>
      </c>
      <c r="AS25" s="129"/>
      <c r="AT25" s="129">
        <f t="shared" si="2"/>
        <v>0</v>
      </c>
      <c r="AU25" s="129">
        <f t="shared" si="3"/>
        <v>1</v>
      </c>
      <c r="AV25" s="129"/>
      <c r="AW25" s="129" t="e">
        <f t="shared" si="15"/>
        <v>#DIV/0!</v>
      </c>
      <c r="AX25" s="129">
        <f t="shared" si="16"/>
        <v>0</v>
      </c>
      <c r="AY25" s="129"/>
      <c r="AZ25" s="129"/>
      <c r="BA25" s="129" t="e">
        <f t="shared" si="17"/>
        <v>#DIV/0!</v>
      </c>
      <c r="BB25" s="129">
        <f t="shared" si="18"/>
        <v>1</v>
      </c>
      <c r="BC25" s="129">
        <f t="shared" si="4"/>
        <v>0.83899610764976162</v>
      </c>
      <c r="BE25" t="e">
        <f t="shared" si="19"/>
        <v>#DIV/0!</v>
      </c>
      <c r="BF25">
        <f t="shared" si="20"/>
        <v>1</v>
      </c>
      <c r="BG25" s="129">
        <f t="shared" si="5"/>
        <v>0.96954448094526824</v>
      </c>
    </row>
    <row r="26" spans="1:59" x14ac:dyDescent="0.2">
      <c r="A26" s="133" t="s">
        <v>664</v>
      </c>
      <c r="B26" s="144">
        <f t="shared" si="6"/>
        <v>1965</v>
      </c>
      <c r="D26" s="4"/>
      <c r="E26" s="4"/>
      <c r="F26" s="4"/>
      <c r="H26" s="173"/>
      <c r="I26" s="4">
        <f>'Freight-based Activity'!C23</f>
        <v>417123.80952380958</v>
      </c>
      <c r="J26" s="4">
        <f t="shared" si="7"/>
        <v>417123.80952380958</v>
      </c>
      <c r="L26" s="4"/>
      <c r="M26" s="4"/>
      <c r="N26" s="4"/>
      <c r="P26" s="129"/>
      <c r="Q26" s="129"/>
      <c r="R26" s="129"/>
      <c r="T26" s="131"/>
      <c r="U26" s="131"/>
      <c r="V26" s="131"/>
      <c r="W26" s="131"/>
      <c r="X26" s="131"/>
      <c r="Y26" s="131"/>
      <c r="Z26" s="131"/>
      <c r="AA26" s="131"/>
      <c r="AD26" s="134"/>
      <c r="AF26" s="129" t="e">
        <f t="shared" si="0"/>
        <v>#DIV/0!</v>
      </c>
      <c r="AG26" s="129" t="e">
        <f t="shared" si="1"/>
        <v>#DIV/0!</v>
      </c>
      <c r="AH26" s="129"/>
      <c r="AI26" s="129" t="e">
        <f t="shared" si="8"/>
        <v>#DIV/0!</v>
      </c>
      <c r="AJ26" s="129" t="e">
        <f t="shared" si="9"/>
        <v>#DIV/0!</v>
      </c>
      <c r="AK26" s="129" t="e">
        <f t="shared" si="10"/>
        <v>#DIV/0!</v>
      </c>
      <c r="AL26" s="129"/>
      <c r="AM26" s="129" t="e">
        <f t="shared" si="11"/>
        <v>#DIV/0!</v>
      </c>
      <c r="AN26" s="129" t="e">
        <f t="shared" si="12"/>
        <v>#DIV/0!</v>
      </c>
      <c r="AO26" s="129"/>
      <c r="AP26" s="129"/>
      <c r="AQ26" s="129" t="e">
        <f t="shared" si="13"/>
        <v>#DIV/0!</v>
      </c>
      <c r="AR26" s="129" t="e">
        <f t="shared" si="14"/>
        <v>#DIV/0!</v>
      </c>
      <c r="AS26" s="129"/>
      <c r="AT26" s="129">
        <f t="shared" si="2"/>
        <v>0</v>
      </c>
      <c r="AU26" s="129">
        <f t="shared" si="3"/>
        <v>1</v>
      </c>
      <c r="AV26" s="129"/>
      <c r="AW26" s="129" t="e">
        <f t="shared" si="15"/>
        <v>#DIV/0!</v>
      </c>
      <c r="AX26" s="129">
        <f t="shared" si="16"/>
        <v>0</v>
      </c>
      <c r="AY26" s="129"/>
      <c r="AZ26" s="129"/>
      <c r="BA26" s="129" t="e">
        <f t="shared" si="17"/>
        <v>#DIV/0!</v>
      </c>
      <c r="BB26" s="129">
        <f t="shared" si="18"/>
        <v>1</v>
      </c>
      <c r="BC26" s="129">
        <f t="shared" si="4"/>
        <v>0.83899610764976162</v>
      </c>
      <c r="BE26" t="e">
        <f t="shared" si="19"/>
        <v>#DIV/0!</v>
      </c>
      <c r="BF26">
        <f t="shared" si="20"/>
        <v>1</v>
      </c>
      <c r="BG26" s="129">
        <f t="shared" si="5"/>
        <v>0.96954448094526824</v>
      </c>
    </row>
    <row r="27" spans="1:59" x14ac:dyDescent="0.2">
      <c r="A27" s="133" t="s">
        <v>664</v>
      </c>
      <c r="B27" s="144">
        <f t="shared" si="6"/>
        <v>1966</v>
      </c>
      <c r="D27" s="4"/>
      <c r="E27" s="4"/>
      <c r="F27" s="4"/>
      <c r="H27" s="172"/>
      <c r="I27" s="4">
        <f>'Freight-based Activity'!C24</f>
        <v>442685.71428571432</v>
      </c>
      <c r="J27" s="4">
        <f t="shared" si="7"/>
        <v>442685.71428571432</v>
      </c>
      <c r="L27" s="4"/>
      <c r="M27" s="4"/>
      <c r="N27" s="4"/>
      <c r="P27" s="129"/>
      <c r="Q27" s="129"/>
      <c r="R27" s="129"/>
      <c r="T27" s="131">
        <f t="shared" ref="T27:T61" si="21">J27/J$74</f>
        <v>0.48689402336078141</v>
      </c>
      <c r="U27" s="131">
        <f t="shared" ref="U27:U41" si="22">R27</f>
        <v>0</v>
      </c>
      <c r="V27" s="131">
        <f t="shared" ref="V27:V41" si="23">BG27</f>
        <v>0.96954448094526824</v>
      </c>
      <c r="W27" s="131">
        <f t="shared" ref="W27:W41" si="24">BC27</f>
        <v>0.83899610764976162</v>
      </c>
      <c r="X27" s="131">
        <f t="shared" ref="X27:X41" si="25">T27*V27*W27</f>
        <v>0.39606104419285487</v>
      </c>
      <c r="Y27" s="131">
        <f t="shared" ref="Y27:Y61" si="26">F27/F$74</f>
        <v>0</v>
      </c>
      <c r="Z27" s="131"/>
      <c r="AA27" s="131">
        <f t="shared" ref="AA27:AA41" si="27">V27*W27</f>
        <v>0.81344404570638851</v>
      </c>
      <c r="AD27" s="134"/>
      <c r="AF27" s="129" t="e">
        <f t="shared" si="0"/>
        <v>#DIV/0!</v>
      </c>
      <c r="AG27" s="129" t="e">
        <f t="shared" si="1"/>
        <v>#DIV/0!</v>
      </c>
      <c r="AH27" s="129"/>
      <c r="AI27" s="129" t="e">
        <f t="shared" si="8"/>
        <v>#DIV/0!</v>
      </c>
      <c r="AJ27" s="129" t="e">
        <f t="shared" si="9"/>
        <v>#DIV/0!</v>
      </c>
      <c r="AK27" s="129" t="e">
        <f t="shared" si="10"/>
        <v>#DIV/0!</v>
      </c>
      <c r="AL27" s="129"/>
      <c r="AM27" s="129" t="e">
        <f t="shared" si="11"/>
        <v>#DIV/0!</v>
      </c>
      <c r="AN27" s="129" t="e">
        <f t="shared" si="12"/>
        <v>#DIV/0!</v>
      </c>
      <c r="AO27" s="129"/>
      <c r="AP27" s="129"/>
      <c r="AQ27" s="129" t="e">
        <f t="shared" si="13"/>
        <v>#DIV/0!</v>
      </c>
      <c r="AR27" s="129" t="e">
        <f t="shared" si="14"/>
        <v>#DIV/0!</v>
      </c>
      <c r="AS27" s="129"/>
      <c r="AT27" s="129">
        <f t="shared" si="2"/>
        <v>0</v>
      </c>
      <c r="AU27" s="129">
        <f t="shared" si="3"/>
        <v>1</v>
      </c>
      <c r="AV27" s="129"/>
      <c r="AW27" s="129" t="e">
        <f t="shared" si="15"/>
        <v>#DIV/0!</v>
      </c>
      <c r="AX27" s="129">
        <f t="shared" si="16"/>
        <v>0</v>
      </c>
      <c r="AY27" s="129"/>
      <c r="AZ27" s="129"/>
      <c r="BA27" s="129" t="e">
        <f t="shared" si="17"/>
        <v>#DIV/0!</v>
      </c>
      <c r="BB27" s="129">
        <f t="shared" si="18"/>
        <v>1</v>
      </c>
      <c r="BC27" s="129">
        <f t="shared" si="4"/>
        <v>0.83899610764976162</v>
      </c>
      <c r="BE27" t="e">
        <f t="shared" si="19"/>
        <v>#DIV/0!</v>
      </c>
      <c r="BF27">
        <f t="shared" si="20"/>
        <v>1</v>
      </c>
      <c r="BG27" s="129">
        <f t="shared" si="5"/>
        <v>0.96954448094526824</v>
      </c>
    </row>
    <row r="28" spans="1:59" x14ac:dyDescent="0.2">
      <c r="A28" s="133" t="s">
        <v>664</v>
      </c>
      <c r="B28" s="144">
        <f t="shared" si="6"/>
        <v>1967</v>
      </c>
      <c r="D28" s="4"/>
      <c r="E28" s="4"/>
      <c r="F28" s="4"/>
      <c r="H28" s="172"/>
      <c r="I28" s="4">
        <f>'Freight-based Activity'!C25</f>
        <v>451980.95238095243</v>
      </c>
      <c r="J28" s="4">
        <f t="shared" si="7"/>
        <v>451980.95238095243</v>
      </c>
      <c r="L28" s="4"/>
      <c r="M28" s="4"/>
      <c r="N28" s="4"/>
      <c r="P28" s="129"/>
      <c r="Q28" s="129"/>
      <c r="R28" s="129"/>
      <c r="T28" s="131">
        <f t="shared" si="21"/>
        <v>0.49711751991428865</v>
      </c>
      <c r="U28" s="131">
        <f t="shared" si="22"/>
        <v>0</v>
      </c>
      <c r="V28" s="131">
        <f t="shared" si="23"/>
        <v>0.96954448094526824</v>
      </c>
      <c r="W28" s="131">
        <f t="shared" si="24"/>
        <v>0.83899610764976162</v>
      </c>
      <c r="X28" s="131">
        <f t="shared" si="25"/>
        <v>0.40437728659060512</v>
      </c>
      <c r="Y28" s="131">
        <f t="shared" si="26"/>
        <v>0</v>
      </c>
      <c r="Z28" s="131"/>
      <c r="AA28" s="131">
        <f t="shared" si="27"/>
        <v>0.81344404570638851</v>
      </c>
      <c r="AD28" s="134"/>
      <c r="AF28" s="129" t="e">
        <f t="shared" si="0"/>
        <v>#DIV/0!</v>
      </c>
      <c r="AG28" s="129" t="e">
        <f t="shared" si="1"/>
        <v>#DIV/0!</v>
      </c>
      <c r="AH28" s="129"/>
      <c r="AI28" s="129" t="e">
        <f t="shared" si="8"/>
        <v>#DIV/0!</v>
      </c>
      <c r="AJ28" s="129" t="e">
        <f t="shared" si="9"/>
        <v>#DIV/0!</v>
      </c>
      <c r="AK28" s="129" t="e">
        <f t="shared" si="10"/>
        <v>#DIV/0!</v>
      </c>
      <c r="AL28" s="129"/>
      <c r="AM28" s="129" t="e">
        <f t="shared" si="11"/>
        <v>#DIV/0!</v>
      </c>
      <c r="AN28" s="129" t="e">
        <f t="shared" si="12"/>
        <v>#DIV/0!</v>
      </c>
      <c r="AO28" s="129"/>
      <c r="AP28" s="129"/>
      <c r="AQ28" s="129" t="e">
        <f t="shared" si="13"/>
        <v>#DIV/0!</v>
      </c>
      <c r="AR28" s="129" t="e">
        <f t="shared" si="14"/>
        <v>#DIV/0!</v>
      </c>
      <c r="AS28" s="129"/>
      <c r="AT28" s="129">
        <f t="shared" si="2"/>
        <v>0</v>
      </c>
      <c r="AU28" s="129">
        <f t="shared" si="3"/>
        <v>1</v>
      </c>
      <c r="AV28" s="129"/>
      <c r="AW28" s="129" t="e">
        <f t="shared" si="15"/>
        <v>#DIV/0!</v>
      </c>
      <c r="AX28" s="129">
        <f t="shared" si="16"/>
        <v>0</v>
      </c>
      <c r="AY28" s="129"/>
      <c r="AZ28" s="129"/>
      <c r="BA28" s="129" t="e">
        <f t="shared" si="17"/>
        <v>#DIV/0!</v>
      </c>
      <c r="BB28" s="129">
        <f t="shared" si="18"/>
        <v>1</v>
      </c>
      <c r="BC28" s="129">
        <f t="shared" si="4"/>
        <v>0.83899610764976162</v>
      </c>
      <c r="BE28" t="e">
        <f t="shared" si="19"/>
        <v>#DIV/0!</v>
      </c>
      <c r="BF28">
        <f t="shared" si="20"/>
        <v>1</v>
      </c>
      <c r="BG28" s="129">
        <f t="shared" si="5"/>
        <v>0.96954448094526824</v>
      </c>
    </row>
    <row r="29" spans="1:59" x14ac:dyDescent="0.2">
      <c r="A29" s="133" t="s">
        <v>664</v>
      </c>
      <c r="B29" s="144">
        <f t="shared" si="6"/>
        <v>1968</v>
      </c>
      <c r="D29" s="4"/>
      <c r="E29" s="4"/>
      <c r="F29" s="4"/>
      <c r="H29" s="172"/>
      <c r="I29" s="4">
        <f>'Freight-based Activity'!C26</f>
        <v>460114.28571428574</v>
      </c>
      <c r="J29" s="4">
        <f t="shared" si="7"/>
        <v>460114.28571428574</v>
      </c>
      <c r="L29" s="4"/>
      <c r="M29" s="4"/>
      <c r="N29" s="4"/>
      <c r="P29" s="129"/>
      <c r="Q29" s="129"/>
      <c r="R29" s="129"/>
      <c r="T29" s="131">
        <f t="shared" si="21"/>
        <v>0.50606307939860751</v>
      </c>
      <c r="U29" s="131">
        <f t="shared" si="22"/>
        <v>0</v>
      </c>
      <c r="V29" s="131">
        <f t="shared" si="23"/>
        <v>0.96954448094526824</v>
      </c>
      <c r="W29" s="131">
        <f t="shared" si="24"/>
        <v>0.83899610764976162</v>
      </c>
      <c r="X29" s="131">
        <f t="shared" si="25"/>
        <v>0.41165399868863661</v>
      </c>
      <c r="Y29" s="131">
        <f t="shared" si="26"/>
        <v>0</v>
      </c>
      <c r="Z29" s="131"/>
      <c r="AA29" s="131">
        <f t="shared" si="27"/>
        <v>0.81344404570638851</v>
      </c>
      <c r="AD29" s="134"/>
      <c r="AF29" s="129" t="e">
        <f t="shared" si="0"/>
        <v>#DIV/0!</v>
      </c>
      <c r="AG29" s="129" t="e">
        <f t="shared" si="1"/>
        <v>#DIV/0!</v>
      </c>
      <c r="AH29" s="129"/>
      <c r="AI29" s="129" t="e">
        <f t="shared" si="8"/>
        <v>#DIV/0!</v>
      </c>
      <c r="AJ29" s="129" t="e">
        <f t="shared" si="9"/>
        <v>#DIV/0!</v>
      </c>
      <c r="AK29" s="129" t="e">
        <f t="shared" si="10"/>
        <v>#DIV/0!</v>
      </c>
      <c r="AL29" s="129"/>
      <c r="AM29" s="129" t="e">
        <f t="shared" si="11"/>
        <v>#DIV/0!</v>
      </c>
      <c r="AN29" s="129" t="e">
        <f t="shared" si="12"/>
        <v>#DIV/0!</v>
      </c>
      <c r="AO29" s="129"/>
      <c r="AP29" s="129"/>
      <c r="AQ29" s="129" t="e">
        <f t="shared" si="13"/>
        <v>#DIV/0!</v>
      </c>
      <c r="AR29" s="129" t="e">
        <f t="shared" si="14"/>
        <v>#DIV/0!</v>
      </c>
      <c r="AS29" s="129"/>
      <c r="AT29" s="129">
        <f t="shared" si="2"/>
        <v>0</v>
      </c>
      <c r="AU29" s="129">
        <f t="shared" si="3"/>
        <v>1</v>
      </c>
      <c r="AV29" s="129"/>
      <c r="AW29" s="129" t="e">
        <f t="shared" si="15"/>
        <v>#DIV/0!</v>
      </c>
      <c r="AX29" s="129">
        <f t="shared" si="16"/>
        <v>0</v>
      </c>
      <c r="AY29" s="129"/>
      <c r="AZ29" s="129"/>
      <c r="BA29" s="129" t="e">
        <f t="shared" si="17"/>
        <v>#DIV/0!</v>
      </c>
      <c r="BB29" s="129">
        <f t="shared" si="18"/>
        <v>1</v>
      </c>
      <c r="BC29" s="129">
        <f t="shared" si="4"/>
        <v>0.83899610764976162</v>
      </c>
      <c r="BE29" t="e">
        <f t="shared" si="19"/>
        <v>#DIV/0!</v>
      </c>
      <c r="BF29">
        <f t="shared" si="20"/>
        <v>1</v>
      </c>
      <c r="BG29" s="129">
        <f t="shared" si="5"/>
        <v>0.96954448094526824</v>
      </c>
    </row>
    <row r="30" spans="1:59" x14ac:dyDescent="0.2">
      <c r="A30" s="133" t="s">
        <v>664</v>
      </c>
      <c r="B30" s="144">
        <f t="shared" si="6"/>
        <v>1969</v>
      </c>
      <c r="D30" s="4"/>
      <c r="E30" s="4"/>
      <c r="F30" s="4"/>
      <c r="H30" s="172"/>
      <c r="I30" s="4">
        <f>'Freight-based Activity'!C27</f>
        <v>469409.52380952385</v>
      </c>
      <c r="J30" s="4">
        <f t="shared" si="7"/>
        <v>469409.52380952385</v>
      </c>
      <c r="L30" s="4"/>
      <c r="M30" s="4"/>
      <c r="N30" s="4"/>
      <c r="P30" s="129"/>
      <c r="Q30" s="129"/>
      <c r="R30" s="129"/>
      <c r="T30" s="131">
        <f t="shared" si="21"/>
        <v>0.51628657595211469</v>
      </c>
      <c r="U30" s="131">
        <f t="shared" si="22"/>
        <v>0</v>
      </c>
      <c r="V30" s="131">
        <f t="shared" si="23"/>
        <v>0.96954448094526824</v>
      </c>
      <c r="W30" s="131">
        <f t="shared" si="24"/>
        <v>0.83899610764976162</v>
      </c>
      <c r="X30" s="131">
        <f t="shared" si="25"/>
        <v>0.41997024108638681</v>
      </c>
      <c r="Y30" s="131">
        <f t="shared" si="26"/>
        <v>0</v>
      </c>
      <c r="Z30" s="131"/>
      <c r="AA30" s="131">
        <f t="shared" si="27"/>
        <v>0.81344404570638851</v>
      </c>
      <c r="AD30" s="134"/>
      <c r="AF30" s="129" t="e">
        <f t="shared" si="0"/>
        <v>#DIV/0!</v>
      </c>
      <c r="AG30" s="129" t="e">
        <f t="shared" si="1"/>
        <v>#DIV/0!</v>
      </c>
      <c r="AH30" s="129"/>
      <c r="AI30" s="129" t="e">
        <f t="shared" si="8"/>
        <v>#DIV/0!</v>
      </c>
      <c r="AJ30" s="129" t="e">
        <f t="shared" si="9"/>
        <v>#DIV/0!</v>
      </c>
      <c r="AK30" s="129" t="e">
        <f t="shared" si="10"/>
        <v>#DIV/0!</v>
      </c>
      <c r="AL30" s="129"/>
      <c r="AM30" s="129" t="e">
        <f t="shared" si="11"/>
        <v>#DIV/0!</v>
      </c>
      <c r="AN30" s="129" t="e">
        <f t="shared" si="12"/>
        <v>#DIV/0!</v>
      </c>
      <c r="AO30" s="129"/>
      <c r="AP30" s="129"/>
      <c r="AQ30" s="129" t="e">
        <f t="shared" si="13"/>
        <v>#DIV/0!</v>
      </c>
      <c r="AR30" s="129" t="e">
        <f t="shared" si="14"/>
        <v>#DIV/0!</v>
      </c>
      <c r="AS30" s="129"/>
      <c r="AT30" s="129">
        <f t="shared" si="2"/>
        <v>0</v>
      </c>
      <c r="AU30" s="129">
        <f t="shared" si="3"/>
        <v>1</v>
      </c>
      <c r="AV30" s="129"/>
      <c r="AW30" s="129" t="e">
        <f t="shared" si="15"/>
        <v>#DIV/0!</v>
      </c>
      <c r="AX30" s="129">
        <f t="shared" si="16"/>
        <v>0</v>
      </c>
      <c r="AY30" s="129"/>
      <c r="AZ30" s="129"/>
      <c r="BA30" s="129" t="e">
        <f t="shared" si="17"/>
        <v>#DIV/0!</v>
      </c>
      <c r="BB30" s="129">
        <f t="shared" si="18"/>
        <v>1</v>
      </c>
      <c r="BC30" s="129">
        <f t="shared" si="4"/>
        <v>0.83899610764976162</v>
      </c>
      <c r="BE30" t="e">
        <f t="shared" si="19"/>
        <v>#DIV/0!</v>
      </c>
      <c r="BF30">
        <f t="shared" si="20"/>
        <v>1</v>
      </c>
      <c r="BG30" s="129">
        <f t="shared" si="5"/>
        <v>0.96954448094526824</v>
      </c>
    </row>
    <row r="31" spans="1:59" x14ac:dyDescent="0.2">
      <c r="A31" s="133" t="s">
        <v>664</v>
      </c>
      <c r="B31" s="144">
        <f t="shared" si="6"/>
        <v>1970</v>
      </c>
      <c r="D31" s="4">
        <f>'Freight-based Energy Use'!B28</f>
        <v>888.41333627186543</v>
      </c>
      <c r="E31" s="4">
        <f>'Freight-based Energy Use'!C28</f>
        <v>1091.7114201220106</v>
      </c>
      <c r="F31" s="4">
        <f t="shared" ref="F31:F41" si="28">D31+E31</f>
        <v>1980.1247563938759</v>
      </c>
      <c r="H31" s="411">
        <f>'Freight-based Activity'!B28*3</f>
        <v>119455.0481907158</v>
      </c>
      <c r="I31" s="4">
        <f>'Freight-based Activity'!C28</f>
        <v>478704.76190476195</v>
      </c>
      <c r="J31" s="4">
        <f t="shared" si="7"/>
        <v>598159.81009547773</v>
      </c>
      <c r="L31" s="4">
        <f t="shared" ref="L31:L36" si="29">D31/H31*1000000</f>
        <v>7437.2188511737932</v>
      </c>
      <c r="M31" s="4">
        <f t="shared" ref="M31:M36" si="30">E31/I31*1000000</f>
        <v>2280.5526641893025</v>
      </c>
      <c r="N31" s="4">
        <f t="shared" ref="N31:N36" si="31">F31/J31*1000000</f>
        <v>3310.3607480379032</v>
      </c>
      <c r="P31" s="129">
        <f t="shared" ref="P31:P62" si="32">L31/L$74</f>
        <v>0.90898065319827559</v>
      </c>
      <c r="Q31" s="129">
        <f t="shared" ref="Q31:Q62" si="33">M31/M$74</f>
        <v>0.78462208762695917</v>
      </c>
      <c r="R31" s="129">
        <f t="shared" ref="R31:R62" si="34">N31/N$74</f>
        <v>0.81344404570638873</v>
      </c>
      <c r="T31" s="131">
        <f t="shared" si="21"/>
        <v>0.65789436422187841</v>
      </c>
      <c r="U31" s="131">
        <f t="shared" si="22"/>
        <v>0.81344404570638873</v>
      </c>
      <c r="V31" s="131">
        <f t="shared" si="23"/>
        <v>0.96954448094526824</v>
      </c>
      <c r="W31" s="131">
        <f t="shared" si="24"/>
        <v>0.83899610764976162</v>
      </c>
      <c r="X31" s="131">
        <f t="shared" si="25"/>
        <v>0.5351602532800771</v>
      </c>
      <c r="Y31" s="131">
        <f t="shared" si="26"/>
        <v>0.53516025328007721</v>
      </c>
      <c r="Z31" s="131"/>
      <c r="AA31" s="131">
        <f t="shared" si="27"/>
        <v>0.81344404570638851</v>
      </c>
      <c r="AD31" s="134"/>
      <c r="AF31" s="129">
        <f t="shared" si="0"/>
        <v>0.44866533454680313</v>
      </c>
      <c r="AG31" s="129">
        <f t="shared" si="1"/>
        <v>0.55133466545319687</v>
      </c>
      <c r="AH31" s="129"/>
      <c r="AI31" s="129" t="e">
        <f t="shared" si="8"/>
        <v>#DIV/0!</v>
      </c>
      <c r="AJ31" s="129" t="e">
        <f t="shared" si="9"/>
        <v>#DIV/0!</v>
      </c>
      <c r="AK31" s="129" t="e">
        <f t="shared" si="10"/>
        <v>#DIV/0!</v>
      </c>
      <c r="AL31" s="129"/>
      <c r="AM31" s="129" t="e">
        <f t="shared" si="11"/>
        <v>#DIV/0!</v>
      </c>
      <c r="AN31" s="129" t="e">
        <f t="shared" si="12"/>
        <v>#DIV/0!</v>
      </c>
      <c r="AO31" s="129"/>
      <c r="AP31" s="129"/>
      <c r="AQ31" s="129" t="e">
        <f t="shared" si="13"/>
        <v>#DIV/0!</v>
      </c>
      <c r="AR31" s="129" t="e">
        <f t="shared" si="14"/>
        <v>#DIV/0!</v>
      </c>
      <c r="AS31" s="129"/>
      <c r="AT31" s="129">
        <f t="shared" si="2"/>
        <v>0.19970423651774347</v>
      </c>
      <c r="AU31" s="129">
        <f t="shared" si="3"/>
        <v>0.80029576348225662</v>
      </c>
      <c r="AV31" s="129"/>
      <c r="AW31" s="129" t="e">
        <f t="shared" si="15"/>
        <v>#DIV/0!</v>
      </c>
      <c r="AX31" s="129">
        <f t="shared" si="16"/>
        <v>-0.22277391528520402</v>
      </c>
      <c r="AY31" s="129"/>
      <c r="AZ31" s="129"/>
      <c r="BA31" s="129" t="e">
        <f t="shared" si="17"/>
        <v>#DIV/0!</v>
      </c>
      <c r="BB31" s="129">
        <f t="shared" si="18"/>
        <v>1</v>
      </c>
      <c r="BC31" s="129">
        <f t="shared" si="4"/>
        <v>0.83899610764976162</v>
      </c>
      <c r="BE31" t="e">
        <f t="shared" si="19"/>
        <v>#DIV/0!</v>
      </c>
      <c r="BF31">
        <f t="shared" si="20"/>
        <v>1</v>
      </c>
      <c r="BG31" s="129">
        <f t="shared" si="5"/>
        <v>0.96954448094526824</v>
      </c>
    </row>
    <row r="32" spans="1:59" x14ac:dyDescent="0.2">
      <c r="A32" s="133" t="s">
        <v>664</v>
      </c>
      <c r="B32" s="144">
        <f t="shared" si="6"/>
        <v>1971</v>
      </c>
      <c r="D32" s="4">
        <f>'Freight-based Energy Use'!B29</f>
        <v>944.11256533111998</v>
      </c>
      <c r="E32" s="4">
        <f>'Freight-based Energy Use'!C29</f>
        <v>1128.4351658847543</v>
      </c>
      <c r="F32" s="4">
        <f t="shared" si="28"/>
        <v>2072.5477312158741</v>
      </c>
      <c r="H32" s="411">
        <f>'Freight-based Activity'!B29*3</f>
        <v>127853.64542697452</v>
      </c>
      <c r="I32" s="4">
        <f>'Freight-based Activity'!C29</f>
        <v>517047.61904761911</v>
      </c>
      <c r="J32" s="4">
        <f t="shared" si="7"/>
        <v>644901.26447459357</v>
      </c>
      <c r="L32" s="4">
        <f t="shared" si="29"/>
        <v>7384.3226149571437</v>
      </c>
      <c r="M32" s="4">
        <f t="shared" si="30"/>
        <v>2182.4588767341902</v>
      </c>
      <c r="N32" s="4">
        <f t="shared" si="31"/>
        <v>3213.7442510744586</v>
      </c>
      <c r="P32" s="129">
        <f t="shared" si="32"/>
        <v>0.90251564842833376</v>
      </c>
      <c r="Q32" s="129">
        <f t="shared" si="33"/>
        <v>0.7508730085090578</v>
      </c>
      <c r="R32" s="129">
        <f t="shared" si="34"/>
        <v>0.78970279206250538</v>
      </c>
      <c r="T32" s="131">
        <f t="shared" si="21"/>
        <v>0.70930360117252855</v>
      </c>
      <c r="U32" s="131">
        <f t="shared" si="22"/>
        <v>0.78970279206250538</v>
      </c>
      <c r="V32" s="131">
        <f t="shared" si="23"/>
        <v>0.96731262750103453</v>
      </c>
      <c r="W32" s="131">
        <f t="shared" si="24"/>
        <v>0.81638838324961338</v>
      </c>
      <c r="X32" s="131">
        <f t="shared" si="25"/>
        <v>0.56013903426593536</v>
      </c>
      <c r="Y32" s="131">
        <f t="shared" si="26"/>
        <v>0.56013903426593559</v>
      </c>
      <c r="Z32" s="131"/>
      <c r="AA32" s="131">
        <f t="shared" si="27"/>
        <v>0.78970279206250504</v>
      </c>
      <c r="AD32" s="134"/>
      <c r="AF32" s="129">
        <f t="shared" si="0"/>
        <v>0.45553236295178107</v>
      </c>
      <c r="AG32" s="129">
        <f t="shared" si="1"/>
        <v>0.54446763704821899</v>
      </c>
      <c r="AH32" s="129"/>
      <c r="AI32" s="129">
        <f t="shared" si="8"/>
        <v>0.45209015654909296</v>
      </c>
      <c r="AJ32" s="129">
        <f t="shared" si="9"/>
        <v>0.54789397894525593</v>
      </c>
      <c r="AK32" s="129">
        <f t="shared" si="10"/>
        <v>0.99998413549434884</v>
      </c>
      <c r="AL32" s="129"/>
      <c r="AM32" s="129">
        <f t="shared" si="11"/>
        <v>0.45209732884972137</v>
      </c>
      <c r="AN32" s="129">
        <f t="shared" si="12"/>
        <v>0.54790267115027869</v>
      </c>
      <c r="AO32" s="129"/>
      <c r="AP32" s="129"/>
      <c r="AQ32" s="129">
        <f t="shared" si="13"/>
        <v>-7.1377813052409152E-3</v>
      </c>
      <c r="AR32" s="129">
        <f t="shared" si="14"/>
        <v>-4.3965643888484722E-2</v>
      </c>
      <c r="AS32" s="129"/>
      <c r="AT32" s="129">
        <f t="shared" si="2"/>
        <v>0.19825305433559345</v>
      </c>
      <c r="AU32" s="129">
        <f t="shared" si="3"/>
        <v>0.80174694566440663</v>
      </c>
      <c r="AV32" s="129"/>
      <c r="AW32" s="129">
        <f t="shared" si="15"/>
        <v>-7.2931877260927463E-3</v>
      </c>
      <c r="AX32" s="129">
        <f t="shared" si="16"/>
        <v>1.8116652830523763E-3</v>
      </c>
      <c r="AY32" s="129"/>
      <c r="AZ32" s="129"/>
      <c r="BA32" s="129">
        <f t="shared" si="17"/>
        <v>0.97305383875560736</v>
      </c>
      <c r="BB32" s="129">
        <f t="shared" si="18"/>
        <v>0.97305383875560736</v>
      </c>
      <c r="BC32" s="129">
        <f t="shared" si="4"/>
        <v>0.81638838324961338</v>
      </c>
      <c r="BE32">
        <f t="shared" si="19"/>
        <v>0.99769803914302335</v>
      </c>
      <c r="BF32">
        <f t="shared" si="20"/>
        <v>0.99769803914302335</v>
      </c>
      <c r="BG32" s="129">
        <f t="shared" si="5"/>
        <v>0.96731262750103453</v>
      </c>
    </row>
    <row r="33" spans="1:59" x14ac:dyDescent="0.2">
      <c r="A33" s="133" t="s">
        <v>664</v>
      </c>
      <c r="B33" s="144">
        <f t="shared" si="6"/>
        <v>1972</v>
      </c>
      <c r="D33" s="4">
        <f>'Freight-based Energy Use'!B30</f>
        <v>1084.4855437838196</v>
      </c>
      <c r="E33" s="4">
        <f>'Freight-based Energy Use'!C30</f>
        <v>1206.4321378148177</v>
      </c>
      <c r="F33" s="4">
        <f t="shared" si="28"/>
        <v>2290.9176815986375</v>
      </c>
      <c r="H33" s="411">
        <f>'Freight-based Activity'!B30*3</f>
        <v>138568.03234234871</v>
      </c>
      <c r="I33" s="4">
        <f>'Freight-based Activity'!C30</f>
        <v>546095.23809523811</v>
      </c>
      <c r="J33" s="4">
        <f t="shared" si="7"/>
        <v>684663.27043758682</v>
      </c>
      <c r="L33" s="4">
        <f t="shared" si="29"/>
        <v>7826.3761522171999</v>
      </c>
      <c r="M33" s="4">
        <f t="shared" si="30"/>
        <v>2209.1973224721983</v>
      </c>
      <c r="N33" s="4">
        <f t="shared" si="31"/>
        <v>3346.0502125876415</v>
      </c>
      <c r="P33" s="129">
        <f t="shared" si="32"/>
        <v>0.95654365554874221</v>
      </c>
      <c r="Q33" s="129">
        <f t="shared" si="33"/>
        <v>0.76007234665383772</v>
      </c>
      <c r="R33" s="129">
        <f t="shared" si="34"/>
        <v>0.82221390030596408</v>
      </c>
      <c r="T33" s="131">
        <f t="shared" si="21"/>
        <v>0.75303639497061825</v>
      </c>
      <c r="U33" s="131">
        <f t="shared" si="22"/>
        <v>0.82221390030596408</v>
      </c>
      <c r="V33" s="131">
        <f t="shared" si="23"/>
        <v>0.97393139892633795</v>
      </c>
      <c r="W33" s="131">
        <f t="shared" si="24"/>
        <v>0.84422157578282475</v>
      </c>
      <c r="X33" s="131">
        <f t="shared" si="25"/>
        <v>0.61915699138113445</v>
      </c>
      <c r="Y33" s="131">
        <f t="shared" si="26"/>
        <v>0.61915699138113456</v>
      </c>
      <c r="Z33" s="131"/>
      <c r="AA33" s="131">
        <f t="shared" si="27"/>
        <v>0.82221390030596397</v>
      </c>
      <c r="AD33" s="134"/>
      <c r="AF33" s="129">
        <f t="shared" si="0"/>
        <v>0.47338477174223431</v>
      </c>
      <c r="AG33" s="129">
        <f t="shared" si="1"/>
        <v>0.52661522825776563</v>
      </c>
      <c r="AH33" s="129"/>
      <c r="AI33" s="129">
        <f t="shared" si="8"/>
        <v>0.46440137891319166</v>
      </c>
      <c r="AJ33" s="129">
        <f t="shared" si="9"/>
        <v>0.53549183609917705</v>
      </c>
      <c r="AK33" s="129">
        <f t="shared" si="10"/>
        <v>0.99989321501236872</v>
      </c>
      <c r="AL33" s="129"/>
      <c r="AM33" s="129">
        <f t="shared" si="11"/>
        <v>0.46445097530484492</v>
      </c>
      <c r="AN33" s="129">
        <f t="shared" si="12"/>
        <v>0.53554902469515508</v>
      </c>
      <c r="AO33" s="129"/>
      <c r="AP33" s="129"/>
      <c r="AQ33" s="129">
        <f t="shared" si="13"/>
        <v>5.8140399732471863E-2</v>
      </c>
      <c r="AR33" s="129">
        <f t="shared" si="14"/>
        <v>1.2177080775573033E-2</v>
      </c>
      <c r="AS33" s="129"/>
      <c r="AT33" s="129">
        <f t="shared" si="2"/>
        <v>0.20238858768309001</v>
      </c>
      <c r="AU33" s="129">
        <f t="shared" si="3"/>
        <v>0.79761141231691002</v>
      </c>
      <c r="AV33" s="129"/>
      <c r="AW33" s="129">
        <f t="shared" si="15"/>
        <v>2.0645283977661025E-2</v>
      </c>
      <c r="AX33" s="129">
        <f t="shared" si="16"/>
        <v>-5.1715021136191554E-3</v>
      </c>
      <c r="AY33" s="129"/>
      <c r="AZ33" s="129"/>
      <c r="BA33" s="129">
        <f t="shared" si="17"/>
        <v>1.0340930776383932</v>
      </c>
      <c r="BB33" s="129">
        <f t="shared" si="18"/>
        <v>1.0062282388266388</v>
      </c>
      <c r="BC33" s="129">
        <f t="shared" si="4"/>
        <v>0.84422157578282475</v>
      </c>
      <c r="BE33">
        <f t="shared" si="19"/>
        <v>1.0068424325674341</v>
      </c>
      <c r="BF33">
        <f t="shared" si="20"/>
        <v>1.0045247206985208</v>
      </c>
      <c r="BG33" s="129">
        <f t="shared" si="5"/>
        <v>0.97393139892633795</v>
      </c>
    </row>
    <row r="34" spans="1:59" x14ac:dyDescent="0.2">
      <c r="A34" s="133" t="s">
        <v>664</v>
      </c>
      <c r="B34" s="144">
        <f t="shared" si="6"/>
        <v>1973</v>
      </c>
      <c r="D34" s="4">
        <f>'Freight-based Energy Use'!B31</f>
        <v>1185.1784046890607</v>
      </c>
      <c r="E34" s="4">
        <f>'Freight-based Energy Use'!C31</f>
        <v>1341.0011356489667</v>
      </c>
      <c r="F34" s="4">
        <f t="shared" si="28"/>
        <v>2526.1795403380274</v>
      </c>
      <c r="H34" s="411">
        <f>'Freight-based Activity'!B31*3</f>
        <v>148479.61216896289</v>
      </c>
      <c r="I34" s="4">
        <f>'Freight-based Activity'!C31</f>
        <v>586761.90476190485</v>
      </c>
      <c r="J34" s="4">
        <f t="shared" si="7"/>
        <v>735241.51693086769</v>
      </c>
      <c r="L34" s="4">
        <f t="shared" si="29"/>
        <v>7982.0952343301042</v>
      </c>
      <c r="M34" s="4">
        <f t="shared" si="30"/>
        <v>2285.4263795348397</v>
      </c>
      <c r="N34" s="4">
        <f t="shared" si="31"/>
        <v>3435.8499651694124</v>
      </c>
      <c r="P34" s="129">
        <f t="shared" si="32"/>
        <v>0.9755757205997907</v>
      </c>
      <c r="Q34" s="129">
        <f t="shared" si="33"/>
        <v>0.78629888499672052</v>
      </c>
      <c r="R34" s="129">
        <f t="shared" si="34"/>
        <v>0.84428009780025359</v>
      </c>
      <c r="T34" s="131">
        <f t="shared" si="21"/>
        <v>0.8086655809482638</v>
      </c>
      <c r="U34" s="131">
        <f t="shared" si="22"/>
        <v>0.84428009780025359</v>
      </c>
      <c r="V34" s="131">
        <f t="shared" si="23"/>
        <v>0.97321367446479956</v>
      </c>
      <c r="W34" s="131">
        <f t="shared" si="24"/>
        <v>0.86751770957652163</v>
      </c>
      <c r="X34" s="131">
        <f t="shared" si="25"/>
        <v>0.68274025577069897</v>
      </c>
      <c r="Y34" s="131">
        <f t="shared" si="26"/>
        <v>0.68274025577069897</v>
      </c>
      <c r="Z34" s="131"/>
      <c r="AA34" s="131">
        <f t="shared" si="27"/>
        <v>0.84428009780025348</v>
      </c>
      <c r="AD34" s="134"/>
      <c r="AF34" s="129">
        <f t="shared" si="0"/>
        <v>0.46915842115104467</v>
      </c>
      <c r="AG34" s="129">
        <f t="shared" si="1"/>
        <v>0.53084157884895533</v>
      </c>
      <c r="AH34" s="129"/>
      <c r="AI34" s="129">
        <f t="shared" si="8"/>
        <v>0.47126843794680795</v>
      </c>
      <c r="AJ34" s="129">
        <f t="shared" si="9"/>
        <v>0.52872558829016603</v>
      </c>
      <c r="AK34" s="129">
        <f t="shared" si="10"/>
        <v>0.99999402623697398</v>
      </c>
      <c r="AL34" s="129"/>
      <c r="AM34" s="129">
        <f t="shared" si="11"/>
        <v>0.47127125320959562</v>
      </c>
      <c r="AN34" s="129">
        <f t="shared" si="12"/>
        <v>0.52872874679040438</v>
      </c>
      <c r="AO34" s="129"/>
      <c r="AP34" s="129"/>
      <c r="AQ34" s="129">
        <f t="shared" si="13"/>
        <v>1.9701350630054175E-2</v>
      </c>
      <c r="AR34" s="129">
        <f t="shared" si="14"/>
        <v>3.3923359243075046E-2</v>
      </c>
      <c r="AS34" s="129"/>
      <c r="AT34" s="129">
        <f t="shared" si="2"/>
        <v>0.20194671920699486</v>
      </c>
      <c r="AU34" s="129">
        <f t="shared" si="3"/>
        <v>0.79805328079300519</v>
      </c>
      <c r="AV34" s="129"/>
      <c r="AW34" s="129">
        <f t="shared" si="15"/>
        <v>-2.1856545518984202E-3</v>
      </c>
      <c r="AX34" s="129">
        <f t="shared" si="16"/>
        <v>5.5383626559863005E-4</v>
      </c>
      <c r="AY34" s="129"/>
      <c r="AZ34" s="129"/>
      <c r="BA34" s="129">
        <f t="shared" si="17"/>
        <v>1.0275948097773917</v>
      </c>
      <c r="BB34" s="129">
        <f t="shared" si="18"/>
        <v>1.0339949156696997</v>
      </c>
      <c r="BC34" s="129">
        <f t="shared" si="4"/>
        <v>0.86751770957652163</v>
      </c>
      <c r="BE34">
        <f t="shared" si="19"/>
        <v>0.99926306466520165</v>
      </c>
      <c r="BF34">
        <f t="shared" si="20"/>
        <v>1.0037844509371596</v>
      </c>
      <c r="BG34" s="129">
        <f t="shared" si="5"/>
        <v>0.97321367446479956</v>
      </c>
    </row>
    <row r="35" spans="1:59" x14ac:dyDescent="0.2">
      <c r="A35" s="133" t="s">
        <v>664</v>
      </c>
      <c r="B35" s="144">
        <f t="shared" si="6"/>
        <v>1974</v>
      </c>
      <c r="D35" s="4">
        <f>'Freight-based Energy Use'!B32</f>
        <v>1177.7321336461489</v>
      </c>
      <c r="E35" s="4">
        <f>'Freight-based Energy Use'!C32</f>
        <v>1349.1035003181526</v>
      </c>
      <c r="F35" s="4">
        <f t="shared" si="28"/>
        <v>2526.8356339643015</v>
      </c>
      <c r="H35" s="411">
        <f>'Freight-based Activity'!B32*3</f>
        <v>147509.18601771453</v>
      </c>
      <c r="I35" s="4">
        <f>'Freight-based Activity'!C32</f>
        <v>575142.85714285716</v>
      </c>
      <c r="J35" s="4">
        <f t="shared" si="7"/>
        <v>722652.04316057172</v>
      </c>
      <c r="L35" s="4">
        <f t="shared" si="29"/>
        <v>7984.1273987147752</v>
      </c>
      <c r="M35" s="4">
        <f t="shared" si="30"/>
        <v>2345.6841783971854</v>
      </c>
      <c r="N35" s="4">
        <f t="shared" si="31"/>
        <v>3496.6145296054247</v>
      </c>
      <c r="P35" s="129">
        <f t="shared" si="32"/>
        <v>0.97582409275970006</v>
      </c>
      <c r="Q35" s="129">
        <f t="shared" si="33"/>
        <v>0.80703052635786665</v>
      </c>
      <c r="R35" s="129">
        <f t="shared" si="34"/>
        <v>0.85921157412340465</v>
      </c>
      <c r="T35" s="131">
        <f t="shared" si="21"/>
        <v>0.79481887359312597</v>
      </c>
      <c r="U35" s="131">
        <f t="shared" si="22"/>
        <v>0.85921157412340465</v>
      </c>
      <c r="V35" s="131">
        <f t="shared" si="23"/>
        <v>0.97668157739147388</v>
      </c>
      <c r="W35" s="131">
        <f t="shared" si="24"/>
        <v>0.8797253823689305</v>
      </c>
      <c r="X35" s="131">
        <f t="shared" si="25"/>
        <v>0.68291757552294108</v>
      </c>
      <c r="Y35" s="131">
        <f t="shared" si="26"/>
        <v>0.68291757552294108</v>
      </c>
      <c r="Z35" s="131"/>
      <c r="AA35" s="131">
        <f t="shared" si="27"/>
        <v>0.85921157412340454</v>
      </c>
      <c r="AD35" s="134"/>
      <c r="AF35" s="129">
        <f t="shared" si="0"/>
        <v>0.4660897281230868</v>
      </c>
      <c r="AG35" s="129">
        <f t="shared" si="1"/>
        <v>0.5339102718769132</v>
      </c>
      <c r="AH35" s="129"/>
      <c r="AI35" s="129">
        <f t="shared" si="8"/>
        <v>0.46762239648994802</v>
      </c>
      <c r="AJ35" s="129">
        <f t="shared" si="9"/>
        <v>0.53237445132655525</v>
      </c>
      <c r="AK35" s="129">
        <f t="shared" si="10"/>
        <v>0.99999684781650333</v>
      </c>
      <c r="AL35" s="129"/>
      <c r="AM35" s="129">
        <f t="shared" si="11"/>
        <v>0.46762387052619536</v>
      </c>
      <c r="AN35" s="129">
        <f t="shared" si="12"/>
        <v>0.53237612947380464</v>
      </c>
      <c r="AO35" s="129"/>
      <c r="AP35" s="129"/>
      <c r="AQ35" s="129">
        <f t="shared" si="13"/>
        <v>2.5455794302133375E-4</v>
      </c>
      <c r="AR35" s="129">
        <f t="shared" si="14"/>
        <v>2.6024513557483437E-2</v>
      </c>
      <c r="AS35" s="129"/>
      <c r="AT35" s="129">
        <f t="shared" si="2"/>
        <v>0.20412200783737119</v>
      </c>
      <c r="AU35" s="129">
        <f t="shared" si="3"/>
        <v>0.79587799216262878</v>
      </c>
      <c r="AV35" s="129"/>
      <c r="AW35" s="129">
        <f t="shared" si="15"/>
        <v>1.0713996394488922E-2</v>
      </c>
      <c r="AX35" s="129">
        <f t="shared" si="16"/>
        <v>-2.7294652131778976E-3</v>
      </c>
      <c r="AY35" s="129"/>
      <c r="AZ35" s="129"/>
      <c r="BA35" s="129">
        <f t="shared" si="17"/>
        <v>1.0140719580218922</v>
      </c>
      <c r="BB35" s="129">
        <f t="shared" si="18"/>
        <v>1.0485452487178537</v>
      </c>
      <c r="BC35" s="129">
        <f t="shared" si="4"/>
        <v>0.8797253823689305</v>
      </c>
      <c r="BE35">
        <f t="shared" si="19"/>
        <v>1.0035633520342606</v>
      </c>
      <c r="BF35">
        <f t="shared" si="20"/>
        <v>1.0073612883023657</v>
      </c>
      <c r="BG35" s="129">
        <f t="shared" si="5"/>
        <v>0.97668157739147388</v>
      </c>
    </row>
    <row r="36" spans="1:59" x14ac:dyDescent="0.2">
      <c r="A36" s="133" t="s">
        <v>664</v>
      </c>
      <c r="B36" s="144">
        <f t="shared" si="6"/>
        <v>1975</v>
      </c>
      <c r="D36" s="4">
        <f>'Freight-based Energy Use'!B33</f>
        <v>1213.5022004674915</v>
      </c>
      <c r="E36" s="4">
        <f>'Freight-based Energy Use'!C33</f>
        <v>1363.5330429708815</v>
      </c>
      <c r="F36" s="4">
        <f t="shared" si="28"/>
        <v>2577.0352434383731</v>
      </c>
      <c r="H36" s="411">
        <f>'Freight-based Activity'!B33*3</f>
        <v>152648.03359137074</v>
      </c>
      <c r="I36" s="4">
        <f>'Freight-based Activity'!C33</f>
        <v>527504.76190476189</v>
      </c>
      <c r="J36" s="4">
        <f t="shared" si="7"/>
        <v>680152.79549613269</v>
      </c>
      <c r="L36" s="4">
        <f t="shared" si="29"/>
        <v>7949.674633319949</v>
      </c>
      <c r="M36" s="4">
        <f t="shared" si="30"/>
        <v>2584.8734294782726</v>
      </c>
      <c r="N36" s="4">
        <f t="shared" si="31"/>
        <v>3788.9063464902365</v>
      </c>
      <c r="P36" s="129">
        <f t="shared" si="32"/>
        <v>0.97161325833089562</v>
      </c>
      <c r="Q36" s="129">
        <f t="shared" si="33"/>
        <v>0.8893233725035119</v>
      </c>
      <c r="R36" s="129">
        <f t="shared" si="34"/>
        <v>0.93103547977917878</v>
      </c>
      <c r="T36" s="131">
        <f t="shared" si="21"/>
        <v>0.74807548654135914</v>
      </c>
      <c r="U36" s="131">
        <f t="shared" si="22"/>
        <v>0.93103547977917878</v>
      </c>
      <c r="V36" s="131">
        <f t="shared" si="23"/>
        <v>1.0071295331264751</v>
      </c>
      <c r="W36" s="131">
        <f t="shared" si="24"/>
        <v>0.92444462122853799</v>
      </c>
      <c r="X36" s="131">
        <f t="shared" si="25"/>
        <v>0.69648481952307673</v>
      </c>
      <c r="Y36" s="131">
        <f t="shared" si="26"/>
        <v>0.69648481952307684</v>
      </c>
      <c r="Z36" s="131"/>
      <c r="AA36" s="131">
        <f t="shared" si="27"/>
        <v>0.93103547977917855</v>
      </c>
      <c r="AD36" s="134"/>
      <c r="AF36" s="129">
        <f t="shared" si="0"/>
        <v>0.47089080506652026</v>
      </c>
      <c r="AG36" s="129">
        <f t="shared" si="1"/>
        <v>0.52910919493347974</v>
      </c>
      <c r="AH36" s="129"/>
      <c r="AI36" s="129">
        <f t="shared" si="8"/>
        <v>0.46848616645604307</v>
      </c>
      <c r="AJ36" s="129">
        <f t="shared" si="9"/>
        <v>0.53150611941286763</v>
      </c>
      <c r="AK36" s="129">
        <f t="shared" si="10"/>
        <v>0.99999228586891076</v>
      </c>
      <c r="AL36" s="129"/>
      <c r="AM36" s="129">
        <f t="shared" si="11"/>
        <v>0.46848978044762341</v>
      </c>
      <c r="AN36" s="129">
        <f t="shared" si="12"/>
        <v>0.53151021955237654</v>
      </c>
      <c r="AO36" s="129"/>
      <c r="AP36" s="129"/>
      <c r="AQ36" s="129">
        <f t="shared" si="13"/>
        <v>-4.3244944324060484E-3</v>
      </c>
      <c r="AR36" s="129">
        <f t="shared" si="14"/>
        <v>9.7099423455349845E-2</v>
      </c>
      <c r="AS36" s="129"/>
      <c r="AT36" s="129">
        <f t="shared" si="2"/>
        <v>0.22443197264229828</v>
      </c>
      <c r="AU36" s="129">
        <f t="shared" si="3"/>
        <v>0.77556802735770169</v>
      </c>
      <c r="AV36" s="129"/>
      <c r="AW36" s="129">
        <f t="shared" si="15"/>
        <v>9.4854751378560309E-2</v>
      </c>
      <c r="AX36" s="129">
        <f t="shared" si="16"/>
        <v>-2.5850198507642488E-2</v>
      </c>
      <c r="AY36" s="129"/>
      <c r="AZ36" s="129"/>
      <c r="BA36" s="129">
        <f t="shared" si="17"/>
        <v>1.0508331801671873</v>
      </c>
      <c r="BB36" s="129">
        <f t="shared" si="18"/>
        <v>1.1018461382593765</v>
      </c>
      <c r="BC36" s="129">
        <f t="shared" si="4"/>
        <v>0.92444462122853799</v>
      </c>
      <c r="BE36">
        <f t="shared" si="19"/>
        <v>1.0311749053527985</v>
      </c>
      <c r="BF36">
        <f t="shared" si="20"/>
        <v>1.0387656811212651</v>
      </c>
      <c r="BG36" s="129">
        <f t="shared" si="5"/>
        <v>1.0071295331264751</v>
      </c>
    </row>
    <row r="37" spans="1:59" x14ac:dyDescent="0.2">
      <c r="A37" s="133" t="s">
        <v>664</v>
      </c>
      <c r="B37" s="144">
        <f t="shared" si="6"/>
        <v>1976</v>
      </c>
      <c r="D37" s="4">
        <f>'Freight-based Energy Use'!B34</f>
        <v>1277.3699193517632</v>
      </c>
      <c r="E37" s="4">
        <f>'Freight-based Energy Use'!C34</f>
        <v>1441.5404172230378</v>
      </c>
      <c r="F37" s="4">
        <f t="shared" si="28"/>
        <v>2718.910336574801</v>
      </c>
      <c r="H37" s="411">
        <f>'Freight-based Activity'!B34*3</f>
        <v>160517.30747240307</v>
      </c>
      <c r="I37" s="4">
        <f>'Freight-based Activity'!C34</f>
        <v>592571.42857142864</v>
      </c>
      <c r="J37" s="4">
        <f t="shared" si="7"/>
        <v>753088.73604383168</v>
      </c>
      <c r="L37" s="4">
        <f t="shared" ref="L37:N41" si="35">D37/H37*1000000</f>
        <v>7957.8329556230246</v>
      </c>
      <c r="M37" s="4">
        <f t="shared" si="35"/>
        <v>2432.6863357187231</v>
      </c>
      <c r="N37" s="4">
        <f t="shared" si="35"/>
        <v>3610.3452441181557</v>
      </c>
      <c r="P37" s="129">
        <f t="shared" si="32"/>
        <v>0.97261037261305516</v>
      </c>
      <c r="Q37" s="129">
        <f t="shared" si="33"/>
        <v>0.83696354013018426</v>
      </c>
      <c r="R37" s="129">
        <f t="shared" si="34"/>
        <v>0.88715824808911914</v>
      </c>
      <c r="T37" s="131">
        <f t="shared" si="21"/>
        <v>0.82829509244884059</v>
      </c>
      <c r="U37" s="131">
        <f t="shared" si="22"/>
        <v>0.88715824808911914</v>
      </c>
      <c r="V37" s="131">
        <f t="shared" si="23"/>
        <v>0.9905322538867235</v>
      </c>
      <c r="W37" s="131">
        <f t="shared" si="24"/>
        <v>0.89563792053012126</v>
      </c>
      <c r="X37" s="131">
        <f t="shared" si="25"/>
        <v>0.73482882311772835</v>
      </c>
      <c r="Y37" s="131">
        <f t="shared" si="26"/>
        <v>0.73482882311772835</v>
      </c>
      <c r="Z37" s="131"/>
      <c r="AA37" s="131">
        <f t="shared" si="27"/>
        <v>0.88715824808911914</v>
      </c>
      <c r="AD37" s="134"/>
      <c r="AF37" s="129">
        <f t="shared" si="0"/>
        <v>0.46980950499491436</v>
      </c>
      <c r="AG37" s="129">
        <f t="shared" si="1"/>
        <v>0.53019049500508564</v>
      </c>
      <c r="AH37" s="129"/>
      <c r="AI37" s="129">
        <f t="shared" si="8"/>
        <v>0.47034994787826789</v>
      </c>
      <c r="AJ37" s="129">
        <f t="shared" si="9"/>
        <v>0.52964966100964761</v>
      </c>
      <c r="AK37" s="129">
        <f t="shared" si="10"/>
        <v>0.9999996088879155</v>
      </c>
      <c r="AL37" s="129"/>
      <c r="AM37" s="129">
        <f t="shared" si="11"/>
        <v>0.47035013183788837</v>
      </c>
      <c r="AN37" s="129">
        <f t="shared" si="12"/>
        <v>0.52964986816211157</v>
      </c>
      <c r="AO37" s="129"/>
      <c r="AP37" s="129"/>
      <c r="AQ37" s="129">
        <f t="shared" si="13"/>
        <v>1.0257198335745148E-3</v>
      </c>
      <c r="AR37" s="129">
        <f t="shared" si="14"/>
        <v>-6.0680408609586123E-2</v>
      </c>
      <c r="AS37" s="129"/>
      <c r="AT37" s="129">
        <f t="shared" si="2"/>
        <v>0.21314527729579608</v>
      </c>
      <c r="AU37" s="129">
        <f t="shared" si="3"/>
        <v>0.78685472270420398</v>
      </c>
      <c r="AV37" s="129"/>
      <c r="AW37" s="129">
        <f t="shared" si="15"/>
        <v>-5.1598657830928082E-2</v>
      </c>
      <c r="AX37" s="129">
        <f t="shared" si="16"/>
        <v>1.444793565648388E-2</v>
      </c>
      <c r="AY37" s="129"/>
      <c r="AZ37" s="129"/>
      <c r="BA37" s="129">
        <f t="shared" si="17"/>
        <v>0.96883891145352308</v>
      </c>
      <c r="BB37" s="129">
        <f t="shared" si="18"/>
        <v>1.0675114131804824</v>
      </c>
      <c r="BC37" s="129">
        <f t="shared" si="4"/>
        <v>0.89563792053012126</v>
      </c>
      <c r="BE37">
        <f t="shared" si="19"/>
        <v>0.98352021394087419</v>
      </c>
      <c r="BF37">
        <f t="shared" si="20"/>
        <v>1.0216470449308246</v>
      </c>
      <c r="BG37" s="129">
        <f t="shared" si="5"/>
        <v>0.9905322538867235</v>
      </c>
    </row>
    <row r="38" spans="1:59" x14ac:dyDescent="0.2">
      <c r="A38" s="133" t="s">
        <v>664</v>
      </c>
      <c r="B38" s="144">
        <f t="shared" si="6"/>
        <v>1977</v>
      </c>
      <c r="D38" s="4">
        <f>'Freight-based Energy Use'!B35</f>
        <v>1403.1762415241894</v>
      </c>
      <c r="E38" s="4">
        <f>'Freight-based Energy Use'!C35</f>
        <v>1606.7128882120765</v>
      </c>
      <c r="F38" s="4">
        <f t="shared" si="28"/>
        <v>3009.8891297362661</v>
      </c>
      <c r="H38" s="411">
        <f>'Freight-based Activity'!B35*3</f>
        <v>173525.42892709165</v>
      </c>
      <c r="I38" s="4">
        <f>'Freight-based Activity'!C35</f>
        <v>644857.14285714296</v>
      </c>
      <c r="J38" s="4">
        <f t="shared" si="7"/>
        <v>818382.57178423461</v>
      </c>
      <c r="L38" s="4">
        <f t="shared" si="35"/>
        <v>8086.2859708806554</v>
      </c>
      <c r="M38" s="4">
        <f t="shared" si="35"/>
        <v>2491.5795785300247</v>
      </c>
      <c r="N38" s="4">
        <f t="shared" si="35"/>
        <v>3677.8509629965811</v>
      </c>
      <c r="P38" s="129">
        <f t="shared" si="32"/>
        <v>0.98830996516918135</v>
      </c>
      <c r="Q38" s="129">
        <f t="shared" si="33"/>
        <v>0.85722570721245661</v>
      </c>
      <c r="R38" s="129">
        <f t="shared" si="34"/>
        <v>0.90374620609500467</v>
      </c>
      <c r="T38" s="131">
        <f t="shared" si="21"/>
        <v>0.90010942338020727</v>
      </c>
      <c r="U38" s="131">
        <f t="shared" si="22"/>
        <v>0.90374620609500467</v>
      </c>
      <c r="V38" s="131">
        <f t="shared" si="23"/>
        <v>0.9888550780046661</v>
      </c>
      <c r="W38" s="131">
        <f t="shared" si="24"/>
        <v>0.91393190589525397</v>
      </c>
      <c r="X38" s="131">
        <f t="shared" si="25"/>
        <v>0.81347047645022452</v>
      </c>
      <c r="Y38" s="131">
        <f t="shared" si="26"/>
        <v>0.81347047645022463</v>
      </c>
      <c r="Z38" s="131"/>
      <c r="AA38" s="131">
        <f t="shared" si="27"/>
        <v>0.90374620609500456</v>
      </c>
      <c r="AD38" s="134"/>
      <c r="AF38" s="129">
        <f t="shared" si="0"/>
        <v>0.46618868039406464</v>
      </c>
      <c r="AG38" s="129">
        <f t="shared" si="1"/>
        <v>0.53381131960593531</v>
      </c>
      <c r="AH38" s="129"/>
      <c r="AI38" s="129">
        <f t="shared" si="8"/>
        <v>0.46799675821291425</v>
      </c>
      <c r="AJ38" s="129">
        <f t="shared" si="9"/>
        <v>0.53199885367316835</v>
      </c>
      <c r="AK38" s="129">
        <f t="shared" si="10"/>
        <v>0.99999561188608266</v>
      </c>
      <c r="AL38" s="129"/>
      <c r="AM38" s="129">
        <f t="shared" si="11"/>
        <v>0.4679988118450138</v>
      </c>
      <c r="AN38" s="129">
        <f t="shared" si="12"/>
        <v>0.53200118815498609</v>
      </c>
      <c r="AO38" s="129"/>
      <c r="AP38" s="129"/>
      <c r="AQ38" s="129">
        <f t="shared" si="13"/>
        <v>1.6012815731048995E-2</v>
      </c>
      <c r="AR38" s="129">
        <f t="shared" si="14"/>
        <v>2.3920743536575969E-2</v>
      </c>
      <c r="AS38" s="129"/>
      <c r="AT38" s="129">
        <f t="shared" si="2"/>
        <v>0.21203460937440563</v>
      </c>
      <c r="AU38" s="129">
        <f t="shared" si="3"/>
        <v>0.78796539062559434</v>
      </c>
      <c r="AV38" s="129"/>
      <c r="AW38" s="129">
        <f t="shared" si="15"/>
        <v>-5.2244731349138885E-3</v>
      </c>
      <c r="AX38" s="129">
        <f t="shared" si="16"/>
        <v>1.4105332998206493E-3</v>
      </c>
      <c r="AY38" s="129"/>
      <c r="AZ38" s="129"/>
      <c r="BA38" s="129">
        <f t="shared" si="17"/>
        <v>1.0204256485191077</v>
      </c>
      <c r="BB38" s="129">
        <f t="shared" si="18"/>
        <v>1.0893160260962429</v>
      </c>
      <c r="BC38" s="129">
        <f t="shared" si="4"/>
        <v>0.91393190589525397</v>
      </c>
      <c r="BE38">
        <f t="shared" si="19"/>
        <v>0.9983067932664722</v>
      </c>
      <c r="BF38">
        <f t="shared" si="20"/>
        <v>1.019917185275059</v>
      </c>
      <c r="BG38" s="129">
        <f t="shared" si="5"/>
        <v>0.9888550780046661</v>
      </c>
    </row>
    <row r="39" spans="1:59" x14ac:dyDescent="0.2">
      <c r="A39" s="133" t="s">
        <v>664</v>
      </c>
      <c r="B39" s="144">
        <f t="shared" si="6"/>
        <v>1978</v>
      </c>
      <c r="D39" s="4">
        <f>'Freight-based Energy Use'!B36</f>
        <v>1547.4335591194676</v>
      </c>
      <c r="E39" s="4">
        <f>'Freight-based Energy Use'!C36</f>
        <v>1796.1783440906092</v>
      </c>
      <c r="F39" s="4">
        <f t="shared" si="28"/>
        <v>3343.6119032100769</v>
      </c>
      <c r="H39" s="411">
        <f>'Freight-based Activity'!B36*3</f>
        <v>188558.21221552114</v>
      </c>
      <c r="I39" s="4">
        <f>'Freight-based Activity'!C36</f>
        <v>695980.95238095243</v>
      </c>
      <c r="J39" s="4">
        <f t="shared" si="7"/>
        <v>884539.16459647357</v>
      </c>
      <c r="L39" s="4">
        <f t="shared" si="35"/>
        <v>8206.6622341049697</v>
      </c>
      <c r="M39" s="4">
        <f t="shared" si="35"/>
        <v>2580.7866407060123</v>
      </c>
      <c r="N39" s="4">
        <f t="shared" si="35"/>
        <v>3780.0608916343817</v>
      </c>
      <c r="P39" s="129">
        <f t="shared" si="32"/>
        <v>1.0030224130028143</v>
      </c>
      <c r="Q39" s="129">
        <f t="shared" si="33"/>
        <v>0.88791731651167571</v>
      </c>
      <c r="R39" s="129">
        <f t="shared" si="34"/>
        <v>0.9288619152852412</v>
      </c>
      <c r="T39" s="131">
        <f t="shared" si="21"/>
        <v>0.97287266964435593</v>
      </c>
      <c r="U39" s="131">
        <f t="shared" si="22"/>
        <v>0.9288619152852412</v>
      </c>
      <c r="V39" s="131">
        <f t="shared" si="23"/>
        <v>0.99054760268680453</v>
      </c>
      <c r="W39" s="131">
        <f t="shared" si="24"/>
        <v>0.93772567089734571</v>
      </c>
      <c r="X39" s="131">
        <f t="shared" si="25"/>
        <v>0.90366437125452226</v>
      </c>
      <c r="Y39" s="131">
        <f t="shared" si="26"/>
        <v>0.90366437125452215</v>
      </c>
      <c r="Z39" s="131"/>
      <c r="AA39" s="131">
        <f t="shared" si="27"/>
        <v>0.9288619152852412</v>
      </c>
      <c r="AD39" s="134"/>
      <c r="AF39" s="129">
        <f t="shared" si="0"/>
        <v>0.46280298189925528</v>
      </c>
      <c r="AG39" s="129">
        <f t="shared" si="1"/>
        <v>0.53719701810074472</v>
      </c>
      <c r="AH39" s="129"/>
      <c r="AI39" s="129">
        <f t="shared" si="8"/>
        <v>0.4644937746167408</v>
      </c>
      <c r="AJ39" s="129">
        <f t="shared" si="9"/>
        <v>0.53550238502271841</v>
      </c>
      <c r="AK39" s="129">
        <f t="shared" si="10"/>
        <v>0.9999961596394592</v>
      </c>
      <c r="AL39" s="129"/>
      <c r="AM39" s="129">
        <f t="shared" si="11"/>
        <v>0.46449555844715484</v>
      </c>
      <c r="AN39" s="129">
        <f t="shared" si="12"/>
        <v>0.53550444155284516</v>
      </c>
      <c r="AO39" s="129"/>
      <c r="AP39" s="129"/>
      <c r="AQ39" s="129">
        <f t="shared" si="13"/>
        <v>1.4776755203941869E-2</v>
      </c>
      <c r="AR39" s="129">
        <f t="shared" si="14"/>
        <v>3.5177373722286243E-2</v>
      </c>
      <c r="AS39" s="129"/>
      <c r="AT39" s="129">
        <f t="shared" si="2"/>
        <v>0.21317112883468683</v>
      </c>
      <c r="AU39" s="129">
        <f t="shared" si="3"/>
        <v>0.78682887116531319</v>
      </c>
      <c r="AV39" s="129"/>
      <c r="AW39" s="129">
        <f t="shared" si="15"/>
        <v>5.345751784061362E-3</v>
      </c>
      <c r="AX39" s="129">
        <f t="shared" si="16"/>
        <v>-1.4433881112881708E-3</v>
      </c>
      <c r="AY39" s="129"/>
      <c r="AZ39" s="129"/>
      <c r="BA39" s="129">
        <f t="shared" si="17"/>
        <v>1.0260345052499116</v>
      </c>
      <c r="BB39" s="129">
        <f t="shared" si="18"/>
        <v>1.1176758298964584</v>
      </c>
      <c r="BC39" s="129">
        <f t="shared" si="4"/>
        <v>0.93772567089734571</v>
      </c>
      <c r="BE39">
        <f t="shared" si="19"/>
        <v>1.001711600334352</v>
      </c>
      <c r="BF39" s="129">
        <f t="shared" si="20"/>
        <v>1.0216628758703872</v>
      </c>
      <c r="BG39" s="129">
        <f t="shared" si="5"/>
        <v>0.99054760268680453</v>
      </c>
    </row>
    <row r="40" spans="1:59" x14ac:dyDescent="0.2">
      <c r="A40" s="133" t="s">
        <v>664</v>
      </c>
      <c r="B40" s="144">
        <f t="shared" si="6"/>
        <v>1979</v>
      </c>
      <c r="D40" s="4">
        <f>'Freight-based Energy Use'!B37</f>
        <v>1562.4531735814853</v>
      </c>
      <c r="E40" s="4">
        <f>'Freight-based Energy Use'!C37</f>
        <v>1892.1558944816402</v>
      </c>
      <c r="F40" s="4">
        <f t="shared" si="28"/>
        <v>3454.6090680631255</v>
      </c>
      <c r="H40" s="411">
        <f>'Freight-based Activity'!B37*3</f>
        <v>185316.10666475949</v>
      </c>
      <c r="I40" s="4">
        <f>'Freight-based Activity'!C37</f>
        <v>706438.09523809527</v>
      </c>
      <c r="J40" s="4">
        <f t="shared" si="7"/>
        <v>891754.20190285472</v>
      </c>
      <c r="L40" s="4">
        <f t="shared" si="35"/>
        <v>8431.2864202785895</v>
      </c>
      <c r="M40" s="4">
        <f t="shared" si="35"/>
        <v>2678.4454395029688</v>
      </c>
      <c r="N40" s="4">
        <f t="shared" si="35"/>
        <v>3873.9476199737169</v>
      </c>
      <c r="P40" s="129">
        <f t="shared" si="32"/>
        <v>1.0304760947564449</v>
      </c>
      <c r="Q40" s="129">
        <f t="shared" si="33"/>
        <v>0.92151673817398938</v>
      </c>
      <c r="R40" s="129">
        <f t="shared" si="34"/>
        <v>0.95193239187416034</v>
      </c>
      <c r="T40" s="131">
        <f t="shared" si="21"/>
        <v>0.98080822850572624</v>
      </c>
      <c r="U40" s="131">
        <f t="shared" si="22"/>
        <v>0.95193239187416034</v>
      </c>
      <c r="V40" s="131">
        <f t="shared" si="23"/>
        <v>0.98268501143067521</v>
      </c>
      <c r="W40" s="131">
        <f t="shared" si="24"/>
        <v>0.96870551682502759</v>
      </c>
      <c r="X40" s="131">
        <f t="shared" si="25"/>
        <v>0.93366312293131404</v>
      </c>
      <c r="Y40" s="131">
        <f t="shared" si="26"/>
        <v>0.93366312293131404</v>
      </c>
      <c r="Z40" s="131"/>
      <c r="AA40" s="131">
        <f t="shared" si="27"/>
        <v>0.95193239187416034</v>
      </c>
      <c r="AD40" s="134"/>
      <c r="AF40" s="129">
        <f t="shared" si="0"/>
        <v>0.45228074806666801</v>
      </c>
      <c r="AG40" s="129">
        <f t="shared" si="1"/>
        <v>0.54771925193333193</v>
      </c>
      <c r="AH40" s="129"/>
      <c r="AI40" s="129">
        <f t="shared" si="8"/>
        <v>0.4575216990124984</v>
      </c>
      <c r="AJ40" s="129">
        <f t="shared" si="9"/>
        <v>0.54244112599596683</v>
      </c>
      <c r="AK40" s="129">
        <f t="shared" si="10"/>
        <v>0.99996282500846523</v>
      </c>
      <c r="AL40" s="129"/>
      <c r="AM40" s="129">
        <f t="shared" si="11"/>
        <v>0.4575387080100955</v>
      </c>
      <c r="AN40" s="129">
        <f t="shared" si="12"/>
        <v>0.54246129198990445</v>
      </c>
      <c r="AO40" s="129"/>
      <c r="AP40" s="129"/>
      <c r="AQ40" s="129">
        <f t="shared" si="13"/>
        <v>2.7003068670955501E-2</v>
      </c>
      <c r="AR40" s="129">
        <f t="shared" si="14"/>
        <v>3.7142314376417004E-2</v>
      </c>
      <c r="AS40" s="129"/>
      <c r="AT40" s="129">
        <f t="shared" si="2"/>
        <v>0.20781074680593131</v>
      </c>
      <c r="AU40" s="129">
        <f t="shared" si="3"/>
        <v>0.79218925319406874</v>
      </c>
      <c r="AV40" s="129"/>
      <c r="AW40" s="129">
        <f t="shared" si="15"/>
        <v>-2.5467470506018303E-2</v>
      </c>
      <c r="AX40" s="129">
        <f t="shared" si="16"/>
        <v>6.7895390659316471E-3</v>
      </c>
      <c r="AY40" s="129"/>
      <c r="AZ40" s="129"/>
      <c r="BA40" s="129">
        <f t="shared" si="17"/>
        <v>1.0330372164153681</v>
      </c>
      <c r="BB40" s="129">
        <f t="shared" si="18"/>
        <v>1.1546007281709738</v>
      </c>
      <c r="BC40" s="129">
        <f t="shared" si="4"/>
        <v>0.96870551682502759</v>
      </c>
      <c r="BE40">
        <f t="shared" si="19"/>
        <v>0.99206237919833173</v>
      </c>
      <c r="BF40" s="129">
        <f t="shared" si="20"/>
        <v>1.0135533033745863</v>
      </c>
      <c r="BG40" s="129">
        <f t="shared" si="5"/>
        <v>0.98268501143067521</v>
      </c>
    </row>
    <row r="41" spans="1:59" x14ac:dyDescent="0.2">
      <c r="A41" s="133" t="s">
        <v>664</v>
      </c>
      <c r="B41" s="144">
        <f t="shared" si="6"/>
        <v>1980</v>
      </c>
      <c r="D41" s="4">
        <f>'Freight-based Energy Use'!B38</f>
        <v>1534.3629022521011</v>
      </c>
      <c r="E41" s="4">
        <f>'Freight-based Energy Use'!C38</f>
        <v>1917.6360345792521</v>
      </c>
      <c r="F41" s="4">
        <f t="shared" si="28"/>
        <v>3451.9989368313531</v>
      </c>
      <c r="H41" s="411">
        <f>'Freight-based Activity'!B38*3</f>
        <v>175616.25618023588</v>
      </c>
      <c r="I41" s="4">
        <f>'Freight-based Activity'!C38</f>
        <v>644857.14285714296</v>
      </c>
      <c r="J41" s="4">
        <f t="shared" si="7"/>
        <v>820473.39903737884</v>
      </c>
      <c r="L41" s="4">
        <f t="shared" si="35"/>
        <v>8737.0209092566947</v>
      </c>
      <c r="M41" s="4">
        <f t="shared" si="35"/>
        <v>2973.7377585411523</v>
      </c>
      <c r="N41" s="4">
        <f t="shared" si="35"/>
        <v>4207.325844910285</v>
      </c>
      <c r="P41" s="129">
        <f t="shared" si="32"/>
        <v>1.0678431187821931</v>
      </c>
      <c r="Q41" s="129">
        <f t="shared" si="33"/>
        <v>1.0231117942593564</v>
      </c>
      <c r="R41" s="129">
        <f t="shared" si="34"/>
        <v>1.0338523252843035</v>
      </c>
      <c r="T41" s="131">
        <f t="shared" si="21"/>
        <v>0.90240904873649053</v>
      </c>
      <c r="U41" s="131">
        <f t="shared" si="22"/>
        <v>1.0338523252843035</v>
      </c>
      <c r="V41" s="131">
        <f t="shared" si="23"/>
        <v>0.99146190036923021</v>
      </c>
      <c r="W41" s="131">
        <f t="shared" si="24"/>
        <v>1.042755475424004</v>
      </c>
      <c r="X41" s="131">
        <f t="shared" si="25"/>
        <v>0.93295769339381684</v>
      </c>
      <c r="Y41" s="131">
        <f t="shared" si="26"/>
        <v>0.93295769339381696</v>
      </c>
      <c r="Z41" s="131"/>
      <c r="AA41" s="131">
        <f t="shared" si="27"/>
        <v>1.0338523252843033</v>
      </c>
      <c r="AD41" s="134"/>
      <c r="AF41" s="129">
        <f t="shared" si="0"/>
        <v>0.44448533453504424</v>
      </c>
      <c r="AG41" s="129">
        <f t="shared" si="1"/>
        <v>0.55551466546495576</v>
      </c>
      <c r="AH41" s="129"/>
      <c r="AI41" s="129">
        <f t="shared" si="8"/>
        <v>0.44837174707041982</v>
      </c>
      <c r="AJ41" s="129">
        <f t="shared" si="9"/>
        <v>0.55160777822220675</v>
      </c>
      <c r="AK41" s="129">
        <f t="shared" si="10"/>
        <v>0.99997952529262657</v>
      </c>
      <c r="AL41" s="129"/>
      <c r="AM41" s="129">
        <f t="shared" si="11"/>
        <v>0.44838092753870301</v>
      </c>
      <c r="AN41" s="129">
        <f t="shared" si="12"/>
        <v>0.55161907246129704</v>
      </c>
      <c r="AO41" s="129"/>
      <c r="AP41" s="129"/>
      <c r="AQ41" s="129">
        <f t="shared" si="13"/>
        <v>3.5619913856196929E-2</v>
      </c>
      <c r="AR41" s="129">
        <f t="shared" si="14"/>
        <v>0.10458309978485858</v>
      </c>
      <c r="AS41" s="129"/>
      <c r="AT41" s="129">
        <f t="shared" si="2"/>
        <v>0.21404259587974189</v>
      </c>
      <c r="AU41" s="129">
        <f t="shared" si="3"/>
        <v>0.78595740412025816</v>
      </c>
      <c r="AV41" s="129"/>
      <c r="AW41" s="129">
        <f t="shared" si="15"/>
        <v>2.9547246989809282E-2</v>
      </c>
      <c r="AX41" s="129">
        <f t="shared" si="16"/>
        <v>-7.897721592616043E-3</v>
      </c>
      <c r="AY41" s="129"/>
      <c r="AZ41" s="129"/>
      <c r="BA41" s="129">
        <f t="shared" si="17"/>
        <v>1.0764421770216384</v>
      </c>
      <c r="BB41" s="129">
        <f t="shared" si="18"/>
        <v>1.2428609214231319</v>
      </c>
      <c r="BC41" s="129">
        <f t="shared" si="4"/>
        <v>1.042755475424004</v>
      </c>
      <c r="BE41">
        <f t="shared" si="19"/>
        <v>1.0089315384242779</v>
      </c>
      <c r="BF41" s="129">
        <f t="shared" si="20"/>
        <v>1.0226058936487301</v>
      </c>
      <c r="BG41" s="129">
        <f t="shared" si="5"/>
        <v>0.99146190036923021</v>
      </c>
    </row>
    <row r="42" spans="1:59" x14ac:dyDescent="0.2">
      <c r="A42" s="133" t="s">
        <v>664</v>
      </c>
      <c r="B42" s="144">
        <f t="shared" si="6"/>
        <v>1981</v>
      </c>
      <c r="D42" s="4">
        <f>'Freight-based Energy Use'!B39</f>
        <v>1522.0421991223375</v>
      </c>
      <c r="E42" s="4">
        <f>'Freight-based Energy Use'!C39</f>
        <v>1986.9937494165133</v>
      </c>
      <c r="F42" s="4">
        <f t="shared" ref="F42:F68" si="36">D42+E42</f>
        <v>3509.0359485388508</v>
      </c>
      <c r="H42" s="411">
        <f>'Freight-based Activity'!B39*3</f>
        <v>174535.554329982</v>
      </c>
      <c r="I42" s="4">
        <f>'Freight-based Activity'!C39</f>
        <v>612323.80952380958</v>
      </c>
      <c r="J42" s="4">
        <f t="shared" ref="J42:J68" si="37">H42+I42</f>
        <v>786859.36385379161</v>
      </c>
      <c r="L42" s="4">
        <f t="shared" ref="L42:L69" si="38">D42/H42*1000000</f>
        <v>8720.5280606879678</v>
      </c>
      <c r="M42" s="4">
        <f t="shared" ref="M42:M69" si="39">E42/I42*1000000</f>
        <v>3245.0048789736811</v>
      </c>
      <c r="N42" s="4">
        <f t="shared" ref="N42:N69" si="40">F42/J42*1000000</f>
        <v>4459.5465336431753</v>
      </c>
      <c r="P42" s="129">
        <f t="shared" si="32"/>
        <v>1.065827354480362</v>
      </c>
      <c r="Q42" s="129">
        <f t="shared" si="33"/>
        <v>1.1164410024291604</v>
      </c>
      <c r="R42" s="129">
        <f t="shared" si="34"/>
        <v>1.0958296845722117</v>
      </c>
      <c r="T42" s="131">
        <f t="shared" si="21"/>
        <v>0.86543818587877341</v>
      </c>
      <c r="U42" s="131">
        <f t="shared" ref="U42:U61" si="41">R42</f>
        <v>1.0958296845722117</v>
      </c>
      <c r="V42" s="131">
        <f t="shared" ref="V42:V61" si="42">BG42</f>
        <v>1.0015120195655618</v>
      </c>
      <c r="W42" s="131">
        <f t="shared" ref="W42:W61" si="43">BC42</f>
        <v>1.0941752701555822</v>
      </c>
      <c r="X42" s="131">
        <f t="shared" ref="X42:X61" si="44">T42*V42*W42</f>
        <v>0.9483728542482831</v>
      </c>
      <c r="Y42" s="131">
        <f t="shared" si="26"/>
        <v>0.94837285424828355</v>
      </c>
      <c r="Z42" s="131"/>
      <c r="AA42" s="131">
        <f t="shared" ref="AA42:AA61" si="45">V42*W42</f>
        <v>1.0958296845722113</v>
      </c>
      <c r="AD42" s="134"/>
      <c r="AF42" s="129">
        <f t="shared" ref="AF42:AF75" si="46">D42/F42</f>
        <v>0.43374938913239408</v>
      </c>
      <c r="AG42" s="129">
        <f t="shared" ref="AG42:AG69" si="47">E42/F42</f>
        <v>0.56625061086760597</v>
      </c>
      <c r="AH42" s="129"/>
      <c r="AI42" s="129">
        <f t="shared" si="8"/>
        <v>0.439095487439157</v>
      </c>
      <c r="AJ42" s="129">
        <f t="shared" si="9"/>
        <v>0.56086551287551956</v>
      </c>
      <c r="AK42" s="129">
        <f t="shared" si="10"/>
        <v>0.99996100031467661</v>
      </c>
      <c r="AL42" s="129"/>
      <c r="AM42" s="129">
        <f t="shared" si="11"/>
        <v>0.43911261269287355</v>
      </c>
      <c r="AN42" s="129">
        <f t="shared" si="12"/>
        <v>0.56088738730712639</v>
      </c>
      <c r="AO42" s="129"/>
      <c r="AP42" s="129"/>
      <c r="AQ42" s="129">
        <f t="shared" si="13"/>
        <v>-1.8894809923125705E-3</v>
      </c>
      <c r="AR42" s="129">
        <f t="shared" si="14"/>
        <v>8.7297187569876075E-2</v>
      </c>
      <c r="AS42" s="129"/>
      <c r="AT42" s="129">
        <f t="shared" ref="AT42:AT69" si="48">H42/J42</f>
        <v>0.22181289611292332</v>
      </c>
      <c r="AU42" s="129">
        <f t="shared" ref="AU42:AU69" si="49">I42/J42</f>
        <v>0.77818710388707668</v>
      </c>
      <c r="AV42" s="129"/>
      <c r="AW42" s="129">
        <f t="shared" si="15"/>
        <v>3.5659174824035959E-2</v>
      </c>
      <c r="AX42" s="129">
        <f t="shared" si="16"/>
        <v>-9.9356090368746871E-3</v>
      </c>
      <c r="AY42" s="129"/>
      <c r="AZ42" s="129"/>
      <c r="BA42" s="129">
        <f t="shared" si="17"/>
        <v>1.0493114598229947</v>
      </c>
      <c r="BB42" s="129">
        <f t="shared" si="18"/>
        <v>1.3041482078154587</v>
      </c>
      <c r="BC42" s="129">
        <f t="shared" ref="BC42:BC72" si="50">BB42/BB$74</f>
        <v>1.0941752701555822</v>
      </c>
      <c r="BE42">
        <f t="shared" si="19"/>
        <v>1.0101366670696965</v>
      </c>
      <c r="BF42" s="129">
        <f t="shared" si="20"/>
        <v>1.0329717091361568</v>
      </c>
      <c r="BG42" s="129">
        <f t="shared" ref="BG42:BG72" si="51">BF42/BF$74</f>
        <v>1.0015120195655618</v>
      </c>
    </row>
    <row r="43" spans="1:59" x14ac:dyDescent="0.2">
      <c r="A43" s="133" t="s">
        <v>664</v>
      </c>
      <c r="B43" s="144">
        <f t="shared" ref="B43:B72" si="52">B42+1</f>
        <v>1982</v>
      </c>
      <c r="D43" s="4">
        <f>'Freight-based Energy Use'!B40</f>
        <v>1507.8216809994192</v>
      </c>
      <c r="E43" s="4">
        <f>'Freight-based Energy Use'!C40</f>
        <v>1997.8814603225444</v>
      </c>
      <c r="F43" s="4">
        <f t="shared" si="36"/>
        <v>3505.7031413219638</v>
      </c>
      <c r="H43" s="411">
        <f>'Freight-based Activity'!B40*3</f>
        <v>179343.57480662171</v>
      </c>
      <c r="I43" s="4">
        <f>'Freight-based Activity'!C40</f>
        <v>604190.47619047621</v>
      </c>
      <c r="J43" s="4">
        <f t="shared" si="37"/>
        <v>783534.05099709798</v>
      </c>
      <c r="L43" s="4">
        <f t="shared" si="38"/>
        <v>8407.4474517709205</v>
      </c>
      <c r="M43" s="4">
        <f t="shared" si="39"/>
        <v>3306.7079655401508</v>
      </c>
      <c r="N43" s="4">
        <f t="shared" si="40"/>
        <v>4474.2192593426271</v>
      </c>
      <c r="P43" s="129">
        <f t="shared" si="32"/>
        <v>1.0275624839565887</v>
      </c>
      <c r="Q43" s="129">
        <f t="shared" si="33"/>
        <v>1.137669893721623</v>
      </c>
      <c r="R43" s="129">
        <f t="shared" si="34"/>
        <v>1.0994351651415353</v>
      </c>
      <c r="T43" s="131">
        <f t="shared" si="21"/>
        <v>0.86178079440784849</v>
      </c>
      <c r="U43" s="131">
        <f t="shared" si="41"/>
        <v>1.0994351651415353</v>
      </c>
      <c r="V43" s="131">
        <f t="shared" si="42"/>
        <v>1.0099363750300268</v>
      </c>
      <c r="W43" s="131">
        <f t="shared" si="43"/>
        <v>1.0886182459848992</v>
      </c>
      <c r="X43" s="131">
        <f t="shared" si="44"/>
        <v>0.94747211001559617</v>
      </c>
      <c r="Y43" s="131">
        <f t="shared" si="26"/>
        <v>0.94747211001559639</v>
      </c>
      <c r="Z43" s="131"/>
      <c r="AA43" s="131">
        <f t="shared" si="45"/>
        <v>1.0994351651415351</v>
      </c>
      <c r="AD43" s="134"/>
      <c r="AF43" s="129">
        <f t="shared" si="46"/>
        <v>0.43010535125653437</v>
      </c>
      <c r="AG43" s="129">
        <f t="shared" si="47"/>
        <v>0.56989464874346552</v>
      </c>
      <c r="AH43" s="129"/>
      <c r="AI43" s="129">
        <f t="shared" ref="AI43:AI69" si="53">(AF43-AF42)/LN(AF43/AF42)</f>
        <v>0.43192480821375867</v>
      </c>
      <c r="AJ43" s="129">
        <f t="shared" ref="AJ43:AJ69" si="54">(AG43-AG42)/LN(AG43/AG42)</f>
        <v>0.56807068183741805</v>
      </c>
      <c r="AK43" s="129">
        <f t="shared" ref="AK43:AK69" si="55">AI43+AJ43</f>
        <v>0.99999549005117672</v>
      </c>
      <c r="AL43" s="129"/>
      <c r="AM43" s="129">
        <f t="shared" ref="AM43:AM69" si="56">AI43/AK43</f>
        <v>0.43192675618132448</v>
      </c>
      <c r="AN43" s="129">
        <f t="shared" ref="AN43:AN69" si="57">AJ43/AK43</f>
        <v>0.56807324381867552</v>
      </c>
      <c r="AO43" s="129"/>
      <c r="AP43" s="129"/>
      <c r="AQ43" s="129">
        <f t="shared" ref="AQ43:AQ69" si="58">LN(P43/P42)</f>
        <v>-3.6561879054007602E-2</v>
      </c>
      <c r="AR43" s="129">
        <f t="shared" ref="AR43:AR69" si="59">LN(Q43/Q42)</f>
        <v>1.88362684386261E-2</v>
      </c>
      <c r="AS43" s="129"/>
      <c r="AT43" s="129">
        <f t="shared" si="48"/>
        <v>0.22889059458028066</v>
      </c>
      <c r="AU43" s="129">
        <f t="shared" si="49"/>
        <v>0.77110940541971928</v>
      </c>
      <c r="AV43" s="129"/>
      <c r="AW43" s="129">
        <f t="shared" ref="AW43:AW75" si="60">LN(AT43/AT42)</f>
        <v>3.1409920263565212E-2</v>
      </c>
      <c r="AX43" s="129">
        <f t="shared" ref="AX43:AX69" si="61">LN(AU43/AU42)</f>
        <v>-9.1367245221360902E-3</v>
      </c>
      <c r="AY43" s="129"/>
      <c r="AZ43" s="129"/>
      <c r="BA43" s="129">
        <f t="shared" ref="BA43:BA69" si="62">EXP(SUMPRODUCT($AM43:$AN43,AQ43:AR43))</f>
        <v>0.99492126689182703</v>
      </c>
      <c r="BB43" s="129">
        <f t="shared" ref="BB43:BB69" si="63">IF(ISERR(BA43),BB42,BA43*BB42)</f>
        <v>1.297524787134462</v>
      </c>
      <c r="BC43" s="129">
        <f t="shared" si="50"/>
        <v>1.0886182459848992</v>
      </c>
      <c r="BE43">
        <f t="shared" ref="BE43:BE69" si="64">EXP(SUMPRODUCT($AM43:$AN43,AW43:AX43))</f>
        <v>1.0084116369048863</v>
      </c>
      <c r="BF43" s="129">
        <f t="shared" ref="BF43:BF69" si="65">IF(ISERR(BE43),BF42,BE43*BF42)</f>
        <v>1.04166069208643</v>
      </c>
      <c r="BG43" s="129">
        <f t="shared" si="51"/>
        <v>1.0099363750300268</v>
      </c>
    </row>
    <row r="44" spans="1:59" x14ac:dyDescent="0.2">
      <c r="A44" s="133" t="s">
        <v>664</v>
      </c>
      <c r="B44" s="144">
        <f t="shared" si="52"/>
        <v>1983</v>
      </c>
      <c r="D44" s="4">
        <f>'Freight-based Energy Use'!B41</f>
        <v>1543.6930689537869</v>
      </c>
      <c r="E44" s="4">
        <f>'Freight-based Energy Use'!C41</f>
        <v>2029.2437315837931</v>
      </c>
      <c r="F44" s="4">
        <f t="shared" si="36"/>
        <v>3572.93680053758</v>
      </c>
      <c r="H44" s="411">
        <f>'Freight-based Activity'!B41*3</f>
        <v>187671.59559551693</v>
      </c>
      <c r="I44" s="4">
        <f>'Freight-based Activity'!C41</f>
        <v>668095.23809523811</v>
      </c>
      <c r="J44" s="4">
        <f t="shared" si="37"/>
        <v>855766.83369075507</v>
      </c>
      <c r="L44" s="4">
        <f t="shared" si="38"/>
        <v>8225.5019149560758</v>
      </c>
      <c r="M44" s="4">
        <f t="shared" si="39"/>
        <v>3037.3569752857916</v>
      </c>
      <c r="N44" s="4">
        <f t="shared" si="40"/>
        <v>4175.1288550506242</v>
      </c>
      <c r="P44" s="129">
        <f t="shared" si="32"/>
        <v>1.0053250083343181</v>
      </c>
      <c r="Q44" s="129">
        <f t="shared" si="33"/>
        <v>1.0449999284117486</v>
      </c>
      <c r="R44" s="129">
        <f t="shared" si="34"/>
        <v>1.0259406649897167</v>
      </c>
      <c r="T44" s="131">
        <f t="shared" si="21"/>
        <v>0.94122702239604328</v>
      </c>
      <c r="U44" s="131">
        <f t="shared" si="41"/>
        <v>1.0259406649897167</v>
      </c>
      <c r="V44" s="131">
        <f t="shared" si="42"/>
        <v>0.99847190315186296</v>
      </c>
      <c r="W44" s="131">
        <f t="shared" si="43"/>
        <v>1.0275108010061607</v>
      </c>
      <c r="X44" s="131">
        <f t="shared" si="44"/>
        <v>0.96564307726328735</v>
      </c>
      <c r="Y44" s="131">
        <f t="shared" si="26"/>
        <v>0.96564307726328757</v>
      </c>
      <c r="Z44" s="131"/>
      <c r="AA44" s="131">
        <f t="shared" si="45"/>
        <v>1.0259406649897165</v>
      </c>
      <c r="AD44" s="134"/>
      <c r="AF44" s="129">
        <f t="shared" si="46"/>
        <v>0.43205160212224425</v>
      </c>
      <c r="AG44" s="129">
        <f t="shared" si="47"/>
        <v>0.56794839787775575</v>
      </c>
      <c r="AH44" s="129"/>
      <c r="AI44" s="129">
        <f t="shared" si="53"/>
        <v>0.43107774443725638</v>
      </c>
      <c r="AJ44" s="129">
        <f t="shared" si="54"/>
        <v>0.56892096847494666</v>
      </c>
      <c r="AK44" s="129">
        <f t="shared" si="55"/>
        <v>0.99999871291220299</v>
      </c>
      <c r="AL44" s="129"/>
      <c r="AM44" s="129">
        <f t="shared" si="56"/>
        <v>0.43107829927287494</v>
      </c>
      <c r="AN44" s="129">
        <f t="shared" si="57"/>
        <v>0.56892170072712511</v>
      </c>
      <c r="AO44" s="129"/>
      <c r="AP44" s="129"/>
      <c r="AQ44" s="129">
        <f t="shared" si="58"/>
        <v>-2.1878596567133222E-2</v>
      </c>
      <c r="AR44" s="129">
        <f t="shared" si="59"/>
        <v>-8.4965400896946583E-2</v>
      </c>
      <c r="AS44" s="129"/>
      <c r="AT44" s="129">
        <f t="shared" si="48"/>
        <v>0.2193022540802686</v>
      </c>
      <c r="AU44" s="129">
        <f t="shared" si="49"/>
        <v>0.7806977459197314</v>
      </c>
      <c r="AV44" s="129"/>
      <c r="AW44" s="129">
        <f t="shared" si="60"/>
        <v>-4.2793202574595353E-2</v>
      </c>
      <c r="AX44" s="129">
        <f t="shared" si="61"/>
        <v>1.2357801696239745E-2</v>
      </c>
      <c r="AY44" s="129"/>
      <c r="AZ44" s="129"/>
      <c r="BA44" s="129">
        <f t="shared" si="62"/>
        <v>0.9438669660332093</v>
      </c>
      <c r="BB44" s="129">
        <f t="shared" si="63"/>
        <v>1.2246907841854904</v>
      </c>
      <c r="BC44" s="129">
        <f t="shared" si="50"/>
        <v>1.0275108010061607</v>
      </c>
      <c r="BE44">
        <f t="shared" si="64"/>
        <v>0.98864832264525293</v>
      </c>
      <c r="BF44" s="129">
        <f t="shared" si="65"/>
        <v>1.0298360959967423</v>
      </c>
      <c r="BG44" s="129">
        <f t="shared" si="51"/>
        <v>0.99847190315186296</v>
      </c>
    </row>
    <row r="45" spans="1:59" x14ac:dyDescent="0.2">
      <c r="A45" s="133" t="s">
        <v>664</v>
      </c>
      <c r="B45" s="144">
        <f t="shared" si="52"/>
        <v>1984</v>
      </c>
      <c r="D45" s="4">
        <f>'Freight-based Energy Use'!B42</f>
        <v>1604.6573656649668</v>
      </c>
      <c r="E45" s="4">
        <f>'Freight-based Energy Use'!C42</f>
        <v>2086.9361462623283</v>
      </c>
      <c r="F45" s="4">
        <f t="shared" si="36"/>
        <v>3691.5935119272954</v>
      </c>
      <c r="H45" s="411">
        <f>'Freight-based Activity'!B42*3</f>
        <v>195933.45096500887</v>
      </c>
      <c r="I45" s="4">
        <f>'Freight-based Activity'!C42</f>
        <v>704114.2857142858</v>
      </c>
      <c r="J45" s="4">
        <f t="shared" si="37"/>
        <v>900047.73667929461</v>
      </c>
      <c r="L45" s="4">
        <f t="shared" si="38"/>
        <v>8189.8081096501364</v>
      </c>
      <c r="M45" s="4">
        <f t="shared" si="39"/>
        <v>2963.9167797103346</v>
      </c>
      <c r="N45" s="4">
        <f t="shared" si="40"/>
        <v>4101.5530193402237</v>
      </c>
      <c r="P45" s="129">
        <f t="shared" si="32"/>
        <v>1.0009624933792816</v>
      </c>
      <c r="Q45" s="129">
        <f t="shared" si="33"/>
        <v>1.0197328953486771</v>
      </c>
      <c r="R45" s="129">
        <f t="shared" si="34"/>
        <v>1.0078611171634049</v>
      </c>
      <c r="T45" s="131">
        <f t="shared" si="21"/>
        <v>0.98992998776940377</v>
      </c>
      <c r="U45" s="131">
        <f t="shared" si="41"/>
        <v>1.0078611171634049</v>
      </c>
      <c r="V45" s="131">
        <f t="shared" si="42"/>
        <v>0.99645116417337343</v>
      </c>
      <c r="W45" s="131">
        <f t="shared" si="43"/>
        <v>1.0114505892514025</v>
      </c>
      <c r="X45" s="131">
        <f t="shared" si="44"/>
        <v>0.99771194338682678</v>
      </c>
      <c r="Y45" s="131">
        <f t="shared" si="26"/>
        <v>0.99771194338682689</v>
      </c>
      <c r="Z45" s="131"/>
      <c r="AA45" s="131">
        <f t="shared" si="45"/>
        <v>1.0078611171634047</v>
      </c>
      <c r="AD45" s="134"/>
      <c r="AF45" s="129">
        <f t="shared" si="46"/>
        <v>0.43467878044547015</v>
      </c>
      <c r="AG45" s="129">
        <f t="shared" si="47"/>
        <v>0.56532121955452985</v>
      </c>
      <c r="AH45" s="129"/>
      <c r="AI45" s="129">
        <f t="shared" si="53"/>
        <v>0.43336386405780458</v>
      </c>
      <c r="AJ45" s="129">
        <f t="shared" si="54"/>
        <v>0.56663379364792055</v>
      </c>
      <c r="AK45" s="129">
        <f t="shared" si="55"/>
        <v>0.99999765770572513</v>
      </c>
      <c r="AL45" s="129"/>
      <c r="AM45" s="129">
        <f t="shared" si="56"/>
        <v>0.4333648791258799</v>
      </c>
      <c r="AN45" s="129">
        <f t="shared" si="57"/>
        <v>0.56663512087412016</v>
      </c>
      <c r="AO45" s="129"/>
      <c r="AP45" s="129"/>
      <c r="AQ45" s="129">
        <f t="shared" si="58"/>
        <v>-4.3488501292189841E-3</v>
      </c>
      <c r="AR45" s="129">
        <f t="shared" si="59"/>
        <v>-2.4476091213536808E-2</v>
      </c>
      <c r="AS45" s="129"/>
      <c r="AT45" s="129">
        <f t="shared" si="48"/>
        <v>0.21769228784231026</v>
      </c>
      <c r="AU45" s="129">
        <f t="shared" si="49"/>
        <v>0.78230771215768979</v>
      </c>
      <c r="AV45" s="129"/>
      <c r="AW45" s="129">
        <f t="shared" si="60"/>
        <v>-7.3683919028068902E-3</v>
      </c>
      <c r="AX45" s="129">
        <f t="shared" si="61"/>
        <v>2.0600910880078593E-3</v>
      </c>
      <c r="AY45" s="129"/>
      <c r="AZ45" s="129"/>
      <c r="BA45" s="129">
        <f t="shared" si="62"/>
        <v>0.98436978790000873</v>
      </c>
      <c r="BB45" s="129">
        <f t="shared" si="63"/>
        <v>1.2055486074717665</v>
      </c>
      <c r="BC45" s="129">
        <f t="shared" si="50"/>
        <v>1.0114505892514025</v>
      </c>
      <c r="BE45">
        <f t="shared" si="64"/>
        <v>0.99797616841083792</v>
      </c>
      <c r="BF45" s="129">
        <f t="shared" si="65"/>
        <v>1.0277518811740047</v>
      </c>
      <c r="BG45" s="129">
        <f t="shared" si="51"/>
        <v>0.99645116417337343</v>
      </c>
    </row>
    <row r="46" spans="1:59" x14ac:dyDescent="0.2">
      <c r="A46" s="133" t="s">
        <v>664</v>
      </c>
      <c r="B46" s="144">
        <f t="shared" si="52"/>
        <v>1985</v>
      </c>
      <c r="D46" s="4">
        <f>'Freight-based Energy Use'!B43</f>
        <v>1639.9991103360742</v>
      </c>
      <c r="E46" s="4">
        <f>'Freight-based Energy Use'!C43</f>
        <v>2060.0603471019458</v>
      </c>
      <c r="F46" s="4">
        <f t="shared" si="36"/>
        <v>3700.0594574380202</v>
      </c>
      <c r="H46" s="411">
        <f>'Freight-based Activity'!B43*3</f>
        <v>200441.5215403536</v>
      </c>
      <c r="I46" s="4">
        <f>'Freight-based Activity'!C43</f>
        <v>708761.90476190485</v>
      </c>
      <c r="J46" s="4">
        <f t="shared" si="37"/>
        <v>909203.42630225839</v>
      </c>
      <c r="L46" s="4">
        <f t="shared" si="38"/>
        <v>8181.9330532566519</v>
      </c>
      <c r="M46" s="4">
        <f t="shared" si="39"/>
        <v>2906.5618979535648</v>
      </c>
      <c r="N46" s="4">
        <f t="shared" si="40"/>
        <v>4069.5617178723223</v>
      </c>
      <c r="P46" s="129">
        <f t="shared" si="32"/>
        <v>1</v>
      </c>
      <c r="Q46" s="129">
        <f t="shared" si="33"/>
        <v>1</v>
      </c>
      <c r="R46" s="129">
        <f t="shared" si="34"/>
        <v>1</v>
      </c>
      <c r="T46" s="131">
        <f t="shared" si="21"/>
        <v>1</v>
      </c>
      <c r="U46" s="131">
        <f t="shared" si="41"/>
        <v>1</v>
      </c>
      <c r="V46" s="131">
        <f t="shared" si="42"/>
        <v>1</v>
      </c>
      <c r="W46" s="131">
        <f t="shared" si="43"/>
        <v>1</v>
      </c>
      <c r="X46" s="131">
        <f t="shared" si="44"/>
        <v>1</v>
      </c>
      <c r="Y46" s="131">
        <f t="shared" si="26"/>
        <v>1</v>
      </c>
      <c r="Z46" s="131"/>
      <c r="AA46" s="131">
        <f t="shared" si="45"/>
        <v>1</v>
      </c>
      <c r="AD46" s="134"/>
      <c r="AF46" s="129">
        <f t="shared" si="46"/>
        <v>0.44323588018005405</v>
      </c>
      <c r="AG46" s="129">
        <f t="shared" si="47"/>
        <v>0.55676411981994589</v>
      </c>
      <c r="AH46" s="129"/>
      <c r="AI46" s="129">
        <f t="shared" si="53"/>
        <v>0.43894342884557824</v>
      </c>
      <c r="AJ46" s="129">
        <f t="shared" si="54"/>
        <v>0.56103179334700781</v>
      </c>
      <c r="AK46" s="129">
        <f t="shared" si="55"/>
        <v>0.99997522219258606</v>
      </c>
      <c r="AL46" s="129"/>
      <c r="AM46" s="129">
        <f t="shared" si="56"/>
        <v>0.4389543051708153</v>
      </c>
      <c r="AN46" s="129">
        <f t="shared" si="57"/>
        <v>0.56104569482918476</v>
      </c>
      <c r="AO46" s="129"/>
      <c r="AP46" s="129"/>
      <c r="AQ46" s="129">
        <f t="shared" si="58"/>
        <v>-9.6203047953047956E-4</v>
      </c>
      <c r="AR46" s="129">
        <f t="shared" si="59"/>
        <v>-1.954072569773134E-2</v>
      </c>
      <c r="AS46" s="129"/>
      <c r="AT46" s="129">
        <f t="shared" si="48"/>
        <v>0.22045838779507437</v>
      </c>
      <c r="AU46" s="129">
        <f t="shared" si="49"/>
        <v>0.77954161220492568</v>
      </c>
      <c r="AV46" s="129"/>
      <c r="AW46" s="129">
        <f t="shared" si="60"/>
        <v>1.2626417602851407E-2</v>
      </c>
      <c r="AX46" s="129">
        <f t="shared" si="61"/>
        <v>-3.5420866810401443E-3</v>
      </c>
      <c r="AY46" s="129"/>
      <c r="AZ46" s="129"/>
      <c r="BA46" s="129">
        <f t="shared" si="62"/>
        <v>0.98867904238418869</v>
      </c>
      <c r="BB46" s="129">
        <f t="shared" si="63"/>
        <v>1.1919006427827783</v>
      </c>
      <c r="BC46" s="129">
        <f t="shared" si="50"/>
        <v>1</v>
      </c>
      <c r="BE46">
        <f t="shared" si="64"/>
        <v>1.0035614749164055</v>
      </c>
      <c r="BF46" s="129">
        <f t="shared" si="65"/>
        <v>1.0314121937190945</v>
      </c>
      <c r="BG46" s="129">
        <f t="shared" si="51"/>
        <v>1</v>
      </c>
    </row>
    <row r="47" spans="1:59" x14ac:dyDescent="0.2">
      <c r="A47" s="133" t="s">
        <v>664</v>
      </c>
      <c r="B47" s="144">
        <f t="shared" si="52"/>
        <v>1986</v>
      </c>
      <c r="D47" s="4">
        <f>'Freight-based Energy Use'!B44</f>
        <v>1637.0205586673355</v>
      </c>
      <c r="E47" s="4">
        <f>'Freight-based Energy Use'!C44</f>
        <v>2129.0923872115191</v>
      </c>
      <c r="F47" s="4">
        <f t="shared" si="36"/>
        <v>3766.1129458788546</v>
      </c>
      <c r="H47" s="411">
        <f>'Freight-based Activity'!B44*3</f>
        <v>201306.08302055672</v>
      </c>
      <c r="I47" s="4">
        <f>'Freight-based Activity'!C44</f>
        <v>734323.80952380958</v>
      </c>
      <c r="J47" s="4">
        <f t="shared" si="37"/>
        <v>935629.8925443663</v>
      </c>
      <c r="L47" s="4">
        <f t="shared" si="38"/>
        <v>8131.9974742152644</v>
      </c>
      <c r="M47" s="4">
        <f t="shared" si="39"/>
        <v>2899.3917391731879</v>
      </c>
      <c r="N47" s="4">
        <f t="shared" si="40"/>
        <v>4025.2165689546637</v>
      </c>
      <c r="P47" s="129">
        <f t="shared" si="32"/>
        <v>0.99389684824889746</v>
      </c>
      <c r="Q47" s="129">
        <f t="shared" si="33"/>
        <v>0.99753311333729888</v>
      </c>
      <c r="R47" s="129">
        <f t="shared" si="34"/>
        <v>0.98910321258357925</v>
      </c>
      <c r="T47" s="131">
        <f t="shared" si="21"/>
        <v>1.0290655154584982</v>
      </c>
      <c r="U47" s="131">
        <f t="shared" si="41"/>
        <v>0.98910321258357925</v>
      </c>
      <c r="V47" s="131">
        <f t="shared" si="42"/>
        <v>0.99313999119984575</v>
      </c>
      <c r="W47" s="131">
        <f t="shared" si="43"/>
        <v>0.99593533776503185</v>
      </c>
      <c r="X47" s="131">
        <f t="shared" si="44"/>
        <v>1.0178520072989774</v>
      </c>
      <c r="Y47" s="131">
        <f t="shared" si="26"/>
        <v>1.0178520072989776</v>
      </c>
      <c r="Z47" s="131"/>
      <c r="AA47" s="131">
        <f t="shared" si="45"/>
        <v>0.98910321258357914</v>
      </c>
      <c r="AD47" s="134"/>
      <c r="AF47" s="129">
        <f t="shared" si="46"/>
        <v>0.43467112701935251</v>
      </c>
      <c r="AG47" s="129">
        <f t="shared" si="47"/>
        <v>0.56532887298064749</v>
      </c>
      <c r="AH47" s="129"/>
      <c r="AI47" s="129">
        <f t="shared" si="53"/>
        <v>0.43893957713255127</v>
      </c>
      <c r="AJ47" s="129">
        <f t="shared" si="54"/>
        <v>0.56103560066990188</v>
      </c>
      <c r="AK47" s="129">
        <f t="shared" si="55"/>
        <v>0.99997517780245315</v>
      </c>
      <c r="AL47" s="129"/>
      <c r="AM47" s="129">
        <f t="shared" si="56"/>
        <v>0.43895047284790156</v>
      </c>
      <c r="AN47" s="129">
        <f t="shared" si="57"/>
        <v>0.56104952715209844</v>
      </c>
      <c r="AO47" s="129"/>
      <c r="AP47" s="129"/>
      <c r="AQ47" s="129">
        <f t="shared" si="58"/>
        <v>-6.1218521079858187E-3</v>
      </c>
      <c r="AR47" s="129">
        <f t="shared" si="59"/>
        <v>-2.4699344409852566E-3</v>
      </c>
      <c r="AS47" s="129"/>
      <c r="AT47" s="129">
        <f t="shared" si="48"/>
        <v>0.21515567707346531</v>
      </c>
      <c r="AU47" s="129">
        <f t="shared" si="49"/>
        <v>0.78484432292653472</v>
      </c>
      <c r="AV47" s="129"/>
      <c r="AW47" s="129">
        <f t="shared" si="60"/>
        <v>-2.4347114074753654E-2</v>
      </c>
      <c r="AX47" s="129">
        <f t="shared" si="61"/>
        <v>6.7793130984984875E-3</v>
      </c>
      <c r="AY47" s="129"/>
      <c r="AZ47" s="129"/>
      <c r="BA47" s="129">
        <f t="shared" si="62"/>
        <v>0.99593533776503196</v>
      </c>
      <c r="BB47" s="129">
        <f t="shared" si="63"/>
        <v>1.1870559692522249</v>
      </c>
      <c r="BC47" s="129">
        <f t="shared" si="50"/>
        <v>0.99593533776503185</v>
      </c>
      <c r="BE47">
        <f t="shared" si="64"/>
        <v>0.99313999119984586</v>
      </c>
      <c r="BF47" s="129">
        <f t="shared" si="65"/>
        <v>1.0243366969935952</v>
      </c>
      <c r="BG47" s="129">
        <f t="shared" si="51"/>
        <v>0.99313999119984575</v>
      </c>
    </row>
    <row r="48" spans="1:59" x14ac:dyDescent="0.2">
      <c r="A48" s="133" t="s">
        <v>664</v>
      </c>
      <c r="B48" s="144">
        <f t="shared" si="52"/>
        <v>1987</v>
      </c>
      <c r="D48" s="4">
        <f>'Freight-based Energy Use'!B45</f>
        <v>1667.9963518022917</v>
      </c>
      <c r="E48" s="4">
        <f>'Freight-based Energy Use'!C45</f>
        <v>2205.813533742652</v>
      </c>
      <c r="F48" s="4">
        <f t="shared" si="36"/>
        <v>3873.8098855449434</v>
      </c>
      <c r="H48" s="411">
        <f>'Freight-based Activity'!B45*3</f>
        <v>211826.38470568124</v>
      </c>
      <c r="I48" s="4">
        <f>'Freight-based Activity'!C45</f>
        <v>770342.85714285716</v>
      </c>
      <c r="J48" s="4">
        <f t="shared" si="37"/>
        <v>982169.2418485384</v>
      </c>
      <c r="L48" s="4">
        <f t="shared" si="38"/>
        <v>7874.3559454119095</v>
      </c>
      <c r="M48" s="4">
        <f t="shared" si="39"/>
        <v>2863.4179096874423</v>
      </c>
      <c r="N48" s="4">
        <f t="shared" si="40"/>
        <v>3944.1368355763771</v>
      </c>
      <c r="P48" s="129">
        <f t="shared" si="32"/>
        <v>0.96240777016351686</v>
      </c>
      <c r="Q48" s="129">
        <f t="shared" si="33"/>
        <v>0.98515634974211319</v>
      </c>
      <c r="R48" s="129">
        <f t="shared" si="34"/>
        <v>0.96917975669342571</v>
      </c>
      <c r="T48" s="131">
        <f t="shared" si="21"/>
        <v>1.0802524643390676</v>
      </c>
      <c r="U48" s="131">
        <f t="shared" si="41"/>
        <v>0.96917975669342571</v>
      </c>
      <c r="V48" s="131">
        <f t="shared" si="42"/>
        <v>0.99379921000321103</v>
      </c>
      <c r="W48" s="131">
        <f t="shared" si="43"/>
        <v>0.97522693411106076</v>
      </c>
      <c r="X48" s="131">
        <f t="shared" si="44"/>
        <v>1.0469588205556111</v>
      </c>
      <c r="Y48" s="131">
        <f t="shared" si="26"/>
        <v>1.0469588205556108</v>
      </c>
      <c r="Z48" s="131"/>
      <c r="AA48" s="131">
        <f t="shared" si="45"/>
        <v>0.96917975669342571</v>
      </c>
      <c r="AD48" s="134"/>
      <c r="AF48" s="129">
        <f t="shared" si="46"/>
        <v>0.43058291477503635</v>
      </c>
      <c r="AG48" s="129">
        <f t="shared" si="47"/>
        <v>0.5694170852249637</v>
      </c>
      <c r="AH48" s="129"/>
      <c r="AI48" s="129">
        <f t="shared" si="53"/>
        <v>0.43262380149995083</v>
      </c>
      <c r="AJ48" s="129">
        <f t="shared" si="54"/>
        <v>0.56737052428944235</v>
      </c>
      <c r="AK48" s="129">
        <f t="shared" si="55"/>
        <v>0.99999432578939318</v>
      </c>
      <c r="AL48" s="129"/>
      <c r="AM48" s="129">
        <f t="shared" si="56"/>
        <v>0.43262625631244317</v>
      </c>
      <c r="AN48" s="129">
        <f t="shared" si="57"/>
        <v>0.56737374368755678</v>
      </c>
      <c r="AO48" s="129"/>
      <c r="AP48" s="129"/>
      <c r="AQ48" s="129">
        <f t="shared" si="58"/>
        <v>-3.2195188510284453E-2</v>
      </c>
      <c r="AR48" s="129">
        <f t="shared" si="59"/>
        <v>-1.2484985262795019E-2</v>
      </c>
      <c r="AS48" s="129"/>
      <c r="AT48" s="129">
        <f t="shared" si="48"/>
        <v>0.21567197961422951</v>
      </c>
      <c r="AU48" s="129">
        <f t="shared" si="49"/>
        <v>0.78432802038577043</v>
      </c>
      <c r="AV48" s="129"/>
      <c r="AW48" s="129">
        <f t="shared" si="60"/>
        <v>2.3967950056753714E-3</v>
      </c>
      <c r="AX48" s="129">
        <f t="shared" si="61"/>
        <v>-6.5805717465811401E-4</v>
      </c>
      <c r="AY48" s="129"/>
      <c r="AZ48" s="129"/>
      <c r="BA48" s="129">
        <f t="shared" si="62"/>
        <v>0.97920708014995972</v>
      </c>
      <c r="BB48" s="129">
        <f t="shared" si="63"/>
        <v>1.1623736096260515</v>
      </c>
      <c r="BC48" s="129">
        <f t="shared" si="50"/>
        <v>0.97522693411106076</v>
      </c>
      <c r="BE48">
        <f t="shared" si="64"/>
        <v>1.0006637722870959</v>
      </c>
      <c r="BF48" s="129">
        <f t="shared" si="65"/>
        <v>1.025016623305715</v>
      </c>
      <c r="BG48" s="129">
        <f t="shared" si="51"/>
        <v>0.99379921000321103</v>
      </c>
    </row>
    <row r="49" spans="1:59" x14ac:dyDescent="0.2">
      <c r="A49" s="133" t="s">
        <v>664</v>
      </c>
      <c r="B49" s="144">
        <f t="shared" si="52"/>
        <v>1988</v>
      </c>
      <c r="D49" s="4">
        <f>'Freight-based Energy Use'!B46</f>
        <v>1708.6348636531554</v>
      </c>
      <c r="E49" s="4">
        <f>'Freight-based Energy Use'!C46</f>
        <v>2241.5178374577536</v>
      </c>
      <c r="F49" s="4">
        <f t="shared" si="36"/>
        <v>3950.1527011109092</v>
      </c>
      <c r="H49" s="411">
        <f>'Freight-based Activity'!B46*3</f>
        <v>218054.75618551177</v>
      </c>
      <c r="I49" s="4">
        <f>'Freight-based Activity'!C46</f>
        <v>813333.33333333337</v>
      </c>
      <c r="J49" s="4">
        <f t="shared" si="37"/>
        <v>1031388.0895188451</v>
      </c>
      <c r="L49" s="4">
        <f t="shared" si="38"/>
        <v>7835.8064439535601</v>
      </c>
      <c r="M49" s="4">
        <f t="shared" si="39"/>
        <v>2755.9645542513363</v>
      </c>
      <c r="N49" s="4">
        <f t="shared" si="40"/>
        <v>3829.9382562714127</v>
      </c>
      <c r="P49" s="129">
        <f t="shared" si="32"/>
        <v>0.95769623057899222</v>
      </c>
      <c r="Q49" s="129">
        <f t="shared" si="33"/>
        <v>0.94818711970033731</v>
      </c>
      <c r="R49" s="129">
        <f t="shared" si="34"/>
        <v>0.941118115852979</v>
      </c>
      <c r="T49" s="131">
        <f t="shared" si="21"/>
        <v>1.1343864966650128</v>
      </c>
      <c r="U49" s="131">
        <f t="shared" si="41"/>
        <v>0.941118115852979</v>
      </c>
      <c r="V49" s="131">
        <f t="shared" si="42"/>
        <v>0.98832682530549842</v>
      </c>
      <c r="W49" s="131">
        <f t="shared" si="43"/>
        <v>0.95223370625609904</v>
      </c>
      <c r="X49" s="131">
        <f t="shared" si="44"/>
        <v>1.0675916823904383</v>
      </c>
      <c r="Y49" s="131">
        <f t="shared" si="26"/>
        <v>1.0675916823904386</v>
      </c>
      <c r="Z49" s="131"/>
      <c r="AA49" s="131">
        <f t="shared" si="45"/>
        <v>0.94111811585297889</v>
      </c>
      <c r="AD49" s="134"/>
      <c r="AF49" s="129">
        <f t="shared" si="46"/>
        <v>0.43254906656459957</v>
      </c>
      <c r="AG49" s="129">
        <f t="shared" si="47"/>
        <v>0.56745093343540043</v>
      </c>
      <c r="AH49" s="129"/>
      <c r="AI49" s="129">
        <f t="shared" si="53"/>
        <v>0.43156524421036324</v>
      </c>
      <c r="AJ49" s="129">
        <f t="shared" si="54"/>
        <v>0.56843344260419626</v>
      </c>
      <c r="AK49" s="129">
        <f t="shared" si="55"/>
        <v>0.9999986868145595</v>
      </c>
      <c r="AL49" s="129"/>
      <c r="AM49" s="129">
        <f t="shared" si="56"/>
        <v>0.43156581093630281</v>
      </c>
      <c r="AN49" s="129">
        <f t="shared" si="57"/>
        <v>0.56843418906369725</v>
      </c>
      <c r="AO49" s="129"/>
      <c r="AP49" s="129"/>
      <c r="AQ49" s="129">
        <f t="shared" si="58"/>
        <v>-4.9075977540397366E-3</v>
      </c>
      <c r="AR49" s="129">
        <f t="shared" si="59"/>
        <v>-3.82484928507799E-2</v>
      </c>
      <c r="AS49" s="129"/>
      <c r="AT49" s="129">
        <f t="shared" si="48"/>
        <v>0.21141872627910308</v>
      </c>
      <c r="AU49" s="129">
        <f t="shared" si="49"/>
        <v>0.78858127372089704</v>
      </c>
      <c r="AV49" s="129"/>
      <c r="AW49" s="129">
        <f t="shared" si="60"/>
        <v>-1.9917988803246866E-2</v>
      </c>
      <c r="AX49" s="129">
        <f t="shared" si="61"/>
        <v>5.4081487313723487E-3</v>
      </c>
      <c r="AY49" s="129"/>
      <c r="AZ49" s="129"/>
      <c r="BA49" s="129">
        <f t="shared" si="62"/>
        <v>0.97642268988815351</v>
      </c>
      <c r="BB49" s="129">
        <f t="shared" si="63"/>
        <v>1.1349679665660717</v>
      </c>
      <c r="BC49" s="129">
        <f t="shared" si="50"/>
        <v>0.95223370625609904</v>
      </c>
      <c r="BE49">
        <f t="shared" si="64"/>
        <v>0.99449347046905501</v>
      </c>
      <c r="BF49" s="129">
        <f t="shared" si="65"/>
        <v>1.0193723389997724</v>
      </c>
      <c r="BG49" s="129">
        <f t="shared" si="51"/>
        <v>0.98832682530549842</v>
      </c>
    </row>
    <row r="50" spans="1:59" x14ac:dyDescent="0.2">
      <c r="A50" s="133" t="s">
        <v>664</v>
      </c>
      <c r="B50" s="144">
        <f t="shared" si="52"/>
        <v>1989</v>
      </c>
      <c r="D50" s="4">
        <f>'Freight-based Energy Use'!B47</f>
        <v>1726.9797037585793</v>
      </c>
      <c r="E50" s="4">
        <f>'Freight-based Energy Use'!C47</f>
        <v>2317.8889218224836</v>
      </c>
      <c r="F50" s="4">
        <f t="shared" si="36"/>
        <v>4044.8686255810626</v>
      </c>
      <c r="H50" s="411">
        <f>'Freight-based Activity'!B47*3</f>
        <v>224388.99233638757</v>
      </c>
      <c r="I50" s="4">
        <f>'Freight-based Activity'!C47</f>
        <v>831923.80952380958</v>
      </c>
      <c r="J50" s="4">
        <f t="shared" si="37"/>
        <v>1056312.8018601972</v>
      </c>
      <c r="L50" s="4">
        <f t="shared" si="38"/>
        <v>7696.3655203264934</v>
      </c>
      <c r="M50" s="4">
        <f t="shared" si="39"/>
        <v>2786.179329510037</v>
      </c>
      <c r="N50" s="4">
        <f t="shared" si="40"/>
        <v>3829.2337444532836</v>
      </c>
      <c r="P50" s="129">
        <f t="shared" si="32"/>
        <v>0.94065369029915391</v>
      </c>
      <c r="Q50" s="129">
        <f t="shared" si="33"/>
        <v>0.95858248588193284</v>
      </c>
      <c r="R50" s="129">
        <f t="shared" si="34"/>
        <v>0.94094499848384439</v>
      </c>
      <c r="T50" s="131">
        <f t="shared" si="21"/>
        <v>1.1618002872649023</v>
      </c>
      <c r="U50" s="131">
        <f t="shared" si="41"/>
        <v>0.94094499848384439</v>
      </c>
      <c r="V50" s="131">
        <f t="shared" si="42"/>
        <v>0.9896269464354529</v>
      </c>
      <c r="W50" s="131">
        <f t="shared" si="43"/>
        <v>0.95080777849981069</v>
      </c>
      <c r="X50" s="131">
        <f t="shared" si="44"/>
        <v>1.0931901695390032</v>
      </c>
      <c r="Y50" s="131">
        <f t="shared" si="26"/>
        <v>1.0931901695390034</v>
      </c>
      <c r="Z50" s="131"/>
      <c r="AA50" s="131">
        <f t="shared" si="45"/>
        <v>0.94094499848384416</v>
      </c>
      <c r="AD50" s="134"/>
      <c r="AF50" s="129">
        <f t="shared" si="46"/>
        <v>0.42695569711129772</v>
      </c>
      <c r="AG50" s="129">
        <f t="shared" si="47"/>
        <v>0.57304430288870234</v>
      </c>
      <c r="AH50" s="129"/>
      <c r="AI50" s="129">
        <f t="shared" si="53"/>
        <v>0.42974631513991141</v>
      </c>
      <c r="AJ50" s="129">
        <f t="shared" si="54"/>
        <v>0.57024304617415067</v>
      </c>
      <c r="AK50" s="129">
        <f t="shared" si="55"/>
        <v>0.99998936131406202</v>
      </c>
      <c r="AL50" s="129"/>
      <c r="AM50" s="129">
        <f t="shared" si="56"/>
        <v>0.42975088712463111</v>
      </c>
      <c r="AN50" s="129">
        <f t="shared" si="57"/>
        <v>0.57024911287536895</v>
      </c>
      <c r="AO50" s="129"/>
      <c r="AP50" s="129"/>
      <c r="AQ50" s="129">
        <f t="shared" si="58"/>
        <v>-1.7955591823027098E-2</v>
      </c>
      <c r="AR50" s="129">
        <f t="shared" si="59"/>
        <v>1.0903749613554654E-2</v>
      </c>
      <c r="AS50" s="129"/>
      <c r="AT50" s="129">
        <f t="shared" si="48"/>
        <v>0.21242665235262898</v>
      </c>
      <c r="AU50" s="129">
        <f t="shared" si="49"/>
        <v>0.78757334764737097</v>
      </c>
      <c r="AV50" s="129"/>
      <c r="AW50" s="129">
        <f t="shared" si="60"/>
        <v>4.7561116592559115E-3</v>
      </c>
      <c r="AX50" s="129">
        <f t="shared" si="61"/>
        <v>-1.2789686966687397E-3</v>
      </c>
      <c r="AY50" s="129"/>
      <c r="AZ50" s="129"/>
      <c r="BA50" s="129">
        <f t="shared" si="62"/>
        <v>0.99850254433662644</v>
      </c>
      <c r="BB50" s="129">
        <f t="shared" si="63"/>
        <v>1.1332684023567898</v>
      </c>
      <c r="BC50" s="129">
        <f t="shared" si="50"/>
        <v>0.95080777849981069</v>
      </c>
      <c r="BE50">
        <f t="shared" si="64"/>
        <v>1.0013154769218702</v>
      </c>
      <c r="BF50" s="129">
        <f t="shared" si="65"/>
        <v>1.0207132997865194</v>
      </c>
      <c r="BG50" s="129">
        <f t="shared" si="51"/>
        <v>0.9896269464354529</v>
      </c>
    </row>
    <row r="51" spans="1:59" x14ac:dyDescent="0.2">
      <c r="A51" s="133" t="s">
        <v>664</v>
      </c>
      <c r="B51" s="144">
        <f t="shared" si="52"/>
        <v>1990</v>
      </c>
      <c r="D51" s="4">
        <f>'Freight-based Energy Use'!B48</f>
        <v>1855.6372976959301</v>
      </c>
      <c r="E51" s="4">
        <f>'Freight-based Energy Use'!C48</f>
        <v>2377.4566154647368</v>
      </c>
      <c r="F51" s="4">
        <f t="shared" si="36"/>
        <v>4233.0939131606665</v>
      </c>
      <c r="H51" s="411">
        <f>'Freight-based Activity'!B48*3</f>
        <v>228936.76216337434</v>
      </c>
      <c r="I51" s="4">
        <f>'Freight-based Activity'!C48</f>
        <v>854000</v>
      </c>
      <c r="J51" s="4">
        <f t="shared" si="37"/>
        <v>1082936.7621633743</v>
      </c>
      <c r="L51" s="4">
        <f t="shared" si="38"/>
        <v>8105.4579446341004</v>
      </c>
      <c r="M51" s="4">
        <f t="shared" si="39"/>
        <v>2783.9070438697149</v>
      </c>
      <c r="N51" s="4">
        <f t="shared" si="40"/>
        <v>3908.9022194650111</v>
      </c>
      <c r="P51" s="129">
        <f t="shared" si="32"/>
        <v>0.99065317350743753</v>
      </c>
      <c r="Q51" s="129">
        <f t="shared" si="33"/>
        <v>0.9578007080564126</v>
      </c>
      <c r="R51" s="129">
        <f t="shared" si="34"/>
        <v>0.96052167050281068</v>
      </c>
      <c r="T51" s="131">
        <f t="shared" si="21"/>
        <v>1.1910830193059121</v>
      </c>
      <c r="U51" s="131">
        <f t="shared" si="41"/>
        <v>0.96052167050281068</v>
      </c>
      <c r="V51" s="131">
        <f t="shared" si="42"/>
        <v>0.98828970936446359</v>
      </c>
      <c r="W51" s="131">
        <f t="shared" si="43"/>
        <v>0.97190293635708291</v>
      </c>
      <c r="X51" s="131">
        <f t="shared" si="44"/>
        <v>1.1440610514112457</v>
      </c>
      <c r="Y51" s="131">
        <f t="shared" si="26"/>
        <v>1.1440610514112461</v>
      </c>
      <c r="Z51" s="131"/>
      <c r="AA51" s="131">
        <f t="shared" si="45"/>
        <v>0.96052167050281023</v>
      </c>
      <c r="AD51" s="134"/>
      <c r="AF51" s="129">
        <f t="shared" si="46"/>
        <v>0.43836431124921743</v>
      </c>
      <c r="AG51" s="129">
        <f t="shared" si="47"/>
        <v>0.56163568875078274</v>
      </c>
      <c r="AH51" s="129"/>
      <c r="AI51" s="129">
        <f t="shared" si="53"/>
        <v>0.43263493397327779</v>
      </c>
      <c r="AJ51" s="129">
        <f t="shared" si="54"/>
        <v>0.56732087736249115</v>
      </c>
      <c r="AK51" s="129">
        <f t="shared" si="55"/>
        <v>0.99995581133576894</v>
      </c>
      <c r="AL51" s="129"/>
      <c r="AM51" s="129">
        <f t="shared" si="56"/>
        <v>0.43265405237792653</v>
      </c>
      <c r="AN51" s="129">
        <f t="shared" si="57"/>
        <v>0.56734594762207347</v>
      </c>
      <c r="AO51" s="129"/>
      <c r="AP51" s="129"/>
      <c r="AQ51" s="129">
        <f t="shared" si="58"/>
        <v>5.1789448008123302E-2</v>
      </c>
      <c r="AR51" s="129">
        <f t="shared" si="59"/>
        <v>-8.1588888001159286E-4</v>
      </c>
      <c r="AS51" s="129"/>
      <c r="AT51" s="129">
        <f t="shared" si="48"/>
        <v>0.21140362961363426</v>
      </c>
      <c r="AU51" s="129">
        <f t="shared" si="49"/>
        <v>0.78859637038636576</v>
      </c>
      <c r="AV51" s="129"/>
      <c r="AW51" s="129">
        <f t="shared" si="60"/>
        <v>-4.8275206813420792E-3</v>
      </c>
      <c r="AX51" s="129">
        <f t="shared" si="61"/>
        <v>1.2981125965655716E-3</v>
      </c>
      <c r="AY51" s="129"/>
      <c r="AZ51" s="129"/>
      <c r="BA51" s="129">
        <f t="shared" si="62"/>
        <v>1.0221865642396788</v>
      </c>
      <c r="BB51" s="129">
        <f t="shared" si="63"/>
        <v>1.1584117345664768</v>
      </c>
      <c r="BC51" s="129">
        <f t="shared" si="50"/>
        <v>0.97190293635708291</v>
      </c>
      <c r="BE51">
        <f t="shared" si="64"/>
        <v>0.99864874630202227</v>
      </c>
      <c r="BF51" s="129">
        <f t="shared" si="65"/>
        <v>1.0193340571656078</v>
      </c>
      <c r="BG51" s="129">
        <f t="shared" si="51"/>
        <v>0.98828970936446359</v>
      </c>
    </row>
    <row r="52" spans="1:59" x14ac:dyDescent="0.2">
      <c r="A52" s="133" t="s">
        <v>664</v>
      </c>
      <c r="B52" s="144">
        <f t="shared" si="52"/>
        <v>1991</v>
      </c>
      <c r="D52" s="4">
        <f>'Freight-based Energy Use'!B49</f>
        <v>1815.809993704861</v>
      </c>
      <c r="E52" s="4">
        <f>'Freight-based Energy Use'!C49</f>
        <v>2478.5288033842644</v>
      </c>
      <c r="F52" s="4">
        <f t="shared" si="36"/>
        <v>4294.3387970891254</v>
      </c>
      <c r="H52" s="411">
        <f>'Freight-based Activity'!B49*3</f>
        <v>233334.5570397136</v>
      </c>
      <c r="I52" s="4">
        <f>'Freight-based Activity'!C49</f>
        <v>874000</v>
      </c>
      <c r="J52" s="4">
        <f t="shared" si="37"/>
        <v>1107334.5570397135</v>
      </c>
      <c r="L52" s="4">
        <f t="shared" si="38"/>
        <v>7782.0020177971737</v>
      </c>
      <c r="M52" s="4">
        <f t="shared" si="39"/>
        <v>2835.8453127966409</v>
      </c>
      <c r="N52" s="4">
        <f t="shared" si="40"/>
        <v>3878.0861391785438</v>
      </c>
      <c r="P52" s="129">
        <f t="shared" si="32"/>
        <v>0.9511202263748304</v>
      </c>
      <c r="Q52" s="129">
        <f t="shared" si="33"/>
        <v>0.97567002264541014</v>
      </c>
      <c r="R52" s="129">
        <f t="shared" si="34"/>
        <v>0.95294933657035497</v>
      </c>
      <c r="T52" s="131">
        <f t="shared" si="21"/>
        <v>1.2179172724230229</v>
      </c>
      <c r="U52" s="131">
        <f t="shared" si="41"/>
        <v>0.95294933657035497</v>
      </c>
      <c r="V52" s="131">
        <f t="shared" si="42"/>
        <v>0.98739587309818033</v>
      </c>
      <c r="W52" s="131">
        <f t="shared" si="43"/>
        <v>0.96511375278514988</v>
      </c>
      <c r="X52" s="131">
        <f t="shared" si="44"/>
        <v>1.1606134567530952</v>
      </c>
      <c r="Y52" s="131">
        <f t="shared" si="26"/>
        <v>1.1606134567530959</v>
      </c>
      <c r="Z52" s="131"/>
      <c r="AA52" s="131">
        <f t="shared" si="45"/>
        <v>0.95294933657035441</v>
      </c>
      <c r="AD52" s="134"/>
      <c r="AF52" s="129">
        <f t="shared" si="46"/>
        <v>0.42283808509372611</v>
      </c>
      <c r="AG52" s="129">
        <f t="shared" si="47"/>
        <v>0.57716191490627389</v>
      </c>
      <c r="AH52" s="129"/>
      <c r="AI52" s="129">
        <f t="shared" si="53"/>
        <v>0.43055454158272488</v>
      </c>
      <c r="AJ52" s="129">
        <f t="shared" si="54"/>
        <v>0.56936351963728926</v>
      </c>
      <c r="AK52" s="129">
        <f t="shared" si="55"/>
        <v>0.99991806122001414</v>
      </c>
      <c r="AL52" s="129"/>
      <c r="AM52" s="129">
        <f t="shared" si="56"/>
        <v>0.430589823587544</v>
      </c>
      <c r="AN52" s="129">
        <f t="shared" si="57"/>
        <v>0.56941017641245606</v>
      </c>
      <c r="AO52" s="129"/>
      <c r="AP52" s="129"/>
      <c r="AQ52" s="129">
        <f t="shared" si="58"/>
        <v>-4.0724021235967058E-2</v>
      </c>
      <c r="AR52" s="129">
        <f t="shared" si="59"/>
        <v>1.8484710534304592E-2</v>
      </c>
      <c r="AS52" s="129"/>
      <c r="AT52" s="129">
        <f t="shared" si="48"/>
        <v>0.21071730811282294</v>
      </c>
      <c r="AU52" s="129">
        <f t="shared" si="49"/>
        <v>0.78928269188717715</v>
      </c>
      <c r="AV52" s="129"/>
      <c r="AW52" s="129">
        <f t="shared" si="60"/>
        <v>-3.2517794984317987E-3</v>
      </c>
      <c r="AX52" s="129">
        <f t="shared" si="61"/>
        <v>8.6992921131123432E-4</v>
      </c>
      <c r="AY52" s="129"/>
      <c r="AZ52" s="129"/>
      <c r="BA52" s="129">
        <f t="shared" si="62"/>
        <v>0.9930145456732743</v>
      </c>
      <c r="BB52" s="129">
        <f t="shared" si="63"/>
        <v>1.1503197023031195</v>
      </c>
      <c r="BC52" s="129">
        <f t="shared" si="50"/>
        <v>0.96511375278514988</v>
      </c>
      <c r="BE52">
        <f t="shared" si="64"/>
        <v>0.9990955726263121</v>
      </c>
      <c r="BF52" s="129">
        <f t="shared" si="65"/>
        <v>1.0184121435413749</v>
      </c>
      <c r="BG52" s="129">
        <f t="shared" si="51"/>
        <v>0.98739587309818033</v>
      </c>
    </row>
    <row r="53" spans="1:59" x14ac:dyDescent="0.2">
      <c r="A53" s="133" t="s">
        <v>664</v>
      </c>
      <c r="B53" s="144">
        <f t="shared" si="52"/>
        <v>1992</v>
      </c>
      <c r="D53" s="4">
        <f>'Freight-based Energy Use'!B50</f>
        <v>1830.802864340533</v>
      </c>
      <c r="E53" s="4">
        <f>'Freight-based Energy Use'!C50</f>
        <v>2539.5371510286682</v>
      </c>
      <c r="F53" s="4">
        <f t="shared" si="36"/>
        <v>4370.340015369201</v>
      </c>
      <c r="H53" s="411">
        <f>'Freight-based Activity'!B50*3</f>
        <v>237639.72032888827</v>
      </c>
      <c r="I53" s="4">
        <f>'Freight-based Activity'!C50</f>
        <v>896000</v>
      </c>
      <c r="J53" s="4">
        <f t="shared" si="37"/>
        <v>1133639.7203288884</v>
      </c>
      <c r="L53" s="4">
        <f t="shared" si="38"/>
        <v>7704.111340506297</v>
      </c>
      <c r="M53" s="4">
        <f t="shared" si="39"/>
        <v>2834.3048560587813</v>
      </c>
      <c r="N53" s="4">
        <f t="shared" si="40"/>
        <v>3855.1401622565681</v>
      </c>
      <c r="P53" s="129">
        <f t="shared" si="32"/>
        <v>0.94160038836297155</v>
      </c>
      <c r="Q53" s="129">
        <f t="shared" si="33"/>
        <v>0.97514002989385573</v>
      </c>
      <c r="R53" s="129">
        <f t="shared" si="34"/>
        <v>0.94731089722166451</v>
      </c>
      <c r="T53" s="131">
        <f t="shared" si="21"/>
        <v>1.2468493711461419</v>
      </c>
      <c r="U53" s="131">
        <f t="shared" si="41"/>
        <v>0.94731089722166451</v>
      </c>
      <c r="V53" s="131">
        <f t="shared" si="42"/>
        <v>0.98602836072047884</v>
      </c>
      <c r="W53" s="131">
        <f t="shared" si="43"/>
        <v>0.96073392506628852</v>
      </c>
      <c r="X53" s="131">
        <f t="shared" si="44"/>
        <v>1.1811539964807189</v>
      </c>
      <c r="Y53" s="131">
        <f t="shared" si="26"/>
        <v>1.1811539964807196</v>
      </c>
      <c r="Z53" s="131"/>
      <c r="AA53" s="131">
        <f t="shared" si="45"/>
        <v>0.94731089722166384</v>
      </c>
      <c r="AD53" s="134"/>
      <c r="AF53" s="129">
        <f t="shared" si="46"/>
        <v>0.41891542944076149</v>
      </c>
      <c r="AG53" s="129">
        <f t="shared" si="47"/>
        <v>0.58108457055923857</v>
      </c>
      <c r="AH53" s="129"/>
      <c r="AI53" s="129">
        <f t="shared" si="53"/>
        <v>0.42087371058825601</v>
      </c>
      <c r="AJ53" s="129">
        <f t="shared" si="54"/>
        <v>0.57912102857042358</v>
      </c>
      <c r="AK53" s="129">
        <f t="shared" si="55"/>
        <v>0.99999473915867965</v>
      </c>
      <c r="AL53" s="129"/>
      <c r="AM53" s="129">
        <f t="shared" si="56"/>
        <v>0.42087592474971169</v>
      </c>
      <c r="AN53" s="129">
        <f t="shared" si="57"/>
        <v>0.57912407525028831</v>
      </c>
      <c r="AO53" s="129"/>
      <c r="AP53" s="129"/>
      <c r="AQ53" s="129">
        <f t="shared" si="58"/>
        <v>-1.0059507162919718E-2</v>
      </c>
      <c r="AR53" s="129">
        <f t="shared" si="59"/>
        <v>-5.4335660604579563E-4</v>
      </c>
      <c r="AS53" s="129"/>
      <c r="AT53" s="129">
        <f t="shared" si="48"/>
        <v>0.20962543572480408</v>
      </c>
      <c r="AU53" s="129">
        <f t="shared" si="49"/>
        <v>0.79037456427519581</v>
      </c>
      <c r="AV53" s="129"/>
      <c r="AW53" s="129">
        <f t="shared" si="60"/>
        <v>-5.1951644690138646E-3</v>
      </c>
      <c r="AX53" s="129">
        <f t="shared" si="61"/>
        <v>1.3824170498339743E-3</v>
      </c>
      <c r="AY53" s="129"/>
      <c r="AZ53" s="129"/>
      <c r="BA53" s="129">
        <f t="shared" si="62"/>
        <v>0.99546185337612081</v>
      </c>
      <c r="BB53" s="129">
        <f t="shared" si="63"/>
        <v>1.1450993828297309</v>
      </c>
      <c r="BC53" s="129">
        <f t="shared" si="50"/>
        <v>0.96073392506628852</v>
      </c>
      <c r="BE53">
        <f t="shared" si="64"/>
        <v>0.99861503130106211</v>
      </c>
      <c r="BF53" s="129">
        <f t="shared" si="65"/>
        <v>1.0170016745999517</v>
      </c>
      <c r="BG53" s="129">
        <f t="shared" si="51"/>
        <v>0.98602836072047884</v>
      </c>
    </row>
    <row r="54" spans="1:59" x14ac:dyDescent="0.2">
      <c r="A54" s="133" t="s">
        <v>664</v>
      </c>
      <c r="B54" s="144">
        <f t="shared" si="52"/>
        <v>1993</v>
      </c>
      <c r="D54" s="4">
        <f>'Freight-based Energy Use'!B51</f>
        <v>1886.6537260254195</v>
      </c>
      <c r="E54" s="4">
        <f>'Freight-based Energy Use'!C51</f>
        <v>2617.9723624447538</v>
      </c>
      <c r="F54" s="4">
        <f t="shared" si="36"/>
        <v>4504.6260884701733</v>
      </c>
      <c r="H54" s="411">
        <f>'Freight-based Activity'!B51*3</f>
        <v>250422.87935760559</v>
      </c>
      <c r="I54" s="4">
        <f>'Freight-based Activity'!C51</f>
        <v>936000</v>
      </c>
      <c r="J54" s="4">
        <f t="shared" si="37"/>
        <v>1186422.8793576057</v>
      </c>
      <c r="L54" s="4">
        <f t="shared" si="38"/>
        <v>7533.871229598255</v>
      </c>
      <c r="M54" s="4">
        <f t="shared" si="39"/>
        <v>2796.9790197059338</v>
      </c>
      <c r="N54" s="4">
        <f t="shared" si="40"/>
        <v>3796.8132331612019</v>
      </c>
      <c r="P54" s="129">
        <f t="shared" si="32"/>
        <v>0.92079355582108446</v>
      </c>
      <c r="Q54" s="129">
        <f t="shared" si="33"/>
        <v>0.96229810955521522</v>
      </c>
      <c r="R54" s="129">
        <f t="shared" si="34"/>
        <v>0.93297841300371753</v>
      </c>
      <c r="T54" s="131">
        <f t="shared" si="21"/>
        <v>1.3049036607602793</v>
      </c>
      <c r="U54" s="131">
        <f t="shared" si="41"/>
        <v>0.93297841300371753</v>
      </c>
      <c r="V54" s="131">
        <f t="shared" si="42"/>
        <v>0.98782293555431089</v>
      </c>
      <c r="W54" s="131">
        <f t="shared" si="43"/>
        <v>0.94447939951928916</v>
      </c>
      <c r="X54" s="131">
        <f t="shared" si="44"/>
        <v>1.2174469465388662</v>
      </c>
      <c r="Y54" s="131">
        <f t="shared" si="26"/>
        <v>1.2174469465388666</v>
      </c>
      <c r="Z54" s="131"/>
      <c r="AA54" s="131">
        <f t="shared" si="45"/>
        <v>0.93297841300371698</v>
      </c>
      <c r="AD54" s="134"/>
      <c r="AF54" s="129">
        <f t="shared" si="46"/>
        <v>0.41882582238166416</v>
      </c>
      <c r="AG54" s="129">
        <f t="shared" si="47"/>
        <v>0.58117417761833579</v>
      </c>
      <c r="AH54" s="129"/>
      <c r="AI54" s="129">
        <f t="shared" si="53"/>
        <v>0.41887062431369876</v>
      </c>
      <c r="AJ54" s="129">
        <f t="shared" si="54"/>
        <v>0.58112937293761469</v>
      </c>
      <c r="AK54" s="129">
        <f t="shared" si="55"/>
        <v>0.99999999725131339</v>
      </c>
      <c r="AL54" s="129"/>
      <c r="AM54" s="129">
        <f t="shared" si="56"/>
        <v>0.41887062546504283</v>
      </c>
      <c r="AN54" s="129">
        <f t="shared" si="57"/>
        <v>0.58112937453495717</v>
      </c>
      <c r="AO54" s="129"/>
      <c r="AP54" s="129"/>
      <c r="AQ54" s="129">
        <f t="shared" si="58"/>
        <v>-2.2345109469538091E-2</v>
      </c>
      <c r="AR54" s="129">
        <f t="shared" si="59"/>
        <v>-1.325679323564029E-2</v>
      </c>
      <c r="AS54" s="129"/>
      <c r="AT54" s="129">
        <f t="shared" si="48"/>
        <v>0.21107387906510894</v>
      </c>
      <c r="AU54" s="129">
        <f t="shared" si="49"/>
        <v>0.78892612093489101</v>
      </c>
      <c r="AV54" s="129"/>
      <c r="AW54" s="129">
        <f t="shared" si="60"/>
        <v>6.8859112084779786E-3</v>
      </c>
      <c r="AX54" s="129">
        <f t="shared" si="61"/>
        <v>-1.8342849591452275E-3</v>
      </c>
      <c r="AY54" s="129"/>
      <c r="AZ54" s="129"/>
      <c r="BA54" s="129">
        <f t="shared" si="62"/>
        <v>0.98308113711517175</v>
      </c>
      <c r="BB54" s="129">
        <f t="shared" si="63"/>
        <v>1.1257256033821332</v>
      </c>
      <c r="BC54" s="129">
        <f t="shared" si="50"/>
        <v>0.94447939951928916</v>
      </c>
      <c r="BE54">
        <f t="shared" si="64"/>
        <v>1.001820003262909</v>
      </c>
      <c r="BF54" s="129">
        <f t="shared" si="65"/>
        <v>1.0188526209661075</v>
      </c>
      <c r="BG54" s="129">
        <f t="shared" si="51"/>
        <v>0.98782293555431089</v>
      </c>
    </row>
    <row r="55" spans="1:59" x14ac:dyDescent="0.2">
      <c r="A55" s="133" t="s">
        <v>664</v>
      </c>
      <c r="B55" s="144">
        <f t="shared" si="52"/>
        <v>1994</v>
      </c>
      <c r="D55" s="4">
        <f>'Freight-based Energy Use'!B52</f>
        <v>2009.0860647434911</v>
      </c>
      <c r="E55" s="4">
        <f>'Freight-based Energy Use'!C52</f>
        <v>2753.6471749087855</v>
      </c>
      <c r="F55" s="4">
        <f t="shared" si="36"/>
        <v>4762.7332396522761</v>
      </c>
      <c r="H55" s="411">
        <f>'Freight-based Activity'!B52*3</f>
        <v>270325.43751411792</v>
      </c>
      <c r="I55" s="4">
        <f>'Freight-based Activity'!C52</f>
        <v>996000</v>
      </c>
      <c r="J55" s="4">
        <f t="shared" si="37"/>
        <v>1266325.4375141179</v>
      </c>
      <c r="L55" s="4">
        <f t="shared" si="38"/>
        <v>7432.1014079134347</v>
      </c>
      <c r="M55" s="4">
        <f t="shared" si="39"/>
        <v>2764.7059989044028</v>
      </c>
      <c r="N55" s="4">
        <f t="shared" si="40"/>
        <v>3761.0657565260967</v>
      </c>
      <c r="P55" s="129">
        <f t="shared" si="32"/>
        <v>0.90835519669220932</v>
      </c>
      <c r="Q55" s="129">
        <f t="shared" si="33"/>
        <v>0.95119460585063098</v>
      </c>
      <c r="R55" s="129">
        <f t="shared" si="34"/>
        <v>0.92419430328543695</v>
      </c>
      <c r="T55" s="131">
        <f t="shared" si="21"/>
        <v>1.3927855976789256</v>
      </c>
      <c r="U55" s="131">
        <f t="shared" si="41"/>
        <v>0.92419430328543695</v>
      </c>
      <c r="V55" s="131">
        <f t="shared" si="42"/>
        <v>0.99077533881458202</v>
      </c>
      <c r="W55" s="131">
        <f t="shared" si="43"/>
        <v>0.93279905855468037</v>
      </c>
      <c r="X55" s="131">
        <f t="shared" si="44"/>
        <v>1.287204515072865</v>
      </c>
      <c r="Y55" s="131">
        <f t="shared" si="26"/>
        <v>1.2872045150728653</v>
      </c>
      <c r="Z55" s="131"/>
      <c r="AA55" s="131">
        <f t="shared" si="45"/>
        <v>0.92419430328543661</v>
      </c>
      <c r="AB55" s="129"/>
      <c r="AD55" s="134"/>
      <c r="AF55" s="129">
        <f t="shared" si="46"/>
        <v>0.42183468266011326</v>
      </c>
      <c r="AG55" s="129">
        <f t="shared" si="47"/>
        <v>0.57816531733988685</v>
      </c>
      <c r="AH55" s="129"/>
      <c r="AI55" s="129">
        <f t="shared" si="53"/>
        <v>0.42032845764827986</v>
      </c>
      <c r="AJ55" s="129">
        <f t="shared" si="54"/>
        <v>0.57966844598280376</v>
      </c>
      <c r="AK55" s="129">
        <f t="shared" si="55"/>
        <v>0.99999690363108362</v>
      </c>
      <c r="AL55" s="129"/>
      <c r="AM55" s="129">
        <f t="shared" si="56"/>
        <v>0.42032975914428072</v>
      </c>
      <c r="AN55" s="129">
        <f t="shared" si="57"/>
        <v>0.57967024085571928</v>
      </c>
      <c r="AO55" s="129"/>
      <c r="AP55" s="129"/>
      <c r="AQ55" s="129">
        <f t="shared" si="58"/>
        <v>-1.3600371034044635E-2</v>
      </c>
      <c r="AR55" s="129">
        <f t="shared" si="59"/>
        <v>-1.160561338198556E-2</v>
      </c>
      <c r="AS55" s="129"/>
      <c r="AT55" s="129">
        <f t="shared" si="48"/>
        <v>0.21347232670677843</v>
      </c>
      <c r="AU55" s="129">
        <f t="shared" si="49"/>
        <v>0.7865276732932216</v>
      </c>
      <c r="AV55" s="129"/>
      <c r="AW55" s="129">
        <f t="shared" si="60"/>
        <v>1.1298997027688624E-2</v>
      </c>
      <c r="AX55" s="129">
        <f t="shared" si="61"/>
        <v>-3.0447728818011814E-3</v>
      </c>
      <c r="AY55" s="129"/>
      <c r="AZ55" s="129"/>
      <c r="BA55" s="129">
        <f t="shared" si="62"/>
        <v>0.98763303787191781</v>
      </c>
      <c r="BB55" s="129">
        <f t="shared" si="63"/>
        <v>1.111803797478494</v>
      </c>
      <c r="BC55" s="129">
        <f t="shared" si="50"/>
        <v>0.93279905855468037</v>
      </c>
      <c r="BE55">
        <f t="shared" si="64"/>
        <v>1.0029887980467009</v>
      </c>
      <c r="BF55" s="129">
        <f t="shared" si="65"/>
        <v>1.0218977656895272</v>
      </c>
      <c r="BG55" s="129">
        <f t="shared" si="51"/>
        <v>0.99077533881458202</v>
      </c>
    </row>
    <row r="56" spans="1:59" x14ac:dyDescent="0.2">
      <c r="A56" s="133" t="s">
        <v>664</v>
      </c>
      <c r="B56" s="144">
        <f t="shared" si="52"/>
        <v>1995</v>
      </c>
      <c r="D56" s="4">
        <f>'Freight-based Energy Use'!B53</f>
        <v>2051.5088977285041</v>
      </c>
      <c r="E56" s="4">
        <f>'Freight-based Energy Use'!C53</f>
        <v>2921.6717235722822</v>
      </c>
      <c r="F56" s="4">
        <f t="shared" si="36"/>
        <v>4973.1806213007858</v>
      </c>
      <c r="H56" s="411">
        <f>'Freight-based Activity'!B53*3</f>
        <v>276602.33030151087</v>
      </c>
      <c r="I56" s="4">
        <f>'Freight-based Activity'!C53</f>
        <v>1042000</v>
      </c>
      <c r="J56" s="4">
        <f t="shared" si="37"/>
        <v>1318602.3303015109</v>
      </c>
      <c r="L56" s="4">
        <f t="shared" si="38"/>
        <v>7416.8171160823304</v>
      </c>
      <c r="M56" s="4">
        <f t="shared" si="39"/>
        <v>2803.9076041960484</v>
      </c>
      <c r="N56" s="4">
        <f t="shared" si="40"/>
        <v>3771.5545521321965</v>
      </c>
      <c r="P56" s="129">
        <f t="shared" si="32"/>
        <v>0.90648714280670106</v>
      </c>
      <c r="Q56" s="129">
        <f t="shared" si="33"/>
        <v>0.96468188280119116</v>
      </c>
      <c r="R56" s="129">
        <f t="shared" si="34"/>
        <v>0.92677168049046521</v>
      </c>
      <c r="T56" s="131">
        <f t="shared" si="21"/>
        <v>1.4502830633451118</v>
      </c>
      <c r="U56" s="131">
        <f t="shared" si="41"/>
        <v>0.92677168049046521</v>
      </c>
      <c r="V56" s="131">
        <f t="shared" si="42"/>
        <v>0.98626533841462505</v>
      </c>
      <c r="W56" s="131">
        <f t="shared" si="43"/>
        <v>0.93967783758902723</v>
      </c>
      <c r="X56" s="131">
        <f t="shared" si="44"/>
        <v>1.3440812718032089</v>
      </c>
      <c r="Y56" s="131">
        <f t="shared" si="26"/>
        <v>1.3440812718032091</v>
      </c>
      <c r="Z56" s="131"/>
      <c r="AA56" s="131">
        <f t="shared" si="45"/>
        <v>0.92677168049046499</v>
      </c>
      <c r="AD56" s="134"/>
      <c r="AF56" s="129">
        <f t="shared" si="46"/>
        <v>0.41251445582764923</v>
      </c>
      <c r="AG56" s="129">
        <f t="shared" si="47"/>
        <v>0.58748554417235088</v>
      </c>
      <c r="AH56" s="129"/>
      <c r="AI56" s="129">
        <f t="shared" si="53"/>
        <v>0.41715721649251097</v>
      </c>
      <c r="AJ56" s="129">
        <f t="shared" si="54"/>
        <v>0.58281301021178988</v>
      </c>
      <c r="AK56" s="129">
        <f t="shared" si="55"/>
        <v>0.99997022670430091</v>
      </c>
      <c r="AL56" s="129"/>
      <c r="AM56" s="129">
        <f t="shared" si="56"/>
        <v>0.41716963700747028</v>
      </c>
      <c r="AN56" s="129">
        <f t="shared" si="57"/>
        <v>0.58283036299252966</v>
      </c>
      <c r="AO56" s="129"/>
      <c r="AP56" s="129"/>
      <c r="AQ56" s="129">
        <f t="shared" si="58"/>
        <v>-2.058641133266528E-3</v>
      </c>
      <c r="AR56" s="129">
        <f t="shared" si="59"/>
        <v>1.4079717390737241E-2</v>
      </c>
      <c r="AS56" s="129"/>
      <c r="AT56" s="129">
        <f t="shared" si="48"/>
        <v>0.20976933222790767</v>
      </c>
      <c r="AU56" s="129">
        <f t="shared" si="49"/>
        <v>0.79023066777209239</v>
      </c>
      <c r="AV56" s="129"/>
      <c r="AW56" s="129">
        <f t="shared" si="60"/>
        <v>-1.7498697917174691E-2</v>
      </c>
      <c r="AX56" s="129">
        <f t="shared" si="61"/>
        <v>4.6969801145370664E-3</v>
      </c>
      <c r="AY56" s="129"/>
      <c r="AZ56" s="129"/>
      <c r="BA56" s="129">
        <f t="shared" si="62"/>
        <v>1.0073743417419452</v>
      </c>
      <c r="BB56" s="129">
        <f t="shared" si="63"/>
        <v>1.1200026186310927</v>
      </c>
      <c r="BC56" s="129">
        <f t="shared" si="50"/>
        <v>0.93967783758902723</v>
      </c>
      <c r="BE56">
        <f t="shared" si="64"/>
        <v>0.99544800902558506</v>
      </c>
      <c r="BF56" s="129">
        <f t="shared" si="65"/>
        <v>1.0172460962833336</v>
      </c>
      <c r="BG56" s="129">
        <f t="shared" si="51"/>
        <v>0.98626533841462505</v>
      </c>
    </row>
    <row r="57" spans="1:59" x14ac:dyDescent="0.2">
      <c r="A57" s="133" t="s">
        <v>664</v>
      </c>
      <c r="B57" s="144">
        <f t="shared" si="52"/>
        <v>1996</v>
      </c>
      <c r="D57" s="4">
        <f>'Freight-based Energy Use'!B54</f>
        <v>2096.1284370490289</v>
      </c>
      <c r="E57" s="4">
        <f>'Freight-based Energy Use'!C54</f>
        <v>2985.4518646676502</v>
      </c>
      <c r="F57" s="4">
        <f t="shared" si="36"/>
        <v>5081.5803017166791</v>
      </c>
      <c r="H57" s="411">
        <f>'Freight-based Activity'!B54*3</f>
        <v>282623.38346721104</v>
      </c>
      <c r="I57" s="4">
        <f>'Freight-based Activity'!C54</f>
        <v>1071000</v>
      </c>
      <c r="J57" s="4">
        <f t="shared" si="37"/>
        <v>1353623.3834672109</v>
      </c>
      <c r="L57" s="4">
        <f t="shared" si="38"/>
        <v>7416.6843922601829</v>
      </c>
      <c r="M57" s="4">
        <f t="shared" si="39"/>
        <v>2787.536755058497</v>
      </c>
      <c r="N57" s="4">
        <f t="shared" si="40"/>
        <v>3754.0577119025302</v>
      </c>
      <c r="P57" s="129">
        <f t="shared" si="32"/>
        <v>0.90647092123396467</v>
      </c>
      <c r="Q57" s="129">
        <f t="shared" si="33"/>
        <v>0.95904950691782265</v>
      </c>
      <c r="R57" s="129">
        <f t="shared" si="34"/>
        <v>0.92247223955734814</v>
      </c>
      <c r="T57" s="131">
        <f t="shared" si="21"/>
        <v>1.4888014544472341</v>
      </c>
      <c r="U57" s="131">
        <f t="shared" si="41"/>
        <v>0.92247223955734814</v>
      </c>
      <c r="V57" s="131">
        <f t="shared" si="42"/>
        <v>0.98508018603419034</v>
      </c>
      <c r="W57" s="131">
        <f t="shared" si="43"/>
        <v>0.93644380694642282</v>
      </c>
      <c r="X57" s="131">
        <f t="shared" si="44"/>
        <v>1.3733780119401766</v>
      </c>
      <c r="Y57" s="131">
        <f t="shared" si="26"/>
        <v>1.3733780119401773</v>
      </c>
      <c r="Z57" s="131"/>
      <c r="AA57" s="131">
        <f t="shared" si="45"/>
        <v>0.92247223955734758</v>
      </c>
      <c r="AD57" s="134"/>
      <c r="AF57" s="129">
        <f t="shared" si="46"/>
        <v>0.41249538777157702</v>
      </c>
      <c r="AG57" s="129">
        <f t="shared" si="47"/>
        <v>0.58750461222842298</v>
      </c>
      <c r="AH57" s="129"/>
      <c r="AI57" s="129">
        <f t="shared" si="53"/>
        <v>0.41250492172579667</v>
      </c>
      <c r="AJ57" s="129">
        <f t="shared" si="54"/>
        <v>0.58749507814937951</v>
      </c>
      <c r="AK57" s="129">
        <f t="shared" si="55"/>
        <v>0.99999999987517618</v>
      </c>
      <c r="AL57" s="129"/>
      <c r="AM57" s="129">
        <f t="shared" si="56"/>
        <v>0.41250492177728709</v>
      </c>
      <c r="AN57" s="129">
        <f t="shared" si="57"/>
        <v>0.58749507822271285</v>
      </c>
      <c r="AO57" s="129"/>
      <c r="AP57" s="129"/>
      <c r="AQ57" s="129">
        <f t="shared" si="58"/>
        <v>-1.7895143918247247E-5</v>
      </c>
      <c r="AR57" s="129">
        <f t="shared" si="59"/>
        <v>-5.8556948309740455E-3</v>
      </c>
      <c r="AS57" s="129"/>
      <c r="AT57" s="129">
        <f t="shared" si="48"/>
        <v>0.20879026390877731</v>
      </c>
      <c r="AU57" s="129">
        <f t="shared" si="49"/>
        <v>0.7912097360912228</v>
      </c>
      <c r="AV57" s="129"/>
      <c r="AW57" s="129">
        <f t="shared" si="60"/>
        <v>-4.6782829200477088E-3</v>
      </c>
      <c r="AX57" s="129">
        <f t="shared" si="61"/>
        <v>1.238198343517249E-3</v>
      </c>
      <c r="AY57" s="129"/>
      <c r="AZ57" s="129"/>
      <c r="BA57" s="129">
        <f t="shared" si="62"/>
        <v>0.99655836233096429</v>
      </c>
      <c r="BB57" s="129">
        <f t="shared" si="63"/>
        <v>1.1161479754293933</v>
      </c>
      <c r="BC57" s="129">
        <f t="shared" si="50"/>
        <v>0.93644380694642282</v>
      </c>
      <c r="BE57">
        <f t="shared" si="64"/>
        <v>0.99879834327105144</v>
      </c>
      <c r="BF57" s="129">
        <f t="shared" si="65"/>
        <v>1.016023715666738</v>
      </c>
      <c r="BG57" s="129">
        <f t="shared" si="51"/>
        <v>0.98508018603419034</v>
      </c>
    </row>
    <row r="58" spans="1:59" x14ac:dyDescent="0.2">
      <c r="A58" s="133" t="s">
        <v>664</v>
      </c>
      <c r="B58" s="144">
        <f t="shared" si="52"/>
        <v>1997</v>
      </c>
      <c r="D58" s="4">
        <f>'Freight-based Energy Use'!B55</f>
        <v>2134.8694958173319</v>
      </c>
      <c r="E58" s="4">
        <f>'Freight-based Energy Use'!C55</f>
        <v>3003.701972970413</v>
      </c>
      <c r="F58" s="4">
        <f t="shared" si="36"/>
        <v>5138.5714687877444</v>
      </c>
      <c r="H58" s="411">
        <f>'Freight-based Activity'!B55*3</f>
        <v>295066.89334299142</v>
      </c>
      <c r="I58" s="4">
        <f>'Freight-based Activity'!C55</f>
        <v>1119000</v>
      </c>
      <c r="J58" s="4">
        <f t="shared" si="37"/>
        <v>1414066.8933429914</v>
      </c>
      <c r="L58" s="4">
        <f t="shared" si="38"/>
        <v>7235.2051144406723</v>
      </c>
      <c r="M58" s="4">
        <f t="shared" si="39"/>
        <v>2684.273434289913</v>
      </c>
      <c r="N58" s="4">
        <f t="shared" si="40"/>
        <v>3633.8956049240801</v>
      </c>
      <c r="P58" s="129">
        <f t="shared" si="32"/>
        <v>0.88429043202215474</v>
      </c>
      <c r="Q58" s="129">
        <f t="shared" si="33"/>
        <v>0.92352185452504576</v>
      </c>
      <c r="R58" s="129">
        <f t="shared" si="34"/>
        <v>0.89294520069939609</v>
      </c>
      <c r="T58" s="131">
        <f t="shared" si="21"/>
        <v>1.5552810871974152</v>
      </c>
      <c r="U58" s="131">
        <f t="shared" si="41"/>
        <v>0.89294520069939609</v>
      </c>
      <c r="V58" s="131">
        <f t="shared" si="42"/>
        <v>0.9849273929025506</v>
      </c>
      <c r="W58" s="131">
        <f t="shared" si="43"/>
        <v>0.90661017972899871</v>
      </c>
      <c r="X58" s="131">
        <f t="shared" si="44"/>
        <v>1.38878078255147</v>
      </c>
      <c r="Y58" s="131">
        <f t="shared" si="26"/>
        <v>1.3887807825514709</v>
      </c>
      <c r="Z58" s="131"/>
      <c r="AA58" s="131">
        <f t="shared" si="45"/>
        <v>0.89294520069939554</v>
      </c>
      <c r="AD58" s="134"/>
      <c r="AF58" s="129">
        <f t="shared" si="46"/>
        <v>0.41545972626531852</v>
      </c>
      <c r="AG58" s="129">
        <f t="shared" si="47"/>
        <v>0.58454027373468165</v>
      </c>
      <c r="AH58" s="129"/>
      <c r="AI58" s="129">
        <f t="shared" si="53"/>
        <v>0.41397578813577501</v>
      </c>
      <c r="AJ58" s="129">
        <f t="shared" si="54"/>
        <v>0.58602119341085102</v>
      </c>
      <c r="AK58" s="129">
        <f t="shared" si="55"/>
        <v>0.99999698154662608</v>
      </c>
      <c r="AL58" s="129"/>
      <c r="AM58" s="129">
        <f t="shared" si="56"/>
        <v>0.41397703770616118</v>
      </c>
      <c r="AN58" s="129">
        <f t="shared" si="57"/>
        <v>0.58602296229383877</v>
      </c>
      <c r="AO58" s="129"/>
      <c r="AP58" s="129"/>
      <c r="AQ58" s="129">
        <f t="shared" si="58"/>
        <v>-2.4773399924575501E-2</v>
      </c>
      <c r="AR58" s="129">
        <f t="shared" si="59"/>
        <v>-3.7748232783171964E-2</v>
      </c>
      <c r="AS58" s="129"/>
      <c r="AT58" s="129">
        <f t="shared" si="48"/>
        <v>0.20866544201839324</v>
      </c>
      <c r="AU58" s="129">
        <f t="shared" si="49"/>
        <v>0.79133455798160679</v>
      </c>
      <c r="AV58" s="129"/>
      <c r="AW58" s="129">
        <f t="shared" si="60"/>
        <v>-5.9801263861864807E-4</v>
      </c>
      <c r="AX58" s="129">
        <f t="shared" si="61"/>
        <v>1.5774836901605747E-4</v>
      </c>
      <c r="AY58" s="129"/>
      <c r="AZ58" s="129"/>
      <c r="BA58" s="129">
        <f t="shared" si="62"/>
        <v>0.96814157240816601</v>
      </c>
      <c r="BB58" s="129">
        <f t="shared" si="63"/>
        <v>1.0805892559724037</v>
      </c>
      <c r="BC58" s="129">
        <f t="shared" si="50"/>
        <v>0.90661017972899871</v>
      </c>
      <c r="BE58">
        <f t="shared" si="64"/>
        <v>0.99984489269624344</v>
      </c>
      <c r="BF58" s="129">
        <f t="shared" si="65"/>
        <v>1.0158661229676482</v>
      </c>
      <c r="BG58" s="129">
        <f t="shared" si="51"/>
        <v>0.9849273929025506</v>
      </c>
    </row>
    <row r="59" spans="1:59" x14ac:dyDescent="0.2">
      <c r="A59" s="133" t="s">
        <v>664</v>
      </c>
      <c r="B59" s="144">
        <f t="shared" si="52"/>
        <v>1998</v>
      </c>
      <c r="D59" s="4">
        <f>'Freight-based Energy Use'!B56</f>
        <v>2173.3763815153834</v>
      </c>
      <c r="E59" s="4">
        <f>'Freight-based Energy Use'!C56</f>
        <v>3294.9618093012946</v>
      </c>
      <c r="F59" s="4">
        <f t="shared" si="36"/>
        <v>5468.3381908166775</v>
      </c>
      <c r="H59" s="411">
        <f>'Freight-based Activity'!B56*3</f>
        <v>300042.53288211953</v>
      </c>
      <c r="I59" s="4">
        <f>'Freight-based Activity'!C56</f>
        <v>1149000</v>
      </c>
      <c r="J59" s="4">
        <f t="shared" si="37"/>
        <v>1449042.5328821195</v>
      </c>
      <c r="L59" s="4">
        <f t="shared" si="38"/>
        <v>7243.5609733012679</v>
      </c>
      <c r="M59" s="4">
        <f t="shared" si="39"/>
        <v>2867.6778148836333</v>
      </c>
      <c r="N59" s="4">
        <f t="shared" si="40"/>
        <v>3773.7596148680682</v>
      </c>
      <c r="P59" s="129">
        <f t="shared" si="32"/>
        <v>0.88531168932238036</v>
      </c>
      <c r="Q59" s="129">
        <f t="shared" si="33"/>
        <v>0.98662196628349508</v>
      </c>
      <c r="R59" s="129">
        <f t="shared" si="34"/>
        <v>0.92731352329535188</v>
      </c>
      <c r="T59" s="131">
        <f t="shared" si="21"/>
        <v>1.5937495294924189</v>
      </c>
      <c r="U59" s="131">
        <f t="shared" si="41"/>
        <v>0.92731352329535188</v>
      </c>
      <c r="V59" s="131">
        <f t="shared" si="42"/>
        <v>0.98302541032210966</v>
      </c>
      <c r="W59" s="131">
        <f t="shared" si="43"/>
        <v>0.94332609671961265</v>
      </c>
      <c r="X59" s="131">
        <f t="shared" si="44"/>
        <v>1.4779054914439234</v>
      </c>
      <c r="Y59" s="131">
        <f t="shared" si="26"/>
        <v>1.4779054914439245</v>
      </c>
      <c r="Z59" s="131"/>
      <c r="AA59" s="131">
        <f t="shared" si="45"/>
        <v>0.92731352329535133</v>
      </c>
      <c r="AD59" s="134"/>
      <c r="AF59" s="129">
        <f t="shared" si="46"/>
        <v>0.39744732415512823</v>
      </c>
      <c r="AG59" s="129">
        <f t="shared" si="47"/>
        <v>0.60255267584487182</v>
      </c>
      <c r="AH59" s="129"/>
      <c r="AI59" s="129">
        <f t="shared" si="53"/>
        <v>0.40638699666934036</v>
      </c>
      <c r="AJ59" s="129">
        <f t="shared" si="54"/>
        <v>0.59350092000934507</v>
      </c>
      <c r="AK59" s="129">
        <f t="shared" si="55"/>
        <v>0.99988791667868537</v>
      </c>
      <c r="AL59" s="129"/>
      <c r="AM59" s="129">
        <f t="shared" si="56"/>
        <v>0.4064325509795445</v>
      </c>
      <c r="AN59" s="129">
        <f t="shared" si="57"/>
        <v>0.59356744902045555</v>
      </c>
      <c r="AO59" s="129"/>
      <c r="AP59" s="129"/>
      <c r="AQ59" s="129">
        <f t="shared" si="58"/>
        <v>1.1542226371528282E-3</v>
      </c>
      <c r="AR59" s="129">
        <f t="shared" si="59"/>
        <v>6.6092488932971177E-2</v>
      </c>
      <c r="AS59" s="129"/>
      <c r="AT59" s="129">
        <f t="shared" si="48"/>
        <v>0.20706261277599652</v>
      </c>
      <c r="AU59" s="129">
        <f t="shared" si="49"/>
        <v>0.79293738722400342</v>
      </c>
      <c r="AV59" s="129"/>
      <c r="AW59" s="129">
        <f t="shared" si="60"/>
        <v>-7.7109887862313788E-3</v>
      </c>
      <c r="AX59" s="129">
        <f t="shared" si="61"/>
        <v>2.0234275991741404E-3</v>
      </c>
      <c r="AY59" s="129"/>
      <c r="AZ59" s="129"/>
      <c r="BA59" s="129">
        <f t="shared" si="62"/>
        <v>1.0404980197791172</v>
      </c>
      <c r="BB59" s="129">
        <f t="shared" si="63"/>
        <v>1.1243509810338757</v>
      </c>
      <c r="BC59" s="129">
        <f t="shared" si="50"/>
        <v>0.94332609671961265</v>
      </c>
      <c r="BE59">
        <f t="shared" si="64"/>
        <v>0.99806891087186056</v>
      </c>
      <c r="BF59" s="129">
        <f t="shared" si="65"/>
        <v>1.0139043949419402</v>
      </c>
      <c r="BG59" s="129">
        <f t="shared" si="51"/>
        <v>0.98302541032210966</v>
      </c>
    </row>
    <row r="60" spans="1:59" x14ac:dyDescent="0.2">
      <c r="A60" s="133" t="s">
        <v>664</v>
      </c>
      <c r="B60" s="144">
        <f t="shared" si="52"/>
        <v>1999</v>
      </c>
      <c r="D60" s="4">
        <f>'Freight-based Energy Use'!B57</f>
        <v>2091.6969164887387</v>
      </c>
      <c r="E60" s="4">
        <f>'Freight-based Energy Use'!C57</f>
        <v>3634.3803685246035</v>
      </c>
      <c r="F60" s="4">
        <f t="shared" si="36"/>
        <v>5726.0772850133417</v>
      </c>
      <c r="H60" s="411">
        <f>'Freight-based Activity'!B57*3</f>
        <v>310112.90971530165</v>
      </c>
      <c r="I60" s="4">
        <f>'Freight-based Activity'!C57</f>
        <v>1186000</v>
      </c>
      <c r="J60" s="4">
        <f t="shared" si="37"/>
        <v>1496112.9097153016</v>
      </c>
      <c r="L60" s="4">
        <f t="shared" si="38"/>
        <v>6744.9527283756606</v>
      </c>
      <c r="M60" s="4">
        <f t="shared" si="39"/>
        <v>3064.4016598015205</v>
      </c>
      <c r="N60" s="4">
        <f t="shared" si="40"/>
        <v>3827.3029046336942</v>
      </c>
      <c r="P60" s="129">
        <f t="shared" si="32"/>
        <v>0.82437153719938705</v>
      </c>
      <c r="Q60" s="129">
        <f t="shared" si="33"/>
        <v>1.0543046277318529</v>
      </c>
      <c r="R60" s="129">
        <f t="shared" si="34"/>
        <v>0.94047053957316862</v>
      </c>
      <c r="T60" s="131">
        <f t="shared" si="21"/>
        <v>1.6455205363666647</v>
      </c>
      <c r="U60" s="131">
        <f t="shared" si="41"/>
        <v>0.94047053957316862</v>
      </c>
      <c r="V60" s="131">
        <f t="shared" si="42"/>
        <v>0.98325100656885123</v>
      </c>
      <c r="W60" s="131">
        <f t="shared" si="43"/>
        <v>0.9564907976601319</v>
      </c>
      <c r="X60" s="131">
        <f t="shared" si="44"/>
        <v>1.547563586715486</v>
      </c>
      <c r="Y60" s="131">
        <f t="shared" si="26"/>
        <v>1.5475635867154871</v>
      </c>
      <c r="Z60" s="131"/>
      <c r="AA60" s="131">
        <f t="shared" si="45"/>
        <v>0.94047053957316806</v>
      </c>
      <c r="AD60" s="134"/>
      <c r="AF60" s="129">
        <f t="shared" si="46"/>
        <v>0.36529316884409901</v>
      </c>
      <c r="AG60" s="129">
        <f t="shared" si="47"/>
        <v>0.6347068311559011</v>
      </c>
      <c r="AH60" s="129"/>
      <c r="AI60" s="129">
        <f t="shared" si="53"/>
        <v>0.38114422377122442</v>
      </c>
      <c r="AJ60" s="129">
        <f t="shared" si="54"/>
        <v>0.61849045693802085</v>
      </c>
      <c r="AK60" s="129">
        <f t="shared" si="55"/>
        <v>0.99963468070924533</v>
      </c>
      <c r="AL60" s="129"/>
      <c r="AM60" s="129">
        <f t="shared" si="56"/>
        <v>0.38128351399413318</v>
      </c>
      <c r="AN60" s="129">
        <f t="shared" si="57"/>
        <v>0.61871648600586671</v>
      </c>
      <c r="AO60" s="129"/>
      <c r="AP60" s="129"/>
      <c r="AQ60" s="129">
        <f t="shared" si="58"/>
        <v>-7.1318451381375131E-2</v>
      </c>
      <c r="AR60" s="129">
        <f t="shared" si="59"/>
        <v>6.6349754780035269E-2</v>
      </c>
      <c r="AS60" s="129"/>
      <c r="AT60" s="129">
        <f t="shared" si="48"/>
        <v>0.2072790814794277</v>
      </c>
      <c r="AU60" s="129">
        <f t="shared" si="49"/>
        <v>0.79272091852057236</v>
      </c>
      <c r="AV60" s="129"/>
      <c r="AW60" s="129">
        <f t="shared" si="60"/>
        <v>1.0448802335221317E-3</v>
      </c>
      <c r="AX60" s="129">
        <f t="shared" si="61"/>
        <v>-2.7303323041493561E-4</v>
      </c>
      <c r="AY60" s="129"/>
      <c r="AZ60" s="129"/>
      <c r="BA60" s="129">
        <f t="shared" si="62"/>
        <v>1.0139556204225655</v>
      </c>
      <c r="BB60" s="129">
        <f t="shared" si="63"/>
        <v>1.1400419965469235</v>
      </c>
      <c r="BC60" s="129">
        <f t="shared" si="50"/>
        <v>0.9564907976601319</v>
      </c>
      <c r="BE60">
        <f t="shared" si="64"/>
        <v>1.0002294917754646</v>
      </c>
      <c r="BF60" s="129">
        <f t="shared" si="65"/>
        <v>1.0141370776616867</v>
      </c>
      <c r="BG60" s="129">
        <f t="shared" si="51"/>
        <v>0.98325100656885123</v>
      </c>
    </row>
    <row r="61" spans="1:59" x14ac:dyDescent="0.2">
      <c r="A61" s="133" t="s">
        <v>664</v>
      </c>
      <c r="B61" s="144">
        <f t="shared" si="52"/>
        <v>2000</v>
      </c>
      <c r="D61" s="4">
        <f>'Freight-based Energy Use'!B58</f>
        <v>2135.3779004826874</v>
      </c>
      <c r="E61" s="4">
        <f>'Freight-based Energy Use'!C58</f>
        <v>3803.459910024003</v>
      </c>
      <c r="F61" s="4">
        <f t="shared" si="36"/>
        <v>5938.8378105066904</v>
      </c>
      <c r="H61" s="411">
        <f>'Freight-based Activity'!B58*3</f>
        <v>310977.47119550471</v>
      </c>
      <c r="I61" s="4">
        <f>'Freight-based Activity'!C58</f>
        <v>1203000</v>
      </c>
      <c r="J61" s="4">
        <f t="shared" si="37"/>
        <v>1513977.4711955048</v>
      </c>
      <c r="L61" s="4">
        <f t="shared" si="38"/>
        <v>6866.664302959176</v>
      </c>
      <c r="M61" s="4">
        <f t="shared" si="39"/>
        <v>3161.6458104937678</v>
      </c>
      <c r="N61" s="4">
        <f t="shared" si="40"/>
        <v>3922.672512304372</v>
      </c>
      <c r="P61" s="129">
        <f t="shared" si="32"/>
        <v>0.83924718746336358</v>
      </c>
      <c r="Q61" s="129">
        <f t="shared" si="33"/>
        <v>1.0877613900876499</v>
      </c>
      <c r="R61" s="129">
        <f t="shared" si="34"/>
        <v>0.96390539921710583</v>
      </c>
      <c r="T61" s="131">
        <f t="shared" si="21"/>
        <v>1.6651691221104059</v>
      </c>
      <c r="U61" s="131">
        <f t="shared" si="41"/>
        <v>0.96390539921710583</v>
      </c>
      <c r="V61" s="131">
        <f t="shared" si="42"/>
        <v>0.98149564066981343</v>
      </c>
      <c r="W61" s="131">
        <f t="shared" si="43"/>
        <v>0.98207812574622932</v>
      </c>
      <c r="X61" s="131">
        <f t="shared" si="44"/>
        <v>1.605065507411827</v>
      </c>
      <c r="Y61" s="131">
        <f t="shared" si="26"/>
        <v>1.6050655074118283</v>
      </c>
      <c r="Z61" s="131"/>
      <c r="AA61" s="131">
        <f t="shared" si="45"/>
        <v>0.96390539921710494</v>
      </c>
      <c r="AD61" s="134"/>
      <c r="AF61" s="129">
        <f t="shared" si="46"/>
        <v>0.35956157898518215</v>
      </c>
      <c r="AG61" s="129">
        <f t="shared" si="47"/>
        <v>0.64043842101481785</v>
      </c>
      <c r="AH61" s="129"/>
      <c r="AI61" s="129">
        <f t="shared" si="53"/>
        <v>0.362419820293229</v>
      </c>
      <c r="AJ61" s="129">
        <f t="shared" si="54"/>
        <v>0.63756833228703003</v>
      </c>
      <c r="AK61" s="129">
        <f t="shared" si="55"/>
        <v>0.99998815258025897</v>
      </c>
      <c r="AL61" s="129"/>
      <c r="AM61" s="129">
        <f t="shared" si="56"/>
        <v>0.36242411408383285</v>
      </c>
      <c r="AN61" s="129">
        <f t="shared" si="57"/>
        <v>0.63757588591616721</v>
      </c>
      <c r="AO61" s="129"/>
      <c r="AP61" s="129"/>
      <c r="AQ61" s="129">
        <f t="shared" si="58"/>
        <v>1.7883961657969544E-2</v>
      </c>
      <c r="AR61" s="129">
        <f t="shared" si="59"/>
        <v>3.1240384821250904E-2</v>
      </c>
      <c r="AS61" s="129"/>
      <c r="AT61" s="129">
        <f t="shared" si="48"/>
        <v>0.20540429240994115</v>
      </c>
      <c r="AU61" s="129">
        <f t="shared" si="49"/>
        <v>0.79459570759005882</v>
      </c>
      <c r="AV61" s="129"/>
      <c r="AW61" s="129">
        <f t="shared" si="60"/>
        <v>-9.0859098556510306E-3</v>
      </c>
      <c r="AX61" s="129">
        <f t="shared" si="61"/>
        <v>2.3622129453338648E-3</v>
      </c>
      <c r="AY61" s="129"/>
      <c r="AZ61" s="129"/>
      <c r="BA61" s="129">
        <f t="shared" si="62"/>
        <v>1.0267512538005508</v>
      </c>
      <c r="BB61" s="129">
        <f t="shared" si="63"/>
        <v>1.1705395493398369</v>
      </c>
      <c r="BC61" s="129">
        <f t="shared" si="50"/>
        <v>0.98207812574622932</v>
      </c>
      <c r="BE61">
        <f t="shared" si="64"/>
        <v>0.99821473267018235</v>
      </c>
      <c r="BF61" s="129">
        <f t="shared" si="65"/>
        <v>1.0123265718689805</v>
      </c>
      <c r="BG61" s="129">
        <f t="shared" si="51"/>
        <v>0.98149564066981343</v>
      </c>
    </row>
    <row r="62" spans="1:59" x14ac:dyDescent="0.2">
      <c r="A62" s="133" t="s">
        <v>664</v>
      </c>
      <c r="B62" s="144">
        <f t="shared" si="52"/>
        <v>2001</v>
      </c>
      <c r="D62" s="4">
        <f>'Freight-based Energy Use'!B59</f>
        <v>2159.0327836644938</v>
      </c>
      <c r="E62" s="4">
        <f>'Freight-based Energy Use'!C59</f>
        <v>3781.395382675792</v>
      </c>
      <c r="F62" s="4">
        <f t="shared" ref="F62:F67" si="66">D62+E62</f>
        <v>5940.4281663402853</v>
      </c>
      <c r="H62" s="411">
        <f>'Freight-based Activity'!B59*3</f>
        <v>319570.15366201312</v>
      </c>
      <c r="I62" s="4">
        <f>'Freight-based Activity'!C59</f>
        <v>1224000</v>
      </c>
      <c r="J62" s="4">
        <f t="shared" ref="J62:J67" si="67">H62+I62</f>
        <v>1543570.1536620131</v>
      </c>
      <c r="L62" s="4">
        <f>D62/H62*1000000</f>
        <v>6756.0526504860991</v>
      </c>
      <c r="M62" s="4">
        <f>E62/I62*1000000</f>
        <v>3089.3753126436209</v>
      </c>
      <c r="N62" s="4">
        <f>F62/J62*1000000</f>
        <v>3848.4989828593352</v>
      </c>
      <c r="P62" s="129">
        <f t="shared" si="32"/>
        <v>0.82572817529923326</v>
      </c>
      <c r="Q62" s="129">
        <f t="shared" si="33"/>
        <v>1.0628967904721969</v>
      </c>
      <c r="R62" s="129">
        <f t="shared" si="34"/>
        <v>0.94567898207756762</v>
      </c>
      <c r="T62" s="131">
        <f t="shared" ref="T62:T68" si="68">J62/J$74</f>
        <v>1.6977170444019685</v>
      </c>
      <c r="U62" s="131">
        <f t="shared" ref="U62:U67" si="69">R62</f>
        <v>0.94567898207756762</v>
      </c>
      <c r="V62" s="131">
        <f t="shared" ref="V62:V67" si="70">BG62</f>
        <v>0.9830134006042669</v>
      </c>
      <c r="W62" s="131">
        <f t="shared" ref="W62:W67" si="71">BC62</f>
        <v>0.96202043786610603</v>
      </c>
      <c r="X62" s="131">
        <f t="shared" ref="X62:X67" si="72">T62*V62*W62</f>
        <v>1.6054953264057887</v>
      </c>
      <c r="Y62" s="131">
        <f t="shared" ref="Y62:Y67" si="73">F62/F$74</f>
        <v>1.6054953264057903</v>
      </c>
      <c r="Z62" s="131"/>
      <c r="AA62" s="131">
        <f t="shared" ref="AA62:AA67" si="74">V62*W62</f>
        <v>0.94567898207756673</v>
      </c>
      <c r="AD62" s="134"/>
      <c r="AF62" s="129">
        <f t="shared" si="46"/>
        <v>0.36344733463793527</v>
      </c>
      <c r="AG62" s="129">
        <f t="shared" si="47"/>
        <v>0.63655266536206478</v>
      </c>
      <c r="AH62" s="129"/>
      <c r="AI62" s="129">
        <f t="shared" si="53"/>
        <v>0.36150097616905974</v>
      </c>
      <c r="AJ62" s="129">
        <f t="shared" si="54"/>
        <v>0.63849357252286332</v>
      </c>
      <c r="AK62" s="129">
        <f t="shared" si="55"/>
        <v>0.99999454869192306</v>
      </c>
      <c r="AL62" s="129"/>
      <c r="AM62" s="129">
        <f t="shared" si="56"/>
        <v>0.36150294683299367</v>
      </c>
      <c r="AN62" s="129">
        <f t="shared" si="57"/>
        <v>0.63849705316700633</v>
      </c>
      <c r="AO62" s="129"/>
      <c r="AP62" s="129"/>
      <c r="AQ62" s="129">
        <f t="shared" si="58"/>
        <v>-1.6239650838158082E-2</v>
      </c>
      <c r="AR62" s="129">
        <f t="shared" si="59"/>
        <v>-2.3123811842885904E-2</v>
      </c>
      <c r="AS62" s="129"/>
      <c r="AT62" s="129">
        <f t="shared" si="48"/>
        <v>0.20703312570786309</v>
      </c>
      <c r="AU62" s="129">
        <f t="shared" si="49"/>
        <v>0.79296687429213686</v>
      </c>
      <c r="AV62" s="129"/>
      <c r="AW62" s="129">
        <f t="shared" si="60"/>
        <v>7.8986129515723671E-3</v>
      </c>
      <c r="AX62" s="129">
        <f t="shared" si="61"/>
        <v>-2.0519932732750534E-3</v>
      </c>
      <c r="AY62" s="129"/>
      <c r="AZ62" s="129"/>
      <c r="BA62" s="129">
        <f t="shared" si="62"/>
        <v>0.97957628079244463</v>
      </c>
      <c r="BB62" s="129">
        <f t="shared" si="63"/>
        <v>1.1466327782627816</v>
      </c>
      <c r="BC62" s="129">
        <f t="shared" si="50"/>
        <v>0.96202043786610603</v>
      </c>
      <c r="BE62">
        <f t="shared" si="64"/>
        <v>1.0015463746058186</v>
      </c>
      <c r="BF62" s="129">
        <f t="shared" si="65"/>
        <v>1.013892007972514</v>
      </c>
      <c r="BG62" s="129">
        <f t="shared" si="51"/>
        <v>0.9830134006042669</v>
      </c>
    </row>
    <row r="63" spans="1:59" x14ac:dyDescent="0.2">
      <c r="A63" s="133" t="s">
        <v>664</v>
      </c>
      <c r="B63" s="144">
        <f t="shared" si="52"/>
        <v>2002</v>
      </c>
      <c r="D63" s="4">
        <f>'Freight-based Energy Use'!B60</f>
        <v>2305.7895104898516</v>
      </c>
      <c r="E63" s="4">
        <f>'Freight-based Energy Use'!C60</f>
        <v>3926.0509100526519</v>
      </c>
      <c r="F63" s="4">
        <f t="shared" si="66"/>
        <v>6231.8404205425031</v>
      </c>
      <c r="H63" s="411">
        <f>'Freight-based Activity'!B60*3</f>
        <v>334647.04723004485</v>
      </c>
      <c r="I63" s="4">
        <f>'Freight-based Activity'!C60</f>
        <v>1255000</v>
      </c>
      <c r="J63" s="4">
        <f t="shared" si="67"/>
        <v>1589647.0472300448</v>
      </c>
      <c r="L63" s="4">
        <f t="shared" ref="L63:N64" si="75">D63/H63*1000000</f>
        <v>6890.2132248750831</v>
      </c>
      <c r="M63" s="4">
        <f t="shared" si="75"/>
        <v>3128.3274183686467</v>
      </c>
      <c r="N63" s="4">
        <f t="shared" si="75"/>
        <v>3920.2667229819767</v>
      </c>
      <c r="P63" s="129">
        <f t="shared" ref="P63:R64" si="76">L63/L$74</f>
        <v>0.842125348621934</v>
      </c>
      <c r="Q63" s="129">
        <f t="shared" si="76"/>
        <v>1.0762982273218475</v>
      </c>
      <c r="R63" s="129">
        <f t="shared" si="76"/>
        <v>0.96331423252909876</v>
      </c>
      <c r="T63" s="131">
        <f t="shared" si="68"/>
        <v>1.7483953549264097</v>
      </c>
      <c r="U63" s="131">
        <f t="shared" si="69"/>
        <v>0.96331423252909876</v>
      </c>
      <c r="V63" s="131">
        <f t="shared" si="70"/>
        <v>0.98629313510440364</v>
      </c>
      <c r="W63" s="131">
        <f t="shared" si="71"/>
        <v>0.97670175147992533</v>
      </c>
      <c r="X63" s="131">
        <f t="shared" si="72"/>
        <v>1.6842541294883737</v>
      </c>
      <c r="Y63" s="131">
        <f t="shared" si="73"/>
        <v>1.6842541294883753</v>
      </c>
      <c r="Z63" s="131"/>
      <c r="AA63" s="131">
        <f t="shared" si="74"/>
        <v>0.96331423252909765</v>
      </c>
      <c r="AD63" s="134"/>
      <c r="AF63" s="129">
        <f>D63/F63</f>
        <v>0.37000137277089079</v>
      </c>
      <c r="AG63" s="129">
        <f>E63/F63</f>
        <v>0.62999862722910926</v>
      </c>
      <c r="AH63" s="129"/>
      <c r="AI63" s="129">
        <f>(AF63-AF62)/LN(AF63/AF62)</f>
        <v>0.36671459243773724</v>
      </c>
      <c r="AJ63" s="129">
        <f>(AG63-AG62)/LN(AG63/AG62)</f>
        <v>0.6332699937119648</v>
      </c>
      <c r="AK63" s="129">
        <f>AI63+AJ63</f>
        <v>0.99998458614970209</v>
      </c>
      <c r="AL63" s="129"/>
      <c r="AM63" s="129">
        <f>AI63/AK63</f>
        <v>0.36672024500869499</v>
      </c>
      <c r="AN63" s="129">
        <f>AJ63/AK63</f>
        <v>0.63327975499130496</v>
      </c>
      <c r="AO63" s="129"/>
      <c r="AP63" s="129"/>
      <c r="AQ63" s="129">
        <f>LN(P63/P62)</f>
        <v>1.9663239493299459E-2</v>
      </c>
      <c r="AR63" s="129">
        <f>LN(Q63/Q62)</f>
        <v>1.2529584317982467E-2</v>
      </c>
      <c r="AS63" s="129"/>
      <c r="AT63" s="129">
        <f>H63/J63</f>
        <v>0.21051657209892366</v>
      </c>
      <c r="AU63" s="129">
        <f>I63/J63</f>
        <v>0.78948342790107628</v>
      </c>
      <c r="AV63" s="129"/>
      <c r="AW63" s="129">
        <f>LN(AT63/AT62)</f>
        <v>1.6685569297864848E-2</v>
      </c>
      <c r="AX63" s="129">
        <f>LN(AU63/AU62)</f>
        <v>-4.4026052670952656E-3</v>
      </c>
      <c r="AY63" s="129"/>
      <c r="AZ63" s="129"/>
      <c r="BA63" s="129">
        <f>EXP(SUMPRODUCT($AM63:$AN63,AQ63:AR63))</f>
        <v>1.0152609165418403</v>
      </c>
      <c r="BB63" s="129">
        <f>IF(ISERR(BA63),BB62,BA63*BB62)</f>
        <v>1.1641314453959883</v>
      </c>
      <c r="BC63" s="129">
        <f t="shared" si="50"/>
        <v>0.97670175147992533</v>
      </c>
      <c r="BE63">
        <f>EXP(SUMPRODUCT($AM63:$AN63,AW63:AX63))</f>
        <v>1.0033364087388033</v>
      </c>
      <c r="BF63" s="129">
        <f>IF(ISERR(BE63),BF62,BE63*BF62)</f>
        <v>1.0172747661281163</v>
      </c>
      <c r="BG63" s="129">
        <f t="shared" si="51"/>
        <v>0.98629313510440364</v>
      </c>
    </row>
    <row r="64" spans="1:59" x14ac:dyDescent="0.2">
      <c r="A64" s="133" t="s">
        <v>664</v>
      </c>
      <c r="B64" s="144">
        <f t="shared" si="52"/>
        <v>2003</v>
      </c>
      <c r="D64" s="4">
        <f>'Freight-based Energy Use'!B61</f>
        <v>1984.0826124077482</v>
      </c>
      <c r="E64" s="4">
        <f>'Freight-based Energy Use'!C61</f>
        <v>3990.8926009012307</v>
      </c>
      <c r="F64" s="4">
        <f t="shared" si="66"/>
        <v>5974.9752133089787</v>
      </c>
      <c r="H64" s="411">
        <f>'Freight-based Activity'!B61*3</f>
        <v>342988.30110282073</v>
      </c>
      <c r="I64" s="4">
        <f>'Freight-based Activity'!C61</f>
        <v>1264000</v>
      </c>
      <c r="J64" s="4">
        <f t="shared" si="67"/>
        <v>1606988.3011028208</v>
      </c>
      <c r="L64" s="4">
        <f t="shared" si="75"/>
        <v>5784.694714158667</v>
      </c>
      <c r="M64" s="4">
        <f t="shared" si="75"/>
        <v>3157.3517412193282</v>
      </c>
      <c r="N64" s="4">
        <f t="shared" si="75"/>
        <v>3718.1199198578847</v>
      </c>
      <c r="P64" s="129">
        <f t="shared" si="76"/>
        <v>0.70700831655621854</v>
      </c>
      <c r="Q64" s="129">
        <f t="shared" si="76"/>
        <v>1.0862840194259542</v>
      </c>
      <c r="R64" s="129">
        <f t="shared" si="76"/>
        <v>0.9136413642601835</v>
      </c>
      <c r="T64" s="131">
        <f t="shared" si="68"/>
        <v>1.7674683735393102</v>
      </c>
      <c r="U64" s="131">
        <f t="shared" si="69"/>
        <v>0.9136413642601835</v>
      </c>
      <c r="V64" s="131">
        <f t="shared" si="70"/>
        <v>0.98868999154889092</v>
      </c>
      <c r="W64" s="131">
        <f t="shared" si="71"/>
        <v>0.92409286234289068</v>
      </c>
      <c r="X64" s="131">
        <f t="shared" si="72"/>
        <v>1.6148322160871822</v>
      </c>
      <c r="Y64" s="131">
        <f t="shared" si="73"/>
        <v>1.6148322160871831</v>
      </c>
      <c r="Z64" s="131"/>
      <c r="AA64" s="131">
        <f t="shared" si="74"/>
        <v>0.91364136426018305</v>
      </c>
      <c r="AD64" s="134"/>
      <c r="AF64" s="129">
        <f>D64/F64</f>
        <v>0.33206541308963033</v>
      </c>
      <c r="AG64" s="129">
        <f>E64/F64</f>
        <v>0.66793458691036967</v>
      </c>
      <c r="AH64" s="129"/>
      <c r="AI64" s="129">
        <f>(AF64-AF63)/LN(AF64/AF63)</f>
        <v>0.35069148356255897</v>
      </c>
      <c r="AJ64" s="129">
        <f>(AG64-AG63)/LN(AG64/AG63)</f>
        <v>0.64878176640499774</v>
      </c>
      <c r="AK64" s="129">
        <f>AI64+AJ64</f>
        <v>0.99947324996755671</v>
      </c>
      <c r="AL64" s="129"/>
      <c r="AM64" s="129">
        <f>AI64/AK64</f>
        <v>0.35087630766900718</v>
      </c>
      <c r="AN64" s="129">
        <f>AJ64/AK64</f>
        <v>0.64912369233099276</v>
      </c>
      <c r="AO64" s="129"/>
      <c r="AP64" s="129"/>
      <c r="AQ64" s="129">
        <f>LN(P64/P63)</f>
        <v>-0.17488644426922673</v>
      </c>
      <c r="AR64" s="129">
        <f>LN(Q64/Q63)</f>
        <v>9.2351290602246915E-3</v>
      </c>
      <c r="AS64" s="129"/>
      <c r="AT64" s="129">
        <f>H64/J64</f>
        <v>0.21343546861382853</v>
      </c>
      <c r="AU64" s="129">
        <f>I64/J64</f>
        <v>0.78656453138617144</v>
      </c>
      <c r="AV64" s="129"/>
      <c r="AW64" s="129">
        <f>LN(AT64/AT63)</f>
        <v>1.3770154909938655E-2</v>
      </c>
      <c r="AX64" s="129">
        <f>LN(AU64/AU63)</f>
        <v>-3.7040749109403521E-3</v>
      </c>
      <c r="AY64" s="129"/>
      <c r="AZ64" s="129"/>
      <c r="BA64" s="129">
        <f>EXP(SUMPRODUCT($AM64:$AN64,AQ64:AR64))</f>
        <v>0.94613617815538853</v>
      </c>
      <c r="BB64" s="129">
        <f>IF(ISERR(BA64),BB63,BA64*BB63)</f>
        <v>1.1014268766174689</v>
      </c>
      <c r="BC64" s="129">
        <f t="shared" si="50"/>
        <v>0.92409286234289068</v>
      </c>
      <c r="BE64">
        <f>EXP(SUMPRODUCT($AM64:$AN64,AW64:AX64))</f>
        <v>1.0024301664071031</v>
      </c>
      <c r="BF64" s="129">
        <f>IF(ISERR(BE64),BF63,BE64*BF63)</f>
        <v>1.0197469130915546</v>
      </c>
      <c r="BG64" s="129">
        <f t="shared" si="51"/>
        <v>0.98868999154889092</v>
      </c>
    </row>
    <row r="65" spans="1:59" x14ac:dyDescent="0.2">
      <c r="A65" s="133" t="s">
        <v>664</v>
      </c>
      <c r="B65" s="144">
        <f t="shared" si="52"/>
        <v>2004</v>
      </c>
      <c r="D65" s="4">
        <f>'Freight-based Energy Use'!B62</f>
        <v>2001.5084027205291</v>
      </c>
      <c r="E65" s="4">
        <f>'Freight-based Energy Use'!C62</f>
        <v>4061.6832870931025</v>
      </c>
      <c r="F65" s="4">
        <f t="shared" si="66"/>
        <v>6063.1916898136315</v>
      </c>
      <c r="H65" s="411">
        <f>'Freight-based Activity'!B62*3</f>
        <v>346005.44422761118</v>
      </c>
      <c r="I65" s="4">
        <f>'Freight-based Activity'!C62</f>
        <v>1283930.3652968036</v>
      </c>
      <c r="J65" s="4">
        <f t="shared" si="67"/>
        <v>1629935.8095244148</v>
      </c>
      <c r="L65" s="4">
        <f t="shared" ref="L65:N66" si="77">D65/H65*1000000</f>
        <v>5784.6153466992446</v>
      </c>
      <c r="M65" s="4">
        <f t="shared" si="77"/>
        <v>3163.4763043821081</v>
      </c>
      <c r="N65" s="4">
        <f t="shared" si="77"/>
        <v>3719.895994912069</v>
      </c>
      <c r="P65" s="129">
        <f t="shared" ref="P65:R66" si="78">L65/L$74</f>
        <v>0.70699861622514693</v>
      </c>
      <c r="Q65" s="129">
        <f t="shared" si="78"/>
        <v>1.0883911698592863</v>
      </c>
      <c r="R65" s="129">
        <f t="shared" si="78"/>
        <v>0.91407779333469152</v>
      </c>
      <c r="T65" s="131">
        <f t="shared" si="68"/>
        <v>1.7927075089822131</v>
      </c>
      <c r="U65" s="131">
        <f t="shared" si="69"/>
        <v>0.91407779333469152</v>
      </c>
      <c r="V65" s="131">
        <f t="shared" si="70"/>
        <v>0.98788534933200944</v>
      </c>
      <c r="W65" s="131">
        <f t="shared" si="71"/>
        <v>0.92528732605739505</v>
      </c>
      <c r="X65" s="131">
        <f t="shared" si="72"/>
        <v>1.6386741239049916</v>
      </c>
      <c r="Y65" s="131">
        <f t="shared" si="73"/>
        <v>1.6386741239049929</v>
      </c>
      <c r="Z65" s="131"/>
      <c r="AA65" s="131">
        <f t="shared" si="74"/>
        <v>0.91407779333469064</v>
      </c>
      <c r="AD65" s="134"/>
      <c r="AF65" s="129">
        <f t="shared" si="46"/>
        <v>0.33010805284007949</v>
      </c>
      <c r="AG65" s="129">
        <f t="shared" si="47"/>
        <v>0.66989194715992051</v>
      </c>
      <c r="AH65" s="129"/>
      <c r="AI65" s="129">
        <f t="shared" si="53"/>
        <v>0.33108576864853667</v>
      </c>
      <c r="AJ65" s="129">
        <f t="shared" si="54"/>
        <v>0.66891278973591617</v>
      </c>
      <c r="AK65" s="129">
        <f t="shared" si="55"/>
        <v>0.99999855838445284</v>
      </c>
      <c r="AL65" s="129"/>
      <c r="AM65" s="129">
        <f t="shared" si="56"/>
        <v>0.33108624594761626</v>
      </c>
      <c r="AN65" s="129">
        <f t="shared" si="57"/>
        <v>0.66891375405238374</v>
      </c>
      <c r="AO65" s="129"/>
      <c r="AP65" s="129"/>
      <c r="AQ65" s="129">
        <f t="shared" si="58"/>
        <v>-1.3720344429599185E-5</v>
      </c>
      <c r="AR65" s="129">
        <f t="shared" si="59"/>
        <v>1.9378996028064583E-3</v>
      </c>
      <c r="AS65" s="129"/>
      <c r="AT65" s="129">
        <f t="shared" si="48"/>
        <v>0.21228163845824652</v>
      </c>
      <c r="AU65" s="129">
        <f t="shared" si="49"/>
        <v>0.78771836154175345</v>
      </c>
      <c r="AV65" s="129"/>
      <c r="AW65" s="129">
        <f t="shared" si="60"/>
        <v>-5.4206559318918353E-3</v>
      </c>
      <c r="AX65" s="129">
        <f t="shared" si="61"/>
        <v>1.4658488221772001E-3</v>
      </c>
      <c r="AY65" s="129"/>
      <c r="AZ65" s="129"/>
      <c r="BA65" s="129">
        <f t="shared" si="62"/>
        <v>1.0012925797429881</v>
      </c>
      <c r="BB65" s="129">
        <f t="shared" si="63"/>
        <v>1.1028505586865673</v>
      </c>
      <c r="BC65" s="129">
        <f t="shared" si="50"/>
        <v>0.92528732605739505</v>
      </c>
      <c r="BE65">
        <f t="shared" si="64"/>
        <v>0.99918615316857728</v>
      </c>
      <c r="BF65">
        <f t="shared" si="65"/>
        <v>1.0189169952974819</v>
      </c>
      <c r="BG65" s="129">
        <f t="shared" si="51"/>
        <v>0.98788534933200944</v>
      </c>
    </row>
    <row r="66" spans="1:59" x14ac:dyDescent="0.2">
      <c r="A66" s="133" t="s">
        <v>664</v>
      </c>
      <c r="B66" s="144">
        <f t="shared" si="52"/>
        <v>2005</v>
      </c>
      <c r="D66" s="4">
        <f>'Freight-based Energy Use'!B63</f>
        <v>2122.5953046375425</v>
      </c>
      <c r="E66" s="4">
        <f>'Freight-based Energy Use'!C63</f>
        <v>4105.2531909117115</v>
      </c>
      <c r="F66" s="4">
        <f t="shared" si="66"/>
        <v>6227.848495549254</v>
      </c>
      <c r="H66" s="411">
        <f>'Freight-based Activity'!B63*3</f>
        <v>346248.05076542322</v>
      </c>
      <c r="I66" s="4">
        <f>'Freight-based Activity'!C63</f>
        <v>1298882.6484018264</v>
      </c>
      <c r="J66" s="4">
        <f t="shared" si="67"/>
        <v>1645130.6991672497</v>
      </c>
      <c r="L66" s="4">
        <f t="shared" si="77"/>
        <v>6130.2736577008563</v>
      </c>
      <c r="M66" s="4">
        <f t="shared" si="77"/>
        <v>3160.6036126226686</v>
      </c>
      <c r="N66" s="4">
        <f t="shared" si="77"/>
        <v>3785.625360162408</v>
      </c>
      <c r="P66" s="129">
        <f t="shared" si="78"/>
        <v>0.74924514999066461</v>
      </c>
      <c r="Q66" s="129">
        <f t="shared" si="78"/>
        <v>1.0874028228498998</v>
      </c>
      <c r="R66" s="129">
        <f t="shared" si="78"/>
        <v>0.93022925381302146</v>
      </c>
      <c r="T66" s="131">
        <f t="shared" si="68"/>
        <v>1.8094198191245459</v>
      </c>
      <c r="U66" s="131">
        <f t="shared" si="69"/>
        <v>0.93022925381302146</v>
      </c>
      <c r="V66" s="131">
        <f t="shared" si="70"/>
        <v>0.98655294650068237</v>
      </c>
      <c r="W66" s="131">
        <f t="shared" si="71"/>
        <v>0.94290859615042211</v>
      </c>
      <c r="X66" s="131">
        <f t="shared" si="72"/>
        <v>1.6831752481787174</v>
      </c>
      <c r="Y66" s="131">
        <f t="shared" si="73"/>
        <v>1.6831752481787186</v>
      </c>
      <c r="Z66" s="131"/>
      <c r="AA66" s="131">
        <f t="shared" si="74"/>
        <v>0.93022925381302091</v>
      </c>
      <c r="AD66" s="134"/>
      <c r="AF66" s="129">
        <f>D66/F66</f>
        <v>0.3408232082322587</v>
      </c>
      <c r="AG66" s="129">
        <f>E66/F66</f>
        <v>0.65917679176774124</v>
      </c>
      <c r="AH66" s="129"/>
      <c r="AI66" s="129">
        <f>(AF66-AF65)/LN(AF66/AF65)</f>
        <v>0.33543710740422245</v>
      </c>
      <c r="AJ66" s="129">
        <f>(AG66-AG65)/LN(AG66/AG65)</f>
        <v>0.66451997134407226</v>
      </c>
      <c r="AK66" s="129">
        <f>AI66+AJ66</f>
        <v>0.99995707874829476</v>
      </c>
      <c r="AL66" s="129"/>
      <c r="AM66" s="129">
        <f>AI66/AK66</f>
        <v>0.33545150540272073</v>
      </c>
      <c r="AN66" s="129">
        <f>AJ66/AK66</f>
        <v>0.66454849459727916</v>
      </c>
      <c r="AO66" s="129"/>
      <c r="AP66" s="129"/>
      <c r="AQ66" s="129">
        <f>LN(P66/P65)</f>
        <v>5.8037524377629615E-2</v>
      </c>
      <c r="AR66" s="129">
        <f>LN(Q66/Q65)</f>
        <v>-9.0849324952349769E-4</v>
      </c>
      <c r="AS66" s="129"/>
      <c r="AT66" s="129">
        <f>H66/J66</f>
        <v>0.21046841502665464</v>
      </c>
      <c r="AU66" s="129">
        <f>I66/J66</f>
        <v>0.7895315849733453</v>
      </c>
      <c r="AV66" s="129"/>
      <c r="AW66" s="129">
        <f>LN(AT66/AT65)</f>
        <v>-8.5782818275629835E-3</v>
      </c>
      <c r="AX66" s="129">
        <f>LN(AU66/AU65)</f>
        <v>2.2992224338152E-3</v>
      </c>
      <c r="AY66" s="129"/>
      <c r="AZ66" s="129"/>
      <c r="BA66" s="129">
        <f>EXP(SUMPRODUCT($AM66:$AN66,AQ66:AR66))</f>
        <v>1.0190441061892745</v>
      </c>
      <c r="BB66" s="129">
        <f>IF(ISERR(BA66),BB65,BA66*BB65)</f>
        <v>1.1238533618370952</v>
      </c>
      <c r="BC66" s="129">
        <f t="shared" si="50"/>
        <v>0.94290859615042211</v>
      </c>
      <c r="BE66">
        <f>EXP(SUMPRODUCT($AM66:$AN66,AW66:AX66))</f>
        <v>0.9986512576259704</v>
      </c>
      <c r="BF66">
        <f>IF(ISERR(BE66),BF65,BE66*BF65)</f>
        <v>1.0175427387703053</v>
      </c>
      <c r="BG66" s="129">
        <f t="shared" si="51"/>
        <v>0.98655294650068237</v>
      </c>
    </row>
    <row r="67" spans="1:59" x14ac:dyDescent="0.2">
      <c r="A67" s="133" t="s">
        <v>664</v>
      </c>
      <c r="B67" s="144">
        <f t="shared" si="52"/>
        <v>2006</v>
      </c>
      <c r="D67" s="62">
        <f>'Freight-based Energy Use'!B64</f>
        <v>2201.0113610450558</v>
      </c>
      <c r="E67" s="62">
        <f>'Freight-based Energy Use'!C64</f>
        <v>4167.2100698502618</v>
      </c>
      <c r="F67" s="62">
        <f t="shared" si="66"/>
        <v>6368.2214308953171</v>
      </c>
      <c r="H67" s="411">
        <f>'Freight-based Activity'!B64*3</f>
        <v>354399.63043590967</v>
      </c>
      <c r="I67" s="4">
        <f>'Freight-based Activity'!C64</f>
        <v>1282117.6940639268</v>
      </c>
      <c r="J67" s="4">
        <f t="shared" si="67"/>
        <v>1636517.3244998364</v>
      </c>
      <c r="L67" s="4">
        <f>D67/H67*1000000</f>
        <v>6210.535147392291</v>
      </c>
      <c r="M67" s="4">
        <f>E67/I67*1000000</f>
        <v>3250.2554867965837</v>
      </c>
      <c r="N67" s="4">
        <f>F67/J67*1000000</f>
        <v>3891.3253991011775</v>
      </c>
      <c r="P67" s="129">
        <f t="shared" ref="P67:R68" si="79">L67/L$74</f>
        <v>0.75905474989438027</v>
      </c>
      <c r="Q67" s="129">
        <f t="shared" si="79"/>
        <v>1.1182474693158968</v>
      </c>
      <c r="R67" s="129">
        <f t="shared" si="79"/>
        <v>0.95620257631469674</v>
      </c>
      <c r="T67" s="131">
        <f t="shared" si="68"/>
        <v>1.799946279520275</v>
      </c>
      <c r="U67" s="131">
        <f t="shared" si="69"/>
        <v>0.95620257631469674</v>
      </c>
      <c r="V67" s="131">
        <f t="shared" si="70"/>
        <v>0.99120435558139275</v>
      </c>
      <c r="W67" s="131">
        <f t="shared" si="71"/>
        <v>0.96468762564489896</v>
      </c>
      <c r="X67" s="131">
        <f t="shared" si="72"/>
        <v>1.7211132697053386</v>
      </c>
      <c r="Y67" s="131">
        <f t="shared" si="73"/>
        <v>1.72111326970534</v>
      </c>
      <c r="Z67" s="131"/>
      <c r="AA67" s="131">
        <f t="shared" si="74"/>
        <v>0.95620257631469596</v>
      </c>
      <c r="AD67" s="134"/>
      <c r="AF67" s="129">
        <f>D67/F67</f>
        <v>0.34562418799806283</v>
      </c>
      <c r="AG67" s="129">
        <f>E67/F67</f>
        <v>0.65437581200193728</v>
      </c>
      <c r="AH67" s="129"/>
      <c r="AI67" s="129">
        <f>(AF67-AF66)/LN(AF67/AF66)</f>
        <v>0.34321810173892475</v>
      </c>
      <c r="AJ67" s="129">
        <f>(AG67-AG66)/LN(AG67/AG66)</f>
        <v>0.65677337731108254</v>
      </c>
      <c r="AK67" s="129">
        <f>AI67+AJ67</f>
        <v>0.99999147905000729</v>
      </c>
      <c r="AL67" s="129"/>
      <c r="AM67" s="129">
        <f>AI67/AK67</f>
        <v>0.34322102630812634</v>
      </c>
      <c r="AN67" s="129">
        <f>AJ67/AK67</f>
        <v>0.65677897369187366</v>
      </c>
      <c r="AO67" s="129"/>
      <c r="AP67" s="129"/>
      <c r="AQ67" s="129">
        <f>LN(P67/P66)</f>
        <v>1.3007676018719924E-2</v>
      </c>
      <c r="AR67" s="129">
        <f>LN(Q67/Q66)</f>
        <v>2.7970578563757658E-2</v>
      </c>
      <c r="AS67" s="129"/>
      <c r="AT67" s="129">
        <f>H67/J67</f>
        <v>0.21655721276536055</v>
      </c>
      <c r="AU67" s="129">
        <f>I67/J67</f>
        <v>0.78344278723463945</v>
      </c>
      <c r="AV67" s="129"/>
      <c r="AW67" s="129">
        <f>LN(AT67/AT66)</f>
        <v>2.8519180242212495E-2</v>
      </c>
      <c r="AX67" s="129">
        <f>LN(AU67/AU66)</f>
        <v>-7.7418021011872486E-3</v>
      </c>
      <c r="AY67" s="129"/>
      <c r="AZ67" s="129"/>
      <c r="BA67" s="129">
        <f>EXP(SUMPRODUCT($AM67:$AN67,AQ67:AR67))</f>
        <v>1.0230977101952334</v>
      </c>
      <c r="BB67" s="129">
        <f>IF(ISERR(BA67),BB66,BA67*BB66)</f>
        <v>1.1498118010907472</v>
      </c>
      <c r="BC67" s="129">
        <f t="shared" si="50"/>
        <v>0.96468762564489896</v>
      </c>
      <c r="BE67">
        <f>EXP(SUMPRODUCT($AM67:$AN67,AW67:AX67))</f>
        <v>1.0047148093746099</v>
      </c>
      <c r="BF67">
        <f>IF(ISERR(BE67),BF66,BE67*BF66)</f>
        <v>1.0223402588141257</v>
      </c>
      <c r="BG67" s="129">
        <f t="shared" si="51"/>
        <v>0.99120435558139275</v>
      </c>
    </row>
    <row r="68" spans="1:59" x14ac:dyDescent="0.2">
      <c r="A68" s="133" t="s">
        <v>664</v>
      </c>
      <c r="B68" s="144">
        <f t="shared" si="52"/>
        <v>2007</v>
      </c>
      <c r="D68" s="4">
        <f>'Freight-based Energy Use'!B65</f>
        <v>2234.0766821999996</v>
      </c>
      <c r="E68" s="4">
        <f>'Freight-based Energy Use'!C65</f>
        <v>4232.0648391999994</v>
      </c>
      <c r="F68" s="4">
        <f t="shared" si="36"/>
        <v>6466.141521399999</v>
      </c>
      <c r="H68" s="411">
        <f>'Freight-based Activity'!B65*3</f>
        <v>359937</v>
      </c>
      <c r="I68" s="4">
        <f>'Freight-based Activity'!C65</f>
        <v>1302150.3320437097</v>
      </c>
      <c r="J68" s="4">
        <f t="shared" si="37"/>
        <v>1662087.3320437097</v>
      </c>
      <c r="L68" s="4">
        <f t="shared" si="38"/>
        <v>6206.8547612498851</v>
      </c>
      <c r="M68" s="4">
        <f t="shared" si="39"/>
        <v>3250.0585647110524</v>
      </c>
      <c r="N68" s="4">
        <f t="shared" si="40"/>
        <v>3890.3741077487207</v>
      </c>
      <c r="P68" s="129">
        <f t="shared" si="79"/>
        <v>0.75860493123680262</v>
      </c>
      <c r="Q68" s="129">
        <f t="shared" si="79"/>
        <v>1.1181797184499442</v>
      </c>
      <c r="R68" s="129">
        <f t="shared" si="79"/>
        <v>0.95596881862322858</v>
      </c>
      <c r="T68" s="131">
        <f t="shared" si="68"/>
        <v>1.8280698069995618</v>
      </c>
      <c r="U68" s="131">
        <f t="shared" ref="U68:U75" si="80">R68</f>
        <v>0.95596881862322858</v>
      </c>
      <c r="V68" s="131">
        <f t="shared" ref="V68:V75" si="81">BG68</f>
        <v>0.99120435558139275</v>
      </c>
      <c r="W68" s="131">
        <f t="shared" ref="W68:W75" si="82">BC68</f>
        <v>0.96445179365914169</v>
      </c>
      <c r="X68" s="131">
        <f t="shared" ref="X68:X75" si="83">T68*V68*W68</f>
        <v>1.7475777337581633</v>
      </c>
      <c r="Y68" s="131">
        <f t="shared" ref="Y68:Y75" si="84">F68/F$74</f>
        <v>1.7475777337581644</v>
      </c>
      <c r="Z68" s="131"/>
      <c r="AA68" s="131">
        <f t="shared" ref="AA68:AA75" si="85">V68*W68</f>
        <v>0.95596881862322791</v>
      </c>
      <c r="AD68" s="134"/>
      <c r="AF68" s="129">
        <f t="shared" si="46"/>
        <v>0.34550383328391715</v>
      </c>
      <c r="AG68" s="129">
        <f t="shared" si="47"/>
        <v>0.65449616671608291</v>
      </c>
      <c r="AH68" s="129"/>
      <c r="AI68" s="129">
        <f t="shared" si="53"/>
        <v>0.34556400714787</v>
      </c>
      <c r="AJ68" s="129">
        <f t="shared" si="54"/>
        <v>0.65443598751457233</v>
      </c>
      <c r="AK68" s="129">
        <f t="shared" si="55"/>
        <v>0.99999999466244227</v>
      </c>
      <c r="AL68" s="129"/>
      <c r="AM68" s="129">
        <f t="shared" si="56"/>
        <v>0.34556400899233786</v>
      </c>
      <c r="AN68" s="129">
        <f t="shared" si="57"/>
        <v>0.65443599100766225</v>
      </c>
      <c r="AO68" s="129"/>
      <c r="AP68" s="129"/>
      <c r="AQ68" s="129">
        <f t="shared" si="58"/>
        <v>-5.9277936462557386E-4</v>
      </c>
      <c r="AR68" s="129">
        <f t="shared" si="59"/>
        <v>-6.0588483581231668E-5</v>
      </c>
      <c r="AS68" s="129"/>
      <c r="AT68" s="129">
        <f t="shared" si="48"/>
        <v>0.2165572127653605</v>
      </c>
      <c r="AU68" s="129">
        <f t="shared" si="49"/>
        <v>0.78344278723463956</v>
      </c>
      <c r="AV68" s="129"/>
      <c r="AW68" s="129">
        <f t="shared" si="60"/>
        <v>-2.2204460492503131E-16</v>
      </c>
      <c r="AX68" s="129">
        <f t="shared" si="61"/>
        <v>2.2204460492503128E-16</v>
      </c>
      <c r="AY68" s="129"/>
      <c r="AZ68" s="129"/>
      <c r="BA68" s="129">
        <f t="shared" si="62"/>
        <v>0.99975553538835993</v>
      </c>
      <c r="BB68" s="129">
        <f t="shared" si="63"/>
        <v>1.1495307127953345</v>
      </c>
      <c r="BC68" s="129">
        <f t="shared" si="50"/>
        <v>0.96445179365914169</v>
      </c>
      <c r="BE68">
        <f t="shared" si="64"/>
        <v>1</v>
      </c>
      <c r="BF68">
        <f t="shared" si="65"/>
        <v>1.0223402588141257</v>
      </c>
      <c r="BG68" s="129">
        <f t="shared" si="51"/>
        <v>0.99120435558139275</v>
      </c>
    </row>
    <row r="69" spans="1:59" x14ac:dyDescent="0.2">
      <c r="A69" s="133" t="s">
        <v>664</v>
      </c>
      <c r="B69" s="144">
        <f t="shared" si="52"/>
        <v>2008</v>
      </c>
      <c r="D69" s="4">
        <f>'Freight-based Energy Use'!B66</f>
        <v>2347.7387911999999</v>
      </c>
      <c r="E69" s="4">
        <f>'Freight-based Energy Use'!C66</f>
        <v>4185.0936302999999</v>
      </c>
      <c r="F69" s="4">
        <f>D69+E69</f>
        <v>6532.8324214999993</v>
      </c>
      <c r="H69" s="411">
        <f>'Freight-based Activity'!B66*3</f>
        <v>380565</v>
      </c>
      <c r="I69" s="4">
        <f>'Freight-based Activity'!C66</f>
        <v>1299513.4986523651</v>
      </c>
      <c r="J69" s="4">
        <f>H69+I69</f>
        <v>1680078.4986523651</v>
      </c>
      <c r="L69" s="4">
        <f t="shared" si="38"/>
        <v>6169.0875177696316</v>
      </c>
      <c r="M69" s="4">
        <f t="shared" si="39"/>
        <v>3220.5080090665233</v>
      </c>
      <c r="N69" s="4">
        <f t="shared" si="40"/>
        <v>3888.4090396610368</v>
      </c>
      <c r="P69" s="129">
        <f t="shared" ref="P69:R71" si="86">L69/L$74</f>
        <v>0.75398899961839116</v>
      </c>
      <c r="Q69" s="129">
        <f t="shared" si="86"/>
        <v>1.1080128764276447</v>
      </c>
      <c r="R69" s="129">
        <f t="shared" si="86"/>
        <v>0.95548594891294658</v>
      </c>
      <c r="T69" s="131">
        <f t="shared" ref="T69:T75" si="87">J69/J$74</f>
        <v>1.8478576411499736</v>
      </c>
      <c r="U69" s="131">
        <f t="shared" si="80"/>
        <v>0.95548594891294658</v>
      </c>
      <c r="V69" s="131">
        <f t="shared" si="81"/>
        <v>0.99872689763087308</v>
      </c>
      <c r="W69" s="131">
        <f t="shared" si="82"/>
        <v>0.95670393095399653</v>
      </c>
      <c r="X69" s="131">
        <f t="shared" si="83"/>
        <v>1.7656020117102207</v>
      </c>
      <c r="Y69" s="131">
        <f t="shared" si="84"/>
        <v>1.7656020117102216</v>
      </c>
      <c r="Z69" s="131"/>
      <c r="AA69" s="131">
        <f t="shared" si="85"/>
        <v>0.95548594891294591</v>
      </c>
      <c r="AD69" s="134"/>
      <c r="AF69" s="129">
        <f t="shared" si="46"/>
        <v>0.35937532753380153</v>
      </c>
      <c r="AG69" s="129">
        <f t="shared" si="47"/>
        <v>0.64062467246619859</v>
      </c>
      <c r="AH69" s="129"/>
      <c r="AI69" s="129">
        <f t="shared" si="53"/>
        <v>0.35239407893876457</v>
      </c>
      <c r="AJ69" s="129">
        <f t="shared" si="54"/>
        <v>0.64753565687743098</v>
      </c>
      <c r="AK69" s="129">
        <f t="shared" si="55"/>
        <v>0.9999297358161956</v>
      </c>
      <c r="AL69" s="129"/>
      <c r="AM69" s="129">
        <f t="shared" si="56"/>
        <v>0.35241884136101009</v>
      </c>
      <c r="AN69" s="129">
        <f t="shared" si="57"/>
        <v>0.64758115863898991</v>
      </c>
      <c r="AO69" s="129"/>
      <c r="AP69" s="129"/>
      <c r="AQ69" s="129">
        <f t="shared" si="58"/>
        <v>-6.1033511416487014E-3</v>
      </c>
      <c r="AR69" s="129">
        <f t="shared" si="59"/>
        <v>-9.1339021870911526E-3</v>
      </c>
      <c r="AS69" s="129"/>
      <c r="AT69" s="129">
        <f t="shared" si="48"/>
        <v>0.22651620165680422</v>
      </c>
      <c r="AU69" s="129">
        <f t="shared" si="49"/>
        <v>0.77348379834319581</v>
      </c>
      <c r="AV69" s="129"/>
      <c r="AW69" s="129">
        <f t="shared" si="60"/>
        <v>4.4961698131420598E-2</v>
      </c>
      <c r="AX69" s="129">
        <f t="shared" si="61"/>
        <v>-1.2793313203965291E-2</v>
      </c>
      <c r="AY69" s="129"/>
      <c r="AZ69" s="129"/>
      <c r="BA69" s="129">
        <f t="shared" si="62"/>
        <v>0.99196656301944364</v>
      </c>
      <c r="BB69" s="129">
        <f t="shared" si="63"/>
        <v>1.1402960302568792</v>
      </c>
      <c r="BC69" s="129">
        <f t="shared" si="50"/>
        <v>0.95670393095399653</v>
      </c>
      <c r="BE69">
        <f t="shared" si="64"/>
        <v>1.007589294787822</v>
      </c>
      <c r="BF69">
        <f t="shared" si="65"/>
        <v>1.0300991004117244</v>
      </c>
      <c r="BG69" s="129">
        <f t="shared" si="51"/>
        <v>0.99872689763087308</v>
      </c>
    </row>
    <row r="70" spans="1:59" x14ac:dyDescent="0.2">
      <c r="A70" s="133" t="s">
        <v>664</v>
      </c>
      <c r="B70" s="144">
        <f t="shared" si="52"/>
        <v>2009</v>
      </c>
      <c r="D70" s="4">
        <f>'Freight-based Energy Use'!B67</f>
        <v>2225.7232019000003</v>
      </c>
      <c r="E70" s="4">
        <f>'Freight-based Energy Use'!C67</f>
        <v>3841.2315149999999</v>
      </c>
      <c r="F70" s="4">
        <f>D70+E70</f>
        <v>6066.9547168999998</v>
      </c>
      <c r="H70" s="411">
        <f>'Freight-based Activity'!B67*3</f>
        <v>360621</v>
      </c>
      <c r="I70" s="4">
        <f>'Freight-based Activity'!C67</f>
        <v>1188342.3407105771</v>
      </c>
      <c r="J70" s="4">
        <f>H70+I70</f>
        <v>1548963.3407105771</v>
      </c>
      <c r="L70" s="4">
        <f t="shared" ref="L70:N71" si="88">D70/H70*1000000</f>
        <v>6171.9178913596279</v>
      </c>
      <c r="M70" s="4">
        <f t="shared" si="88"/>
        <v>3232.4283865061229</v>
      </c>
      <c r="N70" s="4">
        <f t="shared" si="88"/>
        <v>3916.7839273180107</v>
      </c>
      <c r="P70" s="129">
        <f t="shared" si="86"/>
        <v>0.75433492931148116</v>
      </c>
      <c r="Q70" s="129">
        <f t="shared" si="86"/>
        <v>1.1121140715365436</v>
      </c>
      <c r="R70" s="129">
        <f t="shared" si="86"/>
        <v>0.96245841661932385</v>
      </c>
      <c r="T70" s="131">
        <f>J70/J$74</f>
        <v>1.7036488159863521</v>
      </c>
      <c r="U70" s="131">
        <f>R70</f>
        <v>0.96245841661932385</v>
      </c>
      <c r="V70" s="131">
        <f>BG70</f>
        <v>1.0034833631341531</v>
      </c>
      <c r="W70" s="131">
        <f>BC70</f>
        <v>0.95911746221013772</v>
      </c>
      <c r="X70" s="131">
        <f>T70*V70*W70</f>
        <v>1.6396911419096087</v>
      </c>
      <c r="Y70" s="131">
        <f>F70/F$74</f>
        <v>1.6396911419096101</v>
      </c>
      <c r="Z70" s="131"/>
      <c r="AA70" s="131">
        <f>V70*W70</f>
        <v>0.96245841661932297</v>
      </c>
      <c r="AD70" s="134"/>
      <c r="AF70" s="129">
        <f>D70/F70</f>
        <v>0.36686003205200557</v>
      </c>
      <c r="AG70" s="129">
        <f>E70/F70</f>
        <v>0.63313996794799454</v>
      </c>
      <c r="AH70" s="129"/>
      <c r="AI70" s="129">
        <f t="shared" ref="AI70:AJ72" si="89">(AF70-AF69)/LN(AF70/AF69)</f>
        <v>0.36310482299016145</v>
      </c>
      <c r="AJ70" s="129">
        <f t="shared" si="89"/>
        <v>0.63687499005679848</v>
      </c>
      <c r="AK70" s="129">
        <f>AI70+AJ70</f>
        <v>0.99997981304695993</v>
      </c>
      <c r="AL70" s="129"/>
      <c r="AM70" s="129">
        <f>AI70/AK70</f>
        <v>0.36311215311814471</v>
      </c>
      <c r="AN70" s="129">
        <f>AJ70/AK70</f>
        <v>0.63688784688185529</v>
      </c>
      <c r="AO70" s="129"/>
      <c r="AP70" s="129"/>
      <c r="AQ70" s="129">
        <f t="shared" ref="AQ70:AR72" si="90">LN(P70/P69)</f>
        <v>4.5869417373856395E-4</v>
      </c>
      <c r="AR70" s="129">
        <f t="shared" si="90"/>
        <v>3.6945633020660559E-3</v>
      </c>
      <c r="AS70" s="129"/>
      <c r="AT70" s="129">
        <f>H70/J70</f>
        <v>0.23281441885807794</v>
      </c>
      <c r="AU70" s="129">
        <f>I70/J70</f>
        <v>0.76718558114192204</v>
      </c>
      <c r="AV70" s="129"/>
      <c r="AW70" s="129">
        <f t="shared" ref="AW70:AX72" si="91">LN(AT70/AT69)</f>
        <v>2.7425177756356733E-2</v>
      </c>
      <c r="AX70" s="129">
        <f t="shared" si="91"/>
        <v>-8.1759946290677777E-3</v>
      </c>
      <c r="AY70" s="129"/>
      <c r="AZ70" s="129"/>
      <c r="BA70" s="129">
        <f>EXP(SUMPRODUCT($AM70:$AN70,AQ70:AR70))</f>
        <v>1.0025227567046102</v>
      </c>
      <c r="BB70" s="129">
        <f>IF(ISERR(BA70),BB69,BA70*BB69)</f>
        <v>1.1431727197124502</v>
      </c>
      <c r="BC70" s="129">
        <f t="shared" si="50"/>
        <v>0.95911746221013772</v>
      </c>
      <c r="BE70">
        <f>EXP(SUMPRODUCT($AM70:$AN70,AW70:AX70))</f>
        <v>1.0047625286898381</v>
      </c>
      <c r="BF70">
        <f>IF(ISERR(BE70),BF69,BE70*BF69)</f>
        <v>1.0350049769308116</v>
      </c>
      <c r="BG70" s="129">
        <f t="shared" si="51"/>
        <v>1.0034833631341531</v>
      </c>
    </row>
    <row r="71" spans="1:59" x14ac:dyDescent="0.2">
      <c r="A71" s="133" t="s">
        <v>664</v>
      </c>
      <c r="B71" s="144">
        <f t="shared" si="52"/>
        <v>2010</v>
      </c>
      <c r="D71" s="4">
        <f>'Freight-based Energy Use'!B68</f>
        <v>2067.4179030999999</v>
      </c>
      <c r="E71" s="4">
        <f>'Freight-based Energy Use'!C68</f>
        <v>4098.2722120999997</v>
      </c>
      <c r="F71" s="4">
        <f>D71+E71</f>
        <v>6165.6901151999991</v>
      </c>
      <c r="H71" s="411">
        <f>'Freight-based Activity'!B68*3</f>
        <v>332214</v>
      </c>
      <c r="I71" s="4">
        <f>'Freight-based Activity'!C68</f>
        <v>1242697.8687160716</v>
      </c>
      <c r="J71" s="4">
        <f>H71+I71</f>
        <v>1574911.8687160716</v>
      </c>
      <c r="L71" s="4">
        <f t="shared" si="88"/>
        <v>6223.151050527671</v>
      </c>
      <c r="M71" s="4">
        <f t="shared" si="88"/>
        <v>3297.8830295526664</v>
      </c>
      <c r="N71" s="4">
        <f t="shared" si="88"/>
        <v>3914.94294866576</v>
      </c>
      <c r="P71" s="129">
        <f t="shared" si="86"/>
        <v>0.76059667196258374</v>
      </c>
      <c r="Q71" s="129">
        <f t="shared" si="86"/>
        <v>1.1346336824530112</v>
      </c>
      <c r="R71" s="129">
        <f t="shared" si="86"/>
        <v>0.96200603899738835</v>
      </c>
      <c r="T71" s="131">
        <f>J71/J$74</f>
        <v>1.7321886644458191</v>
      </c>
      <c r="U71" s="131">
        <f>R71</f>
        <v>0.96200603899738835</v>
      </c>
      <c r="V71" s="131">
        <f>BG71</f>
        <v>0.98717763320463658</v>
      </c>
      <c r="W71" s="131">
        <f>BC71</f>
        <v>0.9745014540842708</v>
      </c>
      <c r="X71" s="131">
        <f>T71*V71*W71</f>
        <v>1.6663759558796969</v>
      </c>
      <c r="Y71" s="131">
        <f>F71/F$74</f>
        <v>1.6663759558796984</v>
      </c>
      <c r="Z71" s="131"/>
      <c r="AA71" s="131">
        <f>V71*W71</f>
        <v>0.96200603899738724</v>
      </c>
      <c r="AD71" s="134"/>
      <c r="AF71" s="129">
        <f>D71/F71</f>
        <v>0.33531005685856435</v>
      </c>
      <c r="AG71" s="129">
        <f>E71/F71</f>
        <v>0.6646899431414357</v>
      </c>
      <c r="AH71" s="129"/>
      <c r="AI71" s="129">
        <f t="shared" si="89"/>
        <v>0.35084864935826826</v>
      </c>
      <c r="AJ71" s="129">
        <f t="shared" si="89"/>
        <v>0.64878710650469595</v>
      </c>
      <c r="AK71" s="129">
        <f>AI71+AJ71</f>
        <v>0.99963575586296427</v>
      </c>
      <c r="AL71" s="129"/>
      <c r="AM71" s="129">
        <f>AI71/AK71</f>
        <v>0.35097649048716556</v>
      </c>
      <c r="AN71" s="129">
        <f>AJ71/AK71</f>
        <v>0.64902350951283438</v>
      </c>
      <c r="AO71" s="129"/>
      <c r="AP71" s="129"/>
      <c r="AQ71" s="129">
        <f t="shared" si="90"/>
        <v>8.2667472326216993E-3</v>
      </c>
      <c r="AR71" s="129">
        <f t="shared" si="90"/>
        <v>2.0047079217773496E-2</v>
      </c>
      <c r="AS71" s="129"/>
      <c r="AT71" s="129">
        <f>H71/J71</f>
        <v>0.21094132732064147</v>
      </c>
      <c r="AU71" s="129">
        <f>I71/J71</f>
        <v>0.78905867267935847</v>
      </c>
      <c r="AV71" s="129"/>
      <c r="AW71" s="129">
        <f t="shared" si="91"/>
        <v>-9.8661625377743201E-2</v>
      </c>
      <c r="AX71" s="129">
        <f t="shared" si="91"/>
        <v>2.8111952165645489E-2</v>
      </c>
      <c r="AY71" s="129"/>
      <c r="AZ71" s="129"/>
      <c r="BA71" s="129">
        <f>EXP(SUMPRODUCT($AM71:$AN71,AQ71:AR71))</f>
        <v>1.0160397370293761</v>
      </c>
      <c r="BB71" s="129">
        <f>IF(ISERR(BA71),BB70,BA71*BB70)</f>
        <v>1.1615089095157944</v>
      </c>
      <c r="BC71" s="129">
        <f t="shared" si="50"/>
        <v>0.9745014540842708</v>
      </c>
      <c r="BE71">
        <f>EXP(SUMPRODUCT($AM71:$AN71,AW71:AX71))</f>
        <v>0.98375087168501796</v>
      </c>
      <c r="BF71">
        <f>IF(ISERR(BE71),BF70,BE71*BF70)</f>
        <v>1.0181870482540178</v>
      </c>
      <c r="BG71" s="129">
        <f t="shared" si="51"/>
        <v>0.98717763320463658</v>
      </c>
    </row>
    <row r="72" spans="1:59" x14ac:dyDescent="0.2">
      <c r="A72" s="133" t="s">
        <v>664</v>
      </c>
      <c r="B72" s="144">
        <f t="shared" si="52"/>
        <v>2011</v>
      </c>
      <c r="D72" s="4">
        <f>'Freight-based Energy Use'!B69</f>
        <v>1942.2526409000002</v>
      </c>
      <c r="E72" s="4">
        <f>'Freight-based Energy Use'!C69</f>
        <v>3860.8142639000002</v>
      </c>
      <c r="F72" s="4">
        <f>D72+E72</f>
        <v>5803.0669048</v>
      </c>
      <c r="H72" s="411">
        <f>'Freight-based Activity'!B69*3</f>
        <v>310545</v>
      </c>
      <c r="I72" s="4">
        <f>'Freight-based Activity'!C69</f>
        <v>1157181.0495871254</v>
      </c>
      <c r="J72" s="4">
        <f>H72+I72</f>
        <v>1467726.0495871254</v>
      </c>
      <c r="L72" s="4">
        <f t="shared" ref="L72" si="92">D72/H72*1000000</f>
        <v>6254.3355742323984</v>
      </c>
      <c r="M72" s="4">
        <f t="shared" ref="M72" si="93">E72/I72*1000000</f>
        <v>3336.396033513955</v>
      </c>
      <c r="N72" s="4">
        <f t="shared" ref="N72" si="94">F72/J72*1000000</f>
        <v>3953.7806843670965</v>
      </c>
      <c r="P72" s="129">
        <f t="shared" ref="P72" si="95">L72/L$74</f>
        <v>0.76440806023742613</v>
      </c>
      <c r="Q72" s="129">
        <f t="shared" ref="Q72" si="96">M72/M$74</f>
        <v>1.1478840467368079</v>
      </c>
      <c r="R72" s="129">
        <f t="shared" ref="R72" si="97">N72/N$74</f>
        <v>0.97154950789989258</v>
      </c>
      <c r="T72" s="131">
        <f>J72/J$74</f>
        <v>1.614298854499906</v>
      </c>
      <c r="U72" s="131">
        <f>R72</f>
        <v>0.97154950789989258</v>
      </c>
      <c r="V72" s="131">
        <f>BG72</f>
        <v>0.98764770420441805</v>
      </c>
      <c r="W72" s="131">
        <f>BC72</f>
        <v>0.98370046704305958</v>
      </c>
      <c r="X72" s="131">
        <f>T72*V72*W72</f>
        <v>1.5683712576927424</v>
      </c>
      <c r="Y72" s="131">
        <f>F72/F$74</f>
        <v>1.568371257692744</v>
      </c>
      <c r="Z72" s="131"/>
      <c r="AA72" s="131">
        <f>V72*W72</f>
        <v>0.97154950789989158</v>
      </c>
      <c r="AD72" s="134"/>
      <c r="AF72" s="129">
        <f>D72/F72</f>
        <v>0.33469416650934497</v>
      </c>
      <c r="AG72" s="129">
        <f>E72/F72</f>
        <v>0.66530583349065509</v>
      </c>
      <c r="AH72" s="129"/>
      <c r="AI72" s="129">
        <f t="shared" si="89"/>
        <v>0.33500201732608409</v>
      </c>
      <c r="AJ72" s="129">
        <f t="shared" si="89"/>
        <v>0.6649978407818774</v>
      </c>
      <c r="AK72" s="129">
        <f>AI72+AJ72</f>
        <v>0.99999985810796144</v>
      </c>
      <c r="AL72" s="129"/>
      <c r="AM72" s="129">
        <f>AI72/AK72</f>
        <v>0.33500206486021</v>
      </c>
      <c r="AN72" s="129">
        <f>AJ72/AK72</f>
        <v>0.66499793513979011</v>
      </c>
      <c r="AO72" s="129"/>
      <c r="AP72" s="129"/>
      <c r="AQ72" s="129">
        <f t="shared" si="90"/>
        <v>4.9985368964547416E-3</v>
      </c>
      <c r="AR72" s="129">
        <f t="shared" si="90"/>
        <v>1.161043610941241E-2</v>
      </c>
      <c r="AS72" s="129"/>
      <c r="AT72" s="129">
        <f>H72/J72</f>
        <v>0.21158239992221778</v>
      </c>
      <c r="AU72" s="129">
        <f>I72/J72</f>
        <v>0.78841760007778228</v>
      </c>
      <c r="AV72" s="129"/>
      <c r="AW72" s="129">
        <f t="shared" si="91"/>
        <v>3.034495116685841E-3</v>
      </c>
      <c r="AX72" s="129">
        <f t="shared" si="91"/>
        <v>-8.1278260464434215E-4</v>
      </c>
      <c r="AY72" s="129"/>
      <c r="AZ72" s="129"/>
      <c r="BA72" s="129">
        <f>EXP(SUMPRODUCT($AM72:$AN72,AQ72:AR72))</f>
        <v>1.0094397118857386</v>
      </c>
      <c r="BB72" s="129">
        <f>IF(ISERR(BA72),BB71,BA72*BB71)</f>
        <v>1.1724732189743419</v>
      </c>
      <c r="BC72" s="129">
        <f t="shared" si="50"/>
        <v>0.98370046704305958</v>
      </c>
      <c r="BE72">
        <f>EXP(SUMPRODUCT($AM72:$AN72,AW72:AX72))</f>
        <v>1.0004761767122454</v>
      </c>
      <c r="BF72">
        <f>IF(ISERR(BE72),BF71,BE72*BF71)</f>
        <v>1.0186718852151062</v>
      </c>
      <c r="BG72" s="129">
        <f t="shared" si="51"/>
        <v>0.98764770420441805</v>
      </c>
    </row>
    <row r="73" spans="1:59" hidden="1" x14ac:dyDescent="0.2">
      <c r="A73" s="133"/>
      <c r="B73" s="144"/>
      <c r="I73" s="4"/>
      <c r="J73" s="4"/>
      <c r="T73" s="131"/>
      <c r="U73" s="131"/>
      <c r="V73" s="131"/>
      <c r="W73" s="131"/>
      <c r="X73" s="131"/>
      <c r="Y73" s="131"/>
      <c r="Z73" s="131"/>
      <c r="AA73" s="131"/>
      <c r="AD73" s="134"/>
      <c r="AF73" s="129"/>
      <c r="AG73" s="129"/>
      <c r="AH73" s="129"/>
      <c r="AI73" s="129"/>
      <c r="AJ73" s="129"/>
      <c r="AK73" s="129"/>
      <c r="AL73" s="129"/>
      <c r="AM73" s="129"/>
      <c r="AN73" s="129"/>
      <c r="AO73" s="129"/>
      <c r="AP73" s="129"/>
      <c r="AQ73" s="129"/>
      <c r="AR73" s="129"/>
      <c r="AS73" s="129"/>
      <c r="AT73" s="129"/>
      <c r="AU73" s="129"/>
      <c r="AW73" s="129"/>
      <c r="AX73" s="129"/>
      <c r="AY73" s="129"/>
      <c r="AZ73" s="129"/>
      <c r="BA73" s="129"/>
      <c r="BB73" s="129"/>
      <c r="BC73" s="129"/>
      <c r="BG73" s="129"/>
    </row>
    <row r="74" spans="1:59" hidden="1" x14ac:dyDescent="0.2">
      <c r="A74" s="133" t="s">
        <v>684</v>
      </c>
      <c r="B74" s="144">
        <f>Base_year</f>
        <v>1985</v>
      </c>
      <c r="F74" s="129">
        <f>INDEX(F10:F71,Base_row,0)</f>
        <v>3700.0594574380202</v>
      </c>
      <c r="I74" s="4"/>
      <c r="J74" s="4">
        <f>INDEX(J10:J71,Base_row,0)</f>
        <v>909203.42630225839</v>
      </c>
      <c r="L74" s="136">
        <f>INDEX(L10:L71,Base_row,0)</f>
        <v>8181.9330532566519</v>
      </c>
      <c r="M74" s="136">
        <f>INDEX(M10:M71,Base_row,0)</f>
        <v>2906.5618979535648</v>
      </c>
      <c r="N74" s="136">
        <f>INDEX(N10:N71,Base_row,0)</f>
        <v>4069.5617178723223</v>
      </c>
      <c r="T74" s="131">
        <f t="shared" si="87"/>
        <v>1</v>
      </c>
      <c r="U74" s="131">
        <f t="shared" si="80"/>
        <v>0</v>
      </c>
      <c r="V74" s="131">
        <f t="shared" si="81"/>
        <v>1</v>
      </c>
      <c r="W74" s="131">
        <f t="shared" si="82"/>
        <v>1</v>
      </c>
      <c r="X74" s="131">
        <f t="shared" si="83"/>
        <v>1</v>
      </c>
      <c r="Y74" s="131">
        <f t="shared" si="84"/>
        <v>1</v>
      </c>
      <c r="Z74" s="131"/>
      <c r="AA74" s="131">
        <f t="shared" si="85"/>
        <v>1</v>
      </c>
      <c r="AD74" s="134"/>
      <c r="AF74" s="129">
        <f t="shared" si="46"/>
        <v>0</v>
      </c>
      <c r="AG74" s="129">
        <f>E74/F74</f>
        <v>0</v>
      </c>
      <c r="AH74" s="129"/>
      <c r="AI74" s="129" t="e">
        <f>(AF74-AF73)/LN(AF74/AF73)</f>
        <v>#DIV/0!</v>
      </c>
      <c r="AJ74" s="129" t="e">
        <f>(AG74-AG73)/LN(AG74/AG73)</f>
        <v>#DIV/0!</v>
      </c>
      <c r="AK74" s="129" t="e">
        <f>AI74+AJ74</f>
        <v>#DIV/0!</v>
      </c>
      <c r="AL74" s="129"/>
      <c r="AM74" s="129" t="e">
        <f>AI74/AK74</f>
        <v>#DIV/0!</v>
      </c>
      <c r="AN74" s="129" t="e">
        <f>AJ74/AK74</f>
        <v>#DIV/0!</v>
      </c>
      <c r="AO74" s="129"/>
      <c r="AP74" s="129"/>
      <c r="AQ74" s="129" t="e">
        <f>LN(P74/P73)</f>
        <v>#DIV/0!</v>
      </c>
      <c r="AR74" s="129" t="e">
        <f>LN(Q74/Q73)</f>
        <v>#DIV/0!</v>
      </c>
      <c r="AS74" s="129"/>
      <c r="AT74" s="129">
        <f>H74/J74</f>
        <v>0</v>
      </c>
      <c r="AU74" s="129">
        <f>I74/J74</f>
        <v>0</v>
      </c>
      <c r="AW74" s="129" t="e">
        <f t="shared" si="60"/>
        <v>#DIV/0!</v>
      </c>
      <c r="AX74" s="129" t="e">
        <f>LN(AU74/AU73)</f>
        <v>#DIV/0!</v>
      </c>
      <c r="AY74" s="129"/>
      <c r="AZ74" s="129"/>
      <c r="BA74" s="129" t="e">
        <f>EXP(SUMPRODUCT($AM74:$AN74,AQ74:AR74))</f>
        <v>#DIV/0!</v>
      </c>
      <c r="BB74" s="129">
        <f>INDEX(BB10:BB71,Base_row,0)</f>
        <v>1.1919006427827783</v>
      </c>
      <c r="BC74" s="129">
        <f>BB74/BB$74</f>
        <v>1</v>
      </c>
      <c r="BE74" t="e">
        <f>EXP(SUMPRODUCT($AM74:$AN74,AW74:AX74))</f>
        <v>#DIV/0!</v>
      </c>
      <c r="BF74" s="129">
        <f>INDEX(BF10:BF71,Base_row,0)</f>
        <v>1.0314121937190945</v>
      </c>
      <c r="BG74" s="129">
        <f>BF74/BF$74</f>
        <v>1</v>
      </c>
    </row>
    <row r="75" spans="1:59" hidden="1" x14ac:dyDescent="0.2">
      <c r="A75" s="133" t="s">
        <v>683</v>
      </c>
      <c r="B75" s="144">
        <f>Base_year2</f>
        <v>1996</v>
      </c>
      <c r="I75" s="4"/>
      <c r="J75" s="4">
        <f>INDEX(J10:J71,Base_row2,0)</f>
        <v>1353623.3834672109</v>
      </c>
      <c r="L75" s="136">
        <f>INDEX(L10:L71,Base_row2,0)</f>
        <v>7416.6843922601829</v>
      </c>
      <c r="M75" s="136">
        <f>INDEX(M10:M71,Base_row2,0)</f>
        <v>2787.536755058497</v>
      </c>
      <c r="N75" s="136">
        <f>INDEX(N10:N71,Base_row2,0)</f>
        <v>3754.0577119025302</v>
      </c>
      <c r="T75" s="131">
        <f t="shared" si="87"/>
        <v>1.4888014544472341</v>
      </c>
      <c r="U75" s="131">
        <f t="shared" si="80"/>
        <v>0</v>
      </c>
      <c r="V75" s="131">
        <f t="shared" si="81"/>
        <v>1</v>
      </c>
      <c r="W75" s="131">
        <f t="shared" si="82"/>
        <v>1</v>
      </c>
      <c r="X75" s="131">
        <f t="shared" si="83"/>
        <v>1.4888014544472341</v>
      </c>
      <c r="Y75" s="131">
        <f t="shared" si="84"/>
        <v>0</v>
      </c>
      <c r="Z75" s="131"/>
      <c r="AA75" s="131">
        <f t="shared" si="85"/>
        <v>1</v>
      </c>
      <c r="AD75" s="134"/>
      <c r="AF75" s="129" t="e">
        <f t="shared" si="46"/>
        <v>#DIV/0!</v>
      </c>
      <c r="AG75" s="129" t="e">
        <f>E75/F75</f>
        <v>#DIV/0!</v>
      </c>
      <c r="AH75" s="129"/>
      <c r="AI75" s="129" t="e">
        <f>(AF75-AF74)/LN(AF75/AF74)</f>
        <v>#DIV/0!</v>
      </c>
      <c r="AJ75" s="129" t="e">
        <f>(AG75-AG74)/LN(AG75/AG74)</f>
        <v>#DIV/0!</v>
      </c>
      <c r="AK75" s="129" t="e">
        <f>AI75+AJ75</f>
        <v>#DIV/0!</v>
      </c>
      <c r="AL75" s="129"/>
      <c r="AM75" s="129" t="e">
        <f>AI75/AK75</f>
        <v>#DIV/0!</v>
      </c>
      <c r="AN75" s="129" t="e">
        <f>AJ75/AK75</f>
        <v>#DIV/0!</v>
      </c>
      <c r="AO75" s="129"/>
      <c r="AP75" s="129"/>
      <c r="AQ75" s="129" t="e">
        <f>LN(P75/P74)</f>
        <v>#DIV/0!</v>
      </c>
      <c r="AR75" s="129" t="e">
        <f>LN(Q75/Q74)</f>
        <v>#DIV/0!</v>
      </c>
      <c r="AS75" s="129"/>
      <c r="AT75" s="129">
        <f>H75/J75</f>
        <v>0</v>
      </c>
      <c r="AU75" s="129">
        <f>I75/J75</f>
        <v>0</v>
      </c>
      <c r="AW75" s="129" t="e">
        <f t="shared" si="60"/>
        <v>#DIV/0!</v>
      </c>
      <c r="AX75" s="129" t="e">
        <f>LN(AU75/AU74)</f>
        <v>#DIV/0!</v>
      </c>
      <c r="AY75" s="129"/>
      <c r="AZ75" s="129"/>
      <c r="BA75" s="129" t="e">
        <f>EXP(SUMPRODUCT($AM75:$AN75,AQ75:AR75))</f>
        <v>#DIV/0!</v>
      </c>
      <c r="BB75" s="129">
        <f>IF(ISERR(BA75),BB74,BA75*BB74)</f>
        <v>1.1919006427827783</v>
      </c>
      <c r="BC75" s="129">
        <f>BB75/BB$74</f>
        <v>1</v>
      </c>
      <c r="BE75" t="e">
        <f>EXP(SUMPRODUCT($AM75:$AN75,AW75:AX75))</f>
        <v>#DIV/0!</v>
      </c>
      <c r="BF75">
        <f>IF(ISERR(BE75),BF74,BE75*BF74)</f>
        <v>1.0314121937190945</v>
      </c>
      <c r="BG75" s="129">
        <f>BF75/BF$74</f>
        <v>1</v>
      </c>
    </row>
    <row r="76" spans="1:59" x14ac:dyDescent="0.2">
      <c r="A76" s="133"/>
      <c r="B76" s="133"/>
      <c r="T76" s="131"/>
      <c r="U76" s="131"/>
      <c r="V76" s="131"/>
      <c r="W76" s="131"/>
      <c r="X76" s="131"/>
      <c r="Y76" s="131"/>
      <c r="Z76" s="131"/>
      <c r="AA76" s="131"/>
      <c r="AD76" s="134"/>
      <c r="AF76" s="129"/>
      <c r="AG76" s="129"/>
      <c r="AH76" s="129"/>
      <c r="AI76" s="129"/>
      <c r="AJ76" s="129"/>
      <c r="AK76" s="129"/>
      <c r="AL76" s="129"/>
      <c r="AM76" s="129"/>
      <c r="AN76" s="129"/>
      <c r="AO76" s="129"/>
      <c r="AP76" s="129"/>
      <c r="AQ76" s="129"/>
      <c r="AR76" s="129"/>
      <c r="AS76" s="129"/>
      <c r="AT76" s="129"/>
      <c r="AU76" s="129"/>
      <c r="AW76" s="129"/>
      <c r="AX76" s="129"/>
      <c r="AY76" s="129"/>
      <c r="AZ76" s="129"/>
      <c r="BA76" s="129"/>
      <c r="BB76" s="129"/>
      <c r="BC76" s="129"/>
      <c r="BG76" s="129"/>
    </row>
    <row r="77" spans="1:59" x14ac:dyDescent="0.2">
      <c r="A77" s="133"/>
      <c r="B77" s="133"/>
      <c r="H77" s="146" t="s">
        <v>744</v>
      </c>
      <c r="I77" s="146"/>
      <c r="AD77" s="134"/>
    </row>
    <row r="78" spans="1:59" x14ac:dyDescent="0.2">
      <c r="A78" s="133"/>
      <c r="B78" s="133"/>
      <c r="Q78" s="129"/>
      <c r="AD78" s="134"/>
    </row>
    <row r="79" spans="1:59" x14ac:dyDescent="0.2">
      <c r="A79" s="133"/>
      <c r="B79" s="133"/>
      <c r="Q79" s="129"/>
      <c r="S79">
        <v>2005</v>
      </c>
      <c r="T79" s="136">
        <v>1.8005191097186086</v>
      </c>
      <c r="U79" s="136">
        <v>0.99506928020780194</v>
      </c>
      <c r="V79" s="136">
        <v>0.9888718785961832</v>
      </c>
      <c r="W79" s="136">
        <v>1.0030933179815262</v>
      </c>
      <c r="X79" s="136">
        <v>1.7859903136722524</v>
      </c>
      <c r="Y79" s="136">
        <v>1.7916412545080884</v>
      </c>
      <c r="Z79" s="136"/>
      <c r="AA79" s="136">
        <v>0.99193077375967043</v>
      </c>
      <c r="AD79" s="134"/>
    </row>
    <row r="80" spans="1:59" x14ac:dyDescent="0.2">
      <c r="A80" s="133"/>
      <c r="B80" s="133"/>
      <c r="S80">
        <v>2006</v>
      </c>
      <c r="T80" s="136">
        <v>1.7887804709738893</v>
      </c>
      <c r="U80" s="136">
        <v>1.0223069189870866</v>
      </c>
      <c r="V80" s="136">
        <v>0.99173102010926839</v>
      </c>
      <c r="W80" s="136">
        <v>1.0275795379759718</v>
      </c>
      <c r="X80" s="136">
        <v>1.822914880465228</v>
      </c>
      <c r="Y80" s="136">
        <v>1.8286826520255861</v>
      </c>
      <c r="Z80" s="136"/>
      <c r="AA80" s="136">
        <v>1.0190825034403213</v>
      </c>
      <c r="AD80" s="134"/>
    </row>
    <row r="81" spans="1:30" x14ac:dyDescent="0.2">
      <c r="A81" s="133"/>
      <c r="B81" s="133"/>
      <c r="T81" s="136">
        <v>2.3814482285113701</v>
      </c>
      <c r="U81" s="136">
        <v>0.95520204286724397</v>
      </c>
      <c r="V81" s="136">
        <v>1.0073420476342241</v>
      </c>
      <c r="W81" s="136">
        <v>0.9452492152424492</v>
      </c>
      <c r="X81" s="136">
        <v>2.267589474080121</v>
      </c>
      <c r="Y81" s="136">
        <v>2.2747642128566397</v>
      </c>
      <c r="Z81" s="136"/>
      <c r="AA81" s="136">
        <v>0.95218928000697223</v>
      </c>
      <c r="AD81" s="134"/>
    </row>
    <row r="82" spans="1:30" x14ac:dyDescent="0.2">
      <c r="A82" s="133"/>
      <c r="B82" s="133"/>
      <c r="T82" s="136">
        <v>2.4052419517453747</v>
      </c>
      <c r="U82" s="136">
        <v>0.95550712411703986</v>
      </c>
      <c r="V82" s="136">
        <v>1.0158243426804976</v>
      </c>
      <c r="W82" s="136">
        <v>0.93765561524087848</v>
      </c>
      <c r="X82" s="136">
        <v>2.2909770820659956</v>
      </c>
      <c r="Y82" s="136">
        <v>2.2982258201178789</v>
      </c>
      <c r="Z82" s="136"/>
      <c r="AA82" s="136">
        <v>0.95249339901274299</v>
      </c>
      <c r="AD82" s="134"/>
    </row>
    <row r="83" spans="1:30" x14ac:dyDescent="0.2">
      <c r="A83" s="133"/>
      <c r="B83" s="133"/>
      <c r="T83" s="136">
        <v>2.216377382536824</v>
      </c>
      <c r="U83" s="136">
        <v>0.96298212416371276</v>
      </c>
      <c r="V83" s="136">
        <v>1.0211949821209947</v>
      </c>
      <c r="W83" s="136">
        <v>0.94002109223084307</v>
      </c>
      <c r="X83" s="136">
        <v>2.1275999930147749</v>
      </c>
      <c r="Y83" s="136">
        <v>2.1343317997837206</v>
      </c>
      <c r="Z83" s="136"/>
      <c r="AA83" s="136">
        <v>0.95994482247403368</v>
      </c>
      <c r="AD83" s="134"/>
    </row>
    <row r="84" spans="1:30" x14ac:dyDescent="0.2">
      <c r="A84" s="133"/>
      <c r="B84" s="133"/>
      <c r="T84" s="136">
        <v>2.2585921491018146</v>
      </c>
      <c r="U84" s="136">
        <v>0.95893309643783275</v>
      </c>
      <c r="V84" s="136">
        <v>1.0025910819475754</v>
      </c>
      <c r="W84" s="136">
        <v>0.95343812929241789</v>
      </c>
      <c r="X84" s="136">
        <v>2.1590075815625402</v>
      </c>
      <c r="Y84" s="136">
        <v>2.1658387631283826</v>
      </c>
      <c r="Z84" s="136"/>
      <c r="AA84" s="136">
        <v>0.95590856561735749</v>
      </c>
      <c r="AD84" s="134"/>
    </row>
    <row r="85" spans="1:30" x14ac:dyDescent="0.2">
      <c r="A85" s="133"/>
      <c r="B85" s="133"/>
      <c r="AD85" s="134"/>
    </row>
    <row r="86" spans="1:30" x14ac:dyDescent="0.2">
      <c r="A86" s="133"/>
      <c r="B86" s="133"/>
      <c r="AD86" s="134"/>
    </row>
    <row r="87" spans="1:30" x14ac:dyDescent="0.2">
      <c r="A87" s="133"/>
      <c r="B87" s="133"/>
      <c r="AD87" s="134"/>
    </row>
    <row r="88" spans="1:30" x14ac:dyDescent="0.2">
      <c r="A88" s="133"/>
      <c r="B88" s="133"/>
      <c r="AD88" s="134"/>
    </row>
    <row r="89" spans="1:30" x14ac:dyDescent="0.2">
      <c r="A89" s="133"/>
      <c r="B89" s="133"/>
      <c r="AD89" s="134"/>
    </row>
    <row r="90" spans="1:30" x14ac:dyDescent="0.2">
      <c r="A90" s="133"/>
      <c r="B90" s="133"/>
      <c r="AD90" s="134"/>
    </row>
    <row r="91" spans="1:30" x14ac:dyDescent="0.2">
      <c r="A91" s="133"/>
      <c r="B91" s="133"/>
      <c r="AD91" s="134"/>
    </row>
    <row r="92" spans="1:30" x14ac:dyDescent="0.2">
      <c r="A92" s="133"/>
      <c r="B92" s="133"/>
      <c r="AD92" s="134"/>
    </row>
    <row r="93" spans="1:30" x14ac:dyDescent="0.2">
      <c r="A93" s="133"/>
      <c r="B93" s="133"/>
      <c r="AD93" s="134"/>
    </row>
    <row r="94" spans="1:30" x14ac:dyDescent="0.2">
      <c r="A94" s="133"/>
      <c r="B94" s="133"/>
      <c r="AD94" s="134"/>
    </row>
    <row r="95" spans="1:30" x14ac:dyDescent="0.2">
      <c r="A95" s="133"/>
      <c r="B95" s="133"/>
      <c r="AD95" s="134"/>
    </row>
    <row r="96" spans="1:30" x14ac:dyDescent="0.2">
      <c r="A96" s="133"/>
      <c r="B96" s="133"/>
      <c r="AD96" s="134"/>
    </row>
    <row r="97" spans="1:30" x14ac:dyDescent="0.2">
      <c r="A97" s="133"/>
      <c r="B97" s="133"/>
      <c r="AD97" s="134"/>
    </row>
    <row r="98" spans="1:30" x14ac:dyDescent="0.2">
      <c r="A98" s="133"/>
      <c r="B98" s="133"/>
      <c r="AD98" s="134"/>
    </row>
    <row r="99" spans="1:30" x14ac:dyDescent="0.2">
      <c r="A99" s="133"/>
      <c r="B99" s="133"/>
      <c r="AD99" s="134"/>
    </row>
    <row r="100" spans="1:30" x14ac:dyDescent="0.2">
      <c r="A100" s="133"/>
      <c r="B100" s="133"/>
      <c r="AD100" s="134"/>
    </row>
    <row r="101" spans="1:30" x14ac:dyDescent="0.2">
      <c r="A101" s="133"/>
      <c r="B101" s="133"/>
      <c r="AD101" s="134"/>
    </row>
    <row r="102" spans="1:30" x14ac:dyDescent="0.2">
      <c r="A102" s="133"/>
      <c r="B102" s="133"/>
      <c r="AD102" s="134"/>
    </row>
    <row r="103" spans="1:30" x14ac:dyDescent="0.2">
      <c r="A103" s="133"/>
      <c r="B103" s="133"/>
      <c r="AD103" s="134"/>
    </row>
    <row r="104" spans="1:30" x14ac:dyDescent="0.2">
      <c r="A104" s="133"/>
      <c r="B104" s="133"/>
      <c r="AD104" s="134"/>
    </row>
    <row r="105" spans="1:30" x14ac:dyDescent="0.2">
      <c r="A105" s="133"/>
      <c r="B105" s="133"/>
      <c r="AD105" s="134"/>
    </row>
    <row r="106" spans="1:30" x14ac:dyDescent="0.2">
      <c r="A106" s="133"/>
      <c r="B106" s="133"/>
      <c r="AD106" s="134"/>
    </row>
    <row r="107" spans="1:30" x14ac:dyDescent="0.2">
      <c r="A107" s="133"/>
      <c r="B107" s="133"/>
      <c r="AD107" s="134"/>
    </row>
    <row r="108" spans="1:30" x14ac:dyDescent="0.2">
      <c r="A108" s="133"/>
      <c r="B108" s="133"/>
      <c r="AD108" s="134"/>
    </row>
    <row r="109" spans="1:30" x14ac:dyDescent="0.2">
      <c r="A109" s="133"/>
      <c r="B109" s="133"/>
      <c r="AD109" s="134"/>
    </row>
    <row r="110" spans="1:30" x14ac:dyDescent="0.2">
      <c r="A110" s="133"/>
      <c r="B110" s="133"/>
      <c r="AD110" s="134"/>
    </row>
    <row r="111" spans="1:30" x14ac:dyDescent="0.2">
      <c r="A111" s="133"/>
      <c r="B111" s="133"/>
      <c r="AD111" s="134"/>
    </row>
    <row r="112" spans="1:30" x14ac:dyDescent="0.2">
      <c r="A112" s="133"/>
      <c r="B112" s="133"/>
      <c r="AD112" s="134"/>
    </row>
    <row r="113" spans="1:30" x14ac:dyDescent="0.2">
      <c r="A113" s="133"/>
      <c r="B113" s="133"/>
      <c r="AD113" s="134"/>
    </row>
    <row r="114" spans="1:30" x14ac:dyDescent="0.2">
      <c r="A114" s="133"/>
      <c r="B114" s="133"/>
      <c r="AD114" s="134"/>
    </row>
    <row r="115" spans="1:30" x14ac:dyDescent="0.2">
      <c r="A115" s="133"/>
      <c r="B115" s="133"/>
      <c r="AD115" s="134"/>
    </row>
    <row r="116" spans="1:30" x14ac:dyDescent="0.2">
      <c r="A116" s="133"/>
      <c r="B116" s="133"/>
      <c r="AD116" s="134"/>
    </row>
    <row r="117" spans="1:30" x14ac:dyDescent="0.2">
      <c r="A117" s="133"/>
      <c r="B117" s="133"/>
      <c r="AD117" s="134"/>
    </row>
    <row r="118" spans="1:30" x14ac:dyDescent="0.2">
      <c r="A118" s="133"/>
      <c r="B118" s="133"/>
      <c r="AD118" s="134"/>
    </row>
    <row r="119" spans="1:30" x14ac:dyDescent="0.2">
      <c r="A119" s="133"/>
      <c r="B119" s="133"/>
      <c r="AD119" s="134"/>
    </row>
    <row r="120" spans="1:30" x14ac:dyDescent="0.2">
      <c r="A120" s="133"/>
      <c r="B120" s="133"/>
      <c r="AD120" s="134"/>
    </row>
    <row r="121" spans="1:30" x14ac:dyDescent="0.2">
      <c r="A121" s="133"/>
      <c r="B121" s="133"/>
      <c r="AD121" s="134"/>
    </row>
    <row r="122" spans="1:30" x14ac:dyDescent="0.2">
      <c r="A122" s="133"/>
      <c r="B122" s="133"/>
      <c r="AD122" s="134"/>
    </row>
    <row r="123" spans="1:30" x14ac:dyDescent="0.2">
      <c r="A123" s="133"/>
      <c r="B123" s="133"/>
      <c r="AD123" s="134"/>
    </row>
    <row r="124" spans="1:30" x14ac:dyDescent="0.2">
      <c r="A124" s="133"/>
      <c r="B124" s="133"/>
      <c r="AD124" s="134"/>
    </row>
    <row r="125" spans="1:30" x14ac:dyDescent="0.2">
      <c r="A125" s="133"/>
      <c r="B125" s="133"/>
      <c r="AD125" s="134"/>
    </row>
    <row r="126" spans="1:30" x14ac:dyDescent="0.2">
      <c r="A126" s="133"/>
      <c r="B126" s="133"/>
      <c r="AD126" s="134"/>
    </row>
    <row r="127" spans="1:30" x14ac:dyDescent="0.2">
      <c r="A127" s="133"/>
      <c r="B127" s="133"/>
      <c r="AD127" s="134"/>
    </row>
    <row r="128" spans="1:30" x14ac:dyDescent="0.2">
      <c r="A128" s="133"/>
      <c r="B128" s="133"/>
      <c r="AD128" s="134"/>
    </row>
    <row r="129" spans="1:30" x14ac:dyDescent="0.2">
      <c r="A129" s="133"/>
      <c r="B129" s="133"/>
      <c r="AD129" s="134"/>
    </row>
    <row r="130" spans="1:30" x14ac:dyDescent="0.2">
      <c r="A130" s="133"/>
      <c r="B130" s="133"/>
      <c r="AD130" s="134"/>
    </row>
    <row r="131" spans="1:30" x14ac:dyDescent="0.2">
      <c r="A131" s="133"/>
      <c r="B131" s="133"/>
      <c r="AD131" s="134"/>
    </row>
    <row r="132" spans="1:30" x14ac:dyDescent="0.2">
      <c r="A132" s="133"/>
      <c r="B132" s="133"/>
      <c r="AD132" s="134"/>
    </row>
    <row r="133" spans="1:30" x14ac:dyDescent="0.2">
      <c r="A133" s="133"/>
      <c r="B133" s="133"/>
      <c r="AD133" s="134"/>
    </row>
    <row r="134" spans="1:30" x14ac:dyDescent="0.2">
      <c r="A134" s="133"/>
      <c r="B134" s="133"/>
      <c r="AD134" s="134"/>
    </row>
    <row r="135" spans="1:30" x14ac:dyDescent="0.2">
      <c r="A135" s="133"/>
      <c r="B135" s="133"/>
      <c r="AD135" s="134"/>
    </row>
    <row r="136" spans="1:30" x14ac:dyDescent="0.2">
      <c r="A136" s="133"/>
      <c r="B136" s="133"/>
      <c r="AD136" s="134"/>
    </row>
    <row r="137" spans="1:30" x14ac:dyDescent="0.2">
      <c r="A137" s="133"/>
      <c r="B137" s="133"/>
      <c r="AD137" s="134"/>
    </row>
    <row r="138" spans="1:30" x14ac:dyDescent="0.2">
      <c r="A138" s="133"/>
      <c r="B138" s="133"/>
      <c r="AD138" s="134"/>
    </row>
    <row r="139" spans="1:30" x14ac:dyDescent="0.2">
      <c r="A139" s="133"/>
      <c r="B139" s="133"/>
      <c r="AD139" s="134"/>
    </row>
    <row r="140" spans="1:30" x14ac:dyDescent="0.2">
      <c r="A140" s="133"/>
      <c r="B140" s="133"/>
      <c r="AD140" s="134"/>
    </row>
    <row r="141" spans="1:30" x14ac:dyDescent="0.2">
      <c r="A141" s="133"/>
      <c r="B141" s="133"/>
      <c r="AD141" s="134"/>
    </row>
    <row r="142" spans="1:30" x14ac:dyDescent="0.2">
      <c r="A142" s="133"/>
      <c r="B142" s="133"/>
      <c r="AD142" s="134"/>
    </row>
    <row r="143" spans="1:30" x14ac:dyDescent="0.2">
      <c r="A143" s="133"/>
      <c r="B143" s="133"/>
      <c r="AD143" s="134"/>
    </row>
    <row r="144" spans="1:30" x14ac:dyDescent="0.2">
      <c r="A144" s="133"/>
      <c r="B144" s="133"/>
      <c r="AD144" s="134"/>
    </row>
    <row r="145" spans="1:30" x14ac:dyDescent="0.2">
      <c r="A145" s="133"/>
      <c r="B145" s="133"/>
      <c r="AD145" s="134"/>
    </row>
    <row r="146" spans="1:30" x14ac:dyDescent="0.2">
      <c r="A146" s="133"/>
      <c r="B146" s="133"/>
      <c r="AD146" s="134"/>
    </row>
    <row r="147" spans="1:30" x14ac:dyDescent="0.2">
      <c r="A147" s="133"/>
      <c r="B147" s="133"/>
      <c r="AD147" s="134"/>
    </row>
    <row r="148" spans="1:30" x14ac:dyDescent="0.2">
      <c r="A148" s="133"/>
      <c r="B148" s="133"/>
      <c r="AD148" s="134"/>
    </row>
    <row r="149" spans="1:30" x14ac:dyDescent="0.2">
      <c r="A149" s="133"/>
      <c r="B149" s="133"/>
      <c r="AD149" s="134"/>
    </row>
    <row r="150" spans="1:30" x14ac:dyDescent="0.2">
      <c r="A150" s="133"/>
      <c r="B150" s="133"/>
      <c r="AD150" s="134"/>
    </row>
    <row r="151" spans="1:30" x14ac:dyDescent="0.2">
      <c r="A151" s="133"/>
      <c r="B151" s="133"/>
      <c r="AD151" s="134"/>
    </row>
    <row r="152" spans="1:30" x14ac:dyDescent="0.2">
      <c r="A152" s="133"/>
      <c r="B152" s="133"/>
      <c r="AD152" s="134"/>
    </row>
    <row r="153" spans="1:30" x14ac:dyDescent="0.2">
      <c r="A153" s="133"/>
      <c r="B153" s="133"/>
      <c r="AD153" s="134"/>
    </row>
    <row r="154" spans="1:30" x14ac:dyDescent="0.2">
      <c r="A154" s="133"/>
      <c r="B154" s="133"/>
      <c r="AD154" s="134"/>
    </row>
    <row r="155" spans="1:30" x14ac:dyDescent="0.2">
      <c r="A155" s="133"/>
      <c r="B155" s="133"/>
      <c r="AD155" s="134"/>
    </row>
    <row r="156" spans="1:30" x14ac:dyDescent="0.2">
      <c r="A156" s="133"/>
      <c r="B156" s="133"/>
      <c r="AD156" s="134"/>
    </row>
    <row r="157" spans="1:30" x14ac:dyDescent="0.2">
      <c r="A157" s="133"/>
      <c r="B157" s="133"/>
      <c r="AD157" s="134"/>
    </row>
    <row r="158" spans="1:30" x14ac:dyDescent="0.2">
      <c r="A158" s="133"/>
      <c r="B158" s="133"/>
      <c r="AD158" s="134"/>
    </row>
    <row r="159" spans="1:30" x14ac:dyDescent="0.2">
      <c r="A159" s="133"/>
      <c r="B159" s="133"/>
      <c r="AD159" s="134"/>
    </row>
    <row r="160" spans="1:30" x14ac:dyDescent="0.2">
      <c r="A160" s="133"/>
      <c r="B160" s="133"/>
      <c r="AD160" s="134"/>
    </row>
    <row r="161" spans="1:30" x14ac:dyDescent="0.2">
      <c r="A161" s="133"/>
      <c r="B161" s="133"/>
      <c r="AD161" s="134"/>
    </row>
    <row r="162" spans="1:30" x14ac:dyDescent="0.2">
      <c r="A162" s="133"/>
      <c r="B162" s="133"/>
      <c r="AD162" s="134"/>
    </row>
    <row r="163" spans="1:30" x14ac:dyDescent="0.2">
      <c r="A163" s="133"/>
      <c r="B163" s="133"/>
      <c r="AD163" s="134"/>
    </row>
    <row r="164" spans="1:30" x14ac:dyDescent="0.2">
      <c r="A164" s="133"/>
      <c r="B164" s="133"/>
      <c r="AD164" s="134"/>
    </row>
    <row r="165" spans="1:30" x14ac:dyDescent="0.2">
      <c r="A165" s="133"/>
      <c r="B165" s="133"/>
      <c r="AD165" s="134"/>
    </row>
    <row r="166" spans="1:30" x14ac:dyDescent="0.2">
      <c r="A166" s="133"/>
      <c r="B166" s="133"/>
      <c r="AD166" s="134"/>
    </row>
    <row r="167" spans="1:30" x14ac:dyDescent="0.2">
      <c r="A167" s="133"/>
      <c r="B167" s="133"/>
      <c r="AD167" s="134"/>
    </row>
    <row r="168" spans="1:30" x14ac:dyDescent="0.2">
      <c r="A168" s="133"/>
      <c r="B168" s="133"/>
      <c r="AD168" s="134"/>
    </row>
    <row r="169" spans="1:30" x14ac:dyDescent="0.2">
      <c r="A169" s="133"/>
      <c r="B169" s="133"/>
      <c r="AD169" s="134"/>
    </row>
    <row r="170" spans="1:30" x14ac:dyDescent="0.2">
      <c r="A170" s="133"/>
      <c r="B170" s="133"/>
      <c r="AD170" s="134"/>
    </row>
    <row r="171" spans="1:30" x14ac:dyDescent="0.2">
      <c r="A171" s="133"/>
      <c r="B171" s="133"/>
      <c r="AD171" s="134"/>
    </row>
    <row r="172" spans="1:30" x14ac:dyDescent="0.2">
      <c r="A172" s="133"/>
      <c r="B172" s="133"/>
      <c r="AD172" s="134"/>
    </row>
    <row r="173" spans="1:30" x14ac:dyDescent="0.2">
      <c r="A173" s="133"/>
      <c r="B173" s="133"/>
      <c r="AD173" s="134"/>
    </row>
    <row r="174" spans="1:30" x14ac:dyDescent="0.2">
      <c r="A174" s="133"/>
      <c r="B174" s="133"/>
      <c r="AD174" s="134"/>
    </row>
    <row r="175" spans="1:30" x14ac:dyDescent="0.2">
      <c r="A175" s="133"/>
      <c r="B175" s="133"/>
      <c r="AD175" s="134"/>
    </row>
    <row r="176" spans="1:30" x14ac:dyDescent="0.2">
      <c r="A176" s="133"/>
      <c r="B176" s="133"/>
      <c r="AD176" s="134"/>
    </row>
    <row r="177" spans="1:30" x14ac:dyDescent="0.2">
      <c r="A177" s="133"/>
      <c r="B177" s="133"/>
      <c r="AD177" s="134"/>
    </row>
    <row r="178" spans="1:30" x14ac:dyDescent="0.2">
      <c r="A178" s="133"/>
      <c r="B178" s="133"/>
      <c r="AD178" s="134"/>
    </row>
    <row r="179" spans="1:30" x14ac:dyDescent="0.2">
      <c r="A179" s="133"/>
      <c r="B179" s="133"/>
      <c r="AD179" s="134"/>
    </row>
    <row r="180" spans="1:30" x14ac:dyDescent="0.2">
      <c r="A180" s="133"/>
      <c r="B180" s="133"/>
      <c r="AD180" s="134"/>
    </row>
    <row r="181" spans="1:30" x14ac:dyDescent="0.2">
      <c r="A181" s="133"/>
      <c r="B181" s="133"/>
      <c r="AD181" s="134"/>
    </row>
    <row r="182" spans="1:30" x14ac:dyDescent="0.2">
      <c r="A182" s="133"/>
      <c r="B182" s="133"/>
      <c r="AD182" s="134"/>
    </row>
    <row r="183" spans="1:30" x14ac:dyDescent="0.2">
      <c r="A183" s="133"/>
      <c r="B183" s="133"/>
      <c r="AD183" s="134"/>
    </row>
    <row r="184" spans="1:30" x14ac:dyDescent="0.2">
      <c r="A184" s="133"/>
      <c r="B184" s="133"/>
      <c r="AD184" s="134"/>
    </row>
    <row r="185" spans="1:30" x14ac:dyDescent="0.2">
      <c r="A185" s="133"/>
      <c r="B185" s="133"/>
      <c r="AD185" s="134"/>
    </row>
    <row r="186" spans="1:30" x14ac:dyDescent="0.2">
      <c r="A186" s="133"/>
      <c r="B186" s="133"/>
      <c r="AD186" s="134"/>
    </row>
    <row r="187" spans="1:30" x14ac:dyDescent="0.2">
      <c r="A187" s="133"/>
      <c r="B187" s="133"/>
      <c r="AD187" s="134"/>
    </row>
    <row r="188" spans="1:30" x14ac:dyDescent="0.2">
      <c r="A188" s="133"/>
      <c r="B188" s="133"/>
      <c r="AD188" s="134"/>
    </row>
    <row r="189" spans="1:30" x14ac:dyDescent="0.2">
      <c r="A189" s="133"/>
      <c r="B189" s="133"/>
      <c r="AD189" s="134"/>
    </row>
    <row r="190" spans="1:30" x14ac:dyDescent="0.2">
      <c r="A190" s="133"/>
      <c r="B190" s="133"/>
      <c r="AD190" s="134"/>
    </row>
    <row r="191" spans="1:30" x14ac:dyDescent="0.2">
      <c r="A191" s="133"/>
      <c r="B191" s="133"/>
      <c r="AD191" s="134"/>
    </row>
    <row r="192" spans="1:30" x14ac:dyDescent="0.2">
      <c r="A192" s="133"/>
      <c r="B192" s="133"/>
      <c r="AD192" s="134"/>
    </row>
    <row r="193" spans="1:30" x14ac:dyDescent="0.2">
      <c r="A193" s="133"/>
      <c r="B193" s="133"/>
      <c r="AD193" s="134"/>
    </row>
    <row r="194" spans="1:30" x14ac:dyDescent="0.2">
      <c r="A194" s="133"/>
      <c r="B194" s="133"/>
      <c r="AD194" s="134"/>
    </row>
    <row r="195" spans="1:30" x14ac:dyDescent="0.2">
      <c r="A195" s="133"/>
      <c r="B195" s="133"/>
      <c r="AD195" s="134"/>
    </row>
    <row r="196" spans="1:30" x14ac:dyDescent="0.2">
      <c r="A196" s="133"/>
      <c r="B196" s="133"/>
      <c r="AD196" s="134"/>
    </row>
    <row r="197" spans="1:30" x14ac:dyDescent="0.2">
      <c r="A197" s="133"/>
      <c r="B197" s="133"/>
      <c r="AD197" s="134"/>
    </row>
    <row r="198" spans="1:30" x14ac:dyDescent="0.2">
      <c r="A198" s="133"/>
      <c r="B198" s="133"/>
      <c r="AD198" s="134"/>
    </row>
    <row r="199" spans="1:30" x14ac:dyDescent="0.2">
      <c r="A199" s="133"/>
      <c r="B199" s="133"/>
      <c r="AD199" s="134"/>
    </row>
    <row r="200" spans="1:30" x14ac:dyDescent="0.2">
      <c r="A200" s="133"/>
      <c r="B200" s="133"/>
      <c r="AD200" s="134"/>
    </row>
    <row r="201" spans="1:30" x14ac:dyDescent="0.2">
      <c r="A201" s="133"/>
      <c r="B201" s="133"/>
      <c r="AD201" s="134"/>
    </row>
    <row r="202" spans="1:30" x14ac:dyDescent="0.2">
      <c r="A202" s="133"/>
      <c r="B202" s="133"/>
      <c r="AD202" s="134"/>
    </row>
    <row r="203" spans="1:30" x14ac:dyDescent="0.2">
      <c r="A203" s="133"/>
      <c r="B203" s="133"/>
      <c r="AD203" s="134"/>
    </row>
    <row r="204" spans="1:30" x14ac:dyDescent="0.2">
      <c r="A204" s="133"/>
      <c r="B204" s="133"/>
      <c r="AD204" s="134"/>
    </row>
    <row r="205" spans="1:30" x14ac:dyDescent="0.2">
      <c r="A205" s="133"/>
      <c r="B205" s="133"/>
      <c r="AD205" s="134"/>
    </row>
    <row r="206" spans="1:30" x14ac:dyDescent="0.2">
      <c r="A206" s="133"/>
      <c r="B206" s="133"/>
      <c r="AD206" s="134"/>
    </row>
    <row r="207" spans="1:30" x14ac:dyDescent="0.2">
      <c r="A207" s="133"/>
      <c r="B207" s="133"/>
      <c r="AD207" s="134"/>
    </row>
    <row r="208" spans="1:30" x14ac:dyDescent="0.2">
      <c r="A208" s="133"/>
      <c r="B208" s="133"/>
      <c r="AD208" s="134"/>
    </row>
    <row r="209" spans="1:30" x14ac:dyDescent="0.2">
      <c r="A209" s="133"/>
      <c r="B209" s="133"/>
      <c r="AD209" s="134"/>
    </row>
    <row r="210" spans="1:30" x14ac:dyDescent="0.2">
      <c r="A210" s="133"/>
      <c r="B210" s="133"/>
      <c r="AD210" s="134"/>
    </row>
    <row r="211" spans="1:30" x14ac:dyDescent="0.2">
      <c r="A211" s="133"/>
      <c r="B211" s="133"/>
      <c r="AD211" s="134"/>
    </row>
    <row r="212" spans="1:30" x14ac:dyDescent="0.2">
      <c r="A212" s="133"/>
      <c r="B212" s="133"/>
      <c r="AD212" s="134"/>
    </row>
    <row r="213" spans="1:30" x14ac:dyDescent="0.2">
      <c r="A213" s="133"/>
      <c r="B213" s="133"/>
      <c r="AD213" s="134"/>
    </row>
    <row r="214" spans="1:30" x14ac:dyDescent="0.2">
      <c r="A214" s="133"/>
      <c r="B214" s="133"/>
      <c r="AD214" s="134"/>
    </row>
    <row r="215" spans="1:30" x14ac:dyDescent="0.2">
      <c r="A215" s="133"/>
      <c r="B215" s="133"/>
      <c r="AD215" s="134"/>
    </row>
    <row r="216" spans="1:30" x14ac:dyDescent="0.2">
      <c r="A216" s="133"/>
      <c r="B216" s="133"/>
      <c r="AD216" s="134"/>
    </row>
    <row r="217" spans="1:30" x14ac:dyDescent="0.2">
      <c r="A217" s="133"/>
      <c r="B217" s="133"/>
      <c r="AD217" s="134"/>
    </row>
    <row r="218" spans="1:30" x14ac:dyDescent="0.2">
      <c r="A218" s="133"/>
      <c r="B218" s="133"/>
      <c r="AD218" s="134"/>
    </row>
    <row r="219" spans="1:30" x14ac:dyDescent="0.2">
      <c r="A219" s="133"/>
      <c r="B219" s="133"/>
      <c r="AD219" s="134"/>
    </row>
    <row r="220" spans="1:30" x14ac:dyDescent="0.2">
      <c r="A220" s="133"/>
      <c r="B220" s="133"/>
      <c r="AD220" s="134"/>
    </row>
    <row r="221" spans="1:30" x14ac:dyDescent="0.2">
      <c r="A221" s="133"/>
      <c r="B221" s="133"/>
      <c r="AD221" s="134"/>
    </row>
    <row r="222" spans="1:30" x14ac:dyDescent="0.2">
      <c r="A222" s="133"/>
      <c r="B222" s="133"/>
      <c r="AD222" s="134"/>
    </row>
    <row r="223" spans="1:30" x14ac:dyDescent="0.2">
      <c r="A223" s="133"/>
      <c r="B223" s="133"/>
      <c r="AD223" s="134"/>
    </row>
    <row r="224" spans="1:30" x14ac:dyDescent="0.2">
      <c r="A224" s="133"/>
      <c r="B224" s="133"/>
      <c r="AD224" s="134"/>
    </row>
    <row r="225" spans="1:30" x14ac:dyDescent="0.2">
      <c r="A225" s="133"/>
      <c r="B225" s="133"/>
      <c r="AD225" s="134"/>
    </row>
    <row r="226" spans="1:30" x14ac:dyDescent="0.2">
      <c r="A226" s="133"/>
      <c r="B226" s="133"/>
      <c r="AD226" s="134"/>
    </row>
    <row r="227" spans="1:30" x14ac:dyDescent="0.2">
      <c r="A227" s="133"/>
      <c r="B227" s="133"/>
      <c r="AD227" s="134"/>
    </row>
    <row r="228" spans="1:30" x14ac:dyDescent="0.2">
      <c r="A228" s="133"/>
      <c r="B228" s="133"/>
      <c r="AD228" s="134"/>
    </row>
    <row r="229" spans="1:30" x14ac:dyDescent="0.2">
      <c r="A229" s="133"/>
      <c r="B229" s="133"/>
      <c r="AD229" s="134"/>
    </row>
    <row r="230" spans="1:30" x14ac:dyDescent="0.2">
      <c r="A230" s="133"/>
      <c r="B230" s="133"/>
      <c r="AD230" s="134"/>
    </row>
    <row r="231" spans="1:30" x14ac:dyDescent="0.2">
      <c r="A231" s="133"/>
      <c r="B231" s="133"/>
      <c r="AD231" s="134"/>
    </row>
    <row r="232" spans="1:30" x14ac:dyDescent="0.2">
      <c r="A232" s="133"/>
      <c r="B232" s="133"/>
      <c r="AD232" s="134"/>
    </row>
    <row r="233" spans="1:30" x14ac:dyDescent="0.2">
      <c r="A233" s="133"/>
      <c r="B233" s="133"/>
      <c r="AD233" s="134"/>
    </row>
    <row r="234" spans="1:30" x14ac:dyDescent="0.2">
      <c r="A234" s="133"/>
      <c r="B234" s="133"/>
      <c r="AD234" s="134"/>
    </row>
    <row r="235" spans="1:30" x14ac:dyDescent="0.2">
      <c r="A235" s="133"/>
      <c r="B235" s="133"/>
      <c r="AD235" s="134"/>
    </row>
    <row r="236" spans="1:30" x14ac:dyDescent="0.2">
      <c r="A236" s="133"/>
      <c r="B236" s="133"/>
      <c r="AD236" s="134"/>
    </row>
    <row r="237" spans="1:30" x14ac:dyDescent="0.2">
      <c r="A237" s="133"/>
      <c r="B237" s="133"/>
      <c r="AD237" s="134"/>
    </row>
    <row r="238" spans="1:30" x14ac:dyDescent="0.2">
      <c r="A238" s="133"/>
      <c r="B238" s="133"/>
      <c r="AD238" s="134"/>
    </row>
    <row r="239" spans="1:30" x14ac:dyDescent="0.2">
      <c r="A239" s="133"/>
      <c r="B239" s="133"/>
      <c r="AD239" s="134"/>
    </row>
    <row r="240" spans="1:30" x14ac:dyDescent="0.2">
      <c r="A240" s="133"/>
      <c r="B240" s="133"/>
      <c r="AD240" s="134"/>
    </row>
    <row r="241" spans="1:30" x14ac:dyDescent="0.2">
      <c r="A241" s="133"/>
      <c r="B241" s="133"/>
      <c r="AD241" s="134"/>
    </row>
    <row r="242" spans="1:30" x14ac:dyDescent="0.2">
      <c r="A242" s="133"/>
      <c r="B242" s="133"/>
      <c r="AD242" s="134"/>
    </row>
    <row r="243" spans="1:30" x14ac:dyDescent="0.2">
      <c r="A243" s="133"/>
      <c r="B243" s="133"/>
      <c r="AD243" s="134"/>
    </row>
    <row r="244" spans="1:30" x14ac:dyDescent="0.2">
      <c r="A244" s="133"/>
      <c r="B244" s="133"/>
      <c r="AD244" s="134"/>
    </row>
    <row r="245" spans="1:30" x14ac:dyDescent="0.2">
      <c r="A245" s="133"/>
      <c r="B245" s="133"/>
      <c r="AD245" s="134"/>
    </row>
    <row r="246" spans="1:30" x14ac:dyDescent="0.2">
      <c r="A246" s="133"/>
      <c r="B246" s="133"/>
      <c r="AD246" s="134"/>
    </row>
    <row r="247" spans="1:30" x14ac:dyDescent="0.2">
      <c r="A247" s="133"/>
      <c r="B247" s="133"/>
      <c r="AD247" s="134"/>
    </row>
    <row r="248" spans="1:30" x14ac:dyDescent="0.2">
      <c r="A248" s="133"/>
      <c r="B248" s="133"/>
      <c r="AD248" s="134"/>
    </row>
    <row r="249" spans="1:30" x14ac:dyDescent="0.2">
      <c r="A249" s="133"/>
      <c r="B249" s="133"/>
      <c r="AD249" s="134"/>
    </row>
    <row r="250" spans="1:30" x14ac:dyDescent="0.2">
      <c r="A250" s="133"/>
      <c r="B250" s="133"/>
      <c r="AD250" s="134"/>
    </row>
    <row r="251" spans="1:30" x14ac:dyDescent="0.2">
      <c r="A251" s="133"/>
      <c r="B251" s="133"/>
      <c r="AD251" s="134"/>
    </row>
    <row r="252" spans="1:30" x14ac:dyDescent="0.2">
      <c r="A252" s="133"/>
      <c r="B252" s="133"/>
      <c r="AD252" s="134"/>
    </row>
    <row r="253" spans="1:30" x14ac:dyDescent="0.2">
      <c r="A253" s="133"/>
      <c r="B253" s="133"/>
      <c r="AD253" s="134"/>
    </row>
    <row r="254" spans="1:30" x14ac:dyDescent="0.2">
      <c r="A254" s="133"/>
      <c r="B254" s="133"/>
      <c r="AD254" s="134"/>
    </row>
    <row r="255" spans="1:30" x14ac:dyDescent="0.2">
      <c r="A255" s="133"/>
      <c r="B255" s="133"/>
      <c r="AD255" s="134"/>
    </row>
    <row r="256" spans="1:30" x14ac:dyDescent="0.2">
      <c r="A256" s="133"/>
      <c r="B256" s="133"/>
      <c r="AD256" s="134"/>
    </row>
    <row r="257" spans="1:30" x14ac:dyDescent="0.2">
      <c r="A257" s="133"/>
      <c r="B257" s="133"/>
      <c r="AD257" s="134"/>
    </row>
    <row r="258" spans="1:30" x14ac:dyDescent="0.2">
      <c r="AD258" s="134"/>
    </row>
    <row r="259" spans="1:30" x14ac:dyDescent="0.2">
      <c r="AD259" s="134"/>
    </row>
    <row r="260" spans="1:30" x14ac:dyDescent="0.2">
      <c r="AD260" s="134"/>
    </row>
    <row r="261" spans="1:30" x14ac:dyDescent="0.2">
      <c r="AD261" s="134"/>
    </row>
    <row r="262" spans="1:30" x14ac:dyDescent="0.2">
      <c r="AD262" s="134"/>
    </row>
    <row r="263" spans="1:30" x14ac:dyDescent="0.2">
      <c r="AD263" s="134"/>
    </row>
    <row r="264" spans="1:30" x14ac:dyDescent="0.2">
      <c r="AD264" s="134"/>
    </row>
    <row r="265" spans="1:30" x14ac:dyDescent="0.2">
      <c r="AD265" s="134"/>
    </row>
    <row r="266" spans="1:30" x14ac:dyDescent="0.2">
      <c r="AD266" s="134"/>
    </row>
    <row r="267" spans="1:30" x14ac:dyDescent="0.2">
      <c r="AD267" s="134"/>
    </row>
    <row r="268" spans="1:30" x14ac:dyDescent="0.2">
      <c r="AD268" s="134"/>
    </row>
    <row r="269" spans="1:30" x14ac:dyDescent="0.2">
      <c r="AD269" s="134"/>
    </row>
    <row r="270" spans="1:30" x14ac:dyDescent="0.2">
      <c r="AD270" s="134"/>
    </row>
    <row r="271" spans="1:30" x14ac:dyDescent="0.2">
      <c r="AD271" s="134"/>
    </row>
    <row r="272" spans="1:30" x14ac:dyDescent="0.2">
      <c r="AD272" s="134"/>
    </row>
    <row r="273" spans="30:30" x14ac:dyDescent="0.2">
      <c r="AD273" s="134"/>
    </row>
    <row r="274" spans="30:30" x14ac:dyDescent="0.2">
      <c r="AD274" s="134"/>
    </row>
    <row r="275" spans="30:30" x14ac:dyDescent="0.2">
      <c r="AD275" s="134"/>
    </row>
    <row r="276" spans="30:30" x14ac:dyDescent="0.2">
      <c r="AD276" s="134"/>
    </row>
    <row r="277" spans="30:30" x14ac:dyDescent="0.2">
      <c r="AD277" s="134"/>
    </row>
    <row r="278" spans="30:30" x14ac:dyDescent="0.2">
      <c r="AD278" s="134"/>
    </row>
    <row r="279" spans="30:30" x14ac:dyDescent="0.2">
      <c r="AD279" s="134"/>
    </row>
    <row r="280" spans="30:30" x14ac:dyDescent="0.2">
      <c r="AD280" s="134"/>
    </row>
    <row r="281" spans="30:30" x14ac:dyDescent="0.2">
      <c r="AD281" s="134"/>
    </row>
    <row r="282" spans="30:30" x14ac:dyDescent="0.2">
      <c r="AD282" s="134"/>
    </row>
    <row r="283" spans="30:30" x14ac:dyDescent="0.2">
      <c r="AD283" s="134"/>
    </row>
    <row r="284" spans="30:30" x14ac:dyDescent="0.2">
      <c r="AD284" s="134"/>
    </row>
    <row r="285" spans="30:30" x14ac:dyDescent="0.2">
      <c r="AD285" s="134"/>
    </row>
    <row r="286" spans="30:30" x14ac:dyDescent="0.2">
      <c r="AD286" s="134"/>
    </row>
    <row r="287" spans="30:30" x14ac:dyDescent="0.2">
      <c r="AD287" s="134"/>
    </row>
    <row r="288" spans="30:30" x14ac:dyDescent="0.2">
      <c r="AD288" s="134"/>
    </row>
    <row r="289" spans="30:30" x14ac:dyDescent="0.2">
      <c r="AD289" s="134"/>
    </row>
    <row r="290" spans="30:30" x14ac:dyDescent="0.2">
      <c r="AD290" s="134"/>
    </row>
    <row r="291" spans="30:30" x14ac:dyDescent="0.2">
      <c r="AD291" s="134"/>
    </row>
    <row r="292" spans="30:30" x14ac:dyDescent="0.2">
      <c r="AD292" s="134"/>
    </row>
    <row r="293" spans="30:30" x14ac:dyDescent="0.2">
      <c r="AD293" s="134"/>
    </row>
    <row r="294" spans="30:30" x14ac:dyDescent="0.2">
      <c r="AD294" s="134"/>
    </row>
    <row r="295" spans="30:30" x14ac:dyDescent="0.2">
      <c r="AD295" s="134"/>
    </row>
    <row r="296" spans="30:30" x14ac:dyDescent="0.2">
      <c r="AD296" s="134"/>
    </row>
    <row r="297" spans="30:30" x14ac:dyDescent="0.2">
      <c r="AD297" s="134"/>
    </row>
    <row r="298" spans="30:30" x14ac:dyDescent="0.2">
      <c r="AD298" s="134"/>
    </row>
    <row r="299" spans="30:30" x14ac:dyDescent="0.2">
      <c r="AD299" s="134"/>
    </row>
    <row r="300" spans="30:30" x14ac:dyDescent="0.2">
      <c r="AD300" s="134"/>
    </row>
    <row r="301" spans="30:30" x14ac:dyDescent="0.2">
      <c r="AD301" s="134"/>
    </row>
    <row r="302" spans="30:30" x14ac:dyDescent="0.2">
      <c r="AD302" s="134"/>
    </row>
    <row r="303" spans="30:30" x14ac:dyDescent="0.2">
      <c r="AD303" s="134"/>
    </row>
    <row r="304" spans="30:30" x14ac:dyDescent="0.2">
      <c r="AD304" s="134"/>
    </row>
    <row r="305" spans="30:30" x14ac:dyDescent="0.2">
      <c r="AD305" s="134"/>
    </row>
    <row r="306" spans="30:30" x14ac:dyDescent="0.2">
      <c r="AD306" s="134"/>
    </row>
    <row r="307" spans="30:30" x14ac:dyDescent="0.2">
      <c r="AD307" s="134"/>
    </row>
    <row r="308" spans="30:30" x14ac:dyDescent="0.2">
      <c r="AD308" s="134"/>
    </row>
    <row r="309" spans="30:30" x14ac:dyDescent="0.2">
      <c r="AD309" s="134"/>
    </row>
    <row r="310" spans="30:30" x14ac:dyDescent="0.2">
      <c r="AD310" s="134"/>
    </row>
    <row r="311" spans="30:30" x14ac:dyDescent="0.2">
      <c r="AD311" s="134"/>
    </row>
    <row r="312" spans="30:30" x14ac:dyDescent="0.2">
      <c r="AD312" s="134"/>
    </row>
    <row r="313" spans="30:30" x14ac:dyDescent="0.2">
      <c r="AD313" s="134"/>
    </row>
    <row r="314" spans="30:30" x14ac:dyDescent="0.2">
      <c r="AD314" s="134"/>
    </row>
    <row r="315" spans="30:30" x14ac:dyDescent="0.2">
      <c r="AD315" s="134"/>
    </row>
    <row r="316" spans="30:30" x14ac:dyDescent="0.2">
      <c r="AD316" s="134"/>
    </row>
    <row r="317" spans="30:30" x14ac:dyDescent="0.2">
      <c r="AD317" s="134"/>
    </row>
    <row r="318" spans="30:30" x14ac:dyDescent="0.2">
      <c r="AD318" s="134"/>
    </row>
    <row r="319" spans="30:30" x14ac:dyDescent="0.2">
      <c r="AD319" s="134"/>
    </row>
    <row r="320" spans="30:30" x14ac:dyDescent="0.2">
      <c r="AD320" s="134"/>
    </row>
    <row r="321" spans="30:30" x14ac:dyDescent="0.2">
      <c r="AD321" s="134"/>
    </row>
    <row r="322" spans="30:30" x14ac:dyDescent="0.2">
      <c r="AD322" s="134"/>
    </row>
    <row r="323" spans="30:30" x14ac:dyDescent="0.2">
      <c r="AD323" s="134"/>
    </row>
    <row r="324" spans="30:30" x14ac:dyDescent="0.2">
      <c r="AD324" s="134"/>
    </row>
    <row r="325" spans="30:30" x14ac:dyDescent="0.2">
      <c r="AD325" s="134"/>
    </row>
    <row r="326" spans="30:30" x14ac:dyDescent="0.2">
      <c r="AD326" s="134"/>
    </row>
    <row r="327" spans="30:30" x14ac:dyDescent="0.2">
      <c r="AD327" s="134"/>
    </row>
    <row r="328" spans="30:30" x14ac:dyDescent="0.2">
      <c r="AD328" s="134"/>
    </row>
    <row r="329" spans="30:30" x14ac:dyDescent="0.2">
      <c r="AD329" s="134"/>
    </row>
    <row r="330" spans="30:30" x14ac:dyDescent="0.2">
      <c r="AD330" s="134"/>
    </row>
    <row r="331" spans="30:30" x14ac:dyDescent="0.2">
      <c r="AD331" s="134"/>
    </row>
    <row r="332" spans="30:30" x14ac:dyDescent="0.2">
      <c r="AD332" s="134"/>
    </row>
    <row r="333" spans="30:30" x14ac:dyDescent="0.2">
      <c r="AD333" s="134"/>
    </row>
    <row r="334" spans="30:30" x14ac:dyDescent="0.2">
      <c r="AD334" s="134"/>
    </row>
    <row r="335" spans="30:30" x14ac:dyDescent="0.2">
      <c r="AD335" s="134"/>
    </row>
    <row r="336" spans="30:30" x14ac:dyDescent="0.2">
      <c r="AD336" s="134"/>
    </row>
    <row r="337" spans="30:30" x14ac:dyDescent="0.2">
      <c r="AD337" s="134"/>
    </row>
    <row r="338" spans="30:30" x14ac:dyDescent="0.2">
      <c r="AD338" s="134"/>
    </row>
    <row r="339" spans="30:30" x14ac:dyDescent="0.2">
      <c r="AD339" s="134"/>
    </row>
    <row r="340" spans="30:30" x14ac:dyDescent="0.2">
      <c r="AD340" s="134"/>
    </row>
    <row r="341" spans="30:30" x14ac:dyDescent="0.2">
      <c r="AD341" s="134"/>
    </row>
    <row r="342" spans="30:30" x14ac:dyDescent="0.2">
      <c r="AD342" s="134"/>
    </row>
    <row r="343" spans="30:30" x14ac:dyDescent="0.2">
      <c r="AD343" s="134"/>
    </row>
    <row r="344" spans="30:30" x14ac:dyDescent="0.2">
      <c r="AD344" s="134"/>
    </row>
    <row r="345" spans="30:30" x14ac:dyDescent="0.2">
      <c r="AD345" s="134"/>
    </row>
    <row r="346" spans="30:30" x14ac:dyDescent="0.2">
      <c r="AD346" s="134"/>
    </row>
    <row r="347" spans="30:30" x14ac:dyDescent="0.2">
      <c r="AD347" s="134"/>
    </row>
    <row r="348" spans="30:30" x14ac:dyDescent="0.2">
      <c r="AD348" s="134"/>
    </row>
    <row r="349" spans="30:30" x14ac:dyDescent="0.2">
      <c r="AD349" s="134"/>
    </row>
    <row r="350" spans="30:30" x14ac:dyDescent="0.2">
      <c r="AD350" s="134"/>
    </row>
    <row r="351" spans="30:30" x14ac:dyDescent="0.2">
      <c r="AD351" s="134"/>
    </row>
    <row r="352" spans="30:30" x14ac:dyDescent="0.2">
      <c r="AD352" s="134"/>
    </row>
    <row r="353" spans="30:30" x14ac:dyDescent="0.2">
      <c r="AD353" s="134"/>
    </row>
    <row r="354" spans="30:30" x14ac:dyDescent="0.2">
      <c r="AD354" s="134"/>
    </row>
    <row r="355" spans="30:30" x14ac:dyDescent="0.2">
      <c r="AD355" s="134"/>
    </row>
    <row r="356" spans="30:30" x14ac:dyDescent="0.2">
      <c r="AD356" s="134"/>
    </row>
    <row r="357" spans="30:30" x14ac:dyDescent="0.2">
      <c r="AD357" s="134"/>
    </row>
    <row r="358" spans="30:30" x14ac:dyDescent="0.2">
      <c r="AD358" s="134"/>
    </row>
    <row r="359" spans="30:30" x14ac:dyDescent="0.2">
      <c r="AD359" s="134"/>
    </row>
    <row r="360" spans="30:30" x14ac:dyDescent="0.2">
      <c r="AD360" s="134"/>
    </row>
    <row r="361" spans="30:30" x14ac:dyDescent="0.2">
      <c r="AD361" s="134"/>
    </row>
    <row r="362" spans="30:30" x14ac:dyDescent="0.2">
      <c r="AD362" s="134"/>
    </row>
    <row r="363" spans="30:30" x14ac:dyDescent="0.2">
      <c r="AD363" s="134"/>
    </row>
    <row r="364" spans="30:30" x14ac:dyDescent="0.2">
      <c r="AD364" s="134"/>
    </row>
    <row r="365" spans="30:30" x14ac:dyDescent="0.2">
      <c r="AD365" s="134"/>
    </row>
    <row r="366" spans="30:30" x14ac:dyDescent="0.2">
      <c r="AD366" s="134"/>
    </row>
    <row r="367" spans="30:30" x14ac:dyDescent="0.2">
      <c r="AD367" s="134"/>
    </row>
    <row r="368" spans="30:30" x14ac:dyDescent="0.2">
      <c r="AD368" s="134"/>
    </row>
    <row r="369" spans="30:30" x14ac:dyDescent="0.2">
      <c r="AD369" s="134"/>
    </row>
    <row r="370" spans="30:30" x14ac:dyDescent="0.2">
      <c r="AD370" s="134"/>
    </row>
    <row r="371" spans="30:30" x14ac:dyDescent="0.2">
      <c r="AD371" s="134"/>
    </row>
    <row r="372" spans="30:30" x14ac:dyDescent="0.2">
      <c r="AD372" s="134"/>
    </row>
    <row r="373" spans="30:30" x14ac:dyDescent="0.2">
      <c r="AD373" s="134"/>
    </row>
    <row r="374" spans="30:30" x14ac:dyDescent="0.2">
      <c r="AD374" s="134"/>
    </row>
    <row r="375" spans="30:30" x14ac:dyDescent="0.2">
      <c r="AD375" s="134"/>
    </row>
    <row r="376" spans="30:30" x14ac:dyDescent="0.2">
      <c r="AD376" s="134"/>
    </row>
    <row r="377" spans="30:30" x14ac:dyDescent="0.2">
      <c r="AD377" s="134"/>
    </row>
    <row r="378" spans="30:30" x14ac:dyDescent="0.2">
      <c r="AD378" s="134"/>
    </row>
    <row r="379" spans="30:30" x14ac:dyDescent="0.2">
      <c r="AD379" s="134"/>
    </row>
    <row r="380" spans="30:30" x14ac:dyDescent="0.2">
      <c r="AD380" s="134"/>
    </row>
    <row r="381" spans="30:30" x14ac:dyDescent="0.2">
      <c r="AD381" s="134"/>
    </row>
    <row r="382" spans="30:30" x14ac:dyDescent="0.2">
      <c r="AD382" s="134"/>
    </row>
    <row r="383" spans="30:30" x14ac:dyDescent="0.2">
      <c r="AD383" s="134"/>
    </row>
    <row r="384" spans="30:30" x14ac:dyDescent="0.2">
      <c r="AD384" s="134"/>
    </row>
    <row r="385" spans="30:30" x14ac:dyDescent="0.2">
      <c r="AD385" s="134"/>
    </row>
    <row r="386" spans="30:30" x14ac:dyDescent="0.2">
      <c r="AD386" s="134"/>
    </row>
    <row r="387" spans="30:30" x14ac:dyDescent="0.2">
      <c r="AD387" s="134"/>
    </row>
    <row r="388" spans="30:30" x14ac:dyDescent="0.2">
      <c r="AD388" s="134"/>
    </row>
    <row r="389" spans="30:30" x14ac:dyDescent="0.2">
      <c r="AD389" s="134"/>
    </row>
    <row r="390" spans="30:30" x14ac:dyDescent="0.2">
      <c r="AD390" s="134"/>
    </row>
    <row r="391" spans="30:30" x14ac:dyDescent="0.2">
      <c r="AD391" s="134"/>
    </row>
    <row r="392" spans="30:30" x14ac:dyDescent="0.2">
      <c r="AD392" s="134"/>
    </row>
    <row r="393" spans="30:30" x14ac:dyDescent="0.2">
      <c r="AD393" s="134"/>
    </row>
    <row r="394" spans="30:30" x14ac:dyDescent="0.2">
      <c r="AD394" s="134"/>
    </row>
    <row r="395" spans="30:30" x14ac:dyDescent="0.2">
      <c r="AD395" s="134"/>
    </row>
    <row r="396" spans="30:30" x14ac:dyDescent="0.2">
      <c r="AD396" s="134"/>
    </row>
    <row r="397" spans="30:30" x14ac:dyDescent="0.2">
      <c r="AD397" s="134"/>
    </row>
    <row r="398" spans="30:30" x14ac:dyDescent="0.2">
      <c r="AD398" s="134"/>
    </row>
    <row r="399" spans="30:30" x14ac:dyDescent="0.2">
      <c r="AD399" s="134"/>
    </row>
    <row r="400" spans="30:30" x14ac:dyDescent="0.2">
      <c r="AD400" s="134"/>
    </row>
    <row r="401" spans="30:30" x14ac:dyDescent="0.2">
      <c r="AD401" s="134"/>
    </row>
    <row r="402" spans="30:30" x14ac:dyDescent="0.2">
      <c r="AD402" s="134"/>
    </row>
    <row r="403" spans="30:30" x14ac:dyDescent="0.2">
      <c r="AD403" s="134"/>
    </row>
    <row r="404" spans="30:30" x14ac:dyDescent="0.2">
      <c r="AD404" s="134"/>
    </row>
    <row r="405" spans="30:30" x14ac:dyDescent="0.2">
      <c r="AD405" s="134"/>
    </row>
    <row r="406" spans="30:30" x14ac:dyDescent="0.2">
      <c r="AD406" s="134"/>
    </row>
    <row r="407" spans="30:30" x14ac:dyDescent="0.2">
      <c r="AD407" s="134"/>
    </row>
    <row r="408" spans="30:30" x14ac:dyDescent="0.2">
      <c r="AD408" s="134"/>
    </row>
    <row r="409" spans="30:30" x14ac:dyDescent="0.2">
      <c r="AD409" s="134"/>
    </row>
    <row r="410" spans="30:30" x14ac:dyDescent="0.2">
      <c r="AD410" s="134"/>
    </row>
    <row r="411" spans="30:30" x14ac:dyDescent="0.2">
      <c r="AD411" s="134"/>
    </row>
    <row r="412" spans="30:30" x14ac:dyDescent="0.2">
      <c r="AD412" s="134"/>
    </row>
    <row r="413" spans="30:30" x14ac:dyDescent="0.2">
      <c r="AD413" s="134"/>
    </row>
    <row r="414" spans="30:30" x14ac:dyDescent="0.2">
      <c r="AD414" s="134"/>
    </row>
    <row r="415" spans="30:30" x14ac:dyDescent="0.2">
      <c r="AD415" s="134"/>
    </row>
    <row r="416" spans="30:30" x14ac:dyDescent="0.2">
      <c r="AD416" s="134"/>
    </row>
    <row r="417" spans="30:30" x14ac:dyDescent="0.2">
      <c r="AD417" s="134"/>
    </row>
    <row r="418" spans="30:30" x14ac:dyDescent="0.2">
      <c r="AD418" s="134"/>
    </row>
    <row r="419" spans="30:30" x14ac:dyDescent="0.2">
      <c r="AD419" s="134"/>
    </row>
    <row r="420" spans="30:30" x14ac:dyDescent="0.2">
      <c r="AD420" s="134"/>
    </row>
    <row r="421" spans="30:30" x14ac:dyDescent="0.2">
      <c r="AD421" s="134"/>
    </row>
    <row r="422" spans="30:30" x14ac:dyDescent="0.2">
      <c r="AD422" s="134"/>
    </row>
    <row r="423" spans="30:30" x14ac:dyDescent="0.2">
      <c r="AD423" s="134"/>
    </row>
    <row r="424" spans="30:30" x14ac:dyDescent="0.2">
      <c r="AD424" s="134"/>
    </row>
    <row r="425" spans="30:30" x14ac:dyDescent="0.2">
      <c r="AD425" s="134"/>
    </row>
    <row r="426" spans="30:30" x14ac:dyDescent="0.2">
      <c r="AD426" s="134"/>
    </row>
    <row r="427" spans="30:30" x14ac:dyDescent="0.2">
      <c r="AD427" s="134"/>
    </row>
    <row r="428" spans="30:30" x14ac:dyDescent="0.2">
      <c r="AD428" s="134"/>
    </row>
    <row r="429" spans="30:30" x14ac:dyDescent="0.2">
      <c r="AD429" s="134"/>
    </row>
    <row r="430" spans="30:30" x14ac:dyDescent="0.2">
      <c r="AD430" s="134"/>
    </row>
    <row r="431" spans="30:30" x14ac:dyDescent="0.2">
      <c r="AD431" s="134"/>
    </row>
    <row r="432" spans="30:30" x14ac:dyDescent="0.2">
      <c r="AD432" s="134"/>
    </row>
    <row r="433" spans="30:30" x14ac:dyDescent="0.2">
      <c r="AD433" s="134"/>
    </row>
    <row r="434" spans="30:30" x14ac:dyDescent="0.2">
      <c r="AD434" s="134"/>
    </row>
    <row r="435" spans="30:30" x14ac:dyDescent="0.2">
      <c r="AD435" s="134"/>
    </row>
    <row r="436" spans="30:30" x14ac:dyDescent="0.2">
      <c r="AD436" s="134"/>
    </row>
    <row r="437" spans="30:30" x14ac:dyDescent="0.2">
      <c r="AD437" s="134"/>
    </row>
    <row r="438" spans="30:30" x14ac:dyDescent="0.2">
      <c r="AD438" s="134"/>
    </row>
    <row r="439" spans="30:30" x14ac:dyDescent="0.2">
      <c r="AD439" s="134"/>
    </row>
    <row r="440" spans="30:30" x14ac:dyDescent="0.2">
      <c r="AD440" s="134"/>
    </row>
    <row r="441" spans="30:30" x14ac:dyDescent="0.2">
      <c r="AD441" s="134"/>
    </row>
    <row r="442" spans="30:30" x14ac:dyDescent="0.2">
      <c r="AD442" s="134"/>
    </row>
    <row r="443" spans="30:30" x14ac:dyDescent="0.2">
      <c r="AD443" s="134"/>
    </row>
    <row r="444" spans="30:30" x14ac:dyDescent="0.2">
      <c r="AD444" s="134"/>
    </row>
    <row r="445" spans="30:30" x14ac:dyDescent="0.2">
      <c r="AD445" s="134"/>
    </row>
    <row r="446" spans="30:30" x14ac:dyDescent="0.2">
      <c r="AD446" s="134"/>
    </row>
    <row r="447" spans="30:30" x14ac:dyDescent="0.2">
      <c r="AD447" s="134"/>
    </row>
    <row r="448" spans="30:30" x14ac:dyDescent="0.2">
      <c r="AD448" s="134"/>
    </row>
    <row r="449" spans="30:30" x14ac:dyDescent="0.2">
      <c r="AD449" s="134"/>
    </row>
    <row r="450" spans="30:30" x14ac:dyDescent="0.2">
      <c r="AD450" s="134"/>
    </row>
    <row r="451" spans="30:30" x14ac:dyDescent="0.2">
      <c r="AD451" s="134"/>
    </row>
    <row r="452" spans="30:30" x14ac:dyDescent="0.2">
      <c r="AD452" s="134"/>
    </row>
    <row r="453" spans="30:30" x14ac:dyDescent="0.2">
      <c r="AD453" s="134"/>
    </row>
    <row r="454" spans="30:30" x14ac:dyDescent="0.2">
      <c r="AD454" s="134"/>
    </row>
    <row r="455" spans="30:30" x14ac:dyDescent="0.2">
      <c r="AD455" s="134"/>
    </row>
    <row r="456" spans="30:30" x14ac:dyDescent="0.2">
      <c r="AD456" s="134"/>
    </row>
    <row r="457" spans="30:30" x14ac:dyDescent="0.2">
      <c r="AD457" s="134"/>
    </row>
    <row r="458" spans="30:30" x14ac:dyDescent="0.2">
      <c r="AD458" s="134"/>
    </row>
    <row r="459" spans="30:30" x14ac:dyDescent="0.2">
      <c r="AD459" s="134"/>
    </row>
    <row r="460" spans="30:30" x14ac:dyDescent="0.2">
      <c r="AD460" s="134"/>
    </row>
    <row r="461" spans="30:30" x14ac:dyDescent="0.2">
      <c r="AD461" s="134"/>
    </row>
    <row r="462" spans="30:30" x14ac:dyDescent="0.2">
      <c r="AD462" s="134"/>
    </row>
    <row r="463" spans="30:30" x14ac:dyDescent="0.2">
      <c r="AD463" s="134"/>
    </row>
    <row r="464" spans="30:30" x14ac:dyDescent="0.2">
      <c r="AD464" s="134"/>
    </row>
    <row r="465" spans="30:30" x14ac:dyDescent="0.2">
      <c r="AD465" s="134"/>
    </row>
    <row r="466" spans="30:30" x14ac:dyDescent="0.2">
      <c r="AD466" s="134"/>
    </row>
    <row r="467" spans="30:30" x14ac:dyDescent="0.2">
      <c r="AD467" s="134"/>
    </row>
    <row r="468" spans="30:30" x14ac:dyDescent="0.2">
      <c r="AD468" s="134"/>
    </row>
    <row r="469" spans="30:30" x14ac:dyDescent="0.2">
      <c r="AD469" s="134"/>
    </row>
    <row r="470" spans="30:30" x14ac:dyDescent="0.2">
      <c r="AD470" s="134"/>
    </row>
    <row r="471" spans="30:30" x14ac:dyDescent="0.2">
      <c r="AD471" s="134"/>
    </row>
    <row r="472" spans="30:30" x14ac:dyDescent="0.2">
      <c r="AD472" s="134"/>
    </row>
    <row r="473" spans="30:30" x14ac:dyDescent="0.2">
      <c r="AD473" s="134"/>
    </row>
    <row r="474" spans="30:30" x14ac:dyDescent="0.2">
      <c r="AD474" s="134"/>
    </row>
    <row r="475" spans="30:30" x14ac:dyDescent="0.2">
      <c r="AD475" s="134"/>
    </row>
    <row r="476" spans="30:30" x14ac:dyDescent="0.2">
      <c r="AD476" s="134"/>
    </row>
    <row r="477" spans="30:30" x14ac:dyDescent="0.2">
      <c r="AD477" s="134"/>
    </row>
    <row r="478" spans="30:30" x14ac:dyDescent="0.2">
      <c r="AD478" s="134"/>
    </row>
    <row r="479" spans="30:30" x14ac:dyDescent="0.2">
      <c r="AD479" s="134"/>
    </row>
    <row r="480" spans="30:30" x14ac:dyDescent="0.2">
      <c r="AD480" s="134"/>
    </row>
    <row r="481" spans="30:30" x14ac:dyDescent="0.2">
      <c r="AD481" s="134"/>
    </row>
    <row r="482" spans="30:30" x14ac:dyDescent="0.2">
      <c r="AD482" s="134"/>
    </row>
    <row r="483" spans="30:30" x14ac:dyDescent="0.2">
      <c r="AD483" s="134"/>
    </row>
    <row r="484" spans="30:30" x14ac:dyDescent="0.2">
      <c r="AD484" s="134"/>
    </row>
    <row r="485" spans="30:30" x14ac:dyDescent="0.2">
      <c r="AD485" s="134"/>
    </row>
    <row r="486" spans="30:30" x14ac:dyDescent="0.2">
      <c r="AD486" s="134"/>
    </row>
    <row r="487" spans="30:30" x14ac:dyDescent="0.2">
      <c r="AD487" s="134"/>
    </row>
    <row r="488" spans="30:30" x14ac:dyDescent="0.2">
      <c r="AD488" s="134"/>
    </row>
    <row r="489" spans="30:30" x14ac:dyDescent="0.2">
      <c r="AD489" s="134"/>
    </row>
    <row r="490" spans="30:30" x14ac:dyDescent="0.2">
      <c r="AD490" s="134"/>
    </row>
    <row r="491" spans="30:30" x14ac:dyDescent="0.2">
      <c r="AD491" s="134"/>
    </row>
    <row r="492" spans="30:30" x14ac:dyDescent="0.2">
      <c r="AD492" s="134"/>
    </row>
    <row r="493" spans="30:30" x14ac:dyDescent="0.2">
      <c r="AD493" s="134"/>
    </row>
    <row r="494" spans="30:30" x14ac:dyDescent="0.2">
      <c r="AD494" s="134"/>
    </row>
    <row r="495" spans="30:30" x14ac:dyDescent="0.2">
      <c r="AD495" s="134"/>
    </row>
    <row r="496" spans="30:30" x14ac:dyDescent="0.2">
      <c r="AD496" s="134"/>
    </row>
    <row r="497" spans="30:30" x14ac:dyDescent="0.2">
      <c r="AD497" s="134"/>
    </row>
    <row r="498" spans="30:30" x14ac:dyDescent="0.2">
      <c r="AD498" s="134"/>
    </row>
    <row r="499" spans="30:30" x14ac:dyDescent="0.2">
      <c r="AD499" s="134"/>
    </row>
    <row r="500" spans="30:30" x14ac:dyDescent="0.2">
      <c r="AD500" s="134"/>
    </row>
    <row r="501" spans="30:30" x14ac:dyDescent="0.2">
      <c r="AD501" s="134"/>
    </row>
    <row r="502" spans="30:30" x14ac:dyDescent="0.2">
      <c r="AD502" s="134"/>
    </row>
    <row r="503" spans="30:30" x14ac:dyDescent="0.2">
      <c r="AD503" s="134"/>
    </row>
    <row r="504" spans="30:30" x14ac:dyDescent="0.2">
      <c r="AD504" s="134"/>
    </row>
    <row r="505" spans="30:30" x14ac:dyDescent="0.2">
      <c r="AD505" s="134"/>
    </row>
    <row r="506" spans="30:30" x14ac:dyDescent="0.2">
      <c r="AD506" s="134"/>
    </row>
    <row r="507" spans="30:30" x14ac:dyDescent="0.2">
      <c r="AD507" s="134"/>
    </row>
    <row r="508" spans="30:30" x14ac:dyDescent="0.2">
      <c r="AD508" s="134"/>
    </row>
    <row r="509" spans="30:30" x14ac:dyDescent="0.2">
      <c r="AD509" s="134"/>
    </row>
    <row r="510" spans="30:30" x14ac:dyDescent="0.2">
      <c r="AD510" s="134"/>
    </row>
    <row r="511" spans="30:30" x14ac:dyDescent="0.2">
      <c r="AD511" s="134"/>
    </row>
    <row r="512" spans="30:30" x14ac:dyDescent="0.2">
      <c r="AD512" s="134"/>
    </row>
    <row r="513" spans="30:30" x14ac:dyDescent="0.2">
      <c r="AD513" s="134"/>
    </row>
    <row r="514" spans="30:30" x14ac:dyDescent="0.2">
      <c r="AD514" s="134"/>
    </row>
    <row r="515" spans="30:30" x14ac:dyDescent="0.2">
      <c r="AD515" s="134"/>
    </row>
    <row r="516" spans="30:30" x14ac:dyDescent="0.2">
      <c r="AD516" s="134"/>
    </row>
    <row r="517" spans="30:30" x14ac:dyDescent="0.2">
      <c r="AD517" s="134"/>
    </row>
    <row r="518" spans="30:30" x14ac:dyDescent="0.2">
      <c r="AD518" s="134"/>
    </row>
    <row r="519" spans="30:30" x14ac:dyDescent="0.2">
      <c r="AD519" s="134"/>
    </row>
    <row r="520" spans="30:30" x14ac:dyDescent="0.2">
      <c r="AD520" s="134"/>
    </row>
    <row r="521" spans="30:30" x14ac:dyDescent="0.2">
      <c r="AD521" s="134"/>
    </row>
    <row r="522" spans="30:30" x14ac:dyDescent="0.2">
      <c r="AD522" s="134"/>
    </row>
    <row r="523" spans="30:30" x14ac:dyDescent="0.2">
      <c r="AD523" s="134"/>
    </row>
    <row r="524" spans="30:30" x14ac:dyDescent="0.2">
      <c r="AD524" s="134"/>
    </row>
    <row r="525" spans="30:30" x14ac:dyDescent="0.2">
      <c r="AD525" s="134"/>
    </row>
    <row r="526" spans="30:30" x14ac:dyDescent="0.2">
      <c r="AD526" s="134"/>
    </row>
    <row r="527" spans="30:30" x14ac:dyDescent="0.2">
      <c r="AD527" s="134"/>
    </row>
    <row r="528" spans="30:30" x14ac:dyDescent="0.2">
      <c r="AD528" s="134"/>
    </row>
    <row r="529" spans="30:30" x14ac:dyDescent="0.2">
      <c r="AD529" s="134"/>
    </row>
    <row r="530" spans="30:30" x14ac:dyDescent="0.2">
      <c r="AD530" s="134"/>
    </row>
    <row r="531" spans="30:30" x14ac:dyDescent="0.2">
      <c r="AD531" s="134"/>
    </row>
    <row r="532" spans="30:30" x14ac:dyDescent="0.2">
      <c r="AD532" s="134"/>
    </row>
    <row r="533" spans="30:30" x14ac:dyDescent="0.2">
      <c r="AD533" s="134"/>
    </row>
    <row r="534" spans="30:30" x14ac:dyDescent="0.2">
      <c r="AD534" s="134"/>
    </row>
    <row r="535" spans="30:30" x14ac:dyDescent="0.2">
      <c r="AD535" s="134"/>
    </row>
    <row r="536" spans="30:30" x14ac:dyDescent="0.2">
      <c r="AD536" s="134"/>
    </row>
    <row r="537" spans="30:30" x14ac:dyDescent="0.2">
      <c r="AD537" s="134"/>
    </row>
    <row r="538" spans="30:30" x14ac:dyDescent="0.2">
      <c r="AD538" s="134"/>
    </row>
    <row r="539" spans="30:30" x14ac:dyDescent="0.2">
      <c r="AD539" s="134"/>
    </row>
    <row r="540" spans="30:30" x14ac:dyDescent="0.2">
      <c r="AD540" s="134"/>
    </row>
    <row r="541" spans="30:30" x14ac:dyDescent="0.2">
      <c r="AD541" s="134"/>
    </row>
    <row r="542" spans="30:30" x14ac:dyDescent="0.2">
      <c r="AD542" s="134"/>
    </row>
    <row r="543" spans="30:30" x14ac:dyDescent="0.2">
      <c r="AD543" s="134"/>
    </row>
    <row r="544" spans="30:30" x14ac:dyDescent="0.2">
      <c r="AD544" s="134"/>
    </row>
    <row r="545" spans="30:30" x14ac:dyDescent="0.2">
      <c r="AD545" s="134"/>
    </row>
    <row r="546" spans="30:30" x14ac:dyDescent="0.2">
      <c r="AD546" s="134"/>
    </row>
    <row r="547" spans="30:30" x14ac:dyDescent="0.2">
      <c r="AD547" s="134"/>
    </row>
    <row r="548" spans="30:30" x14ac:dyDescent="0.2">
      <c r="AD548" s="134"/>
    </row>
    <row r="549" spans="30:30" x14ac:dyDescent="0.2">
      <c r="AD549" s="134"/>
    </row>
    <row r="550" spans="30:30" x14ac:dyDescent="0.2">
      <c r="AD550" s="134"/>
    </row>
    <row r="551" spans="30:30" x14ac:dyDescent="0.2">
      <c r="AD551" s="134"/>
    </row>
    <row r="552" spans="30:30" x14ac:dyDescent="0.2">
      <c r="AD552" s="134"/>
    </row>
    <row r="553" spans="30:30" x14ac:dyDescent="0.2">
      <c r="AD553" s="134"/>
    </row>
    <row r="554" spans="30:30" x14ac:dyDescent="0.2">
      <c r="AD554" s="134"/>
    </row>
    <row r="555" spans="30:30" x14ac:dyDescent="0.2">
      <c r="AD555" s="134"/>
    </row>
    <row r="556" spans="30:30" x14ac:dyDescent="0.2">
      <c r="AD556" s="134"/>
    </row>
    <row r="557" spans="30:30" x14ac:dyDescent="0.2">
      <c r="AD557" s="134"/>
    </row>
    <row r="558" spans="30:30" x14ac:dyDescent="0.2">
      <c r="AD558" s="134"/>
    </row>
    <row r="559" spans="30:30" x14ac:dyDescent="0.2">
      <c r="AD559" s="134"/>
    </row>
    <row r="560" spans="30:30" x14ac:dyDescent="0.2">
      <c r="AD560" s="134"/>
    </row>
    <row r="561" spans="30:30" x14ac:dyDescent="0.2">
      <c r="AD561" s="134"/>
    </row>
    <row r="562" spans="30:30" x14ac:dyDescent="0.2">
      <c r="AD562" s="134"/>
    </row>
    <row r="563" spans="30:30" x14ac:dyDescent="0.2">
      <c r="AD563" s="134"/>
    </row>
    <row r="564" spans="30:30" x14ac:dyDescent="0.2">
      <c r="AD564" s="134"/>
    </row>
    <row r="565" spans="30:30" x14ac:dyDescent="0.2">
      <c r="AD565" s="134"/>
    </row>
    <row r="566" spans="30:30" x14ac:dyDescent="0.2">
      <c r="AD566" s="134"/>
    </row>
    <row r="567" spans="30:30" x14ac:dyDescent="0.2">
      <c r="AD567" s="134"/>
    </row>
    <row r="568" spans="30:30" x14ac:dyDescent="0.2">
      <c r="AD568" s="134"/>
    </row>
    <row r="569" spans="30:30" x14ac:dyDescent="0.2">
      <c r="AD569" s="134"/>
    </row>
    <row r="570" spans="30:30" x14ac:dyDescent="0.2">
      <c r="AD570" s="134"/>
    </row>
    <row r="571" spans="30:30" x14ac:dyDescent="0.2">
      <c r="AD571" s="134"/>
    </row>
    <row r="572" spans="30:30" x14ac:dyDescent="0.2">
      <c r="AD572" s="134"/>
    </row>
    <row r="573" spans="30:30" x14ac:dyDescent="0.2">
      <c r="AD573" s="134"/>
    </row>
    <row r="574" spans="30:30" x14ac:dyDescent="0.2">
      <c r="AD574" s="134"/>
    </row>
    <row r="575" spans="30:30" x14ac:dyDescent="0.2">
      <c r="AD575" s="134"/>
    </row>
    <row r="576" spans="30:30" x14ac:dyDescent="0.2">
      <c r="AD576" s="134"/>
    </row>
    <row r="577" spans="30:30" x14ac:dyDescent="0.2">
      <c r="AD577" s="134"/>
    </row>
    <row r="578" spans="30:30" x14ac:dyDescent="0.2">
      <c r="AD578" s="134"/>
    </row>
    <row r="579" spans="30:30" x14ac:dyDescent="0.2">
      <c r="AD579" s="134"/>
    </row>
    <row r="580" spans="30:30" x14ac:dyDescent="0.2">
      <c r="AD580" s="134"/>
    </row>
    <row r="581" spans="30:30" x14ac:dyDescent="0.2">
      <c r="AD581" s="134"/>
    </row>
    <row r="582" spans="30:30" x14ac:dyDescent="0.2">
      <c r="AD582" s="134"/>
    </row>
    <row r="583" spans="30:30" x14ac:dyDescent="0.2">
      <c r="AD583" s="134"/>
    </row>
    <row r="584" spans="30:30" x14ac:dyDescent="0.2">
      <c r="AD584" s="134"/>
    </row>
    <row r="585" spans="30:30" x14ac:dyDescent="0.2">
      <c r="AD585" s="134"/>
    </row>
    <row r="586" spans="30:30" x14ac:dyDescent="0.2">
      <c r="AD586" s="134"/>
    </row>
    <row r="587" spans="30:30" x14ac:dyDescent="0.2">
      <c r="AD587" s="134"/>
    </row>
    <row r="588" spans="30:30" x14ac:dyDescent="0.2">
      <c r="AD588" s="134"/>
    </row>
    <row r="589" spans="30:30" x14ac:dyDescent="0.2">
      <c r="AD589" s="134"/>
    </row>
    <row r="590" spans="30:30" x14ac:dyDescent="0.2">
      <c r="AD590" s="134"/>
    </row>
    <row r="591" spans="30:30" x14ac:dyDescent="0.2">
      <c r="AD591" s="134"/>
    </row>
    <row r="592" spans="30:30" x14ac:dyDescent="0.2">
      <c r="AD592" s="134"/>
    </row>
    <row r="593" spans="30:30" x14ac:dyDescent="0.2">
      <c r="AD593" s="134"/>
    </row>
    <row r="594" spans="30:30" x14ac:dyDescent="0.2">
      <c r="AD594" s="134"/>
    </row>
    <row r="595" spans="30:30" x14ac:dyDescent="0.2">
      <c r="AD595" s="134"/>
    </row>
    <row r="596" spans="30:30" x14ac:dyDescent="0.2">
      <c r="AD596" s="134"/>
    </row>
    <row r="597" spans="30:30" x14ac:dyDescent="0.2">
      <c r="AD597" s="134"/>
    </row>
    <row r="598" spans="30:30" x14ac:dyDescent="0.2">
      <c r="AD598" s="134"/>
    </row>
    <row r="599" spans="30:30" x14ac:dyDescent="0.2">
      <c r="AD599" s="134"/>
    </row>
    <row r="600" spans="30:30" x14ac:dyDescent="0.2">
      <c r="AD600" s="134"/>
    </row>
    <row r="601" spans="30:30" x14ac:dyDescent="0.2">
      <c r="AD601" s="134"/>
    </row>
    <row r="602" spans="30:30" x14ac:dyDescent="0.2">
      <c r="AD602" s="134"/>
    </row>
    <row r="603" spans="30:30" x14ac:dyDescent="0.2">
      <c r="AD603" s="134"/>
    </row>
    <row r="604" spans="30:30" x14ac:dyDescent="0.2">
      <c r="AD604" s="134"/>
    </row>
    <row r="605" spans="30:30" x14ac:dyDescent="0.2">
      <c r="AD605" s="134"/>
    </row>
    <row r="606" spans="30:30" x14ac:dyDescent="0.2">
      <c r="AD606" s="134"/>
    </row>
    <row r="607" spans="30:30" x14ac:dyDescent="0.2">
      <c r="AD607" s="134"/>
    </row>
    <row r="608" spans="30:30" x14ac:dyDescent="0.2">
      <c r="AD608" s="134"/>
    </row>
    <row r="609" spans="30:30" x14ac:dyDescent="0.2">
      <c r="AD609" s="134"/>
    </row>
    <row r="610" spans="30:30" x14ac:dyDescent="0.2">
      <c r="AD610" s="134"/>
    </row>
    <row r="611" spans="30:30" x14ac:dyDescent="0.2">
      <c r="AD611" s="134"/>
    </row>
    <row r="612" spans="30:30" x14ac:dyDescent="0.2">
      <c r="AD612" s="134"/>
    </row>
    <row r="613" spans="30:30" x14ac:dyDescent="0.2">
      <c r="AD613" s="134"/>
    </row>
    <row r="614" spans="30:30" x14ac:dyDescent="0.2">
      <c r="AD614" s="134"/>
    </row>
    <row r="615" spans="30:30" x14ac:dyDescent="0.2">
      <c r="AD615" s="134"/>
    </row>
    <row r="616" spans="30:30" x14ac:dyDescent="0.2">
      <c r="AD616" s="134"/>
    </row>
    <row r="617" spans="30:30" x14ac:dyDescent="0.2">
      <c r="AD617" s="134"/>
    </row>
    <row r="618" spans="30:30" x14ac:dyDescent="0.2">
      <c r="AD618" s="134"/>
    </row>
    <row r="619" spans="30:30" x14ac:dyDescent="0.2">
      <c r="AD619" s="134"/>
    </row>
    <row r="620" spans="30:30" x14ac:dyDescent="0.2">
      <c r="AD620" s="134"/>
    </row>
    <row r="621" spans="30:30" x14ac:dyDescent="0.2">
      <c r="AD621" s="134"/>
    </row>
    <row r="622" spans="30:30" x14ac:dyDescent="0.2">
      <c r="AD622" s="134"/>
    </row>
    <row r="623" spans="30:30" x14ac:dyDescent="0.2">
      <c r="AD623" s="134"/>
    </row>
    <row r="624" spans="30:30" x14ac:dyDescent="0.2">
      <c r="AD624" s="134"/>
    </row>
    <row r="625" spans="30:30" x14ac:dyDescent="0.2">
      <c r="AD625" s="134"/>
    </row>
    <row r="626" spans="30:30" x14ac:dyDescent="0.2">
      <c r="AD626" s="134"/>
    </row>
    <row r="627" spans="30:30" x14ac:dyDescent="0.2">
      <c r="AD627" s="134"/>
    </row>
    <row r="628" spans="30:30" x14ac:dyDescent="0.2">
      <c r="AD628" s="134"/>
    </row>
    <row r="629" spans="30:30" x14ac:dyDescent="0.2">
      <c r="AD629" s="134"/>
    </row>
    <row r="630" spans="30:30" x14ac:dyDescent="0.2">
      <c r="AD630" s="134"/>
    </row>
    <row r="631" spans="30:30" x14ac:dyDescent="0.2">
      <c r="AD631" s="134"/>
    </row>
    <row r="632" spans="30:30" x14ac:dyDescent="0.2">
      <c r="AD632" s="134"/>
    </row>
    <row r="633" spans="30:30" x14ac:dyDescent="0.2">
      <c r="AD633" s="134"/>
    </row>
    <row r="634" spans="30:30" x14ac:dyDescent="0.2">
      <c r="AD634" s="134"/>
    </row>
    <row r="635" spans="30:30" x14ac:dyDescent="0.2">
      <c r="AD635" s="134"/>
    </row>
    <row r="636" spans="30:30" x14ac:dyDescent="0.2">
      <c r="AD636" s="134"/>
    </row>
    <row r="637" spans="30:30" x14ac:dyDescent="0.2">
      <c r="AD637" s="134"/>
    </row>
    <row r="638" spans="30:30" x14ac:dyDescent="0.2">
      <c r="AD638" s="134"/>
    </row>
    <row r="639" spans="30:30" x14ac:dyDescent="0.2">
      <c r="AD639" s="134"/>
    </row>
    <row r="640" spans="30:30" x14ac:dyDescent="0.2">
      <c r="AD640" s="134"/>
    </row>
    <row r="641" spans="30:30" x14ac:dyDescent="0.2">
      <c r="AD641" s="134"/>
    </row>
    <row r="642" spans="30:30" x14ac:dyDescent="0.2">
      <c r="AD642" s="134"/>
    </row>
    <row r="643" spans="30:30" x14ac:dyDescent="0.2">
      <c r="AD643" s="134"/>
    </row>
    <row r="644" spans="30:30" x14ac:dyDescent="0.2">
      <c r="AD644" s="134"/>
    </row>
    <row r="645" spans="30:30" x14ac:dyDescent="0.2">
      <c r="AD645" s="134"/>
    </row>
    <row r="646" spans="30:30" x14ac:dyDescent="0.2">
      <c r="AD646" s="134"/>
    </row>
    <row r="647" spans="30:30" x14ac:dyDescent="0.2">
      <c r="AD647" s="134"/>
    </row>
    <row r="648" spans="30:30" x14ac:dyDescent="0.2">
      <c r="AD648" s="134"/>
    </row>
    <row r="649" spans="30:30" x14ac:dyDescent="0.2">
      <c r="AD649" s="134"/>
    </row>
    <row r="650" spans="30:30" x14ac:dyDescent="0.2">
      <c r="AD650" s="134"/>
    </row>
    <row r="651" spans="30:30" x14ac:dyDescent="0.2">
      <c r="AD651" s="134"/>
    </row>
    <row r="652" spans="30:30" x14ac:dyDescent="0.2">
      <c r="AD652" s="134"/>
    </row>
    <row r="653" spans="30:30" x14ac:dyDescent="0.2">
      <c r="AD653" s="134"/>
    </row>
    <row r="654" spans="30:30" x14ac:dyDescent="0.2">
      <c r="AD654" s="134"/>
    </row>
    <row r="655" spans="30:30" x14ac:dyDescent="0.2">
      <c r="AD655" s="134"/>
    </row>
    <row r="656" spans="30:30" x14ac:dyDescent="0.2">
      <c r="AD656" s="134"/>
    </row>
    <row r="657" spans="30:30" x14ac:dyDescent="0.2">
      <c r="AD657" s="134"/>
    </row>
    <row r="658" spans="30:30" x14ac:dyDescent="0.2">
      <c r="AD658" s="134"/>
    </row>
    <row r="659" spans="30:30" x14ac:dyDescent="0.2">
      <c r="AD659" s="134"/>
    </row>
    <row r="660" spans="30:30" x14ac:dyDescent="0.2">
      <c r="AD660" s="134"/>
    </row>
    <row r="661" spans="30:30" x14ac:dyDescent="0.2">
      <c r="AD661" s="134"/>
    </row>
    <row r="662" spans="30:30" x14ac:dyDescent="0.2">
      <c r="AD662" s="134"/>
    </row>
    <row r="663" spans="30:30" x14ac:dyDescent="0.2">
      <c r="AD663" s="134"/>
    </row>
    <row r="664" spans="30:30" x14ac:dyDescent="0.2">
      <c r="AD664" s="134"/>
    </row>
    <row r="665" spans="30:30" x14ac:dyDescent="0.2">
      <c r="AD665" s="134"/>
    </row>
    <row r="666" spans="30:30" x14ac:dyDescent="0.2">
      <c r="AD666" s="134"/>
    </row>
    <row r="667" spans="30:30" x14ac:dyDescent="0.2">
      <c r="AD667" s="134"/>
    </row>
    <row r="668" spans="30:30" x14ac:dyDescent="0.2">
      <c r="AD668" s="134"/>
    </row>
    <row r="669" spans="30:30" x14ac:dyDescent="0.2">
      <c r="AD669" s="134"/>
    </row>
    <row r="670" spans="30:30" x14ac:dyDescent="0.2">
      <c r="AD670" s="134"/>
    </row>
    <row r="671" spans="30:30" x14ac:dyDescent="0.2">
      <c r="AD671" s="134"/>
    </row>
    <row r="672" spans="30:30" x14ac:dyDescent="0.2">
      <c r="AD672" s="134"/>
    </row>
    <row r="673" spans="30:30" x14ac:dyDescent="0.2">
      <c r="AD673" s="134"/>
    </row>
    <row r="674" spans="30:30" x14ac:dyDescent="0.2">
      <c r="AD674" s="134"/>
    </row>
    <row r="675" spans="30:30" x14ac:dyDescent="0.2">
      <c r="AD675" s="134"/>
    </row>
    <row r="676" spans="30:30" x14ac:dyDescent="0.2">
      <c r="AD676" s="134"/>
    </row>
    <row r="677" spans="30:30" x14ac:dyDescent="0.2">
      <c r="AD677" s="134"/>
    </row>
    <row r="678" spans="30:30" x14ac:dyDescent="0.2">
      <c r="AD678" s="134"/>
    </row>
    <row r="679" spans="30:30" x14ac:dyDescent="0.2">
      <c r="AD679" s="134"/>
    </row>
    <row r="680" spans="30:30" x14ac:dyDescent="0.2">
      <c r="AD680" s="134"/>
    </row>
    <row r="681" spans="30:30" x14ac:dyDescent="0.2">
      <c r="AD681" s="134"/>
    </row>
    <row r="682" spans="30:30" x14ac:dyDescent="0.2">
      <c r="AD682" s="134"/>
    </row>
    <row r="683" spans="30:30" x14ac:dyDescent="0.2">
      <c r="AD683" s="134"/>
    </row>
    <row r="684" spans="30:30" x14ac:dyDescent="0.2">
      <c r="AD684" s="134"/>
    </row>
    <row r="685" spans="30:30" x14ac:dyDescent="0.2">
      <c r="AD685" s="134"/>
    </row>
    <row r="686" spans="30:30" x14ac:dyDescent="0.2">
      <c r="AD686" s="134"/>
    </row>
    <row r="687" spans="30:30" x14ac:dyDescent="0.2">
      <c r="AD687" s="134"/>
    </row>
    <row r="688" spans="30:30" x14ac:dyDescent="0.2">
      <c r="AD688" s="134"/>
    </row>
    <row r="689" spans="30:30" x14ac:dyDescent="0.2">
      <c r="AD689" s="134"/>
    </row>
    <row r="690" spans="30:30" x14ac:dyDescent="0.2">
      <c r="AD690" s="134"/>
    </row>
    <row r="691" spans="30:30" x14ac:dyDescent="0.2">
      <c r="AD691" s="134"/>
    </row>
    <row r="692" spans="30:30" x14ac:dyDescent="0.2">
      <c r="AD692" s="134"/>
    </row>
    <row r="693" spans="30:30" x14ac:dyDescent="0.2">
      <c r="AD693" s="134"/>
    </row>
    <row r="694" spans="30:30" x14ac:dyDescent="0.2">
      <c r="AD694" s="134"/>
    </row>
    <row r="695" spans="30:30" x14ac:dyDescent="0.2">
      <c r="AD695" s="134"/>
    </row>
    <row r="696" spans="30:30" x14ac:dyDescent="0.2">
      <c r="AD696" s="134"/>
    </row>
    <row r="697" spans="30:30" x14ac:dyDescent="0.2">
      <c r="AD697" s="134"/>
    </row>
    <row r="698" spans="30:30" x14ac:dyDescent="0.2">
      <c r="AD698" s="134"/>
    </row>
    <row r="699" spans="30:30" x14ac:dyDescent="0.2">
      <c r="AD699" s="134"/>
    </row>
    <row r="700" spans="30:30" x14ac:dyDescent="0.2">
      <c r="AD700" s="134"/>
    </row>
    <row r="701" spans="30:30" x14ac:dyDescent="0.2">
      <c r="AD701" s="134"/>
    </row>
    <row r="702" spans="30:30" x14ac:dyDescent="0.2">
      <c r="AD702" s="134"/>
    </row>
    <row r="703" spans="30:30" x14ac:dyDescent="0.2">
      <c r="AD703" s="134"/>
    </row>
    <row r="704" spans="30:30" x14ac:dyDescent="0.2">
      <c r="AD704" s="134"/>
    </row>
    <row r="705" spans="30:30" x14ac:dyDescent="0.2">
      <c r="AD705" s="134"/>
    </row>
    <row r="706" spans="30:30" x14ac:dyDescent="0.2">
      <c r="AD706" s="134"/>
    </row>
    <row r="707" spans="30:30" x14ac:dyDescent="0.2">
      <c r="AD707" s="134"/>
    </row>
    <row r="708" spans="30:30" x14ac:dyDescent="0.2">
      <c r="AD708" s="134"/>
    </row>
    <row r="709" spans="30:30" x14ac:dyDescent="0.2">
      <c r="AD709" s="134"/>
    </row>
    <row r="710" spans="30:30" x14ac:dyDescent="0.2">
      <c r="AD710" s="134"/>
    </row>
    <row r="711" spans="30:30" x14ac:dyDescent="0.2">
      <c r="AD711" s="134"/>
    </row>
    <row r="712" spans="30:30" x14ac:dyDescent="0.2">
      <c r="AD712" s="134"/>
    </row>
    <row r="713" spans="30:30" x14ac:dyDescent="0.2">
      <c r="AD713" s="134"/>
    </row>
    <row r="714" spans="30:30" x14ac:dyDescent="0.2">
      <c r="AD714" s="134"/>
    </row>
    <row r="715" spans="30:30" x14ac:dyDescent="0.2">
      <c r="AD715" s="134"/>
    </row>
    <row r="716" spans="30:30" x14ac:dyDescent="0.2">
      <c r="AD716" s="134"/>
    </row>
    <row r="717" spans="30:30" x14ac:dyDescent="0.2">
      <c r="AD717" s="134"/>
    </row>
    <row r="718" spans="30:30" x14ac:dyDescent="0.2">
      <c r="AD718" s="134"/>
    </row>
    <row r="719" spans="30:30" x14ac:dyDescent="0.2">
      <c r="AD719" s="134"/>
    </row>
    <row r="720" spans="30:30" x14ac:dyDescent="0.2">
      <c r="AD720" s="134"/>
    </row>
    <row r="721" spans="30:30" x14ac:dyDescent="0.2">
      <c r="AD721" s="134"/>
    </row>
    <row r="722" spans="30:30" x14ac:dyDescent="0.2">
      <c r="AD722" s="134"/>
    </row>
    <row r="723" spans="30:30" x14ac:dyDescent="0.2">
      <c r="AD723" s="134"/>
    </row>
    <row r="724" spans="30:30" x14ac:dyDescent="0.2">
      <c r="AD724" s="134"/>
    </row>
    <row r="725" spans="30:30" x14ac:dyDescent="0.2">
      <c r="AD725" s="134"/>
    </row>
    <row r="726" spans="30:30" x14ac:dyDescent="0.2">
      <c r="AD726" s="134"/>
    </row>
    <row r="727" spans="30:30" x14ac:dyDescent="0.2">
      <c r="AD727" s="134"/>
    </row>
    <row r="728" spans="30:30" x14ac:dyDescent="0.2">
      <c r="AD728" s="134"/>
    </row>
    <row r="729" spans="30:30" x14ac:dyDescent="0.2">
      <c r="AD729" s="134"/>
    </row>
    <row r="730" spans="30:30" x14ac:dyDescent="0.2">
      <c r="AD730" s="134"/>
    </row>
    <row r="731" spans="30:30" x14ac:dyDescent="0.2">
      <c r="AD731" s="134"/>
    </row>
    <row r="732" spans="30:30" x14ac:dyDescent="0.2">
      <c r="AD732" s="134"/>
    </row>
    <row r="733" spans="30:30" x14ac:dyDescent="0.2">
      <c r="AD733" s="134"/>
    </row>
    <row r="734" spans="30:30" x14ac:dyDescent="0.2">
      <c r="AD734" s="134"/>
    </row>
    <row r="735" spans="30:30" x14ac:dyDescent="0.2">
      <c r="AD735" s="134"/>
    </row>
    <row r="736" spans="30:30" x14ac:dyDescent="0.2">
      <c r="AD736" s="134"/>
    </row>
    <row r="737" spans="30:30" x14ac:dyDescent="0.2">
      <c r="AD737" s="134"/>
    </row>
  </sheetData>
  <phoneticPr fontId="0" type="noConversion"/>
  <pageMargins left="0.75" right="0.75" top="1" bottom="1" header="0.5" footer="0.5"/>
  <pageSetup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37"/>
  <sheetViews>
    <sheetView workbookViewId="0">
      <pane xSplit="2" topLeftCell="C1" activePane="topRight" state="frozen"/>
      <selection pane="topRight" activeCell="E39" sqref="E39"/>
    </sheetView>
  </sheetViews>
  <sheetFormatPr defaultRowHeight="12.75" x14ac:dyDescent="0.2"/>
  <cols>
    <col min="1" max="1" width="5.5703125" customWidth="1"/>
    <col min="2" max="2" width="6.85546875" customWidth="1"/>
    <col min="4" max="4" width="16.5703125" customWidth="1"/>
    <col min="5" max="5" width="11.28515625" customWidth="1"/>
    <col min="6" max="6" width="10.5703125" customWidth="1"/>
    <col min="7" max="7" width="0" hidden="1" customWidth="1"/>
    <col min="8" max="8" width="12" customWidth="1"/>
    <col min="9" max="10" width="15.7109375" customWidth="1"/>
    <col min="12" max="12" width="10.7109375" customWidth="1"/>
    <col min="13" max="13" width="11.42578125" customWidth="1"/>
    <col min="14" max="14" width="11.5703125" customWidth="1"/>
    <col min="16" max="16" width="11.7109375" customWidth="1"/>
    <col min="17" max="17" width="11.140625" customWidth="1"/>
    <col min="18" max="18" width="10.140625" customWidth="1"/>
    <col min="20" max="20" width="9.5703125" customWidth="1"/>
    <col min="21" max="21" width="9.7109375" customWidth="1"/>
    <col min="23" max="23" width="10.42578125" customWidth="1"/>
    <col min="24" max="24" width="10.28515625" customWidth="1"/>
    <col min="26" max="26" width="5.7109375" customWidth="1"/>
    <col min="30" max="30" width="6.42578125" customWidth="1"/>
    <col min="32" max="32" width="10.7109375" customWidth="1"/>
    <col min="33" max="33" width="11.5703125" customWidth="1"/>
    <col min="35" max="36" width="11.140625" customWidth="1"/>
    <col min="37" max="37" width="9.5703125" customWidth="1"/>
    <col min="39" max="39" width="11.42578125" customWidth="1"/>
    <col min="40" max="40" width="11.140625" customWidth="1"/>
    <col min="43" max="43" width="11.7109375" customWidth="1"/>
    <col min="44" max="44" width="10.85546875" customWidth="1"/>
    <col min="45" max="45" width="7.140625" customWidth="1"/>
    <col min="46" max="46" width="12.85546875" customWidth="1"/>
    <col min="47" max="47" width="11" customWidth="1"/>
    <col min="49" max="49" width="11.140625" customWidth="1"/>
    <col min="50" max="50" width="8.42578125" customWidth="1"/>
    <col min="53" max="55" width="9.5703125" bestFit="1" customWidth="1"/>
    <col min="57" max="59" width="9.5703125" bestFit="1" customWidth="1"/>
  </cols>
  <sheetData>
    <row r="1" spans="1:59" ht="15.75" x14ac:dyDescent="0.25">
      <c r="A1" s="133"/>
      <c r="B1" s="133"/>
      <c r="D1" s="137" t="s">
        <v>767</v>
      </c>
      <c r="AD1" s="134"/>
    </row>
    <row r="2" spans="1:59" x14ac:dyDescent="0.2">
      <c r="A2" s="133"/>
      <c r="B2" s="133"/>
      <c r="D2" t="s">
        <v>549</v>
      </c>
      <c r="AD2" s="134"/>
    </row>
    <row r="3" spans="1:59" x14ac:dyDescent="0.2">
      <c r="A3" s="133"/>
      <c r="B3" s="133"/>
      <c r="AD3" s="134"/>
    </row>
    <row r="4" spans="1:59" x14ac:dyDescent="0.2">
      <c r="A4" s="133"/>
      <c r="B4" s="133"/>
      <c r="AD4" s="134"/>
    </row>
    <row r="5" spans="1:59" x14ac:dyDescent="0.2">
      <c r="A5" s="133"/>
      <c r="B5" s="133"/>
      <c r="D5" s="6" t="s">
        <v>760</v>
      </c>
      <c r="H5" s="6" t="s">
        <v>747</v>
      </c>
      <c r="L5" s="6" t="s">
        <v>748</v>
      </c>
      <c r="P5" s="6" t="s">
        <v>685</v>
      </c>
      <c r="T5" s="6" t="s">
        <v>109</v>
      </c>
      <c r="U5" s="6"/>
      <c r="AD5" s="134"/>
      <c r="AF5" s="6" t="s">
        <v>694</v>
      </c>
      <c r="AI5" s="6" t="s">
        <v>695</v>
      </c>
      <c r="AM5" s="6" t="s">
        <v>696</v>
      </c>
      <c r="AN5" s="6"/>
      <c r="AQ5" s="6" t="s">
        <v>698</v>
      </c>
      <c r="AT5" s="6" t="s">
        <v>699</v>
      </c>
      <c r="AW5" s="6" t="s">
        <v>700</v>
      </c>
      <c r="BA5" s="6" t="s">
        <v>705</v>
      </c>
      <c r="BE5" s="6" t="s">
        <v>706</v>
      </c>
    </row>
    <row r="6" spans="1:59" x14ac:dyDescent="0.2">
      <c r="A6" s="133" t="s">
        <v>663</v>
      </c>
      <c r="B6" s="133"/>
      <c r="T6" s="149" t="s">
        <v>711</v>
      </c>
      <c r="U6" s="149" t="s">
        <v>712</v>
      </c>
      <c r="V6" s="149" t="s">
        <v>713</v>
      </c>
      <c r="W6" s="149" t="s">
        <v>714</v>
      </c>
      <c r="X6" s="149" t="s">
        <v>715</v>
      </c>
      <c r="Y6" s="149" t="s">
        <v>716</v>
      </c>
      <c r="Z6" s="149"/>
      <c r="AA6" s="149" t="s">
        <v>720</v>
      </c>
      <c r="AD6" s="134"/>
      <c r="AM6" s="6" t="s">
        <v>697</v>
      </c>
      <c r="AN6" s="6"/>
    </row>
    <row r="7" spans="1:59" ht="52.15" customHeight="1" x14ac:dyDescent="0.2">
      <c r="A7" s="133"/>
      <c r="B7" s="133"/>
      <c r="D7" s="126" t="s">
        <v>331</v>
      </c>
      <c r="E7" s="273" t="s">
        <v>591</v>
      </c>
      <c r="F7" s="126" t="s">
        <v>690</v>
      </c>
      <c r="G7" s="1"/>
      <c r="H7" s="126" t="str">
        <f>D7</f>
        <v>Oil Pipeline</v>
      </c>
      <c r="I7" s="273" t="str">
        <f>E7</f>
        <v>Natural Gas Pipeline</v>
      </c>
      <c r="J7" s="126" t="s">
        <v>690</v>
      </c>
      <c r="K7" s="1"/>
      <c r="L7" s="126" t="str">
        <f>D7</f>
        <v>Oil Pipeline</v>
      </c>
      <c r="M7" s="273" t="str">
        <f>E7</f>
        <v>Natural Gas Pipeline</v>
      </c>
      <c r="N7" s="126" t="str">
        <f>F7</f>
        <v xml:space="preserve">   Total</v>
      </c>
      <c r="O7" s="1"/>
      <c r="P7" s="126" t="str">
        <f>D7</f>
        <v>Oil Pipeline</v>
      </c>
      <c r="Q7" s="273" t="str">
        <f>E7</f>
        <v>Natural Gas Pipeline</v>
      </c>
      <c r="R7" s="126" t="str">
        <f>F7</f>
        <v xml:space="preserve">   Total</v>
      </c>
      <c r="S7" s="1"/>
      <c r="T7" s="150" t="s">
        <v>665</v>
      </c>
      <c r="U7" s="150" t="s">
        <v>707</v>
      </c>
      <c r="V7" s="306" t="s">
        <v>766</v>
      </c>
      <c r="W7" s="150" t="s">
        <v>708</v>
      </c>
      <c r="X7" s="150" t="s">
        <v>692</v>
      </c>
      <c r="Y7" s="150" t="s">
        <v>709</v>
      </c>
      <c r="Z7" s="150"/>
      <c r="AA7" s="150" t="s">
        <v>710</v>
      </c>
      <c r="AD7" s="134"/>
      <c r="AF7" s="126" t="str">
        <f>D7</f>
        <v>Oil Pipeline</v>
      </c>
      <c r="AG7" s="126" t="str">
        <f>E7</f>
        <v>Natural Gas Pipeline</v>
      </c>
      <c r="AI7" s="126" t="str">
        <f>D7</f>
        <v>Oil Pipeline</v>
      </c>
      <c r="AJ7" s="126" t="str">
        <f>E7</f>
        <v>Natural Gas Pipeline</v>
      </c>
      <c r="AK7" s="126" t="str">
        <f>F7</f>
        <v xml:space="preserve">   Total</v>
      </c>
      <c r="AL7" s="1"/>
      <c r="AM7" s="126" t="str">
        <f>D7</f>
        <v>Oil Pipeline</v>
      </c>
      <c r="AN7" s="126" t="str">
        <f>E7</f>
        <v>Natural Gas Pipeline</v>
      </c>
      <c r="AO7" s="1"/>
      <c r="AP7" s="1"/>
      <c r="AQ7" s="126" t="str">
        <f>D7</f>
        <v>Oil Pipeline</v>
      </c>
      <c r="AR7" s="126" t="str">
        <f>E7</f>
        <v>Natural Gas Pipeline</v>
      </c>
      <c r="AS7" s="1"/>
      <c r="AT7" s="126" t="str">
        <f>D7</f>
        <v>Oil Pipeline</v>
      </c>
      <c r="AU7" s="126" t="str">
        <f>E7</f>
        <v>Natural Gas Pipeline</v>
      </c>
      <c r="AV7" s="1"/>
      <c r="AW7" s="126" t="str">
        <f>D7</f>
        <v>Oil Pipeline</v>
      </c>
      <c r="AX7" s="126" t="str">
        <f>E7</f>
        <v>Natural Gas Pipeline</v>
      </c>
      <c r="AY7" s="1"/>
      <c r="AZ7" s="1"/>
      <c r="BA7" s="148" t="s">
        <v>701</v>
      </c>
      <c r="BB7" s="148" t="s">
        <v>702</v>
      </c>
      <c r="BC7" s="148" t="s">
        <v>702</v>
      </c>
      <c r="BE7" s="148" t="s">
        <v>701</v>
      </c>
      <c r="BF7" s="148" t="s">
        <v>702</v>
      </c>
      <c r="BG7" s="148" t="s">
        <v>702</v>
      </c>
    </row>
    <row r="8" spans="1:59" ht="28.5" customHeight="1" x14ac:dyDescent="0.2">
      <c r="A8" s="133" t="s">
        <v>663</v>
      </c>
      <c r="B8" s="133"/>
      <c r="D8" s="135" t="s">
        <v>663</v>
      </c>
      <c r="E8" s="135" t="s">
        <v>663</v>
      </c>
      <c r="F8" s="135" t="s">
        <v>691</v>
      </c>
      <c r="G8" s="1"/>
      <c r="H8" s="135"/>
      <c r="I8" s="135"/>
      <c r="J8" s="135"/>
      <c r="K8" s="1"/>
      <c r="L8" s="135"/>
      <c r="M8" s="135"/>
      <c r="N8" s="135"/>
      <c r="O8" s="1"/>
      <c r="P8" s="135"/>
      <c r="Q8" s="135"/>
      <c r="R8" s="135"/>
      <c r="S8" s="1"/>
      <c r="T8" s="151"/>
      <c r="U8" s="151"/>
      <c r="V8" s="151"/>
      <c r="W8" s="151"/>
      <c r="X8" s="152" t="s">
        <v>718</v>
      </c>
      <c r="Y8" s="152" t="s">
        <v>719</v>
      </c>
      <c r="Z8" s="151"/>
      <c r="AA8" s="152" t="s">
        <v>741</v>
      </c>
      <c r="AD8" s="134"/>
      <c r="BA8" t="s">
        <v>703</v>
      </c>
      <c r="BB8" t="s">
        <v>703</v>
      </c>
      <c r="BC8" t="s">
        <v>704</v>
      </c>
      <c r="BE8" t="s">
        <v>703</v>
      </c>
      <c r="BF8" t="s">
        <v>703</v>
      </c>
      <c r="BG8" t="s">
        <v>704</v>
      </c>
    </row>
    <row r="9" spans="1:59" ht="22.5" customHeight="1" thickBot="1" x14ac:dyDescent="0.25">
      <c r="A9" s="133"/>
      <c r="B9" s="133"/>
      <c r="D9" s="135" t="s">
        <v>761</v>
      </c>
      <c r="E9" s="135" t="s">
        <v>762</v>
      </c>
      <c r="F9" s="135"/>
      <c r="G9" s="1"/>
      <c r="H9" s="135" t="s">
        <v>745</v>
      </c>
      <c r="I9" s="274" t="s">
        <v>745</v>
      </c>
      <c r="J9" s="274" t="s">
        <v>745</v>
      </c>
      <c r="K9" s="1"/>
      <c r="L9" s="135" t="s">
        <v>745</v>
      </c>
      <c r="M9" s="135" t="s">
        <v>745</v>
      </c>
      <c r="N9" s="135" t="s">
        <v>745</v>
      </c>
      <c r="O9" s="1"/>
      <c r="P9" s="135" t="s">
        <v>689</v>
      </c>
      <c r="Q9" s="135" t="s">
        <v>689</v>
      </c>
      <c r="R9" s="135" t="s">
        <v>689</v>
      </c>
      <c r="S9" s="1"/>
      <c r="T9" s="153"/>
      <c r="U9" s="153"/>
      <c r="V9" s="153"/>
      <c r="W9" s="153"/>
      <c r="X9" s="153"/>
      <c r="Y9" s="153"/>
      <c r="Z9" s="153"/>
      <c r="AA9" s="153"/>
      <c r="AD9" s="134"/>
      <c r="BA9" s="130"/>
      <c r="BB9" s="130"/>
      <c r="BC9" s="130"/>
      <c r="BE9" s="130"/>
      <c r="BF9" s="130"/>
      <c r="BG9" s="130"/>
    </row>
    <row r="10" spans="1:59" x14ac:dyDescent="0.2">
      <c r="A10" s="133" t="s">
        <v>664</v>
      </c>
      <c r="B10" s="144">
        <v>1949</v>
      </c>
      <c r="D10" s="136"/>
      <c r="H10" s="173"/>
      <c r="I10">
        <f>'Freight-based Activity'!K7</f>
        <v>57425.933089500002</v>
      </c>
      <c r="J10">
        <f t="shared" ref="J10:J41" si="0">H10+I10</f>
        <v>57425.933089500002</v>
      </c>
      <c r="P10">
        <f t="shared" ref="P10:P41" si="1">L10/L$74</f>
        <v>0</v>
      </c>
      <c r="Q10">
        <f t="shared" ref="Q10:Q41" si="2">M10/M$74</f>
        <v>0</v>
      </c>
      <c r="R10">
        <f t="shared" ref="R10:R41" si="3">N10/N$74</f>
        <v>0</v>
      </c>
      <c r="T10" s="131"/>
      <c r="U10" s="131"/>
      <c r="V10" s="131"/>
      <c r="W10" s="131"/>
      <c r="X10" s="131"/>
      <c r="Y10" s="131"/>
      <c r="Z10" s="131"/>
      <c r="AA10" s="131"/>
      <c r="AD10" s="134"/>
      <c r="AF10" s="129"/>
      <c r="AG10" s="129"/>
      <c r="AH10" s="129"/>
      <c r="AI10" s="129"/>
      <c r="AJ10" s="129"/>
      <c r="AK10" s="129"/>
      <c r="AL10" s="129"/>
      <c r="AM10" s="129"/>
      <c r="AN10" s="129"/>
      <c r="AO10" s="129"/>
      <c r="AP10" s="129"/>
      <c r="AQ10" s="129"/>
      <c r="AR10" s="129"/>
      <c r="AS10" s="129"/>
      <c r="AT10" s="129">
        <f t="shared" ref="AT10:AT41" si="4">H10/J10</f>
        <v>0</v>
      </c>
      <c r="AU10" s="129">
        <f t="shared" ref="AU10:AU41" si="5">I10/J10</f>
        <v>1</v>
      </c>
      <c r="AV10" s="129"/>
      <c r="AW10" s="129"/>
      <c r="AX10" s="129"/>
      <c r="AY10" s="129"/>
      <c r="AZ10" s="129"/>
      <c r="BA10" s="129"/>
      <c r="BB10" s="129">
        <v>1</v>
      </c>
      <c r="BC10" s="129">
        <f t="shared" ref="BC10:BC41" si="6">BB10/BB$74</f>
        <v>0.79965293379113545</v>
      </c>
      <c r="BD10" s="129"/>
      <c r="BE10" s="129"/>
      <c r="BF10" s="129">
        <v>1</v>
      </c>
      <c r="BG10" s="129">
        <f t="shared" ref="BG10:BG41" si="7">BF10/BF$74</f>
        <v>1.0000005977035538</v>
      </c>
    </row>
    <row r="11" spans="1:59" x14ac:dyDescent="0.2">
      <c r="A11" s="133" t="s">
        <v>664</v>
      </c>
      <c r="B11" s="144">
        <f t="shared" ref="B11:B42" si="8">B10+1</f>
        <v>1950</v>
      </c>
      <c r="D11" s="190">
        <f t="shared" ref="D11:D61" si="9">H11*0.000001</f>
        <v>1.29E-7</v>
      </c>
      <c r="E11">
        <f>'Freight-based Energy Use'!I8</f>
        <v>129.437926</v>
      </c>
      <c r="F11">
        <f t="shared" ref="F11:F41" si="10">D11+E11</f>
        <v>129.437926129</v>
      </c>
      <c r="H11" s="189">
        <f>'Freight-based Activity'!J8*0.000001</f>
        <v>0.129</v>
      </c>
      <c r="I11">
        <f>'Freight-based Activity'!K8</f>
        <v>65444.879386500004</v>
      </c>
      <c r="J11">
        <f t="shared" si="0"/>
        <v>65445.008386500005</v>
      </c>
      <c r="L11" s="4">
        <f>D11/H11*1000000</f>
        <v>1</v>
      </c>
      <c r="M11" s="4">
        <f>E11/I11*1000000</f>
        <v>1977.8159454702961</v>
      </c>
      <c r="N11" s="4">
        <f>F11/J11*1000000</f>
        <v>1977.8120489277903</v>
      </c>
      <c r="P11" s="129">
        <f t="shared" si="1"/>
        <v>1</v>
      </c>
      <c r="Q11" s="129">
        <f t="shared" si="2"/>
        <v>0.79965293364401524</v>
      </c>
      <c r="R11" s="129">
        <f t="shared" si="3"/>
        <v>0.79965341174653537</v>
      </c>
      <c r="T11" s="131">
        <f t="shared" ref="T11:T42" si="11">J11/J$74</f>
        <v>0.29810533350425999</v>
      </c>
      <c r="U11" s="131">
        <f t="shared" ref="U11:U41" si="12">R11</f>
        <v>0.79965341174653537</v>
      </c>
      <c r="V11" s="131">
        <f t="shared" ref="V11:V41" si="13">BG11</f>
        <v>1.0000005977035538</v>
      </c>
      <c r="W11" s="131">
        <f t="shared" ref="W11:W41" si="14">BC11</f>
        <v>0.79965293379113545</v>
      </c>
      <c r="X11" s="131">
        <f t="shared" ref="X11:X41" si="15">T11*V11*W11</f>
        <v>0.2383809469965204</v>
      </c>
      <c r="Y11" s="131">
        <f t="shared" ref="Y11:Y42" si="16">F11/F$74</f>
        <v>0.23838094699652027</v>
      </c>
      <c r="Z11" s="131"/>
      <c r="AA11" s="131">
        <f t="shared" ref="AA11:AA41" si="17">V11*W11</f>
        <v>0.7996534117465357</v>
      </c>
      <c r="AD11" s="134"/>
      <c r="AF11" s="129">
        <f t="shared" ref="AF11:AF41" si="18">D11/F11</f>
        <v>9.9661670932085581E-10</v>
      </c>
      <c r="AG11" s="129">
        <f t="shared" ref="AG11:AG41" si="19">E11/F11</f>
        <v>0.99999999900338332</v>
      </c>
      <c r="AH11" s="129"/>
      <c r="AI11" s="129"/>
      <c r="AJ11" s="129"/>
      <c r="AK11" s="129"/>
      <c r="AL11" s="129"/>
      <c r="AM11" s="129"/>
      <c r="AN11" s="129"/>
      <c r="AO11" s="129"/>
      <c r="AP11" s="129"/>
      <c r="AQ11" s="129"/>
      <c r="AR11" s="129"/>
      <c r="AS11" s="129"/>
      <c r="AT11" s="129">
        <f t="shared" si="4"/>
        <v>1.9711205358575541E-6</v>
      </c>
      <c r="AU11" s="129">
        <f t="shared" si="5"/>
        <v>0.9999980288794641</v>
      </c>
      <c r="AV11" s="129"/>
      <c r="AW11" s="129"/>
      <c r="AX11" s="129">
        <f t="shared" ref="AX11:AX42" si="20">LN(AU11/AU10)</f>
        <v>-1.971122478564728E-6</v>
      </c>
      <c r="AY11" s="129"/>
      <c r="AZ11" s="129"/>
      <c r="BA11" s="129">
        <f t="shared" ref="BA11:BA42" si="21">EXP(SUMPRODUCT($AM11:$AN11,AQ11:AR11))</f>
        <v>1</v>
      </c>
      <c r="BB11" s="129">
        <f t="shared" ref="BB11:BB42" si="22">IF(ISERR(BA11),BB10,BA11*BB10)</f>
        <v>1</v>
      </c>
      <c r="BC11" s="129">
        <f t="shared" si="6"/>
        <v>0.79965293379113545</v>
      </c>
      <c r="BD11" s="129"/>
      <c r="BE11" s="129">
        <f t="shared" ref="BE11:BE42" si="23">EXP(SUMPRODUCT($AM11:$AN11,AW11:AX11))</f>
        <v>1</v>
      </c>
      <c r="BF11" s="129">
        <f t="shared" ref="BF11:BF42" si="24">IF(ISERR(BE11),BF10,BE11*BF10)</f>
        <v>1</v>
      </c>
      <c r="BG11" s="129">
        <f t="shared" si="7"/>
        <v>1.0000005977035538</v>
      </c>
    </row>
    <row r="12" spans="1:59" x14ac:dyDescent="0.2">
      <c r="A12" s="133" t="s">
        <v>664</v>
      </c>
      <c r="B12" s="144">
        <f t="shared" si="8"/>
        <v>1951</v>
      </c>
      <c r="D12" s="190">
        <f t="shared" si="9"/>
        <v>1.5199999999999998E-7</v>
      </c>
      <c r="E12">
        <f>'Freight-based Energy Use'!I9</f>
        <v>198.46337600000001</v>
      </c>
      <c r="F12">
        <f t="shared" si="10"/>
        <v>198.46337615200002</v>
      </c>
      <c r="H12" s="189">
        <f>'Freight-based Activity'!J9*0.000001</f>
        <v>0.152</v>
      </c>
      <c r="I12">
        <f>'Freight-based Activity'!K9</f>
        <v>75925.354640400008</v>
      </c>
      <c r="J12">
        <f t="shared" si="0"/>
        <v>75925.50664040001</v>
      </c>
      <c r="L12" s="4">
        <f t="shared" ref="L12:L41" si="25">D12/H12*1000000</f>
        <v>1</v>
      </c>
      <c r="M12" s="4">
        <f t="shared" ref="M12:M41" si="26">E12/I12*1000000</f>
        <v>2613.9275468645269</v>
      </c>
      <c r="N12" s="4">
        <f t="shared" ref="N12:N41" si="27">F12/J12*1000000</f>
        <v>2613.922315882151</v>
      </c>
      <c r="P12" s="129">
        <f t="shared" si="1"/>
        <v>1</v>
      </c>
      <c r="Q12" s="129">
        <f t="shared" si="2"/>
        <v>1.0568399127180135</v>
      </c>
      <c r="R12" s="129">
        <f t="shared" si="3"/>
        <v>1.0568405117507103</v>
      </c>
      <c r="T12" s="131">
        <f t="shared" si="11"/>
        <v>0.34584453477104682</v>
      </c>
      <c r="U12" s="131">
        <f t="shared" si="12"/>
        <v>1.0568405117507103</v>
      </c>
      <c r="V12" s="131">
        <f t="shared" si="13"/>
        <v>1.0000005668753389</v>
      </c>
      <c r="W12" s="131">
        <f t="shared" si="14"/>
        <v>1.0568399126542269</v>
      </c>
      <c r="X12" s="131">
        <f t="shared" si="15"/>
        <v>0.36550251511361953</v>
      </c>
      <c r="Y12" s="131">
        <f t="shared" si="16"/>
        <v>0.36550251511361947</v>
      </c>
      <c r="Z12" s="131"/>
      <c r="AA12" s="131">
        <f t="shared" si="17"/>
        <v>1.0568405117507105</v>
      </c>
      <c r="AD12" s="134"/>
      <c r="AF12" s="129">
        <f t="shared" si="18"/>
        <v>7.6588438102345663E-10</v>
      </c>
      <c r="AG12" s="129">
        <f t="shared" si="19"/>
        <v>0.99999999923411553</v>
      </c>
      <c r="AH12" s="129"/>
      <c r="AI12" s="129">
        <f t="shared" ref="AI12:AI42" si="28">(AF12-AF11)/LN(AF12/AF11)</f>
        <v>8.7619306206679941E-10</v>
      </c>
      <c r="AJ12" s="129">
        <f t="shared" ref="AJ12:AJ42" si="29">(AG12-AG11)/LN(AG12/AG11)</f>
        <v>0.99999951894176442</v>
      </c>
      <c r="AK12" s="129">
        <f t="shared" ref="AK12:AK42" si="30">AI12+AJ12</f>
        <v>0.99999951981795743</v>
      </c>
      <c r="AL12" s="129"/>
      <c r="AM12" s="129">
        <f t="shared" ref="AM12:AM42" si="31">AI12/AK12</f>
        <v>8.7619348279917562E-10</v>
      </c>
      <c r="AN12" s="129">
        <f t="shared" ref="AN12:AN42" si="32">AJ12/AK12</f>
        <v>0.99999999912380655</v>
      </c>
      <c r="AO12" s="129"/>
      <c r="AP12" s="129"/>
      <c r="AQ12" s="129">
        <f t="shared" ref="AQ12:AQ42" si="33">LN(P12/P11)</f>
        <v>0</v>
      </c>
      <c r="AR12" s="129">
        <f t="shared" ref="AR12:AR42" si="34">LN(Q12/Q11)</f>
        <v>0.27886071942745533</v>
      </c>
      <c r="AS12" s="129"/>
      <c r="AT12" s="129">
        <f t="shared" si="4"/>
        <v>2.0019622749428017E-6</v>
      </c>
      <c r="AU12" s="129">
        <f t="shared" si="5"/>
        <v>0.99999799803772504</v>
      </c>
      <c r="AV12" s="129"/>
      <c r="AW12" s="129">
        <f t="shared" ref="AW12:AW42" si="35">LN(AT12/AT11)</f>
        <v>1.5525656058343659E-2</v>
      </c>
      <c r="AX12" s="129">
        <f t="shared" si="20"/>
        <v>-3.0841800367375926E-8</v>
      </c>
      <c r="AY12" s="129"/>
      <c r="AZ12" s="129"/>
      <c r="BA12" s="129">
        <f t="shared" si="21"/>
        <v>1.3216232542832977</v>
      </c>
      <c r="BB12" s="129">
        <f t="shared" si="22"/>
        <v>1.3216232542832977</v>
      </c>
      <c r="BC12" s="129">
        <f t="shared" si="6"/>
        <v>1.0568399126542269</v>
      </c>
      <c r="BD12" s="129"/>
      <c r="BE12" s="129">
        <f t="shared" si="23"/>
        <v>0.99999996917180356</v>
      </c>
      <c r="BF12" s="129">
        <f t="shared" si="24"/>
        <v>0.99999996917180356</v>
      </c>
      <c r="BG12" s="129">
        <f t="shared" si="7"/>
        <v>1.0000005668753389</v>
      </c>
    </row>
    <row r="13" spans="1:59" x14ac:dyDescent="0.2">
      <c r="A13" s="133" t="s">
        <v>664</v>
      </c>
      <c r="B13" s="144">
        <f t="shared" si="8"/>
        <v>1952</v>
      </c>
      <c r="D13" s="190">
        <f t="shared" si="9"/>
        <v>1.5799999999999999E-7</v>
      </c>
      <c r="E13">
        <f>'Freight-based Energy Use'!I10</f>
        <v>213.63041699999999</v>
      </c>
      <c r="F13">
        <f t="shared" si="10"/>
        <v>213.630417158</v>
      </c>
      <c r="H13" s="189">
        <f>'Freight-based Activity'!J10*0.000001</f>
        <v>0.158</v>
      </c>
      <c r="I13">
        <f>'Freight-based Activity'!K10</f>
        <v>82233.556293300004</v>
      </c>
      <c r="J13">
        <f t="shared" si="0"/>
        <v>82233.7142933</v>
      </c>
      <c r="L13" s="4">
        <f t="shared" si="25"/>
        <v>1</v>
      </c>
      <c r="M13" s="4">
        <f t="shared" si="26"/>
        <v>2597.8496690335355</v>
      </c>
      <c r="N13" s="4">
        <f t="shared" si="27"/>
        <v>2597.8446795684331</v>
      </c>
      <c r="P13" s="129">
        <f t="shared" si="1"/>
        <v>1</v>
      </c>
      <c r="Q13" s="129">
        <f t="shared" si="2"/>
        <v>1.0503394483023192</v>
      </c>
      <c r="R13" s="129">
        <f t="shared" si="3"/>
        <v>1.0503401282900806</v>
      </c>
      <c r="T13" s="131">
        <f t="shared" si="11"/>
        <v>0.37457874067222274</v>
      </c>
      <c r="U13" s="131">
        <f t="shared" si="12"/>
        <v>1.0503401282900806</v>
      </c>
      <c r="V13" s="131">
        <f t="shared" si="13"/>
        <v>1.0000006474538108</v>
      </c>
      <c r="W13" s="131">
        <f t="shared" si="14"/>
        <v>1.0503394482438027</v>
      </c>
      <c r="X13" s="131">
        <f t="shared" si="15"/>
        <v>0.39343508253239945</v>
      </c>
      <c r="Y13" s="131">
        <f t="shared" si="16"/>
        <v>0.39343508253239923</v>
      </c>
      <c r="Z13" s="131"/>
      <c r="AA13" s="131">
        <f t="shared" si="17"/>
        <v>1.0503401282900811</v>
      </c>
      <c r="AD13" s="134"/>
      <c r="AF13" s="129">
        <f t="shared" si="18"/>
        <v>7.3959505440250098E-10</v>
      </c>
      <c r="AG13" s="129">
        <f t="shared" si="19"/>
        <v>0.99999999926040495</v>
      </c>
      <c r="AH13" s="129"/>
      <c r="AI13" s="129">
        <f t="shared" si="28"/>
        <v>7.5266319891028937E-10</v>
      </c>
      <c r="AJ13" s="129">
        <f t="shared" si="29"/>
        <v>1.0000000000131448</v>
      </c>
      <c r="AK13" s="129">
        <f t="shared" si="30"/>
        <v>1.0000000007658081</v>
      </c>
      <c r="AL13" s="129"/>
      <c r="AM13" s="129">
        <f t="shared" si="31"/>
        <v>7.5266319833389379E-10</v>
      </c>
      <c r="AN13" s="129">
        <f t="shared" si="32"/>
        <v>0.99999999924733673</v>
      </c>
      <c r="AO13" s="129"/>
      <c r="AP13" s="129"/>
      <c r="AQ13" s="129">
        <f t="shared" si="33"/>
        <v>0</v>
      </c>
      <c r="AR13" s="129">
        <f t="shared" si="34"/>
        <v>-6.1698450136917129E-3</v>
      </c>
      <c r="AS13" s="129"/>
      <c r="AT13" s="129">
        <f t="shared" si="4"/>
        <v>1.9213530771146631E-6</v>
      </c>
      <c r="AU13" s="129">
        <f t="shared" si="5"/>
        <v>0.99999807864692292</v>
      </c>
      <c r="AV13" s="129"/>
      <c r="AW13" s="129">
        <f t="shared" si="35"/>
        <v>-4.1098171530929088E-2</v>
      </c>
      <c r="AX13" s="129">
        <f t="shared" si="20"/>
        <v>8.0609355938699125E-8</v>
      </c>
      <c r="AY13" s="129"/>
      <c r="AZ13" s="129"/>
      <c r="BA13" s="129">
        <f t="shared" si="21"/>
        <v>0.9938491494004057</v>
      </c>
      <c r="BB13" s="129">
        <f t="shared" si="22"/>
        <v>1.3134941470972517</v>
      </c>
      <c r="BC13" s="129">
        <f t="shared" si="6"/>
        <v>1.0503394482438027</v>
      </c>
      <c r="BD13" s="129"/>
      <c r="BE13" s="129">
        <f t="shared" si="23"/>
        <v>1.0000000805784262</v>
      </c>
      <c r="BF13" s="129">
        <f t="shared" si="24"/>
        <v>1.0000000497502273</v>
      </c>
      <c r="BG13" s="129">
        <f t="shared" si="7"/>
        <v>1.0000006474538108</v>
      </c>
    </row>
    <row r="14" spans="1:59" x14ac:dyDescent="0.2">
      <c r="A14" s="133" t="s">
        <v>664</v>
      </c>
      <c r="B14" s="144">
        <f t="shared" si="8"/>
        <v>1953</v>
      </c>
      <c r="D14" s="190">
        <f t="shared" si="9"/>
        <v>1.6999999999999999E-7</v>
      </c>
      <c r="E14">
        <f>'Freight-based Energy Use'!I11</f>
        <v>237.453734</v>
      </c>
      <c r="F14">
        <f t="shared" si="10"/>
        <v>237.45373416999999</v>
      </c>
      <c r="H14" s="189">
        <f>'Freight-based Activity'!J11*0.000001</f>
        <v>0.16999999999999998</v>
      </c>
      <c r="I14">
        <f>'Freight-based Activity'!K11</f>
        <v>87168.555221100018</v>
      </c>
      <c r="J14">
        <f t="shared" si="0"/>
        <v>87168.725221100016</v>
      </c>
      <c r="L14" s="4">
        <f t="shared" si="25"/>
        <v>1</v>
      </c>
      <c r="M14" s="4">
        <f t="shared" si="26"/>
        <v>2724.0755958121235</v>
      </c>
      <c r="N14" s="4">
        <f t="shared" si="27"/>
        <v>2724.0702851591327</v>
      </c>
      <c r="P14" s="129">
        <f t="shared" si="1"/>
        <v>1</v>
      </c>
      <c r="Q14" s="129">
        <f t="shared" si="2"/>
        <v>1.1013739911684559</v>
      </c>
      <c r="R14" s="129">
        <f t="shared" si="3"/>
        <v>1.1013746723536053</v>
      </c>
      <c r="T14" s="131">
        <f t="shared" si="11"/>
        <v>0.39705796582245528</v>
      </c>
      <c r="U14" s="131">
        <f t="shared" si="12"/>
        <v>1.1013746723536053</v>
      </c>
      <c r="V14" s="131">
        <f t="shared" si="13"/>
        <v>1.0000006185769239</v>
      </c>
      <c r="W14" s="131">
        <f t="shared" si="14"/>
        <v>1.1013739910690705</v>
      </c>
      <c r="X14" s="131">
        <f t="shared" si="15"/>
        <v>0.43730958701309597</v>
      </c>
      <c r="Y14" s="131">
        <f t="shared" si="16"/>
        <v>0.43730958701309569</v>
      </c>
      <c r="Z14" s="131"/>
      <c r="AA14" s="131">
        <f t="shared" si="17"/>
        <v>1.101374672353606</v>
      </c>
      <c r="AD14" s="134"/>
      <c r="AF14" s="129">
        <f t="shared" si="18"/>
        <v>7.1592893914353891E-10</v>
      </c>
      <c r="AG14" s="129">
        <f t="shared" si="19"/>
        <v>0.99999999928407113</v>
      </c>
      <c r="AH14" s="129"/>
      <c r="AI14" s="129">
        <f t="shared" si="28"/>
        <v>7.2769785898885831E-10</v>
      </c>
      <c r="AJ14" s="129">
        <f t="shared" si="29"/>
        <v>1.000000000011833</v>
      </c>
      <c r="AK14" s="129">
        <f t="shared" si="30"/>
        <v>1.0000000007395309</v>
      </c>
      <c r="AL14" s="129"/>
      <c r="AM14" s="129">
        <f t="shared" si="31"/>
        <v>7.2769785845070329E-10</v>
      </c>
      <c r="AN14" s="129">
        <f t="shared" si="32"/>
        <v>0.9999999992723021</v>
      </c>
      <c r="AO14" s="129"/>
      <c r="AP14" s="129"/>
      <c r="AQ14" s="129">
        <f t="shared" si="33"/>
        <v>0</v>
      </c>
      <c r="AR14" s="129">
        <f t="shared" si="34"/>
        <v>4.7445087207885372E-2</v>
      </c>
      <c r="AS14" s="129"/>
      <c r="AT14" s="129">
        <f t="shared" si="4"/>
        <v>1.9502407494064152E-6</v>
      </c>
      <c r="AU14" s="129">
        <f t="shared" si="5"/>
        <v>0.99999804975925066</v>
      </c>
      <c r="AV14" s="129"/>
      <c r="AW14" s="129">
        <f t="shared" si="35"/>
        <v>1.492316068936256E-2</v>
      </c>
      <c r="AX14" s="129">
        <f t="shared" si="20"/>
        <v>-2.8887728182686881E-8</v>
      </c>
      <c r="AY14" s="129"/>
      <c r="AZ14" s="129"/>
      <c r="BA14" s="129">
        <f t="shared" si="21"/>
        <v>1.0485886185752606</v>
      </c>
      <c r="BB14" s="129">
        <f t="shared" si="22"/>
        <v>1.3773150132113974</v>
      </c>
      <c r="BC14" s="129">
        <f t="shared" si="6"/>
        <v>1.1013739910690705</v>
      </c>
      <c r="BD14" s="129"/>
      <c r="BE14" s="129">
        <f t="shared" si="23"/>
        <v>0.99999997112313177</v>
      </c>
      <c r="BF14" s="129">
        <f t="shared" si="24"/>
        <v>1.0000000208733577</v>
      </c>
      <c r="BG14" s="129">
        <f t="shared" si="7"/>
        <v>1.0000006185769239</v>
      </c>
    </row>
    <row r="15" spans="1:59" x14ac:dyDescent="0.2">
      <c r="A15" s="133" t="s">
        <v>664</v>
      </c>
      <c r="B15" s="144">
        <f t="shared" si="8"/>
        <v>1954</v>
      </c>
      <c r="D15" s="190">
        <f t="shared" si="9"/>
        <v>1.7899999999999997E-7</v>
      </c>
      <c r="E15">
        <f>'Freight-based Energy Use'!I12</f>
        <v>237.76406499999999</v>
      </c>
      <c r="F15">
        <f t="shared" si="10"/>
        <v>237.764065179</v>
      </c>
      <c r="H15" s="189">
        <f>'Freight-based Activity'!J12*0.000001</f>
        <v>0.17899999999999999</v>
      </c>
      <c r="I15">
        <f>'Freight-based Activity'!K12</f>
        <v>93242.018754600009</v>
      </c>
      <c r="J15">
        <f t="shared" si="0"/>
        <v>93242.197754600013</v>
      </c>
      <c r="L15" s="4">
        <f t="shared" si="25"/>
        <v>1</v>
      </c>
      <c r="M15" s="4">
        <f t="shared" si="26"/>
        <v>2549.9669373929137</v>
      </c>
      <c r="N15" s="4">
        <f t="shared" si="27"/>
        <v>2549.9620440603585</v>
      </c>
      <c r="P15" s="129">
        <f t="shared" si="1"/>
        <v>1</v>
      </c>
      <c r="Q15" s="129">
        <f t="shared" si="2"/>
        <v>1.0309799285679349</v>
      </c>
      <c r="R15" s="129">
        <f t="shared" si="3"/>
        <v>1.0309805977076851</v>
      </c>
      <c r="T15" s="131">
        <f t="shared" si="11"/>
        <v>0.4247229413456528</v>
      </c>
      <c r="U15" s="131">
        <f t="shared" si="12"/>
        <v>1.0309805977076851</v>
      </c>
      <c r="V15" s="131">
        <f t="shared" si="13"/>
        <v>1.0000006490745046</v>
      </c>
      <c r="W15" s="131">
        <f t="shared" si="14"/>
        <v>1.0309799285248993</v>
      </c>
      <c r="X15" s="131">
        <f t="shared" si="15"/>
        <v>0.43788111192870743</v>
      </c>
      <c r="Y15" s="131">
        <f t="shared" si="16"/>
        <v>0.43788111192870727</v>
      </c>
      <c r="Z15" s="131"/>
      <c r="AA15" s="131">
        <f t="shared" si="17"/>
        <v>1.0309805977076856</v>
      </c>
      <c r="AD15" s="134"/>
      <c r="AF15" s="129">
        <f t="shared" si="18"/>
        <v>7.5284715486858931E-10</v>
      </c>
      <c r="AG15" s="129">
        <f t="shared" si="19"/>
        <v>0.99999999924715277</v>
      </c>
      <c r="AH15" s="129"/>
      <c r="AI15" s="129">
        <f t="shared" si="28"/>
        <v>7.3423336216795067E-10</v>
      </c>
      <c r="AJ15" s="129">
        <f t="shared" si="29"/>
        <v>0.99999999998154088</v>
      </c>
      <c r="AK15" s="129">
        <f t="shared" si="30"/>
        <v>1.0000000007157743</v>
      </c>
      <c r="AL15" s="129"/>
      <c r="AM15" s="129">
        <f t="shared" si="31"/>
        <v>7.3423336164240529E-10</v>
      </c>
      <c r="AN15" s="129">
        <f t="shared" si="32"/>
        <v>0.99999999926576655</v>
      </c>
      <c r="AO15" s="129"/>
      <c r="AP15" s="129"/>
      <c r="AQ15" s="129">
        <f t="shared" si="33"/>
        <v>0</v>
      </c>
      <c r="AR15" s="129">
        <f t="shared" si="34"/>
        <v>-6.6048746310748002E-2</v>
      </c>
      <c r="AS15" s="129"/>
      <c r="AT15" s="129">
        <f t="shared" si="4"/>
        <v>1.9197316698937333E-6</v>
      </c>
      <c r="AU15" s="129">
        <f t="shared" si="5"/>
        <v>0.99999808026833004</v>
      </c>
      <c r="AV15" s="129"/>
      <c r="AW15" s="129">
        <f t="shared" si="35"/>
        <v>-1.5767405179670804E-2</v>
      </c>
      <c r="AX15" s="129">
        <f t="shared" si="20"/>
        <v>3.0509138305491799E-8</v>
      </c>
      <c r="AY15" s="129"/>
      <c r="AZ15" s="129"/>
      <c r="BA15" s="129">
        <f t="shared" si="21"/>
        <v>0.9360852325232033</v>
      </c>
      <c r="BB15" s="129">
        <f t="shared" si="22"/>
        <v>1.2892842443996897</v>
      </c>
      <c r="BC15" s="129">
        <f t="shared" si="6"/>
        <v>1.0309799285248993</v>
      </c>
      <c r="BD15" s="129"/>
      <c r="BE15" s="129">
        <f t="shared" si="23"/>
        <v>1.0000000304975618</v>
      </c>
      <c r="BF15" s="129">
        <f t="shared" si="24"/>
        <v>1.0000000513709202</v>
      </c>
      <c r="BG15" s="129">
        <f t="shared" si="7"/>
        <v>1.0000006490745046</v>
      </c>
    </row>
    <row r="16" spans="1:59" x14ac:dyDescent="0.2">
      <c r="A16" s="133" t="s">
        <v>664</v>
      </c>
      <c r="B16" s="144">
        <f t="shared" si="8"/>
        <v>1955</v>
      </c>
      <c r="D16" s="190">
        <f t="shared" si="9"/>
        <v>2.0299999999999998E-7</v>
      </c>
      <c r="E16">
        <f>'Freight-based Energy Use'!I13</f>
        <v>252.848626</v>
      </c>
      <c r="F16">
        <f t="shared" si="10"/>
        <v>252.84862620300001</v>
      </c>
      <c r="H16" s="189">
        <f>'Freight-based Activity'!J13*0.000001</f>
        <v>0.20299999999999999</v>
      </c>
      <c r="I16">
        <f>'Freight-based Activity'!K13</f>
        <v>101601.7282674</v>
      </c>
      <c r="J16">
        <f t="shared" si="0"/>
        <v>101601.9312674</v>
      </c>
      <c r="L16" s="4">
        <f t="shared" si="25"/>
        <v>1</v>
      </c>
      <c r="M16" s="4">
        <f t="shared" si="26"/>
        <v>2488.6252459657144</v>
      </c>
      <c r="N16" s="4">
        <f t="shared" si="27"/>
        <v>2488.6202757065998</v>
      </c>
      <c r="P16" s="129">
        <f t="shared" si="1"/>
        <v>1</v>
      </c>
      <c r="Q16" s="129">
        <f t="shared" si="2"/>
        <v>1.0061788020441107</v>
      </c>
      <c r="R16" s="129">
        <f t="shared" si="3"/>
        <v>1.006179376391817</v>
      </c>
      <c r="T16" s="131">
        <f t="shared" si="11"/>
        <v>0.4628019516213096</v>
      </c>
      <c r="U16" s="131">
        <f t="shared" si="12"/>
        <v>1.006179376391817</v>
      </c>
      <c r="V16" s="131">
        <f t="shared" si="13"/>
        <v>1.0000005708435273</v>
      </c>
      <c r="W16" s="131">
        <f t="shared" si="14"/>
        <v>1.0061788020211615</v>
      </c>
      <c r="X16" s="131">
        <f t="shared" si="15"/>
        <v>0.46566177907524564</v>
      </c>
      <c r="Y16" s="131">
        <f t="shared" si="16"/>
        <v>0.46566177907524525</v>
      </c>
      <c r="Z16" s="131"/>
      <c r="AA16" s="131">
        <f t="shared" si="17"/>
        <v>1.0061793763918179</v>
      </c>
      <c r="AD16" s="134"/>
      <c r="AF16" s="129">
        <f t="shared" si="18"/>
        <v>8.0285190016030001E-10</v>
      </c>
      <c r="AG16" s="129">
        <f t="shared" si="19"/>
        <v>0.99999999919714799</v>
      </c>
      <c r="AH16" s="129"/>
      <c r="AI16" s="129">
        <f t="shared" si="28"/>
        <v>7.7758157039396718E-10</v>
      </c>
      <c r="AJ16" s="129">
        <f t="shared" si="29"/>
        <v>0.99999999997499767</v>
      </c>
      <c r="AK16" s="129">
        <f t="shared" si="30"/>
        <v>1.0000000007525793</v>
      </c>
      <c r="AL16" s="129"/>
      <c r="AM16" s="129">
        <f t="shared" si="31"/>
        <v>7.7758156980877536E-10</v>
      </c>
      <c r="AN16" s="129">
        <f t="shared" si="32"/>
        <v>0.99999999922241833</v>
      </c>
      <c r="AO16" s="129"/>
      <c r="AP16" s="129"/>
      <c r="AQ16" s="129">
        <f t="shared" si="33"/>
        <v>0</v>
      </c>
      <c r="AR16" s="129">
        <f t="shared" si="34"/>
        <v>-2.4349945404201608E-2</v>
      </c>
      <c r="AS16" s="129"/>
      <c r="AT16" s="129">
        <f t="shared" si="4"/>
        <v>1.9979935171284935E-6</v>
      </c>
      <c r="AU16" s="129">
        <f t="shared" si="5"/>
        <v>0.99999800200648292</v>
      </c>
      <c r="AV16" s="129"/>
      <c r="AW16" s="129">
        <f t="shared" si="35"/>
        <v>3.9958014531331305E-2</v>
      </c>
      <c r="AX16" s="129">
        <f t="shared" si="20"/>
        <v>-7.8262000389659471E-8</v>
      </c>
      <c r="AY16" s="129"/>
      <c r="AZ16" s="129"/>
      <c r="BA16" s="129">
        <f t="shared" si="21"/>
        <v>0.97594412285094367</v>
      </c>
      <c r="BB16" s="129">
        <f t="shared" si="22"/>
        <v>1.2582693810061969</v>
      </c>
      <c r="BC16" s="129">
        <f t="shared" si="6"/>
        <v>1.0061788020211615</v>
      </c>
      <c r="BD16" s="129"/>
      <c r="BE16" s="129">
        <f t="shared" si="23"/>
        <v>0.99999992176907337</v>
      </c>
      <c r="BF16" s="129">
        <f t="shared" si="24"/>
        <v>0.99999997313998956</v>
      </c>
      <c r="BG16" s="129">
        <f t="shared" si="7"/>
        <v>1.0000005708435273</v>
      </c>
    </row>
    <row r="17" spans="1:59" x14ac:dyDescent="0.2">
      <c r="A17" s="133" t="s">
        <v>664</v>
      </c>
      <c r="B17" s="144">
        <f t="shared" si="8"/>
        <v>1956</v>
      </c>
      <c r="D17" s="190">
        <f t="shared" si="9"/>
        <v>2.2999999999999997E-7</v>
      </c>
      <c r="E17">
        <f>'Freight-based Energy Use'!I14</f>
        <v>305.147132</v>
      </c>
      <c r="F17">
        <f t="shared" si="10"/>
        <v>305.14713223000001</v>
      </c>
      <c r="H17" s="189">
        <f>'Freight-based Activity'!J14*0.000001</f>
        <v>0.22999999999999998</v>
      </c>
      <c r="I17">
        <f>'Freight-based Activity'!K14</f>
        <v>110945.29402440002</v>
      </c>
      <c r="J17">
        <f t="shared" si="0"/>
        <v>110945.52402440002</v>
      </c>
      <c r="L17" s="4">
        <f t="shared" si="25"/>
        <v>1</v>
      </c>
      <c r="M17" s="4">
        <f t="shared" si="26"/>
        <v>2750.4288008186218</v>
      </c>
      <c r="N17" s="4">
        <f t="shared" si="27"/>
        <v>2750.4231010066674</v>
      </c>
      <c r="P17" s="129">
        <f t="shared" si="1"/>
        <v>1</v>
      </c>
      <c r="Q17" s="129">
        <f t="shared" si="2"/>
        <v>1.1120288843816653</v>
      </c>
      <c r="R17" s="129">
        <f t="shared" si="3"/>
        <v>1.1120294355870648</v>
      </c>
      <c r="T17" s="131">
        <f t="shared" si="11"/>
        <v>0.50536249066966343</v>
      </c>
      <c r="U17" s="131">
        <f t="shared" si="12"/>
        <v>1.1120294355870648</v>
      </c>
      <c r="V17" s="131">
        <f t="shared" si="13"/>
        <v>1.0000004957760669</v>
      </c>
      <c r="W17" s="131">
        <f t="shared" si="14"/>
        <v>1.112028884269759</v>
      </c>
      <c r="X17" s="131">
        <f t="shared" si="15"/>
        <v>0.56197796526625954</v>
      </c>
      <c r="Y17" s="131">
        <f t="shared" si="16"/>
        <v>0.56197796526625921</v>
      </c>
      <c r="Z17" s="131"/>
      <c r="AA17" s="131">
        <f t="shared" si="17"/>
        <v>1.1120294355870655</v>
      </c>
      <c r="AD17" s="134"/>
      <c r="AF17" s="129">
        <f t="shared" si="18"/>
        <v>7.53734758439876E-10</v>
      </c>
      <c r="AG17" s="129">
        <f t="shared" si="19"/>
        <v>0.99999999924626515</v>
      </c>
      <c r="AH17" s="129"/>
      <c r="AI17" s="129">
        <f t="shared" si="28"/>
        <v>7.7803495044232013E-10</v>
      </c>
      <c r="AJ17" s="129">
        <f t="shared" si="29"/>
        <v>1.0000000000245586</v>
      </c>
      <c r="AK17" s="129">
        <f t="shared" si="30"/>
        <v>1.0000000008025935</v>
      </c>
      <c r="AL17" s="129"/>
      <c r="AM17" s="129">
        <f t="shared" si="31"/>
        <v>7.7803494981787435E-10</v>
      </c>
      <c r="AN17" s="129">
        <f t="shared" si="32"/>
        <v>0.99999999922196503</v>
      </c>
      <c r="AO17" s="129"/>
      <c r="AP17" s="129"/>
      <c r="AQ17" s="129">
        <f t="shared" si="33"/>
        <v>0</v>
      </c>
      <c r="AR17" s="129">
        <f t="shared" si="34"/>
        <v>0.10002637913963955</v>
      </c>
      <c r="AS17" s="129"/>
      <c r="AT17" s="129">
        <f t="shared" si="4"/>
        <v>2.0730894916447155E-6</v>
      </c>
      <c r="AU17" s="129">
        <f t="shared" si="5"/>
        <v>0.99999792691050837</v>
      </c>
      <c r="AV17" s="129"/>
      <c r="AW17" s="129">
        <f t="shared" si="35"/>
        <v>3.6896567094400902E-2</v>
      </c>
      <c r="AX17" s="129">
        <f t="shared" si="20"/>
        <v>-7.5096127360754969E-8</v>
      </c>
      <c r="AY17" s="129"/>
      <c r="AZ17" s="129"/>
      <c r="BA17" s="129">
        <f t="shared" si="21"/>
        <v>1.1052000718321349</v>
      </c>
      <c r="BB17" s="129">
        <f t="shared" si="22"/>
        <v>1.3906394102722246</v>
      </c>
      <c r="BC17" s="129">
        <f t="shared" si="6"/>
        <v>1.112028884269759</v>
      </c>
      <c r="BD17" s="129"/>
      <c r="BE17" s="129">
        <f t="shared" si="23"/>
        <v>0.99999992493258238</v>
      </c>
      <c r="BF17" s="129">
        <f t="shared" si="24"/>
        <v>0.99999989807257395</v>
      </c>
      <c r="BG17" s="129">
        <f t="shared" si="7"/>
        <v>1.0000004957760669</v>
      </c>
    </row>
    <row r="18" spans="1:59" x14ac:dyDescent="0.2">
      <c r="A18" s="133" t="s">
        <v>664</v>
      </c>
      <c r="B18" s="144">
        <f t="shared" si="8"/>
        <v>1957</v>
      </c>
      <c r="D18" s="190">
        <f t="shared" si="9"/>
        <v>2.23E-7</v>
      </c>
      <c r="E18">
        <f>'Freight-based Energy Use'!I15</f>
        <v>308.51128499999999</v>
      </c>
      <c r="F18">
        <f t="shared" si="10"/>
        <v>308.51128522299996</v>
      </c>
      <c r="H18" s="189">
        <f>'Freight-based Activity'!J15*0.000001</f>
        <v>0.223</v>
      </c>
      <c r="I18">
        <f>'Freight-based Activity'!K15</f>
        <v>118033.03561800001</v>
      </c>
      <c r="J18">
        <f t="shared" si="0"/>
        <v>118033.25861800001</v>
      </c>
      <c r="L18" s="4">
        <f t="shared" si="25"/>
        <v>1</v>
      </c>
      <c r="M18" s="4">
        <f t="shared" si="26"/>
        <v>2613.7706565343315</v>
      </c>
      <c r="N18" s="4">
        <f t="shared" si="27"/>
        <v>2613.7657202319429</v>
      </c>
      <c r="P18" s="129">
        <f t="shared" si="1"/>
        <v>1</v>
      </c>
      <c r="Q18" s="129">
        <f t="shared" si="2"/>
        <v>1.0567764802165776</v>
      </c>
      <c r="R18" s="129">
        <f t="shared" si="3"/>
        <v>1.0567771982290735</v>
      </c>
      <c r="T18" s="131">
        <f t="shared" si="11"/>
        <v>0.53764748133444651</v>
      </c>
      <c r="U18" s="131">
        <f t="shared" si="12"/>
        <v>1.0567771982290735</v>
      </c>
      <c r="V18" s="131">
        <f t="shared" si="13"/>
        <v>1.0000006794994978</v>
      </c>
      <c r="W18" s="131">
        <f t="shared" si="14"/>
        <v>1.0567764801499868</v>
      </c>
      <c r="X18" s="131">
        <f t="shared" si="15"/>
        <v>0.5681735989595349</v>
      </c>
      <c r="Y18" s="131">
        <f t="shared" si="16"/>
        <v>0.56817359895953456</v>
      </c>
      <c r="Z18" s="131"/>
      <c r="AA18" s="131">
        <f t="shared" si="17"/>
        <v>1.0567771982290743</v>
      </c>
      <c r="AD18" s="134"/>
      <c r="AF18" s="129">
        <f t="shared" si="18"/>
        <v>7.2282607049142401E-10</v>
      </c>
      <c r="AG18" s="129">
        <f t="shared" si="19"/>
        <v>0.99999999927717398</v>
      </c>
      <c r="AH18" s="129"/>
      <c r="AI18" s="129">
        <f t="shared" si="28"/>
        <v>7.3817256715931559E-10</v>
      </c>
      <c r="AJ18" s="129">
        <f t="shared" si="29"/>
        <v>1.0000000000154543</v>
      </c>
      <c r="AK18" s="129">
        <f t="shared" si="30"/>
        <v>1.0000000007536269</v>
      </c>
      <c r="AL18" s="129"/>
      <c r="AM18" s="129">
        <f t="shared" si="31"/>
        <v>7.3817256660300882E-10</v>
      </c>
      <c r="AN18" s="129">
        <f t="shared" si="32"/>
        <v>0.99999999926182737</v>
      </c>
      <c r="AO18" s="129"/>
      <c r="AP18" s="129"/>
      <c r="AQ18" s="129">
        <f t="shared" si="33"/>
        <v>0</v>
      </c>
      <c r="AR18" s="129">
        <f t="shared" si="34"/>
        <v>-5.0962952337922814E-2</v>
      </c>
      <c r="AS18" s="129"/>
      <c r="AT18" s="129">
        <f t="shared" si="4"/>
        <v>1.8892980047404421E-6</v>
      </c>
      <c r="AU18" s="129">
        <f t="shared" si="5"/>
        <v>0.99999811070199529</v>
      </c>
      <c r="AV18" s="129"/>
      <c r="AW18" s="129">
        <f t="shared" si="35"/>
        <v>-9.2834668622517449E-2</v>
      </c>
      <c r="AX18" s="129">
        <f t="shared" si="20"/>
        <v>1.83791851057313E-7</v>
      </c>
      <c r="AY18" s="129"/>
      <c r="AZ18" s="129"/>
      <c r="BA18" s="129">
        <f t="shared" si="21"/>
        <v>0.95031387682339297</v>
      </c>
      <c r="BB18" s="129">
        <f t="shared" si="22"/>
        <v>1.3215439292391946</v>
      </c>
      <c r="BC18" s="129">
        <f t="shared" si="6"/>
        <v>1.0567764801499868</v>
      </c>
      <c r="BD18" s="129"/>
      <c r="BE18" s="129">
        <f t="shared" si="23"/>
        <v>1.0000001837233399</v>
      </c>
      <c r="BF18" s="129">
        <f t="shared" si="24"/>
        <v>1.0000000817958952</v>
      </c>
      <c r="BG18" s="129">
        <f t="shared" si="7"/>
        <v>1.0000006794994978</v>
      </c>
    </row>
    <row r="19" spans="1:59" x14ac:dyDescent="0.2">
      <c r="A19" s="133" t="s">
        <v>664</v>
      </c>
      <c r="B19" s="144">
        <f t="shared" si="8"/>
        <v>1958</v>
      </c>
      <c r="D19" s="190">
        <f t="shared" si="9"/>
        <v>2.1099999999999997E-7</v>
      </c>
      <c r="E19">
        <f>'Freight-based Energy Use'!I16</f>
        <v>321.89985100000001</v>
      </c>
      <c r="F19">
        <f t="shared" si="10"/>
        <v>321.899851211</v>
      </c>
      <c r="H19" s="189">
        <f>'Freight-based Activity'!J16*0.000001</f>
        <v>0.21099999999999999</v>
      </c>
      <c r="I19">
        <f>'Freight-based Activity'!K16</f>
        <v>122802.54042270001</v>
      </c>
      <c r="J19">
        <f t="shared" si="0"/>
        <v>122802.75142270001</v>
      </c>
      <c r="L19" s="4">
        <f t="shared" si="25"/>
        <v>1</v>
      </c>
      <c r="M19" s="4">
        <f t="shared" si="26"/>
        <v>2621.2800638487192</v>
      </c>
      <c r="N19" s="4">
        <f t="shared" si="27"/>
        <v>2621.2755616768454</v>
      </c>
      <c r="P19" s="129">
        <f t="shared" si="1"/>
        <v>1</v>
      </c>
      <c r="Q19" s="129">
        <f t="shared" si="2"/>
        <v>1.0598126169221345</v>
      </c>
      <c r="R19" s="129">
        <f t="shared" si="3"/>
        <v>1.0598135182557147</v>
      </c>
      <c r="T19" s="131">
        <f t="shared" si="11"/>
        <v>0.55937276303651984</v>
      </c>
      <c r="U19" s="131">
        <f t="shared" si="12"/>
        <v>1.0598135182557147</v>
      </c>
      <c r="V19" s="131">
        <f t="shared" si="13"/>
        <v>1.0000008505300302</v>
      </c>
      <c r="W19" s="131">
        <f t="shared" si="14"/>
        <v>1.0598126168532587</v>
      </c>
      <c r="X19" s="131">
        <f t="shared" si="15"/>
        <v>0.59283081601015486</v>
      </c>
      <c r="Y19" s="131">
        <f t="shared" si="16"/>
        <v>0.59283081601015442</v>
      </c>
      <c r="Z19" s="131"/>
      <c r="AA19" s="131">
        <f t="shared" si="17"/>
        <v>1.0598135182557156</v>
      </c>
      <c r="AD19" s="134"/>
      <c r="AF19" s="129">
        <f t="shared" si="18"/>
        <v>6.5548337225447478E-10</v>
      </c>
      <c r="AG19" s="129">
        <f t="shared" si="19"/>
        <v>0.99999999934451667</v>
      </c>
      <c r="AH19" s="129"/>
      <c r="AI19" s="129">
        <f t="shared" si="28"/>
        <v>6.8860599002886849E-10</v>
      </c>
      <c r="AJ19" s="129">
        <f t="shared" si="29"/>
        <v>1.0000016486534469</v>
      </c>
      <c r="AK19" s="129">
        <f t="shared" si="30"/>
        <v>1.0000016493420529</v>
      </c>
      <c r="AL19" s="129"/>
      <c r="AM19" s="129">
        <f t="shared" si="31"/>
        <v>6.8860485428392442E-10</v>
      </c>
      <c r="AN19" s="129">
        <f t="shared" si="32"/>
        <v>0.99999999931139505</v>
      </c>
      <c r="AO19" s="129"/>
      <c r="AP19" s="129"/>
      <c r="AQ19" s="129">
        <f t="shared" si="33"/>
        <v>0</v>
      </c>
      <c r="AR19" s="129">
        <f t="shared" si="34"/>
        <v>2.8688976921312209E-3</v>
      </c>
      <c r="AS19" s="129"/>
      <c r="AT19" s="129">
        <f t="shared" si="4"/>
        <v>1.7182025447761814E-6</v>
      </c>
      <c r="AU19" s="129">
        <f t="shared" si="5"/>
        <v>0.99999828179745531</v>
      </c>
      <c r="AV19" s="129"/>
      <c r="AW19" s="129">
        <f t="shared" si="35"/>
        <v>-9.4926621720831592E-2</v>
      </c>
      <c r="AX19" s="129">
        <f t="shared" si="20"/>
        <v>1.7109576868209336E-7</v>
      </c>
      <c r="AY19" s="129"/>
      <c r="AZ19" s="129"/>
      <c r="BA19" s="129">
        <f t="shared" si="21"/>
        <v>1.0028730169154039</v>
      </c>
      <c r="BB19" s="129">
        <f t="shared" si="22"/>
        <v>1.3253407473023482</v>
      </c>
      <c r="BC19" s="129">
        <f t="shared" si="6"/>
        <v>1.0598126168532587</v>
      </c>
      <c r="BD19" s="129"/>
      <c r="BE19" s="129">
        <f t="shared" si="23"/>
        <v>1.0000001710304163</v>
      </c>
      <c r="BF19" s="129">
        <f t="shared" si="24"/>
        <v>1.0000002528263254</v>
      </c>
      <c r="BG19" s="129">
        <f t="shared" si="7"/>
        <v>1.0000008505300302</v>
      </c>
    </row>
    <row r="20" spans="1:59" x14ac:dyDescent="0.2">
      <c r="A20" s="133" t="s">
        <v>664</v>
      </c>
      <c r="B20" s="144">
        <f t="shared" si="8"/>
        <v>1959</v>
      </c>
      <c r="D20" s="190">
        <f t="shared" si="9"/>
        <v>2.2699999999999998E-7</v>
      </c>
      <c r="E20">
        <f>'Freight-based Energy Use'!I17</f>
        <v>360.17778800000002</v>
      </c>
      <c r="F20">
        <f t="shared" si="10"/>
        <v>360.17778822700001</v>
      </c>
      <c r="H20" s="189">
        <f>'Freight-based Activity'!J17*0.000001</f>
        <v>0.22699999999999998</v>
      </c>
      <c r="I20">
        <f>'Freight-based Activity'!K17</f>
        <v>135140.1765912</v>
      </c>
      <c r="J20">
        <f t="shared" si="0"/>
        <v>135140.40359120001</v>
      </c>
      <c r="L20" s="4">
        <f t="shared" si="25"/>
        <v>1</v>
      </c>
      <c r="M20" s="4">
        <f t="shared" si="26"/>
        <v>2665.2162005791988</v>
      </c>
      <c r="N20" s="4">
        <f t="shared" si="27"/>
        <v>2665.2117254032964</v>
      </c>
      <c r="P20" s="129">
        <f t="shared" si="1"/>
        <v>1</v>
      </c>
      <c r="Q20" s="129">
        <f t="shared" si="2"/>
        <v>1.0775764845408466</v>
      </c>
      <c r="R20" s="129">
        <f t="shared" si="3"/>
        <v>1.0775774424071312</v>
      </c>
      <c r="T20" s="131">
        <f t="shared" si="11"/>
        <v>0.61557139460563015</v>
      </c>
      <c r="U20" s="131">
        <f t="shared" si="12"/>
        <v>1.0775774424071312</v>
      </c>
      <c r="V20" s="131">
        <f t="shared" si="13"/>
        <v>1.0000008889836065</v>
      </c>
      <c r="W20" s="131">
        <f t="shared" si="14"/>
        <v>1.077576484459303</v>
      </c>
      <c r="X20" s="131">
        <f t="shared" si="15"/>
        <v>0.66332584901812663</v>
      </c>
      <c r="Y20" s="131">
        <f t="shared" si="16"/>
        <v>0.66332584901812597</v>
      </c>
      <c r="Z20" s="131"/>
      <c r="AA20" s="131">
        <f t="shared" si="17"/>
        <v>1.0775774424071325</v>
      </c>
      <c r="AD20" s="134"/>
      <c r="AF20" s="129">
        <f t="shared" si="18"/>
        <v>6.3024430550651984E-10</v>
      </c>
      <c r="AG20" s="129">
        <f t="shared" si="19"/>
        <v>0.9999999993697557</v>
      </c>
      <c r="AH20" s="129"/>
      <c r="AI20" s="129">
        <f t="shared" si="28"/>
        <v>6.4278125581972455E-10</v>
      </c>
      <c r="AJ20" s="129">
        <f t="shared" si="29"/>
        <v>1.0000043988653986</v>
      </c>
      <c r="AK20" s="129">
        <f t="shared" si="30"/>
        <v>1.0000043995081798</v>
      </c>
      <c r="AL20" s="129"/>
      <c r="AM20" s="129">
        <f t="shared" si="31"/>
        <v>6.4277842791077314E-10</v>
      </c>
      <c r="AN20" s="129">
        <f t="shared" si="32"/>
        <v>0.99999999935722161</v>
      </c>
      <c r="AO20" s="129"/>
      <c r="AP20" s="129"/>
      <c r="AQ20" s="129">
        <f t="shared" si="33"/>
        <v>0</v>
      </c>
      <c r="AR20" s="129">
        <f t="shared" si="34"/>
        <v>1.6622407800522279E-2</v>
      </c>
      <c r="AS20" s="129"/>
      <c r="AT20" s="129">
        <f t="shared" si="4"/>
        <v>1.6797345129046338E-6</v>
      </c>
      <c r="AU20" s="129">
        <f t="shared" si="5"/>
        <v>0.99999832026548696</v>
      </c>
      <c r="AV20" s="129"/>
      <c r="AW20" s="129">
        <f t="shared" si="35"/>
        <v>-2.2642959397249848E-2</v>
      </c>
      <c r="AX20" s="129">
        <f t="shared" si="20"/>
        <v>3.8468097078369955E-8</v>
      </c>
      <c r="AY20" s="129"/>
      <c r="AZ20" s="129"/>
      <c r="BA20" s="129">
        <f t="shared" si="21"/>
        <v>1.0167613286759956</v>
      </c>
      <c r="BB20" s="129">
        <f t="shared" si="22"/>
        <v>1.3475552191755724</v>
      </c>
      <c r="BC20" s="129">
        <f t="shared" si="6"/>
        <v>1.077576484459303</v>
      </c>
      <c r="BD20" s="129"/>
      <c r="BE20" s="129">
        <f t="shared" si="23"/>
        <v>1.0000000384535435</v>
      </c>
      <c r="BF20" s="129">
        <f t="shared" si="24"/>
        <v>1.0000002912798787</v>
      </c>
      <c r="BG20" s="129">
        <f t="shared" si="7"/>
        <v>1.0000008889836065</v>
      </c>
    </row>
    <row r="21" spans="1:59" x14ac:dyDescent="0.2">
      <c r="A21" s="133" t="s">
        <v>664</v>
      </c>
      <c r="B21" s="144">
        <f t="shared" si="8"/>
        <v>1960</v>
      </c>
      <c r="D21" s="190">
        <f t="shared" si="9"/>
        <v>2.2899999999999997E-7</v>
      </c>
      <c r="E21">
        <f>'Freight-based Energy Use'!I18</f>
        <v>357.83432499999998</v>
      </c>
      <c r="F21">
        <f t="shared" si="10"/>
        <v>357.834325229</v>
      </c>
      <c r="H21" s="189">
        <f>'Freight-based Activity'!J18*0.000001</f>
        <v>0.22899999999999998</v>
      </c>
      <c r="I21">
        <f>'Freight-based Activity'!K18</f>
        <v>144162.48741690002</v>
      </c>
      <c r="J21">
        <f t="shared" si="0"/>
        <v>144162.71641690002</v>
      </c>
      <c r="L21" s="4">
        <f t="shared" si="25"/>
        <v>1</v>
      </c>
      <c r="M21" s="4">
        <f t="shared" si="26"/>
        <v>2482.1597588364821</v>
      </c>
      <c r="N21" s="4">
        <f t="shared" si="27"/>
        <v>2482.155817556803</v>
      </c>
      <c r="P21" s="129">
        <f t="shared" si="1"/>
        <v>1</v>
      </c>
      <c r="Q21" s="129">
        <f t="shared" si="2"/>
        <v>1.0035647338533018</v>
      </c>
      <c r="R21" s="129">
        <f t="shared" si="3"/>
        <v>1.0035657175169101</v>
      </c>
      <c r="T21" s="131">
        <f t="shared" si="11"/>
        <v>0.65666848726701443</v>
      </c>
      <c r="U21" s="131">
        <f t="shared" si="12"/>
        <v>1.0035657175169101</v>
      </c>
      <c r="V21" s="131">
        <f t="shared" si="13"/>
        <v>1.0000009802000487</v>
      </c>
      <c r="W21" s="131">
        <f t="shared" si="14"/>
        <v>1.0035647338227107</v>
      </c>
      <c r="X21" s="131">
        <f t="shared" si="15"/>
        <v>0.65900998159486635</v>
      </c>
      <c r="Y21" s="131">
        <f t="shared" si="16"/>
        <v>0.65900998159486546</v>
      </c>
      <c r="Z21" s="131"/>
      <c r="AA21" s="131">
        <f t="shared" si="17"/>
        <v>1.0035657175169117</v>
      </c>
      <c r="AD21" s="134"/>
      <c r="AF21" s="129">
        <f t="shared" si="18"/>
        <v>6.3996096476616358E-10</v>
      </c>
      <c r="AG21" s="129">
        <f t="shared" si="19"/>
        <v>0.99999999936003903</v>
      </c>
      <c r="AH21" s="129"/>
      <c r="AI21" s="129">
        <f t="shared" si="28"/>
        <v>6.3509024672653778E-10</v>
      </c>
      <c r="AJ21" s="129">
        <f t="shared" si="29"/>
        <v>0.99999999999514155</v>
      </c>
      <c r="AK21" s="129">
        <f t="shared" si="30"/>
        <v>1.0000000006302319</v>
      </c>
      <c r="AL21" s="129"/>
      <c r="AM21" s="129">
        <f t="shared" si="31"/>
        <v>6.3509024632628369E-10</v>
      </c>
      <c r="AN21" s="129">
        <f t="shared" si="32"/>
        <v>0.99999999936490969</v>
      </c>
      <c r="AO21" s="129"/>
      <c r="AP21" s="129"/>
      <c r="AQ21" s="129">
        <f t="shared" si="33"/>
        <v>0</v>
      </c>
      <c r="AR21" s="129">
        <f t="shared" si="34"/>
        <v>-7.1156128560401988E-2</v>
      </c>
      <c r="AS21" s="129"/>
      <c r="AT21" s="129">
        <f t="shared" si="4"/>
        <v>1.588482831703597E-6</v>
      </c>
      <c r="AU21" s="129">
        <f t="shared" si="5"/>
        <v>0.9999984115171684</v>
      </c>
      <c r="AV21" s="129"/>
      <c r="AW21" s="129">
        <f t="shared" si="35"/>
        <v>-5.5856386092232362E-2</v>
      </c>
      <c r="AX21" s="129">
        <f t="shared" si="20"/>
        <v>9.1251830591664366E-8</v>
      </c>
      <c r="AY21" s="129"/>
      <c r="AZ21" s="129"/>
      <c r="BA21" s="129">
        <f t="shared" si="21"/>
        <v>0.93131647571751774</v>
      </c>
      <c r="BB21" s="129">
        <f t="shared" si="22"/>
        <v>1.2550003775573413</v>
      </c>
      <c r="BC21" s="129">
        <f t="shared" si="6"/>
        <v>1.0035647338227107</v>
      </c>
      <c r="BD21" s="129"/>
      <c r="BE21" s="129">
        <f t="shared" si="23"/>
        <v>1.0000000912163609</v>
      </c>
      <c r="BF21" s="129">
        <f t="shared" si="24"/>
        <v>1.0000003824962662</v>
      </c>
      <c r="BG21" s="129">
        <f t="shared" si="7"/>
        <v>1.0000009802000487</v>
      </c>
    </row>
    <row r="22" spans="1:59" x14ac:dyDescent="0.2">
      <c r="A22" s="133" t="s">
        <v>664</v>
      </c>
      <c r="B22" s="144">
        <f t="shared" si="8"/>
        <v>1961</v>
      </c>
      <c r="D22" s="190">
        <f t="shared" si="9"/>
        <v>2.3299999999999998E-7</v>
      </c>
      <c r="E22">
        <f>'Freight-based Energy Use'!I19</f>
        <v>389.312817</v>
      </c>
      <c r="F22">
        <f t="shared" si="10"/>
        <v>389.31281723299998</v>
      </c>
      <c r="H22" s="189">
        <f>'Freight-based Activity'!J19*0.000001</f>
        <v>0.23299999999999998</v>
      </c>
      <c r="I22">
        <f>'Freight-based Activity'!K19</f>
        <v>150274.8703251</v>
      </c>
      <c r="J22">
        <f t="shared" si="0"/>
        <v>150275.1033251</v>
      </c>
      <c r="L22" s="4">
        <f t="shared" si="25"/>
        <v>1</v>
      </c>
      <c r="M22" s="4">
        <f t="shared" si="26"/>
        <v>2590.6714552990311</v>
      </c>
      <c r="N22" s="4">
        <f t="shared" si="27"/>
        <v>2590.6674400401107</v>
      </c>
      <c r="P22" s="129">
        <f t="shared" si="1"/>
        <v>1</v>
      </c>
      <c r="Q22" s="129">
        <f t="shared" si="2"/>
        <v>1.0474372168362081</v>
      </c>
      <c r="R22" s="129">
        <f t="shared" si="3"/>
        <v>1.0474382832543723</v>
      </c>
      <c r="T22" s="131">
        <f t="shared" si="11"/>
        <v>0.68451071974126232</v>
      </c>
      <c r="U22" s="131">
        <f t="shared" si="12"/>
        <v>1.0474382832543723</v>
      </c>
      <c r="V22" s="131">
        <f t="shared" si="13"/>
        <v>1.0000010181782919</v>
      </c>
      <c r="W22" s="131">
        <f t="shared" si="14"/>
        <v>1.0474372167765376</v>
      </c>
      <c r="X22" s="131">
        <f t="shared" si="15"/>
        <v>0.7169827331550036</v>
      </c>
      <c r="Y22" s="131">
        <f t="shared" si="16"/>
        <v>0.71698273315500261</v>
      </c>
      <c r="Z22" s="131"/>
      <c r="AA22" s="131">
        <f t="shared" si="17"/>
        <v>1.0474382832543738</v>
      </c>
      <c r="AD22" s="134"/>
      <c r="AF22" s="129">
        <f t="shared" si="18"/>
        <v>5.9849044184063358E-10</v>
      </c>
      <c r="AG22" s="129">
        <f t="shared" si="19"/>
        <v>0.99999999940150963</v>
      </c>
      <c r="AH22" s="129"/>
      <c r="AI22" s="129">
        <f t="shared" si="28"/>
        <v>6.1899418852503212E-10</v>
      </c>
      <c r="AJ22" s="129">
        <f t="shared" si="29"/>
        <v>1.0000000000207354</v>
      </c>
      <c r="AK22" s="129">
        <f t="shared" si="30"/>
        <v>1.0000000006397296</v>
      </c>
      <c r="AL22" s="129"/>
      <c r="AM22" s="129">
        <f t="shared" si="31"/>
        <v>6.1899418812904319E-10</v>
      </c>
      <c r="AN22" s="129">
        <f t="shared" si="32"/>
        <v>0.99999999938100581</v>
      </c>
      <c r="AO22" s="129"/>
      <c r="AP22" s="129"/>
      <c r="AQ22" s="129">
        <f t="shared" si="33"/>
        <v>0</v>
      </c>
      <c r="AR22" s="129">
        <f t="shared" si="34"/>
        <v>4.2788039574620948E-2</v>
      </c>
      <c r="AS22" s="129"/>
      <c r="AT22" s="129">
        <f t="shared" si="4"/>
        <v>1.5504897008517492E-6</v>
      </c>
      <c r="AU22" s="129">
        <f t="shared" si="5"/>
        <v>0.99999844951029915</v>
      </c>
      <c r="AV22" s="129"/>
      <c r="AW22" s="129">
        <f t="shared" si="35"/>
        <v>-2.4208549734971455E-2</v>
      </c>
      <c r="AX22" s="129">
        <f t="shared" si="20"/>
        <v>3.799319031595834E-8</v>
      </c>
      <c r="AY22" s="129"/>
      <c r="AZ22" s="129"/>
      <c r="BA22" s="129">
        <f t="shared" si="21"/>
        <v>1.0437166447516653</v>
      </c>
      <c r="BB22" s="129">
        <f t="shared" si="22"/>
        <v>1.3098647832262214</v>
      </c>
      <c r="BC22" s="129">
        <f t="shared" si="6"/>
        <v>1.0474372167765376</v>
      </c>
      <c r="BD22" s="129"/>
      <c r="BE22" s="129">
        <f t="shared" si="23"/>
        <v>1.0000000379782061</v>
      </c>
      <c r="BF22" s="129">
        <f t="shared" si="24"/>
        <v>1.0000004204744868</v>
      </c>
      <c r="BG22" s="129">
        <f t="shared" si="7"/>
        <v>1.0000010181782919</v>
      </c>
    </row>
    <row r="23" spans="1:59" x14ac:dyDescent="0.2">
      <c r="A23" s="133" t="s">
        <v>664</v>
      </c>
      <c r="B23" s="144">
        <f t="shared" si="8"/>
        <v>1962</v>
      </c>
      <c r="D23" s="190">
        <f t="shared" si="9"/>
        <v>2.3799999999999999E-7</v>
      </c>
      <c r="E23">
        <f>'Freight-based Energy Use'!I20</f>
        <v>394.35337600000003</v>
      </c>
      <c r="F23">
        <f t="shared" si="10"/>
        <v>394.35337623800001</v>
      </c>
      <c r="H23" s="189">
        <f>'Freight-based Activity'!J20*0.000001</f>
        <v>0.23799999999999999</v>
      </c>
      <c r="I23">
        <f>'Freight-based Activity'!K20</f>
        <v>159877.7504745</v>
      </c>
      <c r="J23">
        <f t="shared" si="0"/>
        <v>159877.98847450002</v>
      </c>
      <c r="L23" s="4">
        <f t="shared" si="25"/>
        <v>1</v>
      </c>
      <c r="M23" s="4">
        <f t="shared" si="26"/>
        <v>2466.5932240702759</v>
      </c>
      <c r="N23" s="4">
        <f t="shared" si="27"/>
        <v>2466.5895537014339</v>
      </c>
      <c r="P23" s="129">
        <f t="shared" si="1"/>
        <v>1</v>
      </c>
      <c r="Q23" s="129">
        <f t="shared" si="2"/>
        <v>0.99727101111283301</v>
      </c>
      <c r="R23" s="129">
        <f t="shared" si="3"/>
        <v>0.99727208814659629</v>
      </c>
      <c r="T23" s="131">
        <f t="shared" si="11"/>
        <v>0.72825234879200451</v>
      </c>
      <c r="U23" s="131">
        <f t="shared" si="12"/>
        <v>0.99727208814659629</v>
      </c>
      <c r="V23" s="131">
        <f t="shared" si="13"/>
        <v>1.0000010800084922</v>
      </c>
      <c r="W23" s="131">
        <f t="shared" si="14"/>
        <v>0.9972710110854367</v>
      </c>
      <c r="X23" s="131">
        <f t="shared" si="15"/>
        <v>0.72626574057746673</v>
      </c>
      <c r="Y23" s="131">
        <f t="shared" si="16"/>
        <v>0.72626574057746585</v>
      </c>
      <c r="Z23" s="131"/>
      <c r="AA23" s="131">
        <f t="shared" si="17"/>
        <v>0.99727208814659773</v>
      </c>
      <c r="AD23" s="134"/>
      <c r="AF23" s="129">
        <f t="shared" si="18"/>
        <v>6.0351962057594328E-10</v>
      </c>
      <c r="AG23" s="129">
        <f t="shared" si="19"/>
        <v>0.99999999939648043</v>
      </c>
      <c r="AH23" s="129"/>
      <c r="AI23" s="129">
        <f t="shared" si="28"/>
        <v>6.0100152419981284E-10</v>
      </c>
      <c r="AJ23" s="129">
        <f t="shared" si="29"/>
        <v>0.99999999999748534</v>
      </c>
      <c r="AK23" s="129">
        <f t="shared" si="30"/>
        <v>1.0000000005984868</v>
      </c>
      <c r="AL23" s="129"/>
      <c r="AM23" s="129">
        <f t="shared" si="31"/>
        <v>6.0100152384012131E-10</v>
      </c>
      <c r="AN23" s="129">
        <f t="shared" si="32"/>
        <v>0.99999999939899853</v>
      </c>
      <c r="AO23" s="129"/>
      <c r="AP23" s="129"/>
      <c r="AQ23" s="129">
        <f t="shared" si="33"/>
        <v>0</v>
      </c>
      <c r="AR23" s="129">
        <f t="shared" si="34"/>
        <v>-4.9079154189201918E-2</v>
      </c>
      <c r="AS23" s="129"/>
      <c r="AT23" s="129">
        <f t="shared" si="4"/>
        <v>1.4886351915664748E-6</v>
      </c>
      <c r="AU23" s="129">
        <f t="shared" si="5"/>
        <v>0.99999851136480833</v>
      </c>
      <c r="AV23" s="129"/>
      <c r="AW23" s="129">
        <f t="shared" si="35"/>
        <v>-4.0711095689285527E-2</v>
      </c>
      <c r="AX23" s="129">
        <f t="shared" si="20"/>
        <v>6.1854603080531574E-8</v>
      </c>
      <c r="AY23" s="129"/>
      <c r="AZ23" s="129"/>
      <c r="BA23" s="129">
        <f t="shared" si="21"/>
        <v>0.95210576358410648</v>
      </c>
      <c r="BB23" s="129">
        <f t="shared" si="22"/>
        <v>1.2471298096255317</v>
      </c>
      <c r="BC23" s="129">
        <f t="shared" si="6"/>
        <v>0.9972710110854367</v>
      </c>
      <c r="BD23" s="129"/>
      <c r="BE23" s="129">
        <f t="shared" si="23"/>
        <v>1.0000000618301375</v>
      </c>
      <c r="BF23" s="129">
        <f t="shared" si="24"/>
        <v>1.0000004823046502</v>
      </c>
      <c r="BG23" s="129">
        <f t="shared" si="7"/>
        <v>1.0000010800084922</v>
      </c>
    </row>
    <row r="24" spans="1:59" x14ac:dyDescent="0.2">
      <c r="A24" s="133" t="s">
        <v>664</v>
      </c>
      <c r="B24" s="144">
        <f t="shared" si="8"/>
        <v>1963</v>
      </c>
      <c r="D24" s="190">
        <f t="shared" si="9"/>
        <v>2.53E-7</v>
      </c>
      <c r="E24">
        <f>'Freight-based Energy Use'!I21</f>
        <v>436.92027300000001</v>
      </c>
      <c r="F24">
        <f t="shared" si="10"/>
        <v>436.920273253</v>
      </c>
      <c r="H24" s="189">
        <f>'Freight-based Activity'!J21*0.000001</f>
        <v>0.253</v>
      </c>
      <c r="I24">
        <f>'Freight-based Activity'!K21</f>
        <v>168498.23229420002</v>
      </c>
      <c r="J24">
        <f t="shared" si="0"/>
        <v>168498.48529420001</v>
      </c>
      <c r="L24" s="4">
        <f t="shared" si="25"/>
        <v>1</v>
      </c>
      <c r="M24" s="4">
        <f t="shared" si="26"/>
        <v>2593.0258558269725</v>
      </c>
      <c r="N24" s="4">
        <f t="shared" si="27"/>
        <v>2593.0219639074671</v>
      </c>
      <c r="P24" s="129">
        <f t="shared" si="1"/>
        <v>1</v>
      </c>
      <c r="Q24" s="129">
        <f t="shared" si="2"/>
        <v>1.0483891270953267</v>
      </c>
      <c r="R24" s="129">
        <f t="shared" si="3"/>
        <v>1.0483902458256342</v>
      </c>
      <c r="T24" s="131">
        <f t="shared" si="11"/>
        <v>0.76751914916022301</v>
      </c>
      <c r="U24" s="131">
        <f t="shared" si="12"/>
        <v>1.0483902458256342</v>
      </c>
      <c r="V24" s="131">
        <f t="shared" si="13"/>
        <v>1.0000010671515602</v>
      </c>
      <c r="W24" s="131">
        <f t="shared" si="14"/>
        <v>1.0483891270355432</v>
      </c>
      <c r="X24" s="131">
        <f t="shared" si="15"/>
        <v>0.80465958946396909</v>
      </c>
      <c r="Y24" s="131">
        <f t="shared" si="16"/>
        <v>0.80465958946396787</v>
      </c>
      <c r="Z24" s="131"/>
      <c r="AA24" s="131">
        <f t="shared" si="17"/>
        <v>1.0483902458256358</v>
      </c>
      <c r="AD24" s="134"/>
      <c r="AF24" s="129">
        <f t="shared" si="18"/>
        <v>5.7905301147127043E-10</v>
      </c>
      <c r="AG24" s="129">
        <f t="shared" si="19"/>
        <v>0.99999999942094697</v>
      </c>
      <c r="AH24" s="129"/>
      <c r="AI24" s="129">
        <f t="shared" si="28"/>
        <v>5.9120194019054575E-10</v>
      </c>
      <c r="AJ24" s="129">
        <f t="shared" si="29"/>
        <v>0.99999546231302816</v>
      </c>
      <c r="AK24" s="129">
        <f t="shared" si="30"/>
        <v>0.99999546290423014</v>
      </c>
      <c r="AL24" s="129"/>
      <c r="AM24" s="129">
        <f t="shared" si="31"/>
        <v>5.9120462254253782E-10</v>
      </c>
      <c r="AN24" s="129">
        <f t="shared" si="32"/>
        <v>0.99999999940879536</v>
      </c>
      <c r="AO24" s="129"/>
      <c r="AP24" s="129"/>
      <c r="AQ24" s="129">
        <f t="shared" si="33"/>
        <v>0</v>
      </c>
      <c r="AR24" s="129">
        <f t="shared" si="34"/>
        <v>4.9987540828516579E-2</v>
      </c>
      <c r="AS24" s="129"/>
      <c r="AT24" s="129">
        <f t="shared" si="4"/>
        <v>1.5014971770117667E-6</v>
      </c>
      <c r="AU24" s="129">
        <f t="shared" si="5"/>
        <v>0.99999849850282296</v>
      </c>
      <c r="AV24" s="129"/>
      <c r="AW24" s="129">
        <f t="shared" si="35"/>
        <v>8.6030069494600053E-3</v>
      </c>
      <c r="AX24" s="129">
        <f t="shared" si="20"/>
        <v>-1.2862004544204687E-8</v>
      </c>
      <c r="AY24" s="129"/>
      <c r="AZ24" s="129"/>
      <c r="BA24" s="129">
        <f t="shared" si="21"/>
        <v>1.0512579984596857</v>
      </c>
      <c r="BB24" s="129">
        <f t="shared" si="22"/>
        <v>1.3110551874863452</v>
      </c>
      <c r="BC24" s="129">
        <f t="shared" si="6"/>
        <v>1.0483891270355432</v>
      </c>
      <c r="BD24" s="129"/>
      <c r="BE24" s="129">
        <f t="shared" si="23"/>
        <v>0.99999998714308169</v>
      </c>
      <c r="BF24" s="129">
        <f t="shared" si="24"/>
        <v>1.0000004694477258</v>
      </c>
      <c r="BG24" s="129">
        <f t="shared" si="7"/>
        <v>1.0000010671515602</v>
      </c>
    </row>
    <row r="25" spans="1:59" x14ac:dyDescent="0.2">
      <c r="A25" s="133" t="s">
        <v>664</v>
      </c>
      <c r="B25" s="144">
        <f t="shared" si="8"/>
        <v>1964</v>
      </c>
      <c r="D25" s="190">
        <f t="shared" si="9"/>
        <v>2.6899999999999993E-7</v>
      </c>
      <c r="E25">
        <f>'Freight-based Energy Use'!I22</f>
        <v>449.07267000000002</v>
      </c>
      <c r="F25">
        <f t="shared" si="10"/>
        <v>449.07267026900001</v>
      </c>
      <c r="H25" s="189">
        <f>'Freight-based Activity'!J22*0.000001</f>
        <v>0.26899999999999996</v>
      </c>
      <c r="I25">
        <f>'Freight-based Activity'!K22</f>
        <v>180606.48991470001</v>
      </c>
      <c r="J25">
        <f t="shared" si="0"/>
        <v>180606.75891470001</v>
      </c>
      <c r="L25" s="4">
        <f t="shared" si="25"/>
        <v>1</v>
      </c>
      <c r="M25" s="4">
        <f t="shared" si="26"/>
        <v>2486.4702825025606</v>
      </c>
      <c r="N25" s="4">
        <f t="shared" si="27"/>
        <v>2486.4665805840386</v>
      </c>
      <c r="P25" s="129">
        <f t="shared" si="1"/>
        <v>1</v>
      </c>
      <c r="Q25" s="129">
        <f t="shared" si="2"/>
        <v>1.0053075264033449</v>
      </c>
      <c r="R25" s="129">
        <f t="shared" si="3"/>
        <v>1.0053086113190934</v>
      </c>
      <c r="T25" s="131">
        <f t="shared" si="11"/>
        <v>0.82267294980584349</v>
      </c>
      <c r="U25" s="131">
        <f t="shared" si="12"/>
        <v>1.0053086113190934</v>
      </c>
      <c r="V25" s="131">
        <f t="shared" si="13"/>
        <v>1.0000010792202418</v>
      </c>
      <c r="W25" s="131">
        <f t="shared" si="14"/>
        <v>1.0053075263708633</v>
      </c>
      <c r="X25" s="131">
        <f t="shared" si="15"/>
        <v>0.82704020073909612</v>
      </c>
      <c r="Y25" s="131">
        <f t="shared" si="16"/>
        <v>0.82704020073909501</v>
      </c>
      <c r="Z25" s="131"/>
      <c r="AA25" s="131">
        <f t="shared" si="17"/>
        <v>1.005308611319095</v>
      </c>
      <c r="AD25" s="134"/>
      <c r="AF25" s="129">
        <f t="shared" si="18"/>
        <v>5.9901218178978835E-10</v>
      </c>
      <c r="AG25" s="129">
        <f t="shared" si="19"/>
        <v>0.99999999940098783</v>
      </c>
      <c r="AH25" s="129"/>
      <c r="AI25" s="129">
        <f t="shared" si="28"/>
        <v>5.8897623317123803E-10</v>
      </c>
      <c r="AJ25" s="129">
        <f t="shared" si="29"/>
        <v>0.99999999999002054</v>
      </c>
      <c r="AK25" s="129">
        <f t="shared" si="30"/>
        <v>1.0000000005789969</v>
      </c>
      <c r="AL25" s="129"/>
      <c r="AM25" s="129">
        <f t="shared" si="31"/>
        <v>5.8897623283022269E-10</v>
      </c>
      <c r="AN25" s="129">
        <f t="shared" si="32"/>
        <v>0.99999999941102369</v>
      </c>
      <c r="AO25" s="129"/>
      <c r="AP25" s="129"/>
      <c r="AQ25" s="129">
        <f t="shared" si="33"/>
        <v>0</v>
      </c>
      <c r="AR25" s="129">
        <f t="shared" si="34"/>
        <v>-4.1961330337753136E-2</v>
      </c>
      <c r="AS25" s="129"/>
      <c r="AT25" s="129">
        <f t="shared" si="4"/>
        <v>1.48942377138304E-6</v>
      </c>
      <c r="AU25" s="129">
        <f t="shared" si="5"/>
        <v>0.99999851057622857</v>
      </c>
      <c r="AV25" s="129"/>
      <c r="AW25" s="129">
        <f t="shared" si="35"/>
        <v>-8.0734137850486439E-3</v>
      </c>
      <c r="AX25" s="129">
        <f t="shared" si="20"/>
        <v>1.2073423743377417E-8</v>
      </c>
      <c r="AY25" s="129"/>
      <c r="AZ25" s="129"/>
      <c r="BA25" s="129">
        <f t="shared" si="21"/>
        <v>0.95890686048366536</v>
      </c>
      <c r="BB25" s="129">
        <f t="shared" si="22"/>
        <v>1.2571798137533545</v>
      </c>
      <c r="BC25" s="129">
        <f t="shared" si="6"/>
        <v>1.0053075263708633</v>
      </c>
      <c r="BD25" s="129"/>
      <c r="BE25" s="129">
        <f t="shared" si="23"/>
        <v>1.0000000120686687</v>
      </c>
      <c r="BF25" s="129">
        <f t="shared" si="24"/>
        <v>1.0000004815164003</v>
      </c>
      <c r="BG25" s="129">
        <f t="shared" si="7"/>
        <v>1.0000010792202418</v>
      </c>
    </row>
    <row r="26" spans="1:59" x14ac:dyDescent="0.2">
      <c r="A26" s="133" t="s">
        <v>664</v>
      </c>
      <c r="B26" s="144">
        <f t="shared" si="8"/>
        <v>1965</v>
      </c>
      <c r="D26" s="190">
        <f t="shared" si="9"/>
        <v>3.0599999999999996E-7</v>
      </c>
      <c r="E26">
        <f>'Freight-based Energy Use'!I23</f>
        <v>516.04024400000003</v>
      </c>
      <c r="F26">
        <f t="shared" si="10"/>
        <v>516.04024430599998</v>
      </c>
      <c r="H26" s="189">
        <f>'Freight-based Activity'!J23*0.000001</f>
        <v>0.30599999999999999</v>
      </c>
      <c r="I26">
        <f>'Freight-based Activity'!K23</f>
        <v>189153.54838319999</v>
      </c>
      <c r="J26">
        <f t="shared" si="0"/>
        <v>189153.8543832</v>
      </c>
      <c r="L26" s="4">
        <f t="shared" si="25"/>
        <v>1</v>
      </c>
      <c r="M26" s="4">
        <f t="shared" si="26"/>
        <v>2728.1552390155061</v>
      </c>
      <c r="N26" s="4">
        <f t="shared" si="27"/>
        <v>2728.1508272127121</v>
      </c>
      <c r="P26" s="129">
        <f t="shared" si="1"/>
        <v>1</v>
      </c>
      <c r="Q26" s="129">
        <f t="shared" si="2"/>
        <v>1.1030234361854594</v>
      </c>
      <c r="R26" s="129">
        <f t="shared" si="3"/>
        <v>1.1030244850224526</v>
      </c>
      <c r="T26" s="131">
        <f t="shared" si="11"/>
        <v>0.86160540329538304</v>
      </c>
      <c r="U26" s="131">
        <f t="shared" si="12"/>
        <v>1.1030244850224526</v>
      </c>
      <c r="V26" s="131">
        <f t="shared" si="13"/>
        <v>1.0000009509622181</v>
      </c>
      <c r="W26" s="131">
        <f t="shared" si="14"/>
        <v>1.1030234360888411</v>
      </c>
      <c r="X26" s="131">
        <f t="shared" si="15"/>
        <v>0.95037185626245402</v>
      </c>
      <c r="Y26" s="131">
        <f t="shared" si="16"/>
        <v>0.95037185626245269</v>
      </c>
      <c r="Z26" s="131"/>
      <c r="AA26" s="131">
        <f t="shared" si="17"/>
        <v>1.1030244850224544</v>
      </c>
      <c r="AD26" s="134"/>
      <c r="AF26" s="129">
        <f t="shared" si="18"/>
        <v>5.9297700785241276E-10</v>
      </c>
      <c r="AG26" s="129">
        <f t="shared" si="19"/>
        <v>0.99999999940702311</v>
      </c>
      <c r="AH26" s="129"/>
      <c r="AI26" s="129">
        <f t="shared" si="28"/>
        <v>5.9598950199338758E-10</v>
      </c>
      <c r="AJ26" s="129">
        <f t="shared" si="29"/>
        <v>1.0000183958823408</v>
      </c>
      <c r="AK26" s="129">
        <f t="shared" si="30"/>
        <v>1.0000183964783302</v>
      </c>
      <c r="AL26" s="129"/>
      <c r="AM26" s="129">
        <f t="shared" si="31"/>
        <v>5.9597853808712638E-10</v>
      </c>
      <c r="AN26" s="129">
        <f t="shared" si="32"/>
        <v>0.99999999940402151</v>
      </c>
      <c r="AO26" s="129"/>
      <c r="AP26" s="129"/>
      <c r="AQ26" s="129">
        <f t="shared" si="33"/>
        <v>0</v>
      </c>
      <c r="AR26" s="129">
        <f t="shared" si="34"/>
        <v>9.2761496595656023E-2</v>
      </c>
      <c r="AS26" s="129"/>
      <c r="AT26" s="129">
        <f t="shared" si="4"/>
        <v>1.617730714490679E-6</v>
      </c>
      <c r="AU26" s="129">
        <f t="shared" si="5"/>
        <v>0.9999983822692855</v>
      </c>
      <c r="AV26" s="129"/>
      <c r="AW26" s="129">
        <f t="shared" si="35"/>
        <v>8.263505914919668E-2</v>
      </c>
      <c r="AX26" s="129">
        <f t="shared" si="20"/>
        <v>-1.2830714237094355E-7</v>
      </c>
      <c r="AY26" s="129"/>
      <c r="AZ26" s="129"/>
      <c r="BA26" s="129">
        <f t="shared" si="21"/>
        <v>1.0972000180588819</v>
      </c>
      <c r="BB26" s="129">
        <f t="shared" si="22"/>
        <v>1.3793777143534425</v>
      </c>
      <c r="BC26" s="129">
        <f t="shared" si="6"/>
        <v>1.1030234360888411</v>
      </c>
      <c r="BD26" s="129"/>
      <c r="BE26" s="129">
        <f t="shared" si="23"/>
        <v>0.99999987174211469</v>
      </c>
      <c r="BF26" s="129">
        <f t="shared" si="24"/>
        <v>1.0000003532584532</v>
      </c>
      <c r="BG26" s="129">
        <f t="shared" si="7"/>
        <v>1.0000009509622181</v>
      </c>
    </row>
    <row r="27" spans="1:59" x14ac:dyDescent="0.2">
      <c r="A27" s="133" t="s">
        <v>664</v>
      </c>
      <c r="B27" s="144">
        <f t="shared" si="8"/>
        <v>1966</v>
      </c>
      <c r="D27" s="190">
        <f t="shared" si="9"/>
        <v>3.3299999999999992E-7</v>
      </c>
      <c r="E27">
        <f>'Freight-based Energy Use'!I24</f>
        <v>551.94894299999999</v>
      </c>
      <c r="F27">
        <f t="shared" si="10"/>
        <v>551.94894333299999</v>
      </c>
      <c r="H27" s="189">
        <f>'Freight-based Activity'!J24*0.000001</f>
        <v>0.33299999999999996</v>
      </c>
      <c r="I27">
        <f>'Freight-based Activity'!K24</f>
        <v>206657.99188500002</v>
      </c>
      <c r="J27">
        <f t="shared" si="0"/>
        <v>206658.32488500004</v>
      </c>
      <c r="L27" s="4">
        <f t="shared" si="25"/>
        <v>1</v>
      </c>
      <c r="M27" s="4">
        <f t="shared" si="26"/>
        <v>2670.8327994745332</v>
      </c>
      <c r="N27" s="4">
        <f t="shared" si="27"/>
        <v>2670.8284974251346</v>
      </c>
      <c r="P27" s="129">
        <f t="shared" si="1"/>
        <v>1</v>
      </c>
      <c r="Q27" s="129">
        <f t="shared" si="2"/>
        <v>1.0798473377989783</v>
      </c>
      <c r="R27" s="129">
        <f t="shared" si="3"/>
        <v>1.0798483714939977</v>
      </c>
      <c r="T27" s="131">
        <f t="shared" si="11"/>
        <v>0.94133915450735461</v>
      </c>
      <c r="U27" s="131">
        <f t="shared" si="12"/>
        <v>1.0798483714939977</v>
      </c>
      <c r="V27" s="131">
        <f t="shared" si="13"/>
        <v>1.0000009573352244</v>
      </c>
      <c r="W27" s="131">
        <f t="shared" si="14"/>
        <v>1.0798473377181057</v>
      </c>
      <c r="X27" s="131">
        <f t="shared" si="15"/>
        <v>1.0165035530183049</v>
      </c>
      <c r="Y27" s="131">
        <f t="shared" si="16"/>
        <v>1.0165035530183038</v>
      </c>
      <c r="Z27" s="131"/>
      <c r="AA27" s="131">
        <f t="shared" si="17"/>
        <v>1.079848371493999</v>
      </c>
      <c r="AD27" s="134"/>
      <c r="AF27" s="129">
        <f t="shared" si="18"/>
        <v>6.0331667271459108E-10</v>
      </c>
      <c r="AG27" s="129">
        <f t="shared" si="19"/>
        <v>0.99999999939668327</v>
      </c>
      <c r="AH27" s="129"/>
      <c r="AI27" s="129">
        <f t="shared" si="28"/>
        <v>5.9813194555754316E-10</v>
      </c>
      <c r="AJ27" s="129">
        <f t="shared" si="29"/>
        <v>0.99999999999483002</v>
      </c>
      <c r="AK27" s="129">
        <f t="shared" si="30"/>
        <v>1.0000000005929619</v>
      </c>
      <c r="AL27" s="129"/>
      <c r="AM27" s="129">
        <f t="shared" si="31"/>
        <v>5.9813194520287366E-10</v>
      </c>
      <c r="AN27" s="129">
        <f t="shared" si="32"/>
        <v>0.99999999940186812</v>
      </c>
      <c r="AO27" s="129"/>
      <c r="AP27" s="129"/>
      <c r="AQ27" s="129">
        <f t="shared" si="33"/>
        <v>0</v>
      </c>
      <c r="AR27" s="129">
        <f t="shared" si="34"/>
        <v>-2.123531046568651E-2</v>
      </c>
      <c r="AS27" s="129"/>
      <c r="AT27" s="129">
        <f t="shared" si="4"/>
        <v>1.6113553624578433E-6</v>
      </c>
      <c r="AU27" s="129">
        <f t="shared" si="5"/>
        <v>0.99999838864463753</v>
      </c>
      <c r="AV27" s="129"/>
      <c r="AW27" s="129">
        <f t="shared" si="35"/>
        <v>-3.9487088078652977E-3</v>
      </c>
      <c r="AX27" s="129">
        <f t="shared" si="20"/>
        <v>6.3753622178086664E-9</v>
      </c>
      <c r="AY27" s="129"/>
      <c r="AZ27" s="129"/>
      <c r="BA27" s="129">
        <f t="shared" si="21"/>
        <v>0.9789885712193801</v>
      </c>
      <c r="BB27" s="129">
        <f t="shared" si="22"/>
        <v>1.3503950177467308</v>
      </c>
      <c r="BC27" s="129">
        <f t="shared" si="6"/>
        <v>1.0798473377181057</v>
      </c>
      <c r="BD27" s="129"/>
      <c r="BE27" s="129">
        <f t="shared" si="23"/>
        <v>1.0000000063730003</v>
      </c>
      <c r="BF27" s="129">
        <f t="shared" si="24"/>
        <v>1.0000003596314557</v>
      </c>
      <c r="BG27" s="129">
        <f t="shared" si="7"/>
        <v>1.0000009573352244</v>
      </c>
    </row>
    <row r="28" spans="1:59" x14ac:dyDescent="0.2">
      <c r="A28" s="133" t="s">
        <v>664</v>
      </c>
      <c r="B28" s="144">
        <f t="shared" si="8"/>
        <v>1967</v>
      </c>
      <c r="D28" s="190">
        <f t="shared" si="9"/>
        <v>3.6099999999999996E-7</v>
      </c>
      <c r="E28">
        <f>'Freight-based Energy Use'!I25</f>
        <v>593.60031200000003</v>
      </c>
      <c r="F28">
        <f t="shared" si="10"/>
        <v>593.60031236100008</v>
      </c>
      <c r="H28" s="189">
        <f>'Freight-based Activity'!J25*0.000001</f>
        <v>0.36099999999999999</v>
      </c>
      <c r="I28">
        <f>'Freight-based Activity'!K25</f>
        <v>217599.18200580002</v>
      </c>
      <c r="J28">
        <f t="shared" si="0"/>
        <v>217599.54300580002</v>
      </c>
      <c r="L28" s="4">
        <f t="shared" si="25"/>
        <v>1</v>
      </c>
      <c r="M28" s="4">
        <f t="shared" si="26"/>
        <v>2727.9528651177461</v>
      </c>
      <c r="N28" s="4">
        <f t="shared" si="27"/>
        <v>2727.9483410733906</v>
      </c>
      <c r="P28" s="129">
        <f t="shared" si="1"/>
        <v>1</v>
      </c>
      <c r="Q28" s="129">
        <f t="shared" si="2"/>
        <v>1.1029416141729473</v>
      </c>
      <c r="R28" s="129">
        <f t="shared" si="3"/>
        <v>1.102942617419195</v>
      </c>
      <c r="T28" s="131">
        <f t="shared" si="11"/>
        <v>0.99117695814215012</v>
      </c>
      <c r="U28" s="131">
        <f t="shared" si="12"/>
        <v>1.102942617419195</v>
      </c>
      <c r="V28" s="131">
        <f t="shared" si="13"/>
        <v>1.0000009096972819</v>
      </c>
      <c r="W28" s="131">
        <f t="shared" si="14"/>
        <v>1.1029416140762078</v>
      </c>
      <c r="X28" s="131">
        <f t="shared" si="15"/>
        <v>1.0932113085389001</v>
      </c>
      <c r="Y28" s="131">
        <f t="shared" si="16"/>
        <v>1.093211308538899</v>
      </c>
      <c r="Z28" s="131"/>
      <c r="AA28" s="131">
        <f t="shared" si="17"/>
        <v>1.1029426174191963</v>
      </c>
      <c r="AD28" s="134"/>
      <c r="AF28" s="129">
        <f t="shared" si="18"/>
        <v>6.0815331879484688E-10</v>
      </c>
      <c r="AG28" s="129">
        <f t="shared" si="19"/>
        <v>0.99999999939184658</v>
      </c>
      <c r="AH28" s="129"/>
      <c r="AI28" s="129">
        <f t="shared" si="28"/>
        <v>6.057317774545201E-10</v>
      </c>
      <c r="AJ28" s="129">
        <f t="shared" si="29"/>
        <v>0.9999999999975816</v>
      </c>
      <c r="AK28" s="129">
        <f t="shared" si="30"/>
        <v>1.0000000006033134</v>
      </c>
      <c r="AL28" s="129"/>
      <c r="AM28" s="129">
        <f t="shared" si="31"/>
        <v>6.0573177708907398E-10</v>
      </c>
      <c r="AN28" s="129">
        <f t="shared" si="32"/>
        <v>0.9999999993942682</v>
      </c>
      <c r="AO28" s="129"/>
      <c r="AP28" s="129"/>
      <c r="AQ28" s="129">
        <f t="shared" si="33"/>
        <v>0</v>
      </c>
      <c r="AR28" s="129">
        <f t="shared" si="34"/>
        <v>2.1161127955373182E-2</v>
      </c>
      <c r="AS28" s="129"/>
      <c r="AT28" s="129">
        <f t="shared" si="4"/>
        <v>1.6590108371246796E-6</v>
      </c>
      <c r="AU28" s="129">
        <f t="shared" si="5"/>
        <v>0.99999834098916285</v>
      </c>
      <c r="AV28" s="129"/>
      <c r="AW28" s="129">
        <f t="shared" si="35"/>
        <v>2.9145878626747897E-2</v>
      </c>
      <c r="AX28" s="129">
        <f t="shared" si="20"/>
        <v>-4.7655552640513956E-8</v>
      </c>
      <c r="AY28" s="129"/>
      <c r="AZ28" s="129"/>
      <c r="BA28" s="129">
        <f t="shared" si="21"/>
        <v>1.0213866123029056</v>
      </c>
      <c r="BB28" s="129">
        <f t="shared" si="22"/>
        <v>1.3792753924470555</v>
      </c>
      <c r="BC28" s="129">
        <f t="shared" si="6"/>
        <v>1.1029416140762078</v>
      </c>
      <c r="BD28" s="129"/>
      <c r="BE28" s="129">
        <f t="shared" si="23"/>
        <v>0.99999995236210315</v>
      </c>
      <c r="BF28" s="129">
        <f t="shared" si="24"/>
        <v>1.0000003119935417</v>
      </c>
      <c r="BG28" s="129">
        <f t="shared" si="7"/>
        <v>1.0000009096972819</v>
      </c>
    </row>
    <row r="29" spans="1:59" x14ac:dyDescent="0.2">
      <c r="A29" s="133" t="s">
        <v>664</v>
      </c>
      <c r="B29" s="144">
        <f t="shared" si="8"/>
        <v>1968</v>
      </c>
      <c r="D29" s="190">
        <f t="shared" si="9"/>
        <v>3.9099999999999994E-7</v>
      </c>
      <c r="E29">
        <f>'Freight-based Energy Use'!I26</f>
        <v>609.28491499999996</v>
      </c>
      <c r="F29">
        <f t="shared" si="10"/>
        <v>609.28491539099991</v>
      </c>
      <c r="H29" s="189">
        <f>'Freight-based Activity'!J26*0.000001</f>
        <v>0.39099999999999996</v>
      </c>
      <c r="I29">
        <f>'Freight-based Activity'!K26</f>
        <v>233321.38751340003</v>
      </c>
      <c r="J29">
        <f t="shared" si="0"/>
        <v>233321.77851340003</v>
      </c>
      <c r="L29" s="4">
        <f t="shared" si="25"/>
        <v>1</v>
      </c>
      <c r="M29" s="4">
        <f t="shared" si="26"/>
        <v>2611.3547561729965</v>
      </c>
      <c r="N29" s="4">
        <f t="shared" si="27"/>
        <v>2611.3503817476162</v>
      </c>
      <c r="P29" s="129">
        <f t="shared" si="1"/>
        <v>1</v>
      </c>
      <c r="Q29" s="129">
        <f t="shared" si="2"/>
        <v>1.0557997048923833</v>
      </c>
      <c r="R29" s="129">
        <f t="shared" si="3"/>
        <v>1.0558006475701969</v>
      </c>
      <c r="T29" s="131">
        <f t="shared" si="11"/>
        <v>1.0627925385351755</v>
      </c>
      <c r="U29" s="131">
        <f t="shared" si="12"/>
        <v>1.0558006475701969</v>
      </c>
      <c r="V29" s="131">
        <f t="shared" si="13"/>
        <v>1.0000008929170938</v>
      </c>
      <c r="W29" s="131">
        <f t="shared" si="14"/>
        <v>1.0557997048285939</v>
      </c>
      <c r="X29" s="131">
        <f t="shared" si="15"/>
        <v>1.1220970504182128</v>
      </c>
      <c r="Y29" s="131">
        <f t="shared" si="16"/>
        <v>1.1220970504182117</v>
      </c>
      <c r="Z29" s="131"/>
      <c r="AA29" s="131">
        <f t="shared" si="17"/>
        <v>1.055800647570198</v>
      </c>
      <c r="AD29" s="134"/>
      <c r="AF29" s="129">
        <f t="shared" si="18"/>
        <v>6.4173589419833451E-10</v>
      </c>
      <c r="AG29" s="129">
        <f t="shared" si="19"/>
        <v>0.99999999935826422</v>
      </c>
      <c r="AH29" s="129"/>
      <c r="AI29" s="129">
        <f t="shared" si="28"/>
        <v>6.2479419229026575E-10</v>
      </c>
      <c r="AJ29" s="129">
        <f t="shared" si="29"/>
        <v>0.99999999998320888</v>
      </c>
      <c r="AK29" s="129">
        <f t="shared" si="30"/>
        <v>1.000000000608003</v>
      </c>
      <c r="AL29" s="129"/>
      <c r="AM29" s="129">
        <f t="shared" si="31"/>
        <v>6.2479419191038905E-10</v>
      </c>
      <c r="AN29" s="129">
        <f t="shared" si="32"/>
        <v>0.99999999937520589</v>
      </c>
      <c r="AO29" s="129"/>
      <c r="AP29" s="129"/>
      <c r="AQ29" s="129">
        <f t="shared" si="33"/>
        <v>0</v>
      </c>
      <c r="AR29" s="129">
        <f t="shared" si="34"/>
        <v>-4.3682311313832184E-2</v>
      </c>
      <c r="AS29" s="129"/>
      <c r="AT29" s="129">
        <f t="shared" si="4"/>
        <v>1.6757972722959687E-6</v>
      </c>
      <c r="AU29" s="129">
        <f t="shared" si="5"/>
        <v>0.99999832420272772</v>
      </c>
      <c r="AV29" s="129"/>
      <c r="AW29" s="129">
        <f t="shared" si="35"/>
        <v>1.0067491982648202E-2</v>
      </c>
      <c r="AX29" s="129">
        <f t="shared" si="20"/>
        <v>-1.6786463138301717E-8</v>
      </c>
      <c r="AY29" s="129"/>
      <c r="AZ29" s="129"/>
      <c r="BA29" s="129">
        <f t="shared" si="21"/>
        <v>0.95725801924057552</v>
      </c>
      <c r="BB29" s="129">
        <f t="shared" si="22"/>
        <v>1.3203224301611358</v>
      </c>
      <c r="BC29" s="129">
        <f t="shared" si="6"/>
        <v>1.0557997048285939</v>
      </c>
      <c r="BD29" s="129"/>
      <c r="BE29" s="129">
        <f t="shared" si="23"/>
        <v>0.99999998321982708</v>
      </c>
      <c r="BF29" s="129">
        <f t="shared" si="24"/>
        <v>1.0000002952133635</v>
      </c>
      <c r="BG29" s="129">
        <f t="shared" si="7"/>
        <v>1.0000008929170938</v>
      </c>
    </row>
    <row r="30" spans="1:59" x14ac:dyDescent="0.2">
      <c r="A30" s="133" t="s">
        <v>664</v>
      </c>
      <c r="B30" s="144">
        <f t="shared" si="8"/>
        <v>1969</v>
      </c>
      <c r="D30" s="190">
        <f t="shared" si="9"/>
        <v>4.1099999999999996E-7</v>
      </c>
      <c r="E30">
        <f>'Freight-based Energy Use'!I27</f>
        <v>650.52182200000004</v>
      </c>
      <c r="F30">
        <f t="shared" si="10"/>
        <v>650.52182241100002</v>
      </c>
      <c r="H30" s="189">
        <f>'Freight-based Activity'!J27*0.000001</f>
        <v>0.41099999999999998</v>
      </c>
      <c r="I30">
        <f>'Freight-based Activity'!K27</f>
        <v>251033.85458700001</v>
      </c>
      <c r="J30">
        <f t="shared" si="0"/>
        <v>251034.265587</v>
      </c>
      <c r="L30" s="4">
        <f t="shared" si="25"/>
        <v>1</v>
      </c>
      <c r="M30" s="4">
        <f t="shared" si="26"/>
        <v>2591.3708852944806</v>
      </c>
      <c r="N30" s="4">
        <f t="shared" si="27"/>
        <v>2591.3666442701274</v>
      </c>
      <c r="P30" s="129">
        <f t="shared" si="1"/>
        <v>1</v>
      </c>
      <c r="Q30" s="129">
        <f t="shared" si="2"/>
        <v>1.0477200041446131</v>
      </c>
      <c r="R30" s="129">
        <f t="shared" si="3"/>
        <v>1.0477209800092755</v>
      </c>
      <c r="T30" s="131">
        <f t="shared" si="11"/>
        <v>1.1434738157852615</v>
      </c>
      <c r="U30" s="131">
        <f t="shared" si="12"/>
        <v>1.0477209800092755</v>
      </c>
      <c r="V30" s="131">
        <f t="shared" si="13"/>
        <v>1.0000009314729468</v>
      </c>
      <c r="W30" s="131">
        <f t="shared" si="14"/>
        <v>1.047720004086437</v>
      </c>
      <c r="X30" s="131">
        <f t="shared" si="15"/>
        <v>1.1980415068894812</v>
      </c>
      <c r="Y30" s="131">
        <f t="shared" si="16"/>
        <v>1.1980415068894801</v>
      </c>
      <c r="Z30" s="131"/>
      <c r="AA30" s="131">
        <f t="shared" si="17"/>
        <v>1.0477209800092766</v>
      </c>
      <c r="AD30" s="134"/>
      <c r="AF30" s="129">
        <f t="shared" si="18"/>
        <v>6.318004805384222E-10</v>
      </c>
      <c r="AG30" s="129">
        <f t="shared" si="19"/>
        <v>0.99999999936819961</v>
      </c>
      <c r="AH30" s="129"/>
      <c r="AI30" s="129">
        <f t="shared" si="28"/>
        <v>6.3675526874159256E-10</v>
      </c>
      <c r="AJ30" s="129">
        <f t="shared" si="29"/>
        <v>1.0000000000049678</v>
      </c>
      <c r="AK30" s="129">
        <f t="shared" si="30"/>
        <v>1.0000000006417231</v>
      </c>
      <c r="AL30" s="129"/>
      <c r="AM30" s="129">
        <f t="shared" si="31"/>
        <v>6.3675526833297195E-10</v>
      </c>
      <c r="AN30" s="129">
        <f t="shared" si="32"/>
        <v>0.99999999936324468</v>
      </c>
      <c r="AO30" s="129"/>
      <c r="AP30" s="129"/>
      <c r="AQ30" s="129">
        <f t="shared" si="33"/>
        <v>0</v>
      </c>
      <c r="AR30" s="129">
        <f t="shared" si="34"/>
        <v>-7.6821153120117348E-3</v>
      </c>
      <c r="AS30" s="129"/>
      <c r="AT30" s="129">
        <f t="shared" si="4"/>
        <v>1.6372266911011049E-6</v>
      </c>
      <c r="AU30" s="129">
        <f t="shared" si="5"/>
        <v>0.99999836277330889</v>
      </c>
      <c r="AV30" s="129"/>
      <c r="AW30" s="129">
        <f t="shared" si="35"/>
        <v>-2.3285267094033932E-2</v>
      </c>
      <c r="AX30" s="129">
        <f t="shared" si="20"/>
        <v>3.8570645044535422E-8</v>
      </c>
      <c r="AY30" s="129"/>
      <c r="AZ30" s="129"/>
      <c r="BA30" s="129">
        <f t="shared" si="21"/>
        <v>0.99234731672569598</v>
      </c>
      <c r="BB30" s="129">
        <f t="shared" si="22"/>
        <v>1.3102184207831533</v>
      </c>
      <c r="BC30" s="129">
        <f t="shared" si="6"/>
        <v>1.047720004086437</v>
      </c>
      <c r="BD30" s="129"/>
      <c r="BE30" s="129">
        <f t="shared" si="23"/>
        <v>1.0000000385558188</v>
      </c>
      <c r="BF30" s="129">
        <f t="shared" si="24"/>
        <v>1.0000003337691936</v>
      </c>
      <c r="BG30" s="129">
        <f t="shared" si="7"/>
        <v>1.0000009314729468</v>
      </c>
    </row>
    <row r="31" spans="1:59" x14ac:dyDescent="0.2">
      <c r="A31" s="133" t="s">
        <v>664</v>
      </c>
      <c r="B31" s="144">
        <f t="shared" si="8"/>
        <v>1970</v>
      </c>
      <c r="D31" s="190">
        <f t="shared" si="9"/>
        <v>4.3099999999999998E-7</v>
      </c>
      <c r="E31" s="138">
        <f>'Freight-based Energy Use'!I28</f>
        <v>778.39168791706322</v>
      </c>
      <c r="F31" s="138">
        <f t="shared" si="10"/>
        <v>778.39168834806321</v>
      </c>
      <c r="H31" s="189">
        <f>'Freight-based Activity'!J28*0.000001</f>
        <v>0.43099999999999999</v>
      </c>
      <c r="I31">
        <f>'Freight-based Activity'!K28</f>
        <v>264069.44302380004</v>
      </c>
      <c r="J31">
        <f t="shared" si="0"/>
        <v>264069.87402380002</v>
      </c>
      <c r="L31" s="4">
        <f t="shared" si="25"/>
        <v>1</v>
      </c>
      <c r="M31" s="4">
        <f t="shared" si="26"/>
        <v>2947.6780009223116</v>
      </c>
      <c r="N31" s="4">
        <f t="shared" si="27"/>
        <v>2947.6731915201676</v>
      </c>
      <c r="P31" s="129">
        <f t="shared" si="1"/>
        <v>1</v>
      </c>
      <c r="Q31" s="129">
        <f t="shared" si="2"/>
        <v>1.1917789247648947</v>
      </c>
      <c r="R31" s="129">
        <f t="shared" si="3"/>
        <v>1.1917800407732062</v>
      </c>
      <c r="T31" s="131">
        <f t="shared" si="11"/>
        <v>1.2028516735667698</v>
      </c>
      <c r="U31" s="131">
        <f t="shared" si="12"/>
        <v>1.1917800407732062</v>
      </c>
      <c r="V31" s="131">
        <f t="shared" si="13"/>
        <v>1.0000009365540397</v>
      </c>
      <c r="W31" s="131">
        <f t="shared" si="14"/>
        <v>1.1917789246078412</v>
      </c>
      <c r="X31" s="131">
        <f t="shared" si="15"/>
        <v>1.4335346165675256</v>
      </c>
      <c r="Y31" s="131">
        <f t="shared" si="16"/>
        <v>1.4335346165675245</v>
      </c>
      <c r="Z31" s="131"/>
      <c r="AA31" s="131">
        <f t="shared" si="17"/>
        <v>1.1917800407732073</v>
      </c>
      <c r="AD31" s="134"/>
      <c r="AF31" s="129">
        <f t="shared" si="18"/>
        <v>5.5370580962225711E-10</v>
      </c>
      <c r="AG31" s="129">
        <f t="shared" si="19"/>
        <v>0.99999999944629425</v>
      </c>
      <c r="AH31" s="129"/>
      <c r="AI31" s="129">
        <f t="shared" si="28"/>
        <v>5.9189474233239738E-10</v>
      </c>
      <c r="AJ31" s="129">
        <f t="shared" si="29"/>
        <v>1.0000000000390474</v>
      </c>
      <c r="AK31" s="129">
        <f t="shared" si="30"/>
        <v>1.0000000006309422</v>
      </c>
      <c r="AL31" s="129"/>
      <c r="AM31" s="129">
        <f t="shared" si="31"/>
        <v>5.9189474195894601E-10</v>
      </c>
      <c r="AN31" s="129">
        <f t="shared" si="32"/>
        <v>0.99999999940810524</v>
      </c>
      <c r="AO31" s="129"/>
      <c r="AP31" s="129"/>
      <c r="AQ31" s="129">
        <f t="shared" si="33"/>
        <v>0</v>
      </c>
      <c r="AR31" s="129">
        <f t="shared" si="34"/>
        <v>0.12883070705656666</v>
      </c>
      <c r="AS31" s="129"/>
      <c r="AT31" s="129">
        <f t="shared" si="4"/>
        <v>1.632143771012497E-6</v>
      </c>
      <c r="AU31" s="129">
        <f t="shared" si="5"/>
        <v>0.99999836785622909</v>
      </c>
      <c r="AV31" s="129"/>
      <c r="AW31" s="129">
        <f t="shared" si="35"/>
        <v>-3.1094207541541648E-3</v>
      </c>
      <c r="AX31" s="129">
        <f t="shared" si="20"/>
        <v>5.0829285096081498E-9</v>
      </c>
      <c r="AY31" s="129"/>
      <c r="AZ31" s="129"/>
      <c r="BA31" s="129">
        <f t="shared" si="21"/>
        <v>1.1374975374713943</v>
      </c>
      <c r="BB31" s="129">
        <f t="shared" si="22"/>
        <v>1.4903702271904959</v>
      </c>
      <c r="BC31" s="129">
        <f t="shared" si="6"/>
        <v>1.1917789246078412</v>
      </c>
      <c r="BD31" s="129"/>
      <c r="BE31" s="129">
        <f t="shared" si="23"/>
        <v>1.000000005081088</v>
      </c>
      <c r="BF31" s="129">
        <f t="shared" si="24"/>
        <v>1.0000003388502834</v>
      </c>
      <c r="BG31" s="129">
        <f t="shared" si="7"/>
        <v>1.0000009365540397</v>
      </c>
    </row>
    <row r="32" spans="1:59" x14ac:dyDescent="0.2">
      <c r="A32" s="133" t="s">
        <v>664</v>
      </c>
      <c r="B32" s="144">
        <f t="shared" si="8"/>
        <v>1971</v>
      </c>
      <c r="D32" s="190">
        <f t="shared" si="9"/>
        <v>4.4400000000000001E-7</v>
      </c>
      <c r="E32" s="138">
        <f>'Freight-based Energy Use'!I29</f>
        <v>800.40799527215052</v>
      </c>
      <c r="F32" s="138">
        <f t="shared" si="10"/>
        <v>800.40799571615048</v>
      </c>
      <c r="H32" s="189">
        <f>'Freight-based Activity'!J29*0.000001</f>
        <v>0.44400000000000001</v>
      </c>
      <c r="I32">
        <f>'Freight-based Activity'!K29</f>
        <v>272660.72489880002</v>
      </c>
      <c r="J32">
        <f t="shared" si="0"/>
        <v>272661.16889880004</v>
      </c>
      <c r="L32" s="4">
        <f t="shared" si="25"/>
        <v>1</v>
      </c>
      <c r="M32" s="4">
        <f t="shared" si="26"/>
        <v>2935.5456146800302</v>
      </c>
      <c r="N32" s="4">
        <f t="shared" si="27"/>
        <v>2935.5408360815291</v>
      </c>
      <c r="P32" s="129">
        <f t="shared" si="1"/>
        <v>1</v>
      </c>
      <c r="Q32" s="129">
        <f t="shared" si="2"/>
        <v>1.1868736663797743</v>
      </c>
      <c r="R32" s="129">
        <f t="shared" si="3"/>
        <v>1.1868747822455881</v>
      </c>
      <c r="T32" s="131">
        <f t="shared" si="11"/>
        <v>1.2419854575953411</v>
      </c>
      <c r="U32" s="131">
        <f t="shared" si="12"/>
        <v>1.1868747822455881</v>
      </c>
      <c r="V32" s="131">
        <f t="shared" si="13"/>
        <v>1.0000009403018542</v>
      </c>
      <c r="W32" s="131">
        <f t="shared" si="14"/>
        <v>1.1868736662260801</v>
      </c>
      <c r="X32" s="131">
        <f t="shared" si="15"/>
        <v>1.4740812195356587</v>
      </c>
      <c r="Y32" s="131">
        <f t="shared" si="16"/>
        <v>1.4740812195356576</v>
      </c>
      <c r="Z32" s="131"/>
      <c r="AA32" s="131">
        <f t="shared" si="17"/>
        <v>1.1868747822455892</v>
      </c>
      <c r="AD32" s="134"/>
      <c r="AF32" s="129">
        <f t="shared" si="18"/>
        <v>5.5471709725080778E-10</v>
      </c>
      <c r="AG32" s="129">
        <f t="shared" si="19"/>
        <v>0.99999999944528295</v>
      </c>
      <c r="AH32" s="129"/>
      <c r="AI32" s="129">
        <f t="shared" si="28"/>
        <v>5.5421129965904948E-10</v>
      </c>
      <c r="AJ32" s="129">
        <f t="shared" si="29"/>
        <v>0.9999999999994944</v>
      </c>
      <c r="AK32" s="129">
        <f t="shared" si="30"/>
        <v>1.0000000005537057</v>
      </c>
      <c r="AL32" s="129"/>
      <c r="AM32" s="129">
        <f t="shared" si="31"/>
        <v>5.5421129935217954E-10</v>
      </c>
      <c r="AN32" s="129">
        <f t="shared" si="32"/>
        <v>0.99999999944578866</v>
      </c>
      <c r="AO32" s="129"/>
      <c r="AP32" s="129"/>
      <c r="AQ32" s="129">
        <f t="shared" si="33"/>
        <v>0</v>
      </c>
      <c r="AR32" s="129">
        <f t="shared" si="34"/>
        <v>-4.1244066972051805E-3</v>
      </c>
      <c r="AS32" s="129"/>
      <c r="AT32" s="129">
        <f t="shared" si="4"/>
        <v>1.6283946914523553E-6</v>
      </c>
      <c r="AU32" s="129">
        <f t="shared" si="5"/>
        <v>0.99999837160530847</v>
      </c>
      <c r="AV32" s="129"/>
      <c r="AW32" s="129">
        <f t="shared" si="35"/>
        <v>-2.299669981229005E-3</v>
      </c>
      <c r="AX32" s="129">
        <f t="shared" si="20"/>
        <v>3.7490854794762793E-9</v>
      </c>
      <c r="AY32" s="129"/>
      <c r="AZ32" s="129"/>
      <c r="BA32" s="129">
        <f t="shared" si="21"/>
        <v>0.99588408698922493</v>
      </c>
      <c r="BB32" s="129">
        <f t="shared" si="22"/>
        <v>1.4842359929815307</v>
      </c>
      <c r="BC32" s="129">
        <f t="shared" si="6"/>
        <v>1.1868736662260801</v>
      </c>
      <c r="BD32" s="129"/>
      <c r="BE32" s="129">
        <f t="shared" si="23"/>
        <v>1.000000003747811</v>
      </c>
      <c r="BF32" s="129">
        <f t="shared" si="24"/>
        <v>1.0000003425980957</v>
      </c>
      <c r="BG32" s="129">
        <f t="shared" si="7"/>
        <v>1.0000009403018542</v>
      </c>
    </row>
    <row r="33" spans="1:59" x14ac:dyDescent="0.2">
      <c r="A33" s="133" t="s">
        <v>664</v>
      </c>
      <c r="B33" s="144">
        <f t="shared" si="8"/>
        <v>1972</v>
      </c>
      <c r="D33" s="190">
        <f t="shared" si="9"/>
        <v>4.7599999999999997E-7</v>
      </c>
      <c r="E33" s="138">
        <f>'Freight-based Energy Use'!I30</f>
        <v>825.80661793519153</v>
      </c>
      <c r="F33" s="138">
        <f t="shared" si="10"/>
        <v>825.80661841119149</v>
      </c>
      <c r="H33" s="189">
        <f>'Freight-based Activity'!J30*0.000001</f>
        <v>0.47599999999999998</v>
      </c>
      <c r="I33">
        <f>'Freight-based Activity'!K30</f>
        <v>276028.09084680001</v>
      </c>
      <c r="J33">
        <f t="shared" si="0"/>
        <v>276028.56684680004</v>
      </c>
      <c r="L33" s="4">
        <f t="shared" si="25"/>
        <v>1</v>
      </c>
      <c r="M33" s="4">
        <f t="shared" si="26"/>
        <v>2991.7484680699667</v>
      </c>
      <c r="N33" s="4">
        <f t="shared" si="27"/>
        <v>2991.7433106462722</v>
      </c>
      <c r="P33" s="129">
        <f t="shared" si="1"/>
        <v>1</v>
      </c>
      <c r="Q33" s="129">
        <f t="shared" si="2"/>
        <v>1.2095971036618722</v>
      </c>
      <c r="R33" s="129">
        <f t="shared" si="3"/>
        <v>1.2095981247182255</v>
      </c>
      <c r="T33" s="131">
        <f t="shared" si="11"/>
        <v>1.2573241260909076</v>
      </c>
      <c r="U33" s="131">
        <f t="shared" si="12"/>
        <v>1.2095981247182255</v>
      </c>
      <c r="V33" s="131">
        <f t="shared" si="13"/>
        <v>1.0000008442695181</v>
      </c>
      <c r="W33" s="131">
        <f t="shared" si="14"/>
        <v>1.2095971034922635</v>
      </c>
      <c r="X33" s="131">
        <f t="shared" si="15"/>
        <v>1.5208569050825456</v>
      </c>
      <c r="Y33" s="131">
        <f t="shared" si="16"/>
        <v>1.5208569050825438</v>
      </c>
      <c r="Z33" s="131"/>
      <c r="AA33" s="131">
        <f t="shared" si="17"/>
        <v>1.209598124718227</v>
      </c>
      <c r="AD33" s="134"/>
      <c r="AF33" s="129">
        <f t="shared" si="18"/>
        <v>5.7640613357616215E-10</v>
      </c>
      <c r="AG33" s="129">
        <f t="shared" si="19"/>
        <v>0.99999999942359385</v>
      </c>
      <c r="AH33" s="129"/>
      <c r="AI33" s="129">
        <f t="shared" si="28"/>
        <v>5.6549229487513746E-10</v>
      </c>
      <c r="AJ33" s="129">
        <f t="shared" si="29"/>
        <v>0.99999999998915556</v>
      </c>
      <c r="AK33" s="129">
        <f t="shared" si="30"/>
        <v>1.0000000005546479</v>
      </c>
      <c r="AL33" s="129"/>
      <c r="AM33" s="129">
        <f t="shared" si="31"/>
        <v>5.6549229456148836E-10</v>
      </c>
      <c r="AN33" s="129">
        <f t="shared" si="32"/>
        <v>0.99999999943450768</v>
      </c>
      <c r="AO33" s="129"/>
      <c r="AP33" s="129"/>
      <c r="AQ33" s="129">
        <f t="shared" si="33"/>
        <v>0</v>
      </c>
      <c r="AR33" s="129">
        <f t="shared" si="34"/>
        <v>1.8964653037052422E-2</v>
      </c>
      <c r="AS33" s="129"/>
      <c r="AT33" s="129">
        <f t="shared" si="4"/>
        <v>1.7244591943419649E-6</v>
      </c>
      <c r="AU33" s="129">
        <f t="shared" si="5"/>
        <v>0.99999827554080556</v>
      </c>
      <c r="AV33" s="129"/>
      <c r="AW33" s="129">
        <f t="shared" si="35"/>
        <v>5.7318813138528199E-2</v>
      </c>
      <c r="AX33" s="129">
        <f t="shared" si="20"/>
        <v>-9.6064663952633685E-8</v>
      </c>
      <c r="AY33" s="129"/>
      <c r="AZ33" s="129"/>
      <c r="BA33" s="129">
        <f t="shared" si="21"/>
        <v>1.019145624267187</v>
      </c>
      <c r="BB33" s="129">
        <f t="shared" si="22"/>
        <v>1.5126526176269903</v>
      </c>
      <c r="BC33" s="129">
        <f t="shared" si="6"/>
        <v>1.2095971034922635</v>
      </c>
      <c r="BD33" s="129"/>
      <c r="BE33" s="129">
        <f t="shared" si="23"/>
        <v>0.99999990396775407</v>
      </c>
      <c r="BF33" s="129">
        <f t="shared" si="24"/>
        <v>1.0000002465658169</v>
      </c>
      <c r="BG33" s="129">
        <f t="shared" si="7"/>
        <v>1.0000008442695181</v>
      </c>
    </row>
    <row r="34" spans="1:59" x14ac:dyDescent="0.2">
      <c r="A34" s="133" t="s">
        <v>664</v>
      </c>
      <c r="B34" s="144">
        <f t="shared" si="8"/>
        <v>1973</v>
      </c>
      <c r="D34" s="190">
        <f t="shared" si="9"/>
        <v>5.0699999999999997E-7</v>
      </c>
      <c r="E34" s="138">
        <f>'Freight-based Energy Use'!I31</f>
        <v>784.87068642442784</v>
      </c>
      <c r="F34" s="138">
        <f t="shared" si="10"/>
        <v>784.87068693142783</v>
      </c>
      <c r="H34" s="189">
        <f>'Freight-based Activity'!J31*0.000001</f>
        <v>0.50700000000000001</v>
      </c>
      <c r="I34">
        <f>'Freight-based Activity'!K31</f>
        <v>275271.90530790004</v>
      </c>
      <c r="J34">
        <f t="shared" si="0"/>
        <v>275272.41230790003</v>
      </c>
      <c r="L34" s="4">
        <f t="shared" si="25"/>
        <v>1</v>
      </c>
      <c r="M34" s="4">
        <f t="shared" si="26"/>
        <v>2851.2560537063378</v>
      </c>
      <c r="N34" s="4">
        <f t="shared" si="27"/>
        <v>2851.2508040708694</v>
      </c>
      <c r="P34" s="129">
        <f t="shared" si="1"/>
        <v>1</v>
      </c>
      <c r="Q34" s="129">
        <f t="shared" si="2"/>
        <v>1.1527944615566219</v>
      </c>
      <c r="R34" s="129">
        <f t="shared" si="3"/>
        <v>1.1527952994605131</v>
      </c>
      <c r="T34" s="131">
        <f t="shared" si="11"/>
        <v>1.2538798038032808</v>
      </c>
      <c r="U34" s="131">
        <f t="shared" si="12"/>
        <v>1.1527952994605131</v>
      </c>
      <c r="V34" s="131">
        <f t="shared" si="13"/>
        <v>1.000000726956723</v>
      </c>
      <c r="W34" s="131">
        <f t="shared" si="14"/>
        <v>1.1527944614288301</v>
      </c>
      <c r="X34" s="131">
        <f t="shared" si="15"/>
        <v>1.4454667439128939</v>
      </c>
      <c r="Y34" s="131">
        <f t="shared" si="16"/>
        <v>1.4454667439128925</v>
      </c>
      <c r="Z34" s="131"/>
      <c r="AA34" s="131">
        <f t="shared" si="17"/>
        <v>1.1527952994605142</v>
      </c>
      <c r="AD34" s="134"/>
      <c r="AF34" s="129">
        <f t="shared" si="18"/>
        <v>6.4596628265248912E-10</v>
      </c>
      <c r="AG34" s="129">
        <f t="shared" si="19"/>
        <v>0.99999999935403372</v>
      </c>
      <c r="AH34" s="129"/>
      <c r="AI34" s="129">
        <f t="shared" si="28"/>
        <v>6.1052590746773683E-10</v>
      </c>
      <c r="AJ34" s="129">
        <f t="shared" si="29"/>
        <v>0.99999999996521993</v>
      </c>
      <c r="AK34" s="129">
        <f t="shared" si="30"/>
        <v>1.0000000005757459</v>
      </c>
      <c r="AL34" s="129"/>
      <c r="AM34" s="129">
        <f t="shared" si="31"/>
        <v>6.1052590711622902E-10</v>
      </c>
      <c r="AN34" s="129">
        <f t="shared" si="32"/>
        <v>0.99999999938947404</v>
      </c>
      <c r="AO34" s="129"/>
      <c r="AP34" s="129"/>
      <c r="AQ34" s="129">
        <f t="shared" si="33"/>
        <v>0</v>
      </c>
      <c r="AR34" s="129">
        <f t="shared" si="34"/>
        <v>-4.8098370629395495E-2</v>
      </c>
      <c r="AS34" s="129"/>
      <c r="AT34" s="129">
        <f t="shared" si="4"/>
        <v>1.8418118828155801E-6</v>
      </c>
      <c r="AU34" s="129">
        <f t="shared" si="5"/>
        <v>0.99999815818811721</v>
      </c>
      <c r="AV34" s="129"/>
      <c r="AW34" s="129">
        <f t="shared" si="35"/>
        <v>6.5836315222550651E-2</v>
      </c>
      <c r="AX34" s="129">
        <f t="shared" si="20"/>
        <v>-1.1735289762418246E-7</v>
      </c>
      <c r="AY34" s="129"/>
      <c r="AZ34" s="129"/>
      <c r="BA34" s="129">
        <f t="shared" si="21"/>
        <v>0.95304003134644022</v>
      </c>
      <c r="BB34" s="129">
        <f t="shared" si="22"/>
        <v>1.4416184981195017</v>
      </c>
      <c r="BC34" s="129">
        <f t="shared" si="6"/>
        <v>1.1527944614288301</v>
      </c>
      <c r="BD34" s="129"/>
      <c r="BE34" s="129">
        <f t="shared" si="23"/>
        <v>0.99999988268730411</v>
      </c>
      <c r="BF34" s="129">
        <f t="shared" si="24"/>
        <v>1.000000129253092</v>
      </c>
      <c r="BG34" s="129">
        <f t="shared" si="7"/>
        <v>1.000000726956723</v>
      </c>
    </row>
    <row r="35" spans="1:59" x14ac:dyDescent="0.2">
      <c r="A35" s="133" t="s">
        <v>664</v>
      </c>
      <c r="B35" s="144">
        <f t="shared" si="8"/>
        <v>1974</v>
      </c>
      <c r="D35" s="190">
        <f t="shared" si="9"/>
        <v>5.06E-7</v>
      </c>
      <c r="E35" s="138">
        <f>'Freight-based Energy Use'!I32</f>
        <v>720.86214768547472</v>
      </c>
      <c r="F35" s="138">
        <f t="shared" si="10"/>
        <v>720.86214819147472</v>
      </c>
      <c r="H35" s="189">
        <f>'Freight-based Activity'!J32*0.000001</f>
        <v>0.50600000000000001</v>
      </c>
      <c r="I35">
        <f>'Freight-based Activity'!K32</f>
        <v>264881.61247950001</v>
      </c>
      <c r="J35">
        <f t="shared" si="0"/>
        <v>264882.1184795</v>
      </c>
      <c r="L35" s="4">
        <f t="shared" si="25"/>
        <v>1</v>
      </c>
      <c r="M35" s="4">
        <f t="shared" si="26"/>
        <v>2721.4503148694944</v>
      </c>
      <c r="N35" s="4">
        <f t="shared" si="27"/>
        <v>2721.4451180375331</v>
      </c>
      <c r="P35" s="129">
        <f t="shared" si="1"/>
        <v>1</v>
      </c>
      <c r="Q35" s="129">
        <f t="shared" si="2"/>
        <v>1.1003125609518472</v>
      </c>
      <c r="R35" s="129">
        <f t="shared" si="3"/>
        <v>1.1003132854304496</v>
      </c>
      <c r="T35" s="131">
        <f t="shared" si="11"/>
        <v>1.2065514882711008</v>
      </c>
      <c r="U35" s="131">
        <f t="shared" si="12"/>
        <v>1.1003132854304496</v>
      </c>
      <c r="V35" s="131">
        <f t="shared" si="13"/>
        <v>1.0000006585092913</v>
      </c>
      <c r="W35" s="131">
        <f t="shared" si="14"/>
        <v>1.100312560864406</v>
      </c>
      <c r="X35" s="131">
        <f t="shared" si="15"/>
        <v>1.3275846321005749</v>
      </c>
      <c r="Y35" s="131">
        <f t="shared" si="16"/>
        <v>1.3275846321005735</v>
      </c>
      <c r="Z35" s="131"/>
      <c r="AA35" s="131">
        <f t="shared" si="17"/>
        <v>1.1003132854304507</v>
      </c>
      <c r="AD35" s="134"/>
      <c r="AF35" s="129">
        <f t="shared" si="18"/>
        <v>7.0193725841961783E-10</v>
      </c>
      <c r="AG35" s="129">
        <f t="shared" si="19"/>
        <v>0.99999999929806271</v>
      </c>
      <c r="AH35" s="129"/>
      <c r="AI35" s="129">
        <f t="shared" si="28"/>
        <v>6.7356423144293709E-10</v>
      </c>
      <c r="AJ35" s="129">
        <f t="shared" si="29"/>
        <v>0.9999999999720145</v>
      </c>
      <c r="AK35" s="129">
        <f t="shared" si="30"/>
        <v>1.0000000006455787</v>
      </c>
      <c r="AL35" s="129"/>
      <c r="AM35" s="129">
        <f t="shared" si="31"/>
        <v>6.7356423100809837E-10</v>
      </c>
      <c r="AN35" s="129">
        <f t="shared" si="32"/>
        <v>0.9999999993264358</v>
      </c>
      <c r="AO35" s="129"/>
      <c r="AP35" s="129"/>
      <c r="AQ35" s="129">
        <f t="shared" si="33"/>
        <v>0</v>
      </c>
      <c r="AR35" s="129">
        <f t="shared" si="34"/>
        <v>-4.6594675589172255E-2</v>
      </c>
      <c r="AS35" s="129"/>
      <c r="AT35" s="129">
        <f t="shared" si="4"/>
        <v>1.9102837250947193E-6</v>
      </c>
      <c r="AU35" s="129">
        <f t="shared" si="5"/>
        <v>0.99999808971627491</v>
      </c>
      <c r="AV35" s="129"/>
      <c r="AW35" s="129">
        <f t="shared" si="35"/>
        <v>3.6501972171732705E-2</v>
      </c>
      <c r="AX35" s="129">
        <f t="shared" si="20"/>
        <v>-6.8471970772723769E-8</v>
      </c>
      <c r="AY35" s="129"/>
      <c r="AZ35" s="129"/>
      <c r="BA35" s="129">
        <f t="shared" si="21"/>
        <v>0.95447419091572017</v>
      </c>
      <c r="BB35" s="129">
        <f t="shared" si="22"/>
        <v>1.3759876496017471</v>
      </c>
      <c r="BC35" s="129">
        <f t="shared" si="6"/>
        <v>1.100312560864406</v>
      </c>
      <c r="BD35" s="129"/>
      <c r="BE35" s="129">
        <f t="shared" si="23"/>
        <v>0.99999993155261802</v>
      </c>
      <c r="BF35" s="129">
        <f t="shared" si="24"/>
        <v>1.0000000608057011</v>
      </c>
      <c r="BG35" s="129">
        <f t="shared" si="7"/>
        <v>1.0000006585092913</v>
      </c>
    </row>
    <row r="36" spans="1:59" x14ac:dyDescent="0.2">
      <c r="A36" s="133" t="s">
        <v>664</v>
      </c>
      <c r="B36" s="144">
        <f t="shared" si="8"/>
        <v>1975</v>
      </c>
      <c r="D36" s="190">
        <f t="shared" si="9"/>
        <v>5.0699999999999997E-7</v>
      </c>
      <c r="E36" s="138">
        <f>'Freight-based Energy Use'!I33</f>
        <v>628.35075808497618</v>
      </c>
      <c r="F36" s="138">
        <f t="shared" si="10"/>
        <v>628.35075859197616</v>
      </c>
      <c r="H36" s="189">
        <f>'Freight-based Activity'!J33*0.000001</f>
        <v>0.50700000000000001</v>
      </c>
      <c r="I36">
        <f>'Freight-based Activity'!K33</f>
        <v>243795.97556970004</v>
      </c>
      <c r="J36">
        <f t="shared" si="0"/>
        <v>243796.48256970005</v>
      </c>
      <c r="L36" s="4">
        <f t="shared" si="25"/>
        <v>1</v>
      </c>
      <c r="M36" s="4">
        <f t="shared" si="26"/>
        <v>2577.3631275768698</v>
      </c>
      <c r="N36" s="4">
        <f t="shared" si="27"/>
        <v>2577.3577697632868</v>
      </c>
      <c r="P36" s="129">
        <f t="shared" si="1"/>
        <v>1</v>
      </c>
      <c r="Q36" s="129">
        <f t="shared" si="2"/>
        <v>1.0420565122619048</v>
      </c>
      <c r="R36" s="129">
        <f t="shared" si="3"/>
        <v>1.0420570220511889</v>
      </c>
      <c r="T36" s="131">
        <f t="shared" si="11"/>
        <v>1.1105053469379302</v>
      </c>
      <c r="U36" s="131">
        <f t="shared" si="12"/>
        <v>1.0420570220511889</v>
      </c>
      <c r="V36" s="131">
        <f t="shared" si="13"/>
        <v>1.0000004892531218</v>
      </c>
      <c r="W36" s="131">
        <f t="shared" si="14"/>
        <v>1.0420565122217882</v>
      </c>
      <c r="X36" s="131">
        <f t="shared" si="15"/>
        <v>1.157209894802063</v>
      </c>
      <c r="Y36" s="131">
        <f t="shared" si="16"/>
        <v>1.1572098948020622</v>
      </c>
      <c r="Z36" s="131"/>
      <c r="AA36" s="131">
        <f t="shared" si="17"/>
        <v>1.0420570220511898</v>
      </c>
      <c r="AD36" s="134"/>
      <c r="AF36" s="129">
        <f t="shared" si="18"/>
        <v>8.0687417508032938E-10</v>
      </c>
      <c r="AG36" s="129">
        <f t="shared" si="19"/>
        <v>0.99999999919312588</v>
      </c>
      <c r="AH36" s="129"/>
      <c r="AI36" s="129">
        <f t="shared" si="28"/>
        <v>7.5318776064011569E-10</v>
      </c>
      <c r="AJ36" s="129">
        <f t="shared" si="29"/>
        <v>0.99999999994753164</v>
      </c>
      <c r="AK36" s="129">
        <f t="shared" si="30"/>
        <v>1.0000000007007195</v>
      </c>
      <c r="AL36" s="129"/>
      <c r="AM36" s="129">
        <f t="shared" si="31"/>
        <v>7.5318776011234231E-10</v>
      </c>
      <c r="AN36" s="129">
        <f t="shared" si="32"/>
        <v>0.99999999924681215</v>
      </c>
      <c r="AO36" s="129"/>
      <c r="AP36" s="129"/>
      <c r="AQ36" s="129">
        <f t="shared" si="33"/>
        <v>0</v>
      </c>
      <c r="AR36" s="129">
        <f t="shared" si="34"/>
        <v>-5.4398109485308314E-2</v>
      </c>
      <c r="AS36" s="129"/>
      <c r="AT36" s="129">
        <f t="shared" si="4"/>
        <v>2.07960342436463E-6</v>
      </c>
      <c r="AU36" s="129">
        <f t="shared" si="5"/>
        <v>0.99999792039657553</v>
      </c>
      <c r="AV36" s="129"/>
      <c r="AW36" s="129">
        <f t="shared" si="35"/>
        <v>8.4925435975369307E-2</v>
      </c>
      <c r="AX36" s="129">
        <f t="shared" si="20"/>
        <v>-1.6932003711499818E-7</v>
      </c>
      <c r="AY36" s="129"/>
      <c r="AZ36" s="129"/>
      <c r="BA36" s="129">
        <f t="shared" si="21"/>
        <v>0.94705499990216258</v>
      </c>
      <c r="BB36" s="129">
        <f t="shared" si="22"/>
        <v>1.3031359833589595</v>
      </c>
      <c r="BC36" s="129">
        <f t="shared" si="6"/>
        <v>1.0420565122217882</v>
      </c>
      <c r="BD36" s="129"/>
      <c r="BE36" s="129">
        <f t="shared" si="23"/>
        <v>0.99999983074394216</v>
      </c>
      <c r="BF36" s="129">
        <f t="shared" si="24"/>
        <v>0.99999989154963298</v>
      </c>
      <c r="BG36" s="129">
        <f t="shared" si="7"/>
        <v>1.0000004892531218</v>
      </c>
    </row>
    <row r="37" spans="1:59" x14ac:dyDescent="0.2">
      <c r="A37" s="133" t="s">
        <v>664</v>
      </c>
      <c r="B37" s="144">
        <f t="shared" si="8"/>
        <v>1976</v>
      </c>
      <c r="D37" s="190">
        <f t="shared" si="9"/>
        <v>5.1499999999999994E-7</v>
      </c>
      <c r="E37" s="138">
        <f>'Freight-based Energy Use'!I34</f>
        <v>591.01379114185352</v>
      </c>
      <c r="F37" s="138">
        <f t="shared" si="10"/>
        <v>591.01379165685353</v>
      </c>
      <c r="H37" s="189">
        <f>'Freight-based Activity'!J34*0.000001</f>
        <v>0.51500000000000001</v>
      </c>
      <c r="I37">
        <f>'Freight-based Activity'!K34</f>
        <v>246648.83654819999</v>
      </c>
      <c r="J37">
        <f t="shared" si="0"/>
        <v>246649.35154820001</v>
      </c>
      <c r="L37" s="4">
        <f t="shared" si="25"/>
        <v>1</v>
      </c>
      <c r="M37" s="4">
        <f t="shared" si="26"/>
        <v>2396.1750617313692</v>
      </c>
      <c r="N37" s="4">
        <f t="shared" si="27"/>
        <v>2396.1700606431882</v>
      </c>
      <c r="P37" s="129">
        <f t="shared" si="1"/>
        <v>1</v>
      </c>
      <c r="Q37" s="129">
        <f t="shared" si="2"/>
        <v>0.96880016668209024</v>
      </c>
      <c r="R37" s="129">
        <f t="shared" si="3"/>
        <v>0.96880063257627802</v>
      </c>
      <c r="T37" s="131">
        <f t="shared" si="11"/>
        <v>1.1235003098731802</v>
      </c>
      <c r="U37" s="131">
        <f t="shared" si="12"/>
        <v>0.96880063257627802</v>
      </c>
      <c r="V37" s="131">
        <f t="shared" si="13"/>
        <v>1.0000004808754912</v>
      </c>
      <c r="W37" s="131">
        <f t="shared" si="14"/>
        <v>0.96880016670402302</v>
      </c>
      <c r="X37" s="131">
        <f t="shared" si="15"/>
        <v>1.0884478109047824</v>
      </c>
      <c r="Y37" s="131">
        <f t="shared" si="16"/>
        <v>1.0884478109047815</v>
      </c>
      <c r="Z37" s="131"/>
      <c r="AA37" s="131">
        <f t="shared" si="17"/>
        <v>0.96880063257627902</v>
      </c>
      <c r="AD37" s="134"/>
      <c r="AF37" s="129">
        <f t="shared" si="18"/>
        <v>8.7138406458543751E-10</v>
      </c>
      <c r="AG37" s="129">
        <f t="shared" si="19"/>
        <v>0.99999999912861592</v>
      </c>
      <c r="AH37" s="129"/>
      <c r="AI37" s="129">
        <f t="shared" si="28"/>
        <v>8.3871567861493855E-10</v>
      </c>
      <c r="AJ37" s="129">
        <f t="shared" si="29"/>
        <v>0.99999999996774491</v>
      </c>
      <c r="AK37" s="129">
        <f t="shared" si="30"/>
        <v>1.0000000008064607</v>
      </c>
      <c r="AL37" s="129"/>
      <c r="AM37" s="129">
        <f t="shared" si="31"/>
        <v>8.3871567793854738E-10</v>
      </c>
      <c r="AN37" s="129">
        <f t="shared" si="32"/>
        <v>0.99999999916128424</v>
      </c>
      <c r="AO37" s="129"/>
      <c r="AP37" s="129"/>
      <c r="AQ37" s="129">
        <f t="shared" si="33"/>
        <v>0</v>
      </c>
      <c r="AR37" s="129">
        <f t="shared" si="34"/>
        <v>-7.2893090970175212E-2</v>
      </c>
      <c r="AS37" s="129"/>
      <c r="AT37" s="129">
        <f t="shared" si="4"/>
        <v>2.087984406881196E-6</v>
      </c>
      <c r="AU37" s="129">
        <f t="shared" si="5"/>
        <v>0.99999791201559307</v>
      </c>
      <c r="AV37" s="129"/>
      <c r="AW37" s="129">
        <f t="shared" si="35"/>
        <v>4.0219878518512955E-3</v>
      </c>
      <c r="AX37" s="129">
        <f t="shared" si="20"/>
        <v>-8.3809999292070516E-9</v>
      </c>
      <c r="AY37" s="129"/>
      <c r="AZ37" s="129"/>
      <c r="BA37" s="129">
        <f t="shared" si="21"/>
        <v>0.9297002181181383</v>
      </c>
      <c r="BB37" s="129">
        <f t="shared" si="22"/>
        <v>1.2115258079664193</v>
      </c>
      <c r="BC37" s="129">
        <f t="shared" si="6"/>
        <v>0.96880016670402302</v>
      </c>
      <c r="BD37" s="129"/>
      <c r="BE37" s="129">
        <f t="shared" si="23"/>
        <v>0.99999999162237341</v>
      </c>
      <c r="BF37" s="129">
        <f t="shared" si="24"/>
        <v>0.99999988317200728</v>
      </c>
      <c r="BG37" s="129">
        <f t="shared" si="7"/>
        <v>1.0000004808754912</v>
      </c>
    </row>
    <row r="38" spans="1:59" x14ac:dyDescent="0.2">
      <c r="A38" s="133" t="s">
        <v>664</v>
      </c>
      <c r="B38" s="144">
        <f t="shared" si="8"/>
        <v>1977</v>
      </c>
      <c r="D38" s="190">
        <f t="shared" si="9"/>
        <v>5.4599999999999994E-7</v>
      </c>
      <c r="E38" s="138">
        <f>'Freight-based Energy Use'!I35</f>
        <v>574.14101745456605</v>
      </c>
      <c r="F38" s="138">
        <f t="shared" si="10"/>
        <v>574.14101800056608</v>
      </c>
      <c r="H38" s="189">
        <f>'Freight-based Activity'!J35*0.000001</f>
        <v>0.54599999999999993</v>
      </c>
      <c r="I38">
        <f>'Freight-based Activity'!K35</f>
        <v>240608.19691830003</v>
      </c>
      <c r="J38">
        <f t="shared" si="0"/>
        <v>240608.74291830003</v>
      </c>
      <c r="L38" s="4">
        <f t="shared" si="25"/>
        <v>1</v>
      </c>
      <c r="M38" s="4">
        <f t="shared" si="26"/>
        <v>2386.2072232290539</v>
      </c>
      <c r="N38" s="4">
        <f t="shared" si="27"/>
        <v>2386.2018106113405</v>
      </c>
      <c r="P38" s="129">
        <f t="shared" si="1"/>
        <v>1</v>
      </c>
      <c r="Q38" s="129">
        <f t="shared" si="2"/>
        <v>0.96477005896720325</v>
      </c>
      <c r="R38" s="129">
        <f t="shared" si="3"/>
        <v>0.96477034812562423</v>
      </c>
      <c r="T38" s="131">
        <f t="shared" si="11"/>
        <v>1.0959850310982064</v>
      </c>
      <c r="U38" s="131">
        <f t="shared" si="12"/>
        <v>0.96477034812562423</v>
      </c>
      <c r="V38" s="131">
        <f t="shared" si="13"/>
        <v>1.0000002996910149</v>
      </c>
      <c r="W38" s="131">
        <f t="shared" si="14"/>
        <v>0.96477005899270685</v>
      </c>
      <c r="X38" s="131">
        <f t="shared" si="15"/>
        <v>1.0573738599930906</v>
      </c>
      <c r="Y38" s="131">
        <f t="shared" si="16"/>
        <v>1.0573738599930897</v>
      </c>
      <c r="Z38" s="131"/>
      <c r="AA38" s="131">
        <f t="shared" si="17"/>
        <v>0.96477034812562501</v>
      </c>
      <c r="AD38" s="134"/>
      <c r="AF38" s="129">
        <f t="shared" si="18"/>
        <v>9.5098587782742531E-10</v>
      </c>
      <c r="AG38" s="129">
        <f t="shared" si="19"/>
        <v>0.99999999904901404</v>
      </c>
      <c r="AH38" s="129"/>
      <c r="AI38" s="129">
        <f t="shared" si="28"/>
        <v>9.106051698084558E-10</v>
      </c>
      <c r="AJ38" s="129">
        <f t="shared" si="29"/>
        <v>0.99999999996019906</v>
      </c>
      <c r="AK38" s="129">
        <f t="shared" si="30"/>
        <v>1.0000000008708043</v>
      </c>
      <c r="AL38" s="129"/>
      <c r="AM38" s="129">
        <f t="shared" si="31"/>
        <v>9.1060516901549689E-10</v>
      </c>
      <c r="AN38" s="129">
        <f t="shared" si="32"/>
        <v>0.99999999908939474</v>
      </c>
      <c r="AO38" s="129"/>
      <c r="AP38" s="129"/>
      <c r="AQ38" s="129">
        <f t="shared" si="33"/>
        <v>0</v>
      </c>
      <c r="AR38" s="129">
        <f t="shared" si="34"/>
        <v>-4.1685722063308176E-3</v>
      </c>
      <c r="AS38" s="129"/>
      <c r="AT38" s="129">
        <f t="shared" si="4"/>
        <v>2.2692442235376171E-6</v>
      </c>
      <c r="AU38" s="129">
        <f t="shared" si="5"/>
        <v>0.99999773075577647</v>
      </c>
      <c r="AV38" s="129"/>
      <c r="AW38" s="129">
        <f t="shared" si="35"/>
        <v>8.3247632859506857E-2</v>
      </c>
      <c r="AX38" s="129">
        <f t="shared" si="20"/>
        <v>-1.8126021150332539E-7</v>
      </c>
      <c r="AY38" s="129"/>
      <c r="AZ38" s="129"/>
      <c r="BA38" s="129">
        <f t="shared" si="21"/>
        <v>0.99584010423426428</v>
      </c>
      <c r="BB38" s="129">
        <f t="shared" si="22"/>
        <v>1.2064859868877802</v>
      </c>
      <c r="BC38" s="129">
        <f t="shared" si="6"/>
        <v>0.96477005899270685</v>
      </c>
      <c r="BD38" s="129"/>
      <c r="BE38" s="129">
        <f t="shared" si="23"/>
        <v>0.99999981881561084</v>
      </c>
      <c r="BF38" s="129">
        <f t="shared" si="24"/>
        <v>0.99999970198763932</v>
      </c>
      <c r="BG38" s="129">
        <f t="shared" si="7"/>
        <v>1.0000002996910149</v>
      </c>
    </row>
    <row r="39" spans="1:59" x14ac:dyDescent="0.2">
      <c r="A39" s="133" t="s">
        <v>664</v>
      </c>
      <c r="B39" s="144">
        <f t="shared" si="8"/>
        <v>1978</v>
      </c>
      <c r="D39" s="190">
        <f t="shared" si="9"/>
        <v>5.8599999999999998E-7</v>
      </c>
      <c r="E39" s="138">
        <f>'Freight-based Energy Use'!I36</f>
        <v>571.75033059891234</v>
      </c>
      <c r="F39" s="138">
        <f t="shared" si="10"/>
        <v>571.7503311849124</v>
      </c>
      <c r="H39" s="189">
        <f>'Freight-based Activity'!J36*0.000001</f>
        <v>0.58599999999999997</v>
      </c>
      <c r="I39">
        <f>'Freight-based Activity'!K36</f>
        <v>242279.2307484</v>
      </c>
      <c r="J39">
        <f t="shared" si="0"/>
        <v>242279.81674840002</v>
      </c>
      <c r="L39" s="4">
        <f t="shared" si="25"/>
        <v>1</v>
      </c>
      <c r="M39" s="4">
        <f t="shared" si="26"/>
        <v>2359.8817316398804</v>
      </c>
      <c r="N39" s="4">
        <f t="shared" si="27"/>
        <v>2359.8760262339852</v>
      </c>
      <c r="P39" s="129">
        <f t="shared" si="1"/>
        <v>1</v>
      </c>
      <c r="Q39" s="129">
        <f t="shared" si="2"/>
        <v>0.95412637059614114</v>
      </c>
      <c r="R39" s="129">
        <f t="shared" si="3"/>
        <v>0.95412651404357973</v>
      </c>
      <c r="T39" s="131">
        <f t="shared" si="11"/>
        <v>1.1035968571749979</v>
      </c>
      <c r="U39" s="131">
        <f t="shared" si="12"/>
        <v>0.95412651404357973</v>
      </c>
      <c r="V39" s="131">
        <f t="shared" si="13"/>
        <v>1.0000001503068872</v>
      </c>
      <c r="W39" s="131">
        <f t="shared" si="14"/>
        <v>0.95412637063181571</v>
      </c>
      <c r="X39" s="131">
        <f t="shared" si="15"/>
        <v>1.0529710222458319</v>
      </c>
      <c r="Y39" s="131">
        <f t="shared" si="16"/>
        <v>1.0529710222458313</v>
      </c>
      <c r="Z39" s="131"/>
      <c r="AA39" s="131">
        <f t="shared" si="17"/>
        <v>0.9541265140435804</v>
      </c>
      <c r="AD39" s="134"/>
      <c r="AF39" s="129">
        <f t="shared" si="18"/>
        <v>1.0249228868578985E-9</v>
      </c>
      <c r="AG39" s="129">
        <f t="shared" si="19"/>
        <v>0.99999999897507696</v>
      </c>
      <c r="AH39" s="129"/>
      <c r="AI39" s="129">
        <f t="shared" si="28"/>
        <v>9.8749309889965211E-10</v>
      </c>
      <c r="AJ39" s="129">
        <f t="shared" si="29"/>
        <v>0.99999999996303157</v>
      </c>
      <c r="AK39" s="129">
        <f t="shared" si="30"/>
        <v>1.0000000009505248</v>
      </c>
      <c r="AL39" s="129"/>
      <c r="AM39" s="129">
        <f t="shared" si="31"/>
        <v>9.8749309796101553E-10</v>
      </c>
      <c r="AN39" s="129">
        <f t="shared" si="32"/>
        <v>0.9999999990125068</v>
      </c>
      <c r="AO39" s="129"/>
      <c r="AP39" s="129"/>
      <c r="AQ39" s="129">
        <f t="shared" si="33"/>
        <v>0</v>
      </c>
      <c r="AR39" s="129">
        <f t="shared" si="34"/>
        <v>-1.1093665469620083E-2</v>
      </c>
      <c r="AS39" s="129"/>
      <c r="AT39" s="129">
        <f t="shared" si="4"/>
        <v>2.4186909494344821E-6</v>
      </c>
      <c r="AU39" s="129">
        <f t="shared" si="5"/>
        <v>0.99999758130905048</v>
      </c>
      <c r="AV39" s="129"/>
      <c r="AW39" s="129">
        <f t="shared" si="35"/>
        <v>6.3779628944200029E-2</v>
      </c>
      <c r="AX39" s="129">
        <f t="shared" si="20"/>
        <v>-1.4944707633472104E-7</v>
      </c>
      <c r="AY39" s="129"/>
      <c r="AZ39" s="129"/>
      <c r="BA39" s="129">
        <f t="shared" si="21"/>
        <v>0.9889676423291951</v>
      </c>
      <c r="BB39" s="129">
        <f t="shared" si="22"/>
        <v>1.1931756019556201</v>
      </c>
      <c r="BC39" s="129">
        <f t="shared" si="6"/>
        <v>0.95412637063181571</v>
      </c>
      <c r="BD39" s="129"/>
      <c r="BE39" s="129">
        <f t="shared" si="23"/>
        <v>0.9999998506159169</v>
      </c>
      <c r="BF39" s="129">
        <f t="shared" si="24"/>
        <v>0.99999955260360074</v>
      </c>
      <c r="BG39" s="129">
        <f t="shared" si="7"/>
        <v>1.0000001503068872</v>
      </c>
    </row>
    <row r="40" spans="1:59" x14ac:dyDescent="0.2">
      <c r="A40" s="133" t="s">
        <v>664</v>
      </c>
      <c r="B40" s="144">
        <f t="shared" si="8"/>
        <v>1979</v>
      </c>
      <c r="D40" s="190">
        <f t="shared" si="9"/>
        <v>6.0799999999999994E-7</v>
      </c>
      <c r="E40" s="138">
        <f>'Freight-based Energy Use'!I37</f>
        <v>647.75326218264217</v>
      </c>
      <c r="F40" s="138">
        <f t="shared" si="10"/>
        <v>647.75326279064222</v>
      </c>
      <c r="H40" s="189">
        <f>'Freight-based Activity'!J37*0.000001</f>
        <v>0.60799999999999998</v>
      </c>
      <c r="I40">
        <f>'Freight-based Activity'!K37</f>
        <v>251889.67816830004</v>
      </c>
      <c r="J40">
        <f t="shared" si="0"/>
        <v>251890.28616830005</v>
      </c>
      <c r="L40" s="4">
        <f t="shared" si="25"/>
        <v>1</v>
      </c>
      <c r="M40" s="4">
        <f t="shared" si="26"/>
        <v>2571.5752502960677</v>
      </c>
      <c r="N40" s="4">
        <f t="shared" si="27"/>
        <v>2571.5690455718768</v>
      </c>
      <c r="P40" s="129">
        <f t="shared" si="1"/>
        <v>1</v>
      </c>
      <c r="Q40" s="129">
        <f t="shared" si="2"/>
        <v>1.0397164092519331</v>
      </c>
      <c r="R40" s="129">
        <f t="shared" si="3"/>
        <v>1.0397165706155582</v>
      </c>
      <c r="T40" s="131">
        <f t="shared" si="11"/>
        <v>1.1473730329626499</v>
      </c>
      <c r="U40" s="131">
        <f t="shared" si="12"/>
        <v>1.0397165706155582</v>
      </c>
      <c r="V40" s="131">
        <f t="shared" si="13"/>
        <v>1.0000001552465503</v>
      </c>
      <c r="W40" s="131">
        <f t="shared" si="14"/>
        <v>1.0397164092031728</v>
      </c>
      <c r="X40" s="131">
        <f t="shared" si="15"/>
        <v>1.1929427550486986</v>
      </c>
      <c r="Y40" s="131">
        <f t="shared" si="16"/>
        <v>1.1929427550486982</v>
      </c>
      <c r="Z40" s="131"/>
      <c r="AA40" s="131">
        <f t="shared" si="17"/>
        <v>1.0397165706155587</v>
      </c>
      <c r="AD40" s="134"/>
      <c r="AF40" s="129">
        <f t="shared" si="18"/>
        <v>9.3862900416838064E-10</v>
      </c>
      <c r="AG40" s="129">
        <f t="shared" si="19"/>
        <v>0.99999999906137094</v>
      </c>
      <c r="AH40" s="129"/>
      <c r="AI40" s="129">
        <f t="shared" si="28"/>
        <v>9.8114354787954988E-10</v>
      </c>
      <c r="AJ40" s="129">
        <f t="shared" si="29"/>
        <v>0.99999871348561475</v>
      </c>
      <c r="AK40" s="129">
        <f t="shared" si="30"/>
        <v>0.99999871446675825</v>
      </c>
      <c r="AL40" s="129"/>
      <c r="AM40" s="129">
        <f t="shared" si="31"/>
        <v>9.8114480917381708E-10</v>
      </c>
      <c r="AN40" s="129">
        <f t="shared" si="32"/>
        <v>0.99999999901885528</v>
      </c>
      <c r="AO40" s="129"/>
      <c r="AP40" s="129"/>
      <c r="AQ40" s="129">
        <f t="shared" si="33"/>
        <v>0</v>
      </c>
      <c r="AR40" s="129">
        <f t="shared" si="34"/>
        <v>8.5907144925965323E-2</v>
      </c>
      <c r="AS40" s="129"/>
      <c r="AT40" s="129">
        <f t="shared" si="4"/>
        <v>2.413749292395364E-6</v>
      </c>
      <c r="AU40" s="129">
        <f t="shared" si="5"/>
        <v>0.99999758625070756</v>
      </c>
      <c r="AV40" s="129"/>
      <c r="AW40" s="129">
        <f t="shared" si="35"/>
        <v>-2.0452022226207954E-3</v>
      </c>
      <c r="AX40" s="129">
        <f t="shared" si="20"/>
        <v>4.9416690617333974E-9</v>
      </c>
      <c r="AY40" s="129"/>
      <c r="AZ40" s="129"/>
      <c r="BA40" s="129">
        <f t="shared" si="21"/>
        <v>1.0897051388640271</v>
      </c>
      <c r="BB40" s="129">
        <f t="shared" si="22"/>
        <v>1.300209585018218</v>
      </c>
      <c r="BC40" s="129">
        <f t="shared" si="6"/>
        <v>1.0397164092031728</v>
      </c>
      <c r="BD40" s="129"/>
      <c r="BE40" s="129">
        <f t="shared" si="23"/>
        <v>1.0000000049396625</v>
      </c>
      <c r="BF40" s="129">
        <f t="shared" si="24"/>
        <v>0.99999955754326098</v>
      </c>
      <c r="BG40" s="129">
        <f t="shared" si="7"/>
        <v>1.0000001552465503</v>
      </c>
    </row>
    <row r="41" spans="1:59" x14ac:dyDescent="0.2">
      <c r="A41" s="133" t="s">
        <v>664</v>
      </c>
      <c r="B41" s="144">
        <f t="shared" si="8"/>
        <v>1980</v>
      </c>
      <c r="D41" s="190">
        <f t="shared" si="9"/>
        <v>5.8799999999999992E-7</v>
      </c>
      <c r="E41" s="138">
        <f>'Freight-based Energy Use'!I38</f>
        <v>684.03177353863589</v>
      </c>
      <c r="F41" s="138">
        <f t="shared" si="10"/>
        <v>684.03177412663592</v>
      </c>
      <c r="H41" s="189">
        <f>'Freight-based Activity'!J38*0.000001</f>
        <v>0.58799999999999997</v>
      </c>
      <c r="I41">
        <f>'Freight-based Activity'!K38</f>
        <v>252930.57358170001</v>
      </c>
      <c r="J41">
        <f t="shared" si="0"/>
        <v>252931.1615817</v>
      </c>
      <c r="L41" s="4">
        <f t="shared" si="25"/>
        <v>1</v>
      </c>
      <c r="M41" s="4">
        <f t="shared" si="26"/>
        <v>2704.425027991661</v>
      </c>
      <c r="N41" s="4">
        <f t="shared" si="27"/>
        <v>2704.4187432226886</v>
      </c>
      <c r="P41" s="129">
        <f t="shared" si="1"/>
        <v>1</v>
      </c>
      <c r="Q41" s="129">
        <f t="shared" si="2"/>
        <v>1.0934290485455633</v>
      </c>
      <c r="R41" s="129">
        <f t="shared" si="3"/>
        <v>1.0934293154810568</v>
      </c>
      <c r="T41" s="131">
        <f t="shared" si="11"/>
        <v>1.1521142732787255</v>
      </c>
      <c r="U41" s="131">
        <f t="shared" si="12"/>
        <v>1.0934293154810568</v>
      </c>
      <c r="V41" s="131">
        <f t="shared" si="13"/>
        <v>1.0000002442191034</v>
      </c>
      <c r="W41" s="131">
        <f t="shared" si="14"/>
        <v>1.0934290484447953</v>
      </c>
      <c r="X41" s="131">
        <f t="shared" si="15"/>
        <v>1.2597555211871125</v>
      </c>
      <c r="Y41" s="131">
        <f t="shared" si="16"/>
        <v>1.2597555211871121</v>
      </c>
      <c r="Z41" s="131"/>
      <c r="AA41" s="131">
        <f t="shared" si="17"/>
        <v>1.093429315481057</v>
      </c>
      <c r="AD41" s="134"/>
      <c r="AF41" s="129">
        <f t="shared" si="18"/>
        <v>8.5960919103612065E-10</v>
      </c>
      <c r="AG41" s="129">
        <f t="shared" si="19"/>
        <v>0.99999999914039073</v>
      </c>
      <c r="AH41" s="129"/>
      <c r="AI41" s="129">
        <f t="shared" si="28"/>
        <v>8.9854007258612061E-10</v>
      </c>
      <c r="AJ41" s="129">
        <f t="shared" si="29"/>
        <v>0.9999985950478556</v>
      </c>
      <c r="AK41" s="129">
        <f t="shared" si="30"/>
        <v>0.99999859594639562</v>
      </c>
      <c r="AL41" s="129"/>
      <c r="AM41" s="129">
        <f t="shared" si="31"/>
        <v>8.9854133418631953E-10</v>
      </c>
      <c r="AN41" s="129">
        <f t="shared" si="32"/>
        <v>0.99999999910145876</v>
      </c>
      <c r="AO41" s="129"/>
      <c r="AP41" s="129"/>
      <c r="AQ41" s="129">
        <f t="shared" si="33"/>
        <v>0</v>
      </c>
      <c r="AR41" s="129">
        <f t="shared" si="34"/>
        <v>5.0370681740788049E-2</v>
      </c>
      <c r="AS41" s="129"/>
      <c r="AT41" s="129">
        <f t="shared" si="4"/>
        <v>2.3247432080845779E-6</v>
      </c>
      <c r="AU41" s="129">
        <f t="shared" si="5"/>
        <v>0.99999767525679195</v>
      </c>
      <c r="AV41" s="129"/>
      <c r="AW41" s="129">
        <f t="shared" si="35"/>
        <v>-3.7571676801007405E-2</v>
      </c>
      <c r="AX41" s="129">
        <f t="shared" si="20"/>
        <v>8.900629525875776E-8</v>
      </c>
      <c r="AY41" s="129"/>
      <c r="AZ41" s="129"/>
      <c r="BA41" s="129">
        <f t="shared" si="21"/>
        <v>1.0516608555623232</v>
      </c>
      <c r="BB41" s="129">
        <f t="shared" si="22"/>
        <v>1.3673795245905924</v>
      </c>
      <c r="BC41" s="129">
        <f t="shared" si="6"/>
        <v>1.0934290484447953</v>
      </c>
      <c r="BD41" s="129"/>
      <c r="BE41" s="129">
        <f t="shared" si="23"/>
        <v>1.0000000889725393</v>
      </c>
      <c r="BF41" s="129">
        <f t="shared" si="24"/>
        <v>0.9999996465157609</v>
      </c>
      <c r="BG41" s="129">
        <f t="shared" si="7"/>
        <v>1.0000002442191034</v>
      </c>
    </row>
    <row r="42" spans="1:59" x14ac:dyDescent="0.2">
      <c r="A42" s="133" t="s">
        <v>664</v>
      </c>
      <c r="B42" s="144">
        <f t="shared" si="8"/>
        <v>1981</v>
      </c>
      <c r="D42" s="190">
        <f t="shared" si="9"/>
        <v>5.6399999999999992E-7</v>
      </c>
      <c r="E42" s="138">
        <f>'Freight-based Energy Use'!I39</f>
        <v>692.33450611262174</v>
      </c>
      <c r="F42" s="138">
        <f t="shared" ref="F42:F66" si="36">D42+E42</f>
        <v>692.33450667662169</v>
      </c>
      <c r="H42" s="189">
        <f>'Freight-based Activity'!J39*0.000001</f>
        <v>0.56399999999999995</v>
      </c>
      <c r="I42">
        <f>'Freight-based Activity'!K39</f>
        <v>247622.50127580002</v>
      </c>
      <c r="J42">
        <f t="shared" ref="J42:J68" si="37">H42+I42</f>
        <v>247623.06527580004</v>
      </c>
      <c r="L42" s="4">
        <f t="shared" ref="L42:L68" si="38">D42/H42*1000000</f>
        <v>1</v>
      </c>
      <c r="M42" s="4">
        <f t="shared" ref="M42:M68" si="39">E42/I42*1000000</f>
        <v>2795.9272786018141</v>
      </c>
      <c r="N42" s="4">
        <f t="shared" ref="N42:N68" si="40">F42/J42*1000000</f>
        <v>2795.9209127207378</v>
      </c>
      <c r="P42" s="129">
        <f t="shared" ref="P42:P72" si="41">L42/L$74</f>
        <v>1</v>
      </c>
      <c r="Q42" s="129">
        <f t="shared" ref="Q42:Q72" si="42">M42/M$74</f>
        <v>1.1304244238245509</v>
      </c>
      <c r="R42" s="129">
        <f t="shared" ref="R42:R72" si="43">N42/N$74</f>
        <v>1.130424752970171</v>
      </c>
      <c r="T42" s="131">
        <f t="shared" si="11"/>
        <v>1.1279356253030388</v>
      </c>
      <c r="U42" s="131">
        <f t="shared" ref="U42:U68" si="44">R42</f>
        <v>1.130424752970171</v>
      </c>
      <c r="V42" s="131">
        <f t="shared" ref="V42:V68" si="45">BG42</f>
        <v>1.0000002912899539</v>
      </c>
      <c r="W42" s="131">
        <f t="shared" ref="W42:W68" si="46">BC42</f>
        <v>1.1304244236888932</v>
      </c>
      <c r="X42" s="131">
        <f t="shared" ref="X42:X68" si="47">T42*V42*W42</f>
        <v>1.2750463505994436</v>
      </c>
      <c r="Y42" s="131">
        <f t="shared" si="16"/>
        <v>1.2750463505994432</v>
      </c>
      <c r="Z42" s="131"/>
      <c r="AA42" s="131">
        <f t="shared" ref="AA42:AA68" si="48">V42*W42</f>
        <v>1.1304247529701714</v>
      </c>
      <c r="AD42" s="134"/>
      <c r="AF42" s="129">
        <f t="shared" ref="AF42:AF68" si="49">D42/F42</f>
        <v>8.1463511432839101E-10</v>
      </c>
      <c r="AG42" s="129">
        <f t="shared" ref="AG42:AG68" si="50">E42/F42</f>
        <v>0.99999999918536497</v>
      </c>
      <c r="AH42" s="129"/>
      <c r="AI42" s="129">
        <f t="shared" si="28"/>
        <v>8.3692076262596573E-10</v>
      </c>
      <c r="AJ42" s="129">
        <f t="shared" si="29"/>
        <v>1.0000000000224871</v>
      </c>
      <c r="AK42" s="129">
        <f t="shared" si="30"/>
        <v>1.0000000008594079</v>
      </c>
      <c r="AL42" s="129"/>
      <c r="AM42" s="129">
        <f t="shared" si="31"/>
        <v>8.3692076190670944E-10</v>
      </c>
      <c r="AN42" s="129">
        <f t="shared" si="32"/>
        <v>0.99999999916307925</v>
      </c>
      <c r="AO42" s="129"/>
      <c r="AP42" s="129"/>
      <c r="AQ42" s="129">
        <f t="shared" si="33"/>
        <v>0</v>
      </c>
      <c r="AR42" s="129">
        <f t="shared" si="34"/>
        <v>3.3274484212941345E-2</v>
      </c>
      <c r="AS42" s="129"/>
      <c r="AT42" s="129">
        <f t="shared" ref="AT42:AT68" si="51">H42/J42</f>
        <v>2.2776553523873978E-6</v>
      </c>
      <c r="AU42" s="129">
        <f t="shared" ref="AU42:AU68" si="52">I42/J42</f>
        <v>0.99999772234464757</v>
      </c>
      <c r="AV42" s="129"/>
      <c r="AW42" s="129">
        <f t="shared" si="35"/>
        <v>-2.0463025172489754E-2</v>
      </c>
      <c r="AX42" s="129">
        <f t="shared" si="20"/>
        <v>4.7087963974043456E-8</v>
      </c>
      <c r="AY42" s="129"/>
      <c r="AZ42" s="129"/>
      <c r="BA42" s="129">
        <f t="shared" si="21"/>
        <v>1.0338342714570434</v>
      </c>
      <c r="BB42" s="129">
        <f t="shared" si="22"/>
        <v>1.4136438146103936</v>
      </c>
      <c r="BC42" s="129">
        <f t="shared" ref="BC42:BC72" si="53">BB42/BB$74</f>
        <v>1.1304244236888932</v>
      </c>
      <c r="BD42" s="129"/>
      <c r="BE42" s="129">
        <f t="shared" si="23"/>
        <v>1.000000047070839</v>
      </c>
      <c r="BF42" s="129">
        <f t="shared" si="24"/>
        <v>0.99999969358658325</v>
      </c>
      <c r="BG42" s="129">
        <f t="shared" ref="BG42:BG72" si="54">BF42/BF$74</f>
        <v>1.0000002912899539</v>
      </c>
    </row>
    <row r="43" spans="1:59" x14ac:dyDescent="0.2">
      <c r="A43" s="133" t="s">
        <v>664</v>
      </c>
      <c r="B43" s="144">
        <f t="shared" ref="B43:B72" si="55">B42+1</f>
        <v>1982</v>
      </c>
      <c r="D43" s="190">
        <f t="shared" si="9"/>
        <v>5.6599999999999996E-7</v>
      </c>
      <c r="E43" s="138">
        <f>'Freight-based Energy Use'!I40</f>
        <v>642.84577920077049</v>
      </c>
      <c r="F43" s="138">
        <f t="shared" si="36"/>
        <v>642.84577976677053</v>
      </c>
      <c r="H43" s="189">
        <f>'Freight-based Activity'!J40*0.000001</f>
        <v>0.56599999999999995</v>
      </c>
      <c r="I43">
        <f>'Freight-based Activity'!K40</f>
        <v>226257.86118540002</v>
      </c>
      <c r="J43">
        <f t="shared" si="37"/>
        <v>226258.42718540001</v>
      </c>
      <c r="L43" s="4">
        <f t="shared" si="38"/>
        <v>1</v>
      </c>
      <c r="M43" s="4">
        <f t="shared" si="39"/>
        <v>2841.2085919702495</v>
      </c>
      <c r="N43" s="4">
        <f t="shared" si="40"/>
        <v>2841.2014870058815</v>
      </c>
      <c r="P43" s="129">
        <f t="shared" si="41"/>
        <v>1</v>
      </c>
      <c r="Q43" s="129">
        <f t="shared" si="42"/>
        <v>1.148732161284779</v>
      </c>
      <c r="R43" s="129">
        <f t="shared" si="43"/>
        <v>1.1487322386246279</v>
      </c>
      <c r="T43" s="131">
        <f t="shared" ref="T43:T72" si="56">J43/J$74</f>
        <v>1.0306186148822671</v>
      </c>
      <c r="U43" s="131">
        <f t="shared" si="44"/>
        <v>1.1487322386246279</v>
      </c>
      <c r="V43" s="131">
        <f t="shared" si="45"/>
        <v>1.0000000674598835</v>
      </c>
      <c r="W43" s="131">
        <f t="shared" si="46"/>
        <v>1.1487321611312906</v>
      </c>
      <c r="X43" s="131">
        <f t="shared" si="47"/>
        <v>1.1839048286419205</v>
      </c>
      <c r="Y43" s="131">
        <f t="shared" ref="Y43:Y72" si="57">F43/F$74</f>
        <v>1.1839048286419203</v>
      </c>
      <c r="Z43" s="131"/>
      <c r="AA43" s="131">
        <f t="shared" si="48"/>
        <v>1.1487322386246284</v>
      </c>
      <c r="AD43" s="134"/>
      <c r="AF43" s="129">
        <f t="shared" si="49"/>
        <v>8.8046000738365142E-10</v>
      </c>
      <c r="AG43" s="129">
        <f t="shared" si="50"/>
        <v>0.99999999911953996</v>
      </c>
      <c r="AH43" s="129"/>
      <c r="AI43" s="129">
        <f t="shared" ref="AI43:AI68" si="58">(AF43-AF42)/LN(AF43/AF42)</f>
        <v>8.4712136448890345E-10</v>
      </c>
      <c r="AJ43" s="129">
        <f t="shared" ref="AJ43:AJ68" si="59">(AG43-AG42)/LN(AG43/AG42)</f>
        <v>0.99999999996708755</v>
      </c>
      <c r="AK43" s="129">
        <f t="shared" ref="AK43:AK68" si="60">AI43+AJ43</f>
        <v>1.0000000008142089</v>
      </c>
      <c r="AL43" s="129"/>
      <c r="AM43" s="129">
        <f t="shared" ref="AM43:AM68" si="61">AI43/AK43</f>
        <v>8.4712136379916965E-10</v>
      </c>
      <c r="AN43" s="129">
        <f t="shared" ref="AN43:AN68" si="62">AJ43/AK43</f>
        <v>0.99999999915287863</v>
      </c>
      <c r="AO43" s="129"/>
      <c r="AP43" s="129"/>
      <c r="AQ43" s="129">
        <f t="shared" ref="AQ43:AQ68" si="63">LN(P43/P42)</f>
        <v>0</v>
      </c>
      <c r="AR43" s="129">
        <f t="shared" ref="AR43:AR68" si="64">LN(Q43/Q42)</f>
        <v>1.6065707251244624E-2</v>
      </c>
      <c r="AS43" s="129"/>
      <c r="AT43" s="129">
        <f t="shared" si="51"/>
        <v>2.5015642822276402E-6</v>
      </c>
      <c r="AU43" s="129">
        <f t="shared" si="52"/>
        <v>0.99999749843571784</v>
      </c>
      <c r="AV43" s="129"/>
      <c r="AW43" s="129">
        <f t="shared" ref="AW43:AW68" si="65">LN(AT43/AT42)</f>
        <v>9.3769689457200892E-2</v>
      </c>
      <c r="AX43" s="129">
        <f t="shared" ref="AX43:AX68" si="66">LN(AU43/AU42)</f>
        <v>-2.2390946483485609E-7</v>
      </c>
      <c r="AY43" s="129"/>
      <c r="AZ43" s="129"/>
      <c r="BA43" s="129">
        <f t="shared" ref="BA43:BA68" si="67">EXP(SUMPRODUCT($AM43:$AN43,AQ43:AR43))</f>
        <v>1.0161954546086804</v>
      </c>
      <c r="BB43" s="129">
        <f t="shared" ref="BB43:BB68" si="68">IF(ISERR(BA43),BB42,BA43*BB42)</f>
        <v>1.4365384188427581</v>
      </c>
      <c r="BC43" s="129">
        <f t="shared" si="53"/>
        <v>1.1487321611312906</v>
      </c>
      <c r="BD43" s="129"/>
      <c r="BE43" s="129">
        <f t="shared" ref="BE43:BE68" si="69">EXP(SUMPRODUCT($AM43:$AN43,AW43:AX43))</f>
        <v>0.99999977616999469</v>
      </c>
      <c r="BF43" s="129">
        <f t="shared" ref="BF43:BF68" si="70">IF(ISERR(BE43),BF42,BE43*BF42)</f>
        <v>0.99999946975664655</v>
      </c>
      <c r="BG43" s="129">
        <f t="shared" si="54"/>
        <v>1.0000000674598835</v>
      </c>
    </row>
    <row r="44" spans="1:59" x14ac:dyDescent="0.2">
      <c r="A44" s="133" t="s">
        <v>664</v>
      </c>
      <c r="B44" s="144">
        <f t="shared" si="55"/>
        <v>1983</v>
      </c>
      <c r="D44" s="190">
        <f t="shared" si="9"/>
        <v>5.5599999999999995E-7</v>
      </c>
      <c r="E44" s="138">
        <f>'Freight-based Energy Use'!I41</f>
        <v>528.19520654566054</v>
      </c>
      <c r="F44" s="138">
        <f t="shared" si="36"/>
        <v>528.19520710166057</v>
      </c>
      <c r="H44" s="189">
        <f>'Freight-based Activity'!J41*0.000001</f>
        <v>0.55599999999999994</v>
      </c>
      <c r="I44">
        <f>'Freight-based Activity'!K41</f>
        <v>213363.99592290004</v>
      </c>
      <c r="J44">
        <f t="shared" si="37"/>
        <v>213364.55192290005</v>
      </c>
      <c r="L44" s="4">
        <f t="shared" si="38"/>
        <v>1</v>
      </c>
      <c r="M44" s="4">
        <f t="shared" si="39"/>
        <v>2475.5592163568499</v>
      </c>
      <c r="N44" s="4">
        <f t="shared" si="40"/>
        <v>2475.5527679805291</v>
      </c>
      <c r="P44" s="129">
        <f t="shared" si="41"/>
        <v>1</v>
      </c>
      <c r="Q44" s="129">
        <f t="shared" si="42"/>
        <v>1.000896061285681</v>
      </c>
      <c r="R44" s="129">
        <f t="shared" si="43"/>
        <v>1.0008960244464986</v>
      </c>
      <c r="T44" s="131">
        <f t="shared" si="56"/>
        <v>0.97188635890042263</v>
      </c>
      <c r="U44" s="131">
        <f t="shared" si="44"/>
        <v>1.0008960244464986</v>
      </c>
      <c r="V44" s="131">
        <f t="shared" si="45"/>
        <v>0.99999996319461171</v>
      </c>
      <c r="W44" s="131">
        <f t="shared" si="46"/>
        <v>1.000896061284867</v>
      </c>
      <c r="X44" s="131">
        <f t="shared" si="47"/>
        <v>0.97275719283721618</v>
      </c>
      <c r="Y44" s="131">
        <f t="shared" si="57"/>
        <v>0.97275719283721618</v>
      </c>
      <c r="Z44" s="131"/>
      <c r="AA44" s="131">
        <f t="shared" si="48"/>
        <v>1.0008960244464988</v>
      </c>
      <c r="AD44" s="134"/>
      <c r="AF44" s="129">
        <f t="shared" si="49"/>
        <v>1.0526411306359845E-9</v>
      </c>
      <c r="AG44" s="129">
        <f t="shared" si="50"/>
        <v>0.9999999989473588</v>
      </c>
      <c r="AH44" s="129"/>
      <c r="AI44" s="129">
        <f t="shared" si="58"/>
        <v>9.6398911305165774E-10</v>
      </c>
      <c r="AJ44" s="129">
        <f t="shared" si="59"/>
        <v>0.99999999991390942</v>
      </c>
      <c r="AK44" s="129">
        <f t="shared" si="60"/>
        <v>1.0000000008778986</v>
      </c>
      <c r="AL44" s="129"/>
      <c r="AM44" s="129">
        <f t="shared" si="61"/>
        <v>9.6398911220537297E-10</v>
      </c>
      <c r="AN44" s="129">
        <f t="shared" si="62"/>
        <v>0.99999999903601078</v>
      </c>
      <c r="AO44" s="129"/>
      <c r="AP44" s="129"/>
      <c r="AQ44" s="129">
        <f t="shared" si="63"/>
        <v>0</v>
      </c>
      <c r="AR44" s="129">
        <f t="shared" si="64"/>
        <v>-0.13776320569934142</v>
      </c>
      <c r="AS44" s="129"/>
      <c r="AT44" s="129">
        <f t="shared" si="51"/>
        <v>2.6058686646360651E-6</v>
      </c>
      <c r="AU44" s="129">
        <f t="shared" si="52"/>
        <v>0.99999739413133526</v>
      </c>
      <c r="AV44" s="129"/>
      <c r="AW44" s="129">
        <f t="shared" si="65"/>
        <v>4.0849831044094245E-2</v>
      </c>
      <c r="AX44" s="129">
        <f t="shared" si="66"/>
        <v>-1.0430464891761131E-7</v>
      </c>
      <c r="AY44" s="129"/>
      <c r="AZ44" s="129"/>
      <c r="BA44" s="129">
        <f t="shared" si="67"/>
        <v>0.87130498749087681</v>
      </c>
      <c r="BB44" s="129">
        <f t="shared" si="68"/>
        <v>1.2516630890599534</v>
      </c>
      <c r="BC44" s="129">
        <f t="shared" si="53"/>
        <v>1.000896061284867</v>
      </c>
      <c r="BD44" s="129"/>
      <c r="BE44" s="129">
        <f t="shared" si="69"/>
        <v>0.99999989573473536</v>
      </c>
      <c r="BF44" s="129">
        <f t="shared" si="70"/>
        <v>0.9999993654914372</v>
      </c>
      <c r="BG44" s="129">
        <f t="shared" si="54"/>
        <v>0.99999996319461171</v>
      </c>
    </row>
    <row r="45" spans="1:59" x14ac:dyDescent="0.2">
      <c r="A45" s="133" t="s">
        <v>664</v>
      </c>
      <c r="B45" s="144">
        <f t="shared" si="55"/>
        <v>1984</v>
      </c>
      <c r="D45" s="190">
        <f t="shared" si="9"/>
        <v>5.679999999999999E-7</v>
      </c>
      <c r="E45" s="138">
        <f>'Freight-based Energy Use'!I42</f>
        <v>569.92120724722406</v>
      </c>
      <c r="F45" s="138">
        <f t="shared" si="36"/>
        <v>569.92120781522408</v>
      </c>
      <c r="H45" s="189">
        <f>'Freight-based Activity'!J42*0.000001</f>
        <v>0.56799999999999995</v>
      </c>
      <c r="I45">
        <f>'Freight-based Activity'!K42</f>
        <v>226947.19093080002</v>
      </c>
      <c r="J45">
        <f t="shared" si="37"/>
        <v>226947.75893080002</v>
      </c>
      <c r="L45" s="4">
        <f t="shared" si="38"/>
        <v>1</v>
      </c>
      <c r="M45" s="4">
        <f t="shared" si="39"/>
        <v>2511.2503261650968</v>
      </c>
      <c r="N45" s="4">
        <f t="shared" si="40"/>
        <v>2511.2440435642379</v>
      </c>
      <c r="P45" s="129">
        <f t="shared" si="41"/>
        <v>1</v>
      </c>
      <c r="Q45" s="129">
        <f t="shared" si="42"/>
        <v>1.0153263730285609</v>
      </c>
      <c r="R45" s="129">
        <f t="shared" si="43"/>
        <v>1.0153264402716884</v>
      </c>
      <c r="T45" s="131">
        <f t="shared" si="56"/>
        <v>1.0337585559552969</v>
      </c>
      <c r="U45" s="131">
        <f t="shared" si="44"/>
        <v>1.0153264402716884</v>
      </c>
      <c r="V45" s="131">
        <f t="shared" si="45"/>
        <v>1.0000000662435677</v>
      </c>
      <c r="W45" s="131">
        <f t="shared" si="46"/>
        <v>1.0153263730128472</v>
      </c>
      <c r="X45" s="131">
        <f t="shared" si="47"/>
        <v>1.0496023947184927</v>
      </c>
      <c r="Y45" s="131">
        <f t="shared" si="57"/>
        <v>1.0496023947184925</v>
      </c>
      <c r="Z45" s="131"/>
      <c r="AA45" s="131">
        <f t="shared" si="48"/>
        <v>1.0153264402716886</v>
      </c>
      <c r="AD45" s="134"/>
      <c r="AF45" s="129">
        <f t="shared" si="49"/>
        <v>9.9662899399271515E-10</v>
      </c>
      <c r="AG45" s="129">
        <f t="shared" si="50"/>
        <v>0.999999999003371</v>
      </c>
      <c r="AH45" s="129"/>
      <c r="AI45" s="129">
        <f t="shared" si="58"/>
        <v>1.0243798507404444E-9</v>
      </c>
      <c r="AJ45" s="129">
        <f t="shared" si="59"/>
        <v>0.99999801792245502</v>
      </c>
      <c r="AK45" s="129">
        <f t="shared" si="60"/>
        <v>0.99999801894683482</v>
      </c>
      <c r="AL45" s="129"/>
      <c r="AM45" s="129">
        <f t="shared" si="61"/>
        <v>1.0243818800954104E-9</v>
      </c>
      <c r="AN45" s="129">
        <f t="shared" si="62"/>
        <v>0.9999999989756182</v>
      </c>
      <c r="AO45" s="129"/>
      <c r="AP45" s="129"/>
      <c r="AQ45" s="129">
        <f t="shared" si="63"/>
        <v>0</v>
      </c>
      <c r="AR45" s="129">
        <f t="shared" si="64"/>
        <v>1.4314450527102819E-2</v>
      </c>
      <c r="AS45" s="129"/>
      <c r="AT45" s="129">
        <f t="shared" si="51"/>
        <v>2.5027786248076247E-6</v>
      </c>
      <c r="AU45" s="129">
        <f t="shared" si="52"/>
        <v>0.99999749722137521</v>
      </c>
      <c r="AV45" s="129"/>
      <c r="AW45" s="129">
        <f t="shared" si="65"/>
        <v>-4.0364515538591189E-2</v>
      </c>
      <c r="AX45" s="129">
        <f t="shared" si="66"/>
        <v>1.0309030319816061E-7</v>
      </c>
      <c r="AY45" s="129"/>
      <c r="AZ45" s="129"/>
      <c r="BA45" s="129">
        <f t="shared" si="67"/>
        <v>1.0144173928604092</v>
      </c>
      <c r="BB45" s="129">
        <f t="shared" si="68"/>
        <v>1.2697088075438041</v>
      </c>
      <c r="BC45" s="129">
        <f t="shared" si="53"/>
        <v>1.0153263730128472</v>
      </c>
      <c r="BD45" s="129"/>
      <c r="BE45" s="129">
        <f t="shared" si="69"/>
        <v>1.0000001030489598</v>
      </c>
      <c r="BF45" s="129">
        <f t="shared" si="70"/>
        <v>0.99999946854033162</v>
      </c>
      <c r="BG45" s="129">
        <f t="shared" si="54"/>
        <v>1.0000000662435677</v>
      </c>
    </row>
    <row r="46" spans="1:59" x14ac:dyDescent="0.2">
      <c r="A46" s="133" t="s">
        <v>664</v>
      </c>
      <c r="B46" s="144">
        <f t="shared" si="55"/>
        <v>1985</v>
      </c>
      <c r="D46" s="190">
        <f t="shared" si="9"/>
        <v>5.6399999999999992E-7</v>
      </c>
      <c r="E46" s="138">
        <f>'Freight-based Energy Use'!I43</f>
        <v>542.98771619714478</v>
      </c>
      <c r="F46" s="138">
        <f t="shared" si="36"/>
        <v>542.98771676114472</v>
      </c>
      <c r="H46" s="189">
        <f>'Freight-based Activity'!J43*0.000001</f>
        <v>0.56399999999999995</v>
      </c>
      <c r="I46">
        <f>'Freight-based Activity'!K43</f>
        <v>219535.95893699999</v>
      </c>
      <c r="J46">
        <f t="shared" si="37"/>
        <v>219536.522937</v>
      </c>
      <c r="L46" s="4">
        <f t="shared" si="38"/>
        <v>1</v>
      </c>
      <c r="M46" s="4">
        <f t="shared" si="39"/>
        <v>2473.3429494935967</v>
      </c>
      <c r="N46" s="4">
        <f t="shared" si="40"/>
        <v>2473.336597924369</v>
      </c>
      <c r="P46" s="129">
        <f t="shared" si="41"/>
        <v>1</v>
      </c>
      <c r="Q46" s="129">
        <f t="shared" si="42"/>
        <v>1</v>
      </c>
      <c r="R46" s="129">
        <f t="shared" si="43"/>
        <v>1</v>
      </c>
      <c r="T46" s="131">
        <f t="shared" si="56"/>
        <v>1</v>
      </c>
      <c r="U46" s="131">
        <f t="shared" si="44"/>
        <v>1</v>
      </c>
      <c r="V46" s="131">
        <f t="shared" si="45"/>
        <v>1</v>
      </c>
      <c r="W46" s="131">
        <f t="shared" si="46"/>
        <v>1</v>
      </c>
      <c r="X46" s="131">
        <f t="shared" si="47"/>
        <v>1</v>
      </c>
      <c r="Y46" s="131">
        <f t="shared" si="57"/>
        <v>1</v>
      </c>
      <c r="Z46" s="131"/>
      <c r="AA46" s="131">
        <f t="shared" si="48"/>
        <v>1</v>
      </c>
      <c r="AD46" s="134"/>
      <c r="AF46" s="129">
        <f t="shared" si="49"/>
        <v>1.0386975295945751E-9</v>
      </c>
      <c r="AG46" s="129">
        <f t="shared" si="50"/>
        <v>0.99999999896130254</v>
      </c>
      <c r="AH46" s="129"/>
      <c r="AI46" s="129">
        <f t="shared" si="58"/>
        <v>1.0175183249059017E-9</v>
      </c>
      <c r="AJ46" s="129">
        <f t="shared" si="59"/>
        <v>0.99999999997896583</v>
      </c>
      <c r="AK46" s="129">
        <f t="shared" si="60"/>
        <v>1.0000000009964842</v>
      </c>
      <c r="AL46" s="129"/>
      <c r="AM46" s="129">
        <f t="shared" si="61"/>
        <v>1.0175183238919607E-9</v>
      </c>
      <c r="AN46" s="129">
        <f t="shared" si="62"/>
        <v>0.9999999989824816</v>
      </c>
      <c r="AO46" s="129"/>
      <c r="AP46" s="129"/>
      <c r="AQ46" s="129">
        <f t="shared" si="63"/>
        <v>0</v>
      </c>
      <c r="AR46" s="129">
        <f t="shared" si="64"/>
        <v>-1.5210110589532359E-2</v>
      </c>
      <c r="AS46" s="129"/>
      <c r="AT46" s="129">
        <f t="shared" si="51"/>
        <v>2.5690486141198931E-6</v>
      </c>
      <c r="AU46" s="129">
        <f t="shared" si="52"/>
        <v>0.99999743095138582</v>
      </c>
      <c r="AV46" s="129"/>
      <c r="AW46" s="129">
        <f t="shared" si="65"/>
        <v>2.6134076717812781E-2</v>
      </c>
      <c r="AX46" s="129">
        <f t="shared" si="66"/>
        <v>-6.6270157448157242E-8</v>
      </c>
      <c r="AY46" s="129"/>
      <c r="AZ46" s="129"/>
      <c r="BA46" s="129">
        <f t="shared" si="67"/>
        <v>0.98490497891099971</v>
      </c>
      <c r="BB46" s="129">
        <f t="shared" si="68"/>
        <v>1.2505425263170409</v>
      </c>
      <c r="BC46" s="129">
        <f t="shared" si="53"/>
        <v>1</v>
      </c>
      <c r="BD46" s="129"/>
      <c r="BE46" s="129">
        <f t="shared" si="69"/>
        <v>0.9999999337564367</v>
      </c>
      <c r="BF46" s="129">
        <f t="shared" si="70"/>
        <v>0.99999940229680351</v>
      </c>
      <c r="BG46" s="129">
        <f t="shared" si="54"/>
        <v>1</v>
      </c>
    </row>
    <row r="47" spans="1:59" x14ac:dyDescent="0.2">
      <c r="A47" s="133" t="s">
        <v>664</v>
      </c>
      <c r="B47" s="144">
        <f t="shared" si="55"/>
        <v>1986</v>
      </c>
      <c r="D47" s="190">
        <f t="shared" si="9"/>
        <v>5.7799999999999991E-7</v>
      </c>
      <c r="E47" s="138">
        <f>'Freight-based Energy Use'!I44</f>
        <v>522.80484362179925</v>
      </c>
      <c r="F47" s="138">
        <f t="shared" si="36"/>
        <v>522.80484419979928</v>
      </c>
      <c r="H47" s="189">
        <f>'Freight-based Activity'!J44*0.000001</f>
        <v>0.57799999999999996</v>
      </c>
      <c r="I47">
        <f>'Freight-based Activity'!K44</f>
        <v>205687.17356190004</v>
      </c>
      <c r="J47">
        <f t="shared" si="37"/>
        <v>205687.75156190005</v>
      </c>
      <c r="L47" s="4">
        <f t="shared" si="38"/>
        <v>1</v>
      </c>
      <c r="M47" s="4">
        <f t="shared" si="39"/>
        <v>2541.7474243451793</v>
      </c>
      <c r="N47" s="4">
        <f t="shared" si="40"/>
        <v>2541.7402846297605</v>
      </c>
      <c r="P47" s="129">
        <f t="shared" si="41"/>
        <v>1</v>
      </c>
      <c r="Q47" s="129">
        <f t="shared" si="42"/>
        <v>1.0276566882346776</v>
      </c>
      <c r="R47" s="129">
        <f t="shared" si="43"/>
        <v>1.0276564406004407</v>
      </c>
      <c r="T47" s="131">
        <f t="shared" si="56"/>
        <v>0.93691814377931948</v>
      </c>
      <c r="U47" s="131">
        <f t="shared" si="44"/>
        <v>1.0276564406004407</v>
      </c>
      <c r="V47" s="131">
        <f t="shared" si="45"/>
        <v>0.99999975905942962</v>
      </c>
      <c r="W47" s="131">
        <f t="shared" si="46"/>
        <v>1.0276566882046292</v>
      </c>
      <c r="X47" s="131">
        <f t="shared" si="47"/>
        <v>0.96282996477022731</v>
      </c>
      <c r="Y47" s="131">
        <f t="shared" si="57"/>
        <v>0.96282996477022753</v>
      </c>
      <c r="Z47" s="131"/>
      <c r="AA47" s="131">
        <f t="shared" si="48"/>
        <v>1.0276564406004405</v>
      </c>
      <c r="AD47" s="134"/>
      <c r="AF47" s="129">
        <f t="shared" si="49"/>
        <v>1.1055750657488299E-9</v>
      </c>
      <c r="AG47" s="129">
        <f t="shared" si="50"/>
        <v>0.99999999889442492</v>
      </c>
      <c r="AH47" s="129"/>
      <c r="AI47" s="129">
        <f t="shared" si="58"/>
        <v>1.0717885678141007E-9</v>
      </c>
      <c r="AJ47" s="129">
        <f t="shared" si="59"/>
        <v>0.99999999996656119</v>
      </c>
      <c r="AK47" s="129">
        <f t="shared" si="60"/>
        <v>1.0000000010383499</v>
      </c>
      <c r="AL47" s="129"/>
      <c r="AM47" s="129">
        <f t="shared" si="61"/>
        <v>1.0717885667012092E-9</v>
      </c>
      <c r="AN47" s="129">
        <f t="shared" si="62"/>
        <v>0.99999999892821134</v>
      </c>
      <c r="AO47" s="129"/>
      <c r="AP47" s="129"/>
      <c r="AQ47" s="129">
        <f t="shared" si="63"/>
        <v>0</v>
      </c>
      <c r="AR47" s="129">
        <f t="shared" si="64"/>
        <v>2.7281150394417746E-2</v>
      </c>
      <c r="AS47" s="129"/>
      <c r="AT47" s="129">
        <f t="shared" si="51"/>
        <v>2.8100846822959975E-6</v>
      </c>
      <c r="AU47" s="129">
        <f t="shared" si="52"/>
        <v>0.99999718991531761</v>
      </c>
      <c r="AV47" s="129"/>
      <c r="AW47" s="129">
        <f t="shared" si="65"/>
        <v>8.9678977628133871E-2</v>
      </c>
      <c r="AX47" s="129">
        <f t="shared" si="66"/>
        <v>-2.4103671654765534E-7</v>
      </c>
      <c r="AY47" s="129"/>
      <c r="AZ47" s="129"/>
      <c r="BA47" s="129">
        <f t="shared" si="67"/>
        <v>1.0276566882046292</v>
      </c>
      <c r="BB47" s="129">
        <f t="shared" si="68"/>
        <v>1.2851283910540205</v>
      </c>
      <c r="BC47" s="129">
        <f t="shared" si="53"/>
        <v>1.0276566882046292</v>
      </c>
      <c r="BD47" s="129"/>
      <c r="BE47" s="129">
        <f t="shared" si="69"/>
        <v>0.99999975905942962</v>
      </c>
      <c r="BF47" s="129">
        <f t="shared" si="70"/>
        <v>0.99999916135637712</v>
      </c>
      <c r="BG47" s="129">
        <f t="shared" si="54"/>
        <v>0.99999975905942962</v>
      </c>
    </row>
    <row r="48" spans="1:59" x14ac:dyDescent="0.2">
      <c r="A48" s="133" t="s">
        <v>664</v>
      </c>
      <c r="B48" s="144">
        <f t="shared" si="55"/>
        <v>1987</v>
      </c>
      <c r="D48" s="190">
        <f t="shared" si="9"/>
        <v>5.8699999999999995E-7</v>
      </c>
      <c r="E48" s="138">
        <f>'Freight-based Energy Use'!I45</f>
        <v>559.59102563108991</v>
      </c>
      <c r="F48" s="138">
        <f t="shared" si="36"/>
        <v>559.59102621808995</v>
      </c>
      <c r="H48" s="189">
        <f>'Freight-based Activity'!J45*0.000001</f>
        <v>0.58699999999999997</v>
      </c>
      <c r="I48">
        <f>'Freight-based Activity'!K45</f>
        <v>215802.67033440003</v>
      </c>
      <c r="J48">
        <f t="shared" si="37"/>
        <v>215803.25733440003</v>
      </c>
      <c r="L48" s="4">
        <f t="shared" si="38"/>
        <v>1</v>
      </c>
      <c r="M48" s="4">
        <f t="shared" si="39"/>
        <v>2593.0681245230553</v>
      </c>
      <c r="N48" s="4">
        <f t="shared" si="40"/>
        <v>2593.061073915906</v>
      </c>
      <c r="P48" s="129">
        <f t="shared" si="41"/>
        <v>1</v>
      </c>
      <c r="Q48" s="129">
        <f t="shared" si="42"/>
        <v>1.0484062167981887</v>
      </c>
      <c r="R48" s="129">
        <f t="shared" si="43"/>
        <v>1.0484060584766384</v>
      </c>
      <c r="T48" s="131">
        <f t="shared" si="56"/>
        <v>0.98299478577570754</v>
      </c>
      <c r="U48" s="131">
        <f t="shared" si="44"/>
        <v>1.0484060584766384</v>
      </c>
      <c r="V48" s="131">
        <f t="shared" si="45"/>
        <v>0.99999984903912131</v>
      </c>
      <c r="W48" s="131">
        <f t="shared" si="46"/>
        <v>1.0484062167449615</v>
      </c>
      <c r="X48" s="131">
        <f t="shared" si="47"/>
        <v>1.0305776888581966</v>
      </c>
      <c r="Y48" s="131">
        <f t="shared" si="57"/>
        <v>1.0305776888581972</v>
      </c>
      <c r="Z48" s="131"/>
      <c r="AA48" s="131">
        <f t="shared" si="48"/>
        <v>1.0484060584766377</v>
      </c>
      <c r="AD48" s="134"/>
      <c r="AF48" s="129">
        <f t="shared" si="49"/>
        <v>1.0489803669067914E-9</v>
      </c>
      <c r="AG48" s="129">
        <f t="shared" si="50"/>
        <v>0.99999999895101954</v>
      </c>
      <c r="AH48" s="129"/>
      <c r="AI48" s="129">
        <f t="shared" si="58"/>
        <v>1.0770299042247773E-9</v>
      </c>
      <c r="AJ48" s="129">
        <f t="shared" si="59"/>
        <v>0.99999803832082712</v>
      </c>
      <c r="AK48" s="129">
        <f t="shared" si="60"/>
        <v>0.99999803939785703</v>
      </c>
      <c r="AL48" s="129"/>
      <c r="AM48" s="129">
        <f t="shared" si="61"/>
        <v>1.0770320158560558E-9</v>
      </c>
      <c r="AN48" s="129">
        <f t="shared" si="62"/>
        <v>0.99999999892296798</v>
      </c>
      <c r="AO48" s="129"/>
      <c r="AP48" s="129"/>
      <c r="AQ48" s="129">
        <f t="shared" si="63"/>
        <v>0</v>
      </c>
      <c r="AR48" s="129">
        <f t="shared" si="64"/>
        <v>1.9989971851174796E-2</v>
      </c>
      <c r="AS48" s="129"/>
      <c r="AT48" s="129">
        <f t="shared" si="51"/>
        <v>2.7200701567280258E-6</v>
      </c>
      <c r="AU48" s="129">
        <f t="shared" si="52"/>
        <v>0.99999727992984322</v>
      </c>
      <c r="AV48" s="129"/>
      <c r="AW48" s="129">
        <f t="shared" si="65"/>
        <v>-3.2556946049980717E-2</v>
      </c>
      <c r="AX48" s="129">
        <f t="shared" si="66"/>
        <v>9.0014774468556885E-8</v>
      </c>
      <c r="AY48" s="129"/>
      <c r="AZ48" s="129"/>
      <c r="BA48" s="129">
        <f t="shared" si="67"/>
        <v>1.0201911093252192</v>
      </c>
      <c r="BB48" s="129">
        <f t="shared" si="68"/>
        <v>1.3110765588947353</v>
      </c>
      <c r="BC48" s="129">
        <f t="shared" si="53"/>
        <v>1.0484062167449615</v>
      </c>
      <c r="BD48" s="129"/>
      <c r="BE48" s="129">
        <f t="shared" si="69"/>
        <v>1.0000000899797135</v>
      </c>
      <c r="BF48" s="129">
        <f t="shared" si="70"/>
        <v>0.99999925133601508</v>
      </c>
      <c r="BG48" s="129">
        <f t="shared" si="54"/>
        <v>0.99999984903912131</v>
      </c>
    </row>
    <row r="49" spans="1:59" x14ac:dyDescent="0.2">
      <c r="A49" s="133" t="s">
        <v>664</v>
      </c>
      <c r="B49" s="144">
        <f t="shared" si="55"/>
        <v>1988</v>
      </c>
      <c r="D49" s="190">
        <f t="shared" si="9"/>
        <v>6.0099999999999994E-7</v>
      </c>
      <c r="E49" s="138">
        <f>'Freight-based Energy Use'!I46</f>
        <v>661.70935479175159</v>
      </c>
      <c r="F49" s="138">
        <f t="shared" si="36"/>
        <v>661.7093553927516</v>
      </c>
      <c r="H49" s="189">
        <f>'Freight-based Activity'!J46*0.000001</f>
        <v>0.60099999999999998</v>
      </c>
      <c r="I49">
        <f>'Freight-based Activity'!K46</f>
        <v>226598.65217100002</v>
      </c>
      <c r="J49">
        <f t="shared" si="37"/>
        <v>226599.25317100002</v>
      </c>
      <c r="L49" s="4">
        <f t="shared" si="38"/>
        <v>1</v>
      </c>
      <c r="M49" s="4">
        <f t="shared" si="39"/>
        <v>2920.1822184379116</v>
      </c>
      <c r="N49" s="4">
        <f t="shared" si="40"/>
        <v>2920.174476009423</v>
      </c>
      <c r="P49" s="129">
        <f t="shared" si="41"/>
        <v>1</v>
      </c>
      <c r="Q49" s="129">
        <f t="shared" si="42"/>
        <v>1.1806620747987264</v>
      </c>
      <c r="R49" s="129">
        <f t="shared" si="43"/>
        <v>1.180661976400641</v>
      </c>
      <c r="T49" s="131">
        <f t="shared" si="56"/>
        <v>1.0321710945382276</v>
      </c>
      <c r="U49" s="131">
        <f t="shared" si="44"/>
        <v>1.180661976400641</v>
      </c>
      <c r="V49" s="131">
        <f t="shared" si="45"/>
        <v>0.99999991682538569</v>
      </c>
      <c r="W49" s="131">
        <f t="shared" si="46"/>
        <v>1.1806620746017531</v>
      </c>
      <c r="X49" s="131">
        <f t="shared" si="47"/>
        <v>1.218645164461116</v>
      </c>
      <c r="Y49" s="131">
        <f t="shared" si="57"/>
        <v>1.2186451644611169</v>
      </c>
      <c r="Z49" s="131"/>
      <c r="AA49" s="131">
        <f t="shared" si="48"/>
        <v>1.1806619764006405</v>
      </c>
      <c r="AD49" s="134"/>
      <c r="AF49" s="129">
        <f t="shared" si="49"/>
        <v>9.0825374479295646E-10</v>
      </c>
      <c r="AG49" s="129">
        <f t="shared" si="50"/>
        <v>0.99999999909174619</v>
      </c>
      <c r="AH49" s="129"/>
      <c r="AI49" s="129">
        <f t="shared" si="58"/>
        <v>9.7692833281621835E-10</v>
      </c>
      <c r="AJ49" s="129">
        <f t="shared" si="59"/>
        <v>0.99999921114933898</v>
      </c>
      <c r="AK49" s="129">
        <f t="shared" si="60"/>
        <v>0.9999992121262673</v>
      </c>
      <c r="AL49" s="129"/>
      <c r="AM49" s="129">
        <f t="shared" si="61"/>
        <v>9.7692910251299701E-10</v>
      </c>
      <c r="AN49" s="129">
        <f t="shared" si="62"/>
        <v>0.99999999902307091</v>
      </c>
      <c r="AO49" s="129"/>
      <c r="AP49" s="129"/>
      <c r="AQ49" s="129">
        <f t="shared" si="63"/>
        <v>0</v>
      </c>
      <c r="AR49" s="129">
        <f t="shared" si="64"/>
        <v>0.11880423922316517</v>
      </c>
      <c r="AS49" s="129"/>
      <c r="AT49" s="129">
        <f t="shared" si="51"/>
        <v>2.6522594032843682E-6</v>
      </c>
      <c r="AU49" s="129">
        <f t="shared" si="52"/>
        <v>0.99999734774059679</v>
      </c>
      <c r="AV49" s="129"/>
      <c r="AW49" s="129">
        <f t="shared" si="65"/>
        <v>-2.5245791140079701E-2</v>
      </c>
      <c r="AX49" s="129">
        <f t="shared" si="66"/>
        <v>6.7810935676759089E-8</v>
      </c>
      <c r="AY49" s="129"/>
      <c r="AZ49" s="129"/>
      <c r="BA49" s="129">
        <f t="shared" si="67"/>
        <v>1.1261494406885653</v>
      </c>
      <c r="BB49" s="129">
        <f t="shared" si="68"/>
        <v>1.4764681334991949</v>
      </c>
      <c r="BC49" s="129">
        <f t="shared" si="53"/>
        <v>1.1806620746017531</v>
      </c>
      <c r="BD49" s="129"/>
      <c r="BE49" s="129">
        <f t="shared" si="69"/>
        <v>1.0000000677862746</v>
      </c>
      <c r="BF49" s="129">
        <f t="shared" si="70"/>
        <v>0.99999931912223894</v>
      </c>
      <c r="BG49" s="129">
        <f t="shared" si="54"/>
        <v>0.99999991682538569</v>
      </c>
    </row>
    <row r="50" spans="1:59" x14ac:dyDescent="0.2">
      <c r="A50" s="133" t="s">
        <v>664</v>
      </c>
      <c r="B50" s="144">
        <f t="shared" si="55"/>
        <v>1989</v>
      </c>
      <c r="D50" s="190">
        <f t="shared" si="9"/>
        <v>5.8399999999999994E-7</v>
      </c>
      <c r="E50" s="138">
        <f>'Freight-based Energy Use'!I47</f>
        <v>678.30404136958975</v>
      </c>
      <c r="F50" s="138">
        <f t="shared" si="36"/>
        <v>678.30404195358972</v>
      </c>
      <c r="H50" s="189">
        <f>'Freight-based Activity'!J47*0.000001</f>
        <v>0.58399999999999996</v>
      </c>
      <c r="I50">
        <f>'Freight-based Activity'!K47</f>
        <v>241872.0005163</v>
      </c>
      <c r="J50">
        <f t="shared" si="37"/>
        <v>241872.5845163</v>
      </c>
      <c r="L50" s="4">
        <f t="shared" si="38"/>
        <v>1</v>
      </c>
      <c r="M50" s="4">
        <f t="shared" si="39"/>
        <v>2804.3925709535697</v>
      </c>
      <c r="N50" s="4">
        <f t="shared" si="40"/>
        <v>2804.3858021779156</v>
      </c>
      <c r="P50" s="129">
        <f t="shared" si="41"/>
        <v>1</v>
      </c>
      <c r="Q50" s="129">
        <f t="shared" si="42"/>
        <v>1.1338470354577208</v>
      </c>
      <c r="R50" s="129">
        <f t="shared" si="43"/>
        <v>1.1338472104974973</v>
      </c>
      <c r="T50" s="131">
        <f t="shared" si="56"/>
        <v>1.1017418936971584</v>
      </c>
      <c r="U50" s="131">
        <f t="shared" si="44"/>
        <v>1.1338472104974973</v>
      </c>
      <c r="V50" s="131">
        <f t="shared" si="45"/>
        <v>1.0000001545079382</v>
      </c>
      <c r="W50" s="131">
        <f t="shared" si="46"/>
        <v>1.1338470353091292</v>
      </c>
      <c r="X50" s="131">
        <f t="shared" si="47"/>
        <v>1.2492069728567528</v>
      </c>
      <c r="Y50" s="131">
        <f t="shared" si="57"/>
        <v>1.2492069728567532</v>
      </c>
      <c r="Z50" s="131"/>
      <c r="AA50" s="131">
        <f t="shared" si="48"/>
        <v>1.1338472104974968</v>
      </c>
      <c r="AD50" s="134"/>
      <c r="AF50" s="129">
        <f t="shared" si="49"/>
        <v>8.6097083885570863E-10</v>
      </c>
      <c r="AG50" s="129">
        <f t="shared" si="50"/>
        <v>0.99999999913902926</v>
      </c>
      <c r="AH50" s="129"/>
      <c r="AI50" s="129">
        <f t="shared" si="58"/>
        <v>8.8440164406491063E-10</v>
      </c>
      <c r="AJ50" s="129">
        <f t="shared" si="59"/>
        <v>1.0000000000236415</v>
      </c>
      <c r="AK50" s="129">
        <f t="shared" si="60"/>
        <v>1.0000000009080432</v>
      </c>
      <c r="AL50" s="129"/>
      <c r="AM50" s="129">
        <f t="shared" si="61"/>
        <v>8.8440164326183571E-10</v>
      </c>
      <c r="AN50" s="129">
        <f t="shared" si="62"/>
        <v>0.99999999911559834</v>
      </c>
      <c r="AO50" s="129"/>
      <c r="AP50" s="129"/>
      <c r="AQ50" s="129">
        <f t="shared" si="63"/>
        <v>0</v>
      </c>
      <c r="AR50" s="129">
        <f t="shared" si="64"/>
        <v>-4.0459054628675453E-2</v>
      </c>
      <c r="AS50" s="129"/>
      <c r="AT50" s="129">
        <f t="shared" si="51"/>
        <v>2.4144943965761598E-6</v>
      </c>
      <c r="AU50" s="129">
        <f t="shared" si="52"/>
        <v>0.99999758550560336</v>
      </c>
      <c r="AV50" s="129"/>
      <c r="AW50" s="129">
        <f t="shared" si="65"/>
        <v>-9.3921976159946713E-2</v>
      </c>
      <c r="AX50" s="129">
        <f t="shared" si="66"/>
        <v>2.3776560891256597E-7</v>
      </c>
      <c r="AY50" s="129"/>
      <c r="AZ50" s="129"/>
      <c r="BA50" s="129">
        <f t="shared" si="67"/>
        <v>0.96034848556610497</v>
      </c>
      <c r="BB50" s="129">
        <f t="shared" si="68"/>
        <v>1.4179239359925655</v>
      </c>
      <c r="BC50" s="129">
        <f t="shared" si="53"/>
        <v>1.1338470353091292</v>
      </c>
      <c r="BD50" s="129"/>
      <c r="BE50" s="129">
        <f t="shared" si="69"/>
        <v>1.0000002376825723</v>
      </c>
      <c r="BF50" s="129">
        <f t="shared" si="70"/>
        <v>0.99999955680464936</v>
      </c>
      <c r="BG50" s="129">
        <f t="shared" si="54"/>
        <v>1.0000001545079382</v>
      </c>
    </row>
    <row r="51" spans="1:59" x14ac:dyDescent="0.2">
      <c r="A51" s="133" t="s">
        <v>664</v>
      </c>
      <c r="B51" s="144">
        <f t="shared" si="55"/>
        <v>1990</v>
      </c>
      <c r="D51" s="190">
        <f t="shared" si="9"/>
        <v>5.8399999999999994E-7</v>
      </c>
      <c r="E51" s="138">
        <f>'Freight-based Energy Use'!I48</f>
        <v>711.1873031334693</v>
      </c>
      <c r="F51" s="138">
        <f t="shared" si="36"/>
        <v>711.18730371746926</v>
      </c>
      <c r="H51" s="189">
        <f>'Freight-based Activity'!J48*0.000001</f>
        <v>0.58399999999999996</v>
      </c>
      <c r="I51">
        <f>'Freight-based Activity'!K48</f>
        <v>239894.24924520004</v>
      </c>
      <c r="J51">
        <f t="shared" si="37"/>
        <v>239894.83324520005</v>
      </c>
      <c r="L51" s="4">
        <f t="shared" si="38"/>
        <v>1</v>
      </c>
      <c r="M51" s="4">
        <f t="shared" si="39"/>
        <v>2964.586710065536</v>
      </c>
      <c r="N51" s="4">
        <f t="shared" si="40"/>
        <v>2964.5794955098272</v>
      </c>
      <c r="P51" s="129">
        <f t="shared" si="41"/>
        <v>1</v>
      </c>
      <c r="Q51" s="129">
        <f t="shared" si="42"/>
        <v>1.1986153034994678</v>
      </c>
      <c r="R51" s="129">
        <f t="shared" si="43"/>
        <v>1.1986154646309406</v>
      </c>
      <c r="T51" s="131">
        <f t="shared" si="56"/>
        <v>1.0927331363175603</v>
      </c>
      <c r="U51" s="131">
        <f t="shared" si="44"/>
        <v>1.1986154646309406</v>
      </c>
      <c r="V51" s="131">
        <f t="shared" si="45"/>
        <v>1.000000134609113</v>
      </c>
      <c r="W51" s="131">
        <f t="shared" si="46"/>
        <v>1.1986153032863973</v>
      </c>
      <c r="X51" s="131">
        <f t="shared" si="47"/>
        <v>1.3097668359048971</v>
      </c>
      <c r="Y51" s="131">
        <f t="shared" si="57"/>
        <v>1.3097668359048975</v>
      </c>
      <c r="Z51" s="131"/>
      <c r="AA51" s="131">
        <f t="shared" si="48"/>
        <v>1.1986154646309402</v>
      </c>
      <c r="AD51" s="134"/>
      <c r="AF51" s="129">
        <f t="shared" si="49"/>
        <v>8.211620158956092E-10</v>
      </c>
      <c r="AG51" s="129">
        <f t="shared" si="50"/>
        <v>0.99999999917883808</v>
      </c>
      <c r="AH51" s="129"/>
      <c r="AI51" s="129">
        <f t="shared" si="58"/>
        <v>8.4090938675382824E-10</v>
      </c>
      <c r="AJ51" s="129">
        <f t="shared" si="59"/>
        <v>1.0000000000199045</v>
      </c>
      <c r="AK51" s="129">
        <f t="shared" si="60"/>
        <v>1.0000000008608139</v>
      </c>
      <c r="AL51" s="129"/>
      <c r="AM51" s="129">
        <f t="shared" si="61"/>
        <v>8.4090938602996176E-10</v>
      </c>
      <c r="AN51" s="129">
        <f t="shared" si="62"/>
        <v>0.99999999915909066</v>
      </c>
      <c r="AO51" s="129"/>
      <c r="AP51" s="129"/>
      <c r="AQ51" s="129">
        <f t="shared" si="63"/>
        <v>0</v>
      </c>
      <c r="AR51" s="129">
        <f t="shared" si="64"/>
        <v>5.5550669932361608E-2</v>
      </c>
      <c r="AS51" s="129"/>
      <c r="AT51" s="129">
        <f t="shared" si="51"/>
        <v>2.4344000748156377E-6</v>
      </c>
      <c r="AU51" s="129">
        <f t="shared" si="52"/>
        <v>0.99999756559992514</v>
      </c>
      <c r="AV51" s="129"/>
      <c r="AW51" s="129">
        <f t="shared" si="65"/>
        <v>8.2104447433409295E-3</v>
      </c>
      <c r="AX51" s="129">
        <f t="shared" si="66"/>
        <v>-1.9905726487634229E-8</v>
      </c>
      <c r="AY51" s="129"/>
      <c r="AZ51" s="129"/>
      <c r="BA51" s="129">
        <f t="shared" si="67"/>
        <v>1.0571225799956427</v>
      </c>
      <c r="BB51" s="129">
        <f t="shared" si="68"/>
        <v>1.4989194094540375</v>
      </c>
      <c r="BC51" s="129">
        <f t="shared" si="53"/>
        <v>1.1986153032863973</v>
      </c>
      <c r="BD51" s="129"/>
      <c r="BE51" s="129">
        <f t="shared" si="69"/>
        <v>0.99999998010117797</v>
      </c>
      <c r="BF51" s="129">
        <f t="shared" si="70"/>
        <v>0.9999995369058361</v>
      </c>
      <c r="BG51" s="129">
        <f t="shared" si="54"/>
        <v>1.000000134609113</v>
      </c>
    </row>
    <row r="52" spans="1:59" x14ac:dyDescent="0.2">
      <c r="A52" s="133" t="s">
        <v>664</v>
      </c>
      <c r="B52" s="144">
        <f t="shared" si="55"/>
        <v>1991</v>
      </c>
      <c r="D52" s="190">
        <f t="shared" si="9"/>
        <v>5.7899999999999998E-7</v>
      </c>
      <c r="E52" s="138">
        <f>'Freight-based Energy Use'!I49</f>
        <v>648.12081142420129</v>
      </c>
      <c r="F52" s="138">
        <f t="shared" si="36"/>
        <v>648.12081200320131</v>
      </c>
      <c r="H52" s="189">
        <f>'Freight-based Activity'!J49*0.000001</f>
        <v>0.57899999999999996</v>
      </c>
      <c r="I52">
        <f>'Freight-based Activity'!K49</f>
        <v>247588.51104060002</v>
      </c>
      <c r="J52">
        <f t="shared" si="37"/>
        <v>247589.09004060001</v>
      </c>
      <c r="L52" s="4">
        <f t="shared" si="38"/>
        <v>1</v>
      </c>
      <c r="M52" s="4">
        <f t="shared" si="39"/>
        <v>2617.7337902319759</v>
      </c>
      <c r="N52" s="4">
        <f t="shared" si="40"/>
        <v>2617.7276708635327</v>
      </c>
      <c r="P52" s="129">
        <f t="shared" si="41"/>
        <v>1</v>
      </c>
      <c r="Q52" s="129">
        <f t="shared" si="42"/>
        <v>1.05837881914756</v>
      </c>
      <c r="R52" s="129">
        <f t="shared" si="43"/>
        <v>1.0583790629469265</v>
      </c>
      <c r="T52" s="131">
        <f t="shared" si="56"/>
        <v>1.1277808663829945</v>
      </c>
      <c r="U52" s="131">
        <f t="shared" si="44"/>
        <v>1.0583790629469265</v>
      </c>
      <c r="V52" s="131">
        <f t="shared" si="45"/>
        <v>1.000000230422865</v>
      </c>
      <c r="W52" s="131">
        <f t="shared" si="46"/>
        <v>1.0583788190722463</v>
      </c>
      <c r="X52" s="131">
        <f t="shared" si="47"/>
        <v>1.1936196565719062</v>
      </c>
      <c r="Y52" s="131">
        <f t="shared" si="57"/>
        <v>1.1936196565719066</v>
      </c>
      <c r="Z52" s="131"/>
      <c r="AA52" s="131">
        <f t="shared" si="48"/>
        <v>1.0583790629469261</v>
      </c>
      <c r="AD52" s="134"/>
      <c r="AF52" s="129">
        <f t="shared" si="49"/>
        <v>8.9335196351809186E-10</v>
      </c>
      <c r="AG52" s="129">
        <f t="shared" si="50"/>
        <v>0.99999999910664805</v>
      </c>
      <c r="AH52" s="129"/>
      <c r="AI52" s="129">
        <f t="shared" si="58"/>
        <v>8.5675015466754136E-10</v>
      </c>
      <c r="AJ52" s="129">
        <f t="shared" si="59"/>
        <v>0.99999999996390498</v>
      </c>
      <c r="AK52" s="129">
        <f t="shared" si="60"/>
        <v>1.0000000008206551</v>
      </c>
      <c r="AL52" s="129"/>
      <c r="AM52" s="129">
        <f t="shared" si="61"/>
        <v>8.5675015396444497E-10</v>
      </c>
      <c r="AN52" s="129">
        <f t="shared" si="62"/>
        <v>0.99999999914324988</v>
      </c>
      <c r="AO52" s="129"/>
      <c r="AP52" s="129"/>
      <c r="AQ52" s="129">
        <f t="shared" si="63"/>
        <v>0</v>
      </c>
      <c r="AR52" s="129">
        <f t="shared" si="64"/>
        <v>-0.12442865529735339</v>
      </c>
      <c r="AS52" s="129"/>
      <c r="AT52" s="129">
        <f t="shared" si="51"/>
        <v>2.3385521547215779E-6</v>
      </c>
      <c r="AU52" s="129">
        <f t="shared" si="52"/>
        <v>0.9999976614478453</v>
      </c>
      <c r="AV52" s="129"/>
      <c r="AW52" s="129">
        <f t="shared" si="65"/>
        <v>-4.0168349759082518E-2</v>
      </c>
      <c r="AX52" s="129">
        <f t="shared" si="66"/>
        <v>9.5848148820690269E-8</v>
      </c>
      <c r="AY52" s="129"/>
      <c r="AZ52" s="129"/>
      <c r="BA52" s="129">
        <f t="shared" si="67"/>
        <v>0.88300125667539309</v>
      </c>
      <c r="BB52" s="129">
        <f t="shared" si="68"/>
        <v>1.3235477222030532</v>
      </c>
      <c r="BC52" s="129">
        <f t="shared" si="53"/>
        <v>1.0583788190722463</v>
      </c>
      <c r="BD52" s="129"/>
      <c r="BE52" s="129">
        <f t="shared" si="69"/>
        <v>1.0000000958137392</v>
      </c>
      <c r="BF52" s="129">
        <f t="shared" si="70"/>
        <v>0.99999963271953085</v>
      </c>
      <c r="BG52" s="129">
        <f t="shared" si="54"/>
        <v>1.000000230422865</v>
      </c>
    </row>
    <row r="53" spans="1:59" x14ac:dyDescent="0.2">
      <c r="A53" s="133" t="s">
        <v>664</v>
      </c>
      <c r="B53" s="144">
        <f t="shared" si="55"/>
        <v>1992</v>
      </c>
      <c r="D53" s="190">
        <f t="shared" si="9"/>
        <v>5.8899999999999999E-7</v>
      </c>
      <c r="E53" s="138">
        <f>'Freight-based Energy Use'!I50</f>
        <v>633.46734532744165</v>
      </c>
      <c r="F53" s="138">
        <f t="shared" si="36"/>
        <v>633.46734591644167</v>
      </c>
      <c r="H53" s="189">
        <f>'Freight-based Activity'!J50*0.000001</f>
        <v>0.58899999999999997</v>
      </c>
      <c r="I53">
        <f>'Freight-based Activity'!K50</f>
        <v>256449.89587530002</v>
      </c>
      <c r="J53">
        <f t="shared" si="37"/>
        <v>256450.48487530003</v>
      </c>
      <c r="L53" s="4">
        <f t="shared" si="38"/>
        <v>1</v>
      </c>
      <c r="M53" s="4">
        <f t="shared" si="39"/>
        <v>2470.140778046828</v>
      </c>
      <c r="N53" s="4">
        <f t="shared" si="40"/>
        <v>2470.1351070732717</v>
      </c>
      <c r="P53" s="129">
        <f t="shared" si="41"/>
        <v>1</v>
      </c>
      <c r="Q53" s="129">
        <f t="shared" si="42"/>
        <v>0.99870532655108568</v>
      </c>
      <c r="R53" s="129">
        <f t="shared" si="43"/>
        <v>0.99870559839943174</v>
      </c>
      <c r="T53" s="131">
        <f t="shared" si="56"/>
        <v>1.1681449694313195</v>
      </c>
      <c r="U53" s="131">
        <f t="shared" si="44"/>
        <v>0.99870559839943174</v>
      </c>
      <c r="V53" s="131">
        <f t="shared" si="45"/>
        <v>1.0000002722190211</v>
      </c>
      <c r="W53" s="131">
        <f t="shared" si="46"/>
        <v>0.99870532653284494</v>
      </c>
      <c r="X53" s="131">
        <f t="shared" si="47"/>
        <v>1.1666329207131911</v>
      </c>
      <c r="Y53" s="131">
        <f t="shared" si="57"/>
        <v>1.166632920713192</v>
      </c>
      <c r="Z53" s="131"/>
      <c r="AA53" s="131">
        <f t="shared" si="48"/>
        <v>0.99870559839943129</v>
      </c>
      <c r="AD53" s="134"/>
      <c r="AF53" s="129">
        <f t="shared" si="49"/>
        <v>9.2980325473271164E-10</v>
      </c>
      <c r="AG53" s="129">
        <f t="shared" si="50"/>
        <v>0.99999999907019665</v>
      </c>
      <c r="AH53" s="129"/>
      <c r="AI53" s="129">
        <f t="shared" si="58"/>
        <v>9.1145613123518331E-10</v>
      </c>
      <c r="AJ53" s="129">
        <f t="shared" si="59"/>
        <v>0.99999999998177425</v>
      </c>
      <c r="AK53" s="129">
        <f t="shared" si="60"/>
        <v>1.0000000008932304</v>
      </c>
      <c r="AL53" s="129"/>
      <c r="AM53" s="129">
        <f t="shared" si="61"/>
        <v>9.11456130421043E-10</v>
      </c>
      <c r="AN53" s="129">
        <f t="shared" si="62"/>
        <v>0.99999999908854387</v>
      </c>
      <c r="AO53" s="129"/>
      <c r="AP53" s="129"/>
      <c r="AQ53" s="129">
        <f t="shared" si="63"/>
        <v>0</v>
      </c>
      <c r="AR53" s="129">
        <f t="shared" si="64"/>
        <v>-5.8033833737745899E-2</v>
      </c>
      <c r="AS53" s="129"/>
      <c r="AT53" s="129">
        <f t="shared" si="51"/>
        <v>2.296739662186263E-6</v>
      </c>
      <c r="AU53" s="129">
        <f t="shared" si="52"/>
        <v>0.99999770326033777</v>
      </c>
      <c r="AV53" s="129"/>
      <c r="AW53" s="129">
        <f t="shared" si="65"/>
        <v>-1.8041421476733668E-2</v>
      </c>
      <c r="AX53" s="129">
        <f t="shared" si="66"/>
        <v>4.1812589404875962E-8</v>
      </c>
      <c r="AY53" s="129"/>
      <c r="AZ53" s="129"/>
      <c r="BA53" s="129">
        <f t="shared" si="67"/>
        <v>0.94361802082196822</v>
      </c>
      <c r="BB53" s="129">
        <f t="shared" si="68"/>
        <v>1.2489234820886692</v>
      </c>
      <c r="BC53" s="129">
        <f t="shared" si="53"/>
        <v>0.99870532653284494</v>
      </c>
      <c r="BD53" s="129"/>
      <c r="BE53" s="129">
        <f t="shared" si="69"/>
        <v>1.0000000417961463</v>
      </c>
      <c r="BF53" s="129">
        <f t="shared" si="70"/>
        <v>0.99999967451566185</v>
      </c>
      <c r="BG53" s="129">
        <f t="shared" si="54"/>
        <v>1.0000002722190211</v>
      </c>
    </row>
    <row r="54" spans="1:59" x14ac:dyDescent="0.2">
      <c r="A54" s="133" t="s">
        <v>664</v>
      </c>
      <c r="B54" s="144">
        <f t="shared" si="55"/>
        <v>1993</v>
      </c>
      <c r="D54" s="190">
        <f t="shared" si="9"/>
        <v>5.9299999999999998E-7</v>
      </c>
      <c r="E54" s="138">
        <f>'Freight-based Energy Use'!I51</f>
        <v>672.91475630274192</v>
      </c>
      <c r="F54" s="138">
        <f t="shared" si="36"/>
        <v>672.9147568957419</v>
      </c>
      <c r="H54" s="189">
        <f>'Freight-based Activity'!J51*0.000001</f>
        <v>0.59299999999999997</v>
      </c>
      <c r="I54">
        <f>'Freight-based Activity'!K51</f>
        <v>263724.15333060001</v>
      </c>
      <c r="J54">
        <f t="shared" si="37"/>
        <v>263724.7463306</v>
      </c>
      <c r="L54" s="4">
        <f t="shared" si="38"/>
        <v>1</v>
      </c>
      <c r="M54" s="4">
        <f t="shared" si="39"/>
        <v>2551.5856162753043</v>
      </c>
      <c r="N54" s="4">
        <f t="shared" si="40"/>
        <v>2551.5798811393665</v>
      </c>
      <c r="P54" s="129">
        <f t="shared" si="41"/>
        <v>1</v>
      </c>
      <c r="Q54" s="129">
        <f t="shared" si="42"/>
        <v>1.0316343784018012</v>
      </c>
      <c r="R54" s="129">
        <f t="shared" si="43"/>
        <v>1.0316347088708668</v>
      </c>
      <c r="T54" s="131">
        <f t="shared" si="56"/>
        <v>1.2012795994144474</v>
      </c>
      <c r="U54" s="131">
        <f t="shared" si="44"/>
        <v>1.0316347088708668</v>
      </c>
      <c r="V54" s="131">
        <f t="shared" si="45"/>
        <v>1.0000003203830845</v>
      </c>
      <c r="W54" s="131">
        <f t="shared" si="46"/>
        <v>1.0316343783526623</v>
      </c>
      <c r="X54" s="131">
        <f t="shared" si="47"/>
        <v>1.2392817298144345</v>
      </c>
      <c r="Y54" s="131">
        <f t="shared" si="57"/>
        <v>1.239281729814435</v>
      </c>
      <c r="Z54" s="131"/>
      <c r="AA54" s="131">
        <f t="shared" si="48"/>
        <v>1.0316347088708664</v>
      </c>
      <c r="AD54" s="134"/>
      <c r="AF54" s="129">
        <f t="shared" si="49"/>
        <v>8.8124089109830072E-10</v>
      </c>
      <c r="AG54" s="129">
        <f t="shared" si="50"/>
        <v>0.99999999911875914</v>
      </c>
      <c r="AH54" s="129"/>
      <c r="AI54" s="129">
        <f t="shared" si="58"/>
        <v>9.0530500149880537E-10</v>
      </c>
      <c r="AJ54" s="129">
        <f t="shared" si="59"/>
        <v>1.0000000000242812</v>
      </c>
      <c r="AK54" s="129">
        <f t="shared" si="60"/>
        <v>1.0000000009295862</v>
      </c>
      <c r="AL54" s="129"/>
      <c r="AM54" s="129">
        <f t="shared" si="61"/>
        <v>9.0530500065724639E-10</v>
      </c>
      <c r="AN54" s="129">
        <f t="shared" si="62"/>
        <v>0.99999999909469506</v>
      </c>
      <c r="AO54" s="129"/>
      <c r="AP54" s="129"/>
      <c r="AQ54" s="129">
        <f t="shared" si="63"/>
        <v>0</v>
      </c>
      <c r="AR54" s="129">
        <f t="shared" si="64"/>
        <v>3.2439832054069341E-2</v>
      </c>
      <c r="AS54" s="129"/>
      <c r="AT54" s="129">
        <f t="shared" si="51"/>
        <v>2.2485565281637516E-6</v>
      </c>
      <c r="AU54" s="129">
        <f t="shared" si="52"/>
        <v>0.99999775144347192</v>
      </c>
      <c r="AV54" s="129"/>
      <c r="AW54" s="129">
        <f t="shared" si="65"/>
        <v>-2.1202111796284284E-2</v>
      </c>
      <c r="AX54" s="129">
        <f t="shared" si="66"/>
        <v>4.8183243566627458E-8</v>
      </c>
      <c r="AY54" s="129"/>
      <c r="AZ54" s="129"/>
      <c r="BA54" s="129">
        <f t="shared" si="67"/>
        <v>1.0329717394560569</v>
      </c>
      <c r="BB54" s="129">
        <f t="shared" si="68"/>
        <v>1.2901026617406481</v>
      </c>
      <c r="BC54" s="129">
        <f t="shared" si="53"/>
        <v>1.0316343783526623</v>
      </c>
      <c r="BD54" s="129"/>
      <c r="BE54" s="129">
        <f t="shared" si="69"/>
        <v>1.0000000481640503</v>
      </c>
      <c r="BF54" s="129">
        <f t="shared" si="70"/>
        <v>0.9999997226796965</v>
      </c>
      <c r="BG54" s="129">
        <f t="shared" si="54"/>
        <v>1.0000003203830845</v>
      </c>
    </row>
    <row r="55" spans="1:59" x14ac:dyDescent="0.2">
      <c r="A55" s="133" t="s">
        <v>664</v>
      </c>
      <c r="B55" s="144">
        <f t="shared" si="55"/>
        <v>1994</v>
      </c>
      <c r="D55" s="190">
        <f t="shared" si="9"/>
        <v>5.9099999999999993E-7</v>
      </c>
      <c r="E55" s="138">
        <f>'Freight-based Energy Use'!I52</f>
        <v>738.72223839700894</v>
      </c>
      <c r="F55" s="138">
        <f t="shared" si="36"/>
        <v>738.72223898800894</v>
      </c>
      <c r="H55" s="189">
        <f>'Freight-based Activity'!J52*0.000001</f>
        <v>0.59099999999999997</v>
      </c>
      <c r="I55">
        <f>'Freight-based Activity'!K52</f>
        <v>269894.90835839999</v>
      </c>
      <c r="J55">
        <f t="shared" si="37"/>
        <v>269895.4993584</v>
      </c>
      <c r="L55" s="4">
        <f t="shared" si="38"/>
        <v>1</v>
      </c>
      <c r="M55" s="4">
        <f t="shared" si="39"/>
        <v>2737.0736368840344</v>
      </c>
      <c r="N55" s="4">
        <f t="shared" si="40"/>
        <v>2737.0676456039891</v>
      </c>
      <c r="P55" s="129">
        <f t="shared" si="41"/>
        <v>1</v>
      </c>
      <c r="Q55" s="129">
        <f t="shared" si="42"/>
        <v>1.1066292434069587</v>
      </c>
      <c r="R55" s="129">
        <f t="shared" si="43"/>
        <v>1.106629662901905</v>
      </c>
      <c r="T55" s="131">
        <f t="shared" si="56"/>
        <v>1.2293876925246348</v>
      </c>
      <c r="U55" s="131">
        <f t="shared" si="44"/>
        <v>1.106629662901905</v>
      </c>
      <c r="V55" s="131">
        <f t="shared" si="45"/>
        <v>1.0000003791810947</v>
      </c>
      <c r="W55" s="131">
        <f t="shared" si="46"/>
        <v>1.106629243289017</v>
      </c>
      <c r="X55" s="131">
        <f t="shared" si="47"/>
        <v>1.3604768877542872</v>
      </c>
      <c r="Y55" s="131">
        <f t="shared" si="57"/>
        <v>1.3604768877542879</v>
      </c>
      <c r="Z55" s="131"/>
      <c r="AA55" s="131">
        <f t="shared" si="48"/>
        <v>1.106629662901905</v>
      </c>
      <c r="AD55" s="134"/>
      <c r="AF55" s="129">
        <f t="shared" si="49"/>
        <v>8.0003006381616884E-10</v>
      </c>
      <c r="AG55" s="129">
        <f t="shared" si="50"/>
        <v>0.99999999919996996</v>
      </c>
      <c r="AH55" s="129"/>
      <c r="AI55" s="129">
        <f t="shared" si="58"/>
        <v>8.399812792230265E-10</v>
      </c>
      <c r="AJ55" s="129">
        <f t="shared" si="59"/>
        <v>1.0000000000406053</v>
      </c>
      <c r="AK55" s="129">
        <f t="shared" si="60"/>
        <v>1.0000000008805865</v>
      </c>
      <c r="AL55" s="129"/>
      <c r="AM55" s="129">
        <f t="shared" si="61"/>
        <v>8.3998127848335033E-10</v>
      </c>
      <c r="AN55" s="129">
        <f t="shared" si="62"/>
        <v>0.9999999991600188</v>
      </c>
      <c r="AO55" s="129"/>
      <c r="AP55" s="129"/>
      <c r="AQ55" s="129">
        <f t="shared" si="63"/>
        <v>0</v>
      </c>
      <c r="AR55" s="129">
        <f t="shared" si="64"/>
        <v>7.0174357698561646E-2</v>
      </c>
      <c r="AS55" s="129"/>
      <c r="AT55" s="129">
        <f t="shared" si="51"/>
        <v>2.1897364031817309E-6</v>
      </c>
      <c r="AU55" s="129">
        <f t="shared" si="52"/>
        <v>0.9999978102635968</v>
      </c>
      <c r="AV55" s="129"/>
      <c r="AW55" s="129">
        <f t="shared" si="65"/>
        <v>-2.6507294561061691E-2</v>
      </c>
      <c r="AX55" s="129">
        <f t="shared" si="66"/>
        <v>5.882025537954856E-8</v>
      </c>
      <c r="AY55" s="129"/>
      <c r="AZ55" s="129"/>
      <c r="BA55" s="129">
        <f t="shared" si="67"/>
        <v>1.0726951975525558</v>
      </c>
      <c r="BB55" s="129">
        <f t="shared" si="68"/>
        <v>1.3838869295989626</v>
      </c>
      <c r="BC55" s="129">
        <f t="shared" si="53"/>
        <v>1.106629243289017</v>
      </c>
      <c r="BD55" s="129"/>
      <c r="BE55" s="129">
        <f t="shared" si="69"/>
        <v>1.0000000587979914</v>
      </c>
      <c r="BF55" s="129">
        <f t="shared" si="70"/>
        <v>0.99999978147767155</v>
      </c>
      <c r="BG55" s="129">
        <f t="shared" si="54"/>
        <v>1.0000003791810947</v>
      </c>
    </row>
    <row r="56" spans="1:59" x14ac:dyDescent="0.2">
      <c r="A56" s="133" t="s">
        <v>664</v>
      </c>
      <c r="B56" s="144">
        <f t="shared" si="55"/>
        <v>1995</v>
      </c>
      <c r="D56" s="190">
        <f t="shared" si="9"/>
        <v>6.0099999999999994E-7</v>
      </c>
      <c r="E56" s="138">
        <f>'Freight-based Energy Use'!I53</f>
        <v>754.86099145819173</v>
      </c>
      <c r="F56" s="138">
        <f t="shared" si="36"/>
        <v>754.86099205919174</v>
      </c>
      <c r="H56" s="189">
        <f>'Freight-based Activity'!J53*0.000001</f>
        <v>0.60099999999999998</v>
      </c>
      <c r="I56">
        <f>'Freight-based Activity'!K53</f>
        <v>281674.44097140001</v>
      </c>
      <c r="J56">
        <f t="shared" si="37"/>
        <v>281675.04197140003</v>
      </c>
      <c r="L56" s="4">
        <f t="shared" si="38"/>
        <v>1</v>
      </c>
      <c r="M56" s="4">
        <f t="shared" si="39"/>
        <v>2679.9058830291142</v>
      </c>
      <c r="N56" s="4">
        <f t="shared" si="40"/>
        <v>2679.9001671430897</v>
      </c>
      <c r="P56" s="129">
        <f t="shared" si="41"/>
        <v>1</v>
      </c>
      <c r="Q56" s="129">
        <f t="shared" si="42"/>
        <v>1.0835156861598227</v>
      </c>
      <c r="R56" s="129">
        <f t="shared" si="43"/>
        <v>1.083516157643917</v>
      </c>
      <c r="T56" s="131">
        <f t="shared" si="56"/>
        <v>1.2830441067531702</v>
      </c>
      <c r="U56" s="131">
        <f t="shared" si="44"/>
        <v>1.083516157643917</v>
      </c>
      <c r="V56" s="131">
        <f t="shared" si="45"/>
        <v>1.0000004352325724</v>
      </c>
      <c r="W56" s="131">
        <f t="shared" si="46"/>
        <v>1.0835156860625974</v>
      </c>
      <c r="X56" s="131">
        <f t="shared" si="47"/>
        <v>1.3901990206368662</v>
      </c>
      <c r="Y56" s="131">
        <f t="shared" si="57"/>
        <v>1.3901990206368666</v>
      </c>
      <c r="Z56" s="131"/>
      <c r="AA56" s="131">
        <f t="shared" si="48"/>
        <v>1.0835161576439167</v>
      </c>
      <c r="AD56" s="134"/>
      <c r="AF56" s="129">
        <f t="shared" si="49"/>
        <v>7.9617307864925823E-10</v>
      </c>
      <c r="AG56" s="129">
        <f t="shared" si="50"/>
        <v>0.99999999920382687</v>
      </c>
      <c r="AH56" s="129"/>
      <c r="AI56" s="129">
        <f t="shared" si="58"/>
        <v>7.9810001792606304E-10</v>
      </c>
      <c r="AJ56" s="129">
        <f t="shared" si="59"/>
        <v>1.0000000000019285</v>
      </c>
      <c r="AK56" s="129">
        <f t="shared" si="60"/>
        <v>1.0000000008000285</v>
      </c>
      <c r="AL56" s="129"/>
      <c r="AM56" s="129">
        <f t="shared" si="61"/>
        <v>7.9810001728756026E-10</v>
      </c>
      <c r="AN56" s="129">
        <f t="shared" si="62"/>
        <v>0.99999999920189997</v>
      </c>
      <c r="AO56" s="129"/>
      <c r="AP56" s="129"/>
      <c r="AQ56" s="129">
        <f t="shared" si="63"/>
        <v>0</v>
      </c>
      <c r="AR56" s="129">
        <f t="shared" si="64"/>
        <v>-2.1107658295627659E-2</v>
      </c>
      <c r="AS56" s="129"/>
      <c r="AT56" s="129">
        <f t="shared" si="51"/>
        <v>2.1336643665469755E-6</v>
      </c>
      <c r="AU56" s="129">
        <f t="shared" si="52"/>
        <v>0.99999786633563337</v>
      </c>
      <c r="AV56" s="129"/>
      <c r="AW56" s="129">
        <f t="shared" si="65"/>
        <v>-2.5940311261632324E-2</v>
      </c>
      <c r="AX56" s="129">
        <f t="shared" si="66"/>
        <v>5.6072157788055328E-8</v>
      </c>
      <c r="AY56" s="129"/>
      <c r="AZ56" s="129"/>
      <c r="BA56" s="129">
        <f t="shared" si="67"/>
        <v>0.97911354921570326</v>
      </c>
      <c r="BB56" s="129">
        <f t="shared" si="68"/>
        <v>1.3549824433528623</v>
      </c>
      <c r="BC56" s="129">
        <f t="shared" si="53"/>
        <v>1.0835156860625974</v>
      </c>
      <c r="BD56" s="129"/>
      <c r="BE56" s="129">
        <f t="shared" si="69"/>
        <v>1.0000000560514564</v>
      </c>
      <c r="BF56" s="129">
        <f t="shared" si="70"/>
        <v>0.9999998375291157</v>
      </c>
      <c r="BG56" s="129">
        <f t="shared" si="54"/>
        <v>1.0000004352325724</v>
      </c>
    </row>
    <row r="57" spans="1:59" x14ac:dyDescent="0.2">
      <c r="A57" s="133" t="s">
        <v>664</v>
      </c>
      <c r="B57" s="144">
        <f t="shared" si="55"/>
        <v>1996</v>
      </c>
      <c r="D57" s="190">
        <f t="shared" si="9"/>
        <v>6.1919999999999993E-7</v>
      </c>
      <c r="E57" s="138">
        <f>'Freight-based Energy Use'!I54</f>
        <v>766.83706073374117</v>
      </c>
      <c r="F57" s="138">
        <f t="shared" si="36"/>
        <v>766.83706135294119</v>
      </c>
      <c r="H57" s="189">
        <f>'Freight-based Activity'!J54*0.000001</f>
        <v>0.61919999999999997</v>
      </c>
      <c r="I57">
        <f>'Freight-based Activity'!K54</f>
        <v>286695.02642280003</v>
      </c>
      <c r="J57">
        <f t="shared" si="37"/>
        <v>286695.64562280005</v>
      </c>
      <c r="L57" s="4">
        <f t="shared" si="38"/>
        <v>1</v>
      </c>
      <c r="M57" s="4">
        <f t="shared" si="39"/>
        <v>2674.748391354573</v>
      </c>
      <c r="N57" s="4">
        <f t="shared" si="40"/>
        <v>2674.7426166418095</v>
      </c>
      <c r="P57" s="129">
        <f t="shared" si="41"/>
        <v>1</v>
      </c>
      <c r="Q57" s="129">
        <f t="shared" si="42"/>
        <v>1.081430455045554</v>
      </c>
      <c r="R57" s="129">
        <f t="shared" si="43"/>
        <v>1.0814308973903759</v>
      </c>
      <c r="T57" s="131">
        <f t="shared" si="56"/>
        <v>1.3059132111018839</v>
      </c>
      <c r="U57" s="131">
        <f t="shared" si="44"/>
        <v>1.0814308973903759</v>
      </c>
      <c r="V57" s="131">
        <f t="shared" si="45"/>
        <v>1.0000004091249579</v>
      </c>
      <c r="W57" s="131">
        <f t="shared" si="46"/>
        <v>1.0814304549501863</v>
      </c>
      <c r="X57" s="131">
        <f t="shared" si="47"/>
        <v>1.4122548957958574</v>
      </c>
      <c r="Y57" s="131">
        <f t="shared" si="57"/>
        <v>1.4122548957958578</v>
      </c>
      <c r="Z57" s="131"/>
      <c r="AA57" s="131">
        <f t="shared" si="48"/>
        <v>1.0814308973903757</v>
      </c>
      <c r="AD57" s="134"/>
      <c r="AF57" s="129">
        <f t="shared" si="49"/>
        <v>8.074727099229357E-10</v>
      </c>
      <c r="AG57" s="129">
        <f t="shared" si="50"/>
        <v>0.99999999919252724</v>
      </c>
      <c r="AH57" s="129"/>
      <c r="AI57" s="129">
        <f t="shared" si="58"/>
        <v>8.0180962417388048E-10</v>
      </c>
      <c r="AJ57" s="129">
        <f t="shared" si="59"/>
        <v>0.99999999999435008</v>
      </c>
      <c r="AK57" s="129">
        <f t="shared" si="60"/>
        <v>1.0000000007961598</v>
      </c>
      <c r="AL57" s="129"/>
      <c r="AM57" s="129">
        <f t="shared" si="61"/>
        <v>8.0180962353551191E-10</v>
      </c>
      <c r="AN57" s="129">
        <f t="shared" si="62"/>
        <v>0.99999999919819027</v>
      </c>
      <c r="AO57" s="129"/>
      <c r="AP57" s="129"/>
      <c r="AQ57" s="129">
        <f t="shared" si="63"/>
        <v>0</v>
      </c>
      <c r="AR57" s="129">
        <f t="shared" si="64"/>
        <v>-1.9263590159715254E-3</v>
      </c>
      <c r="AS57" s="129"/>
      <c r="AT57" s="129">
        <f t="shared" si="51"/>
        <v>2.1597816690061261E-6</v>
      </c>
      <c r="AU57" s="129">
        <f t="shared" si="52"/>
        <v>0.99999784021833094</v>
      </c>
      <c r="AV57" s="129"/>
      <c r="AW57" s="129">
        <f t="shared" si="65"/>
        <v>1.2166275944890462E-2</v>
      </c>
      <c r="AX57" s="129">
        <f t="shared" si="66"/>
        <v>-2.6117358506103549E-8</v>
      </c>
      <c r="AY57" s="129"/>
      <c r="AZ57" s="129"/>
      <c r="BA57" s="129">
        <f t="shared" si="67"/>
        <v>0.99807549522426509</v>
      </c>
      <c r="BB57" s="129">
        <f t="shared" si="68"/>
        <v>1.3523747731695928</v>
      </c>
      <c r="BC57" s="129">
        <f t="shared" si="53"/>
        <v>1.0814304549501863</v>
      </c>
      <c r="BD57" s="129"/>
      <c r="BE57" s="129">
        <f t="shared" si="69"/>
        <v>0.99999997389239692</v>
      </c>
      <c r="BF57" s="129">
        <f t="shared" si="70"/>
        <v>0.99999981142151684</v>
      </c>
      <c r="BG57" s="129">
        <f t="shared" si="54"/>
        <v>1.0000004091249579</v>
      </c>
    </row>
    <row r="58" spans="1:59" x14ac:dyDescent="0.2">
      <c r="A58" s="133" t="s">
        <v>664</v>
      </c>
      <c r="B58" s="144">
        <f t="shared" si="55"/>
        <v>1997</v>
      </c>
      <c r="D58" s="190">
        <f t="shared" si="9"/>
        <v>6.1649999999999994E-7</v>
      </c>
      <c r="E58" s="138">
        <f>'Freight-based Energy Use'!I55</f>
        <v>809.97720983684565</v>
      </c>
      <c r="F58" s="138">
        <f t="shared" si="36"/>
        <v>809.97721045334561</v>
      </c>
      <c r="H58" s="189">
        <f>'Freight-based Activity'!J55*0.000001</f>
        <v>0.61649999999999994</v>
      </c>
      <c r="I58">
        <f>'Freight-based Activity'!K55</f>
        <v>288565.6279206</v>
      </c>
      <c r="J58">
        <f t="shared" si="37"/>
        <v>288566.24442060001</v>
      </c>
      <c r="L58" s="4">
        <f t="shared" si="38"/>
        <v>1</v>
      </c>
      <c r="M58" s="4">
        <f t="shared" si="39"/>
        <v>2806.9081396614365</v>
      </c>
      <c r="N58" s="4">
        <f t="shared" si="40"/>
        <v>2806.9021450504883</v>
      </c>
      <c r="P58" s="129">
        <f t="shared" si="41"/>
        <v>1</v>
      </c>
      <c r="Q58" s="129">
        <f t="shared" si="42"/>
        <v>1.1348641078003903</v>
      </c>
      <c r="R58" s="129">
        <f t="shared" si="43"/>
        <v>1.1348645984562102</v>
      </c>
      <c r="T58" s="131">
        <f t="shared" si="56"/>
        <v>1.3144338835292992</v>
      </c>
      <c r="U58" s="131">
        <f t="shared" si="44"/>
        <v>1.1348645984562102</v>
      </c>
      <c r="V58" s="131">
        <f t="shared" si="45"/>
        <v>1.0000004324736422</v>
      </c>
      <c r="W58" s="131">
        <f t="shared" si="46"/>
        <v>1.134864107657396</v>
      </c>
      <c r="X58" s="131">
        <f t="shared" si="47"/>
        <v>1.491704481428715</v>
      </c>
      <c r="Y58" s="131">
        <f t="shared" si="57"/>
        <v>1.4917044814287155</v>
      </c>
      <c r="Z58" s="131"/>
      <c r="AA58" s="131">
        <f t="shared" si="48"/>
        <v>1.13486459845621</v>
      </c>
      <c r="AD58" s="134"/>
      <c r="AF58" s="129">
        <f t="shared" si="49"/>
        <v>7.6113252575951343E-10</v>
      </c>
      <c r="AG58" s="129">
        <f t="shared" si="50"/>
        <v>0.99999999923886751</v>
      </c>
      <c r="AH58" s="129"/>
      <c r="AI58" s="129">
        <f t="shared" si="58"/>
        <v>7.8407439888799631E-10</v>
      </c>
      <c r="AJ58" s="129">
        <f t="shared" si="59"/>
        <v>1.0000000000231701</v>
      </c>
      <c r="AK58" s="129">
        <f t="shared" si="60"/>
        <v>1.0000000008072445</v>
      </c>
      <c r="AL58" s="129"/>
      <c r="AM58" s="129">
        <f t="shared" si="61"/>
        <v>7.8407439825505652E-10</v>
      </c>
      <c r="AN58" s="129">
        <f t="shared" si="62"/>
        <v>0.99999999921592564</v>
      </c>
      <c r="AO58" s="129"/>
      <c r="AP58" s="129"/>
      <c r="AQ58" s="129">
        <f t="shared" si="63"/>
        <v>0</v>
      </c>
      <c r="AR58" s="129">
        <f t="shared" si="64"/>
        <v>4.8228254776694741E-2</v>
      </c>
      <c r="AS58" s="129"/>
      <c r="AT58" s="129">
        <f t="shared" si="51"/>
        <v>2.1364245192220744E-6</v>
      </c>
      <c r="AU58" s="129">
        <f t="shared" si="52"/>
        <v>0.99999786357548082</v>
      </c>
      <c r="AV58" s="129"/>
      <c r="AW58" s="129">
        <f t="shared" si="65"/>
        <v>-1.0873491118459136E-2</v>
      </c>
      <c r="AX58" s="129">
        <f t="shared" si="66"/>
        <v>2.3357200123255327E-8</v>
      </c>
      <c r="AY58" s="129"/>
      <c r="AZ58" s="129"/>
      <c r="BA58" s="129">
        <f t="shared" si="67"/>
        <v>1.049410160831536</v>
      </c>
      <c r="BB58" s="129">
        <f t="shared" si="68"/>
        <v>1.4191958282164143</v>
      </c>
      <c r="BC58" s="129">
        <f t="shared" si="53"/>
        <v>1.134864107657396</v>
      </c>
      <c r="BD58" s="129"/>
      <c r="BE58" s="129">
        <f t="shared" si="69"/>
        <v>1.0000000233486748</v>
      </c>
      <c r="BF58" s="129">
        <f t="shared" si="70"/>
        <v>0.99999983477018717</v>
      </c>
      <c r="BG58" s="129">
        <f t="shared" si="54"/>
        <v>1.0000004324736422</v>
      </c>
    </row>
    <row r="59" spans="1:59" x14ac:dyDescent="0.2">
      <c r="A59" s="133" t="s">
        <v>664</v>
      </c>
      <c r="B59" s="144">
        <f t="shared" si="55"/>
        <v>1998</v>
      </c>
      <c r="D59" s="190">
        <f t="shared" si="9"/>
        <v>6.1979999999999998E-7</v>
      </c>
      <c r="E59" s="138">
        <f>'Freight-based Energy Use'!I56</f>
        <v>684.95334128506681</v>
      </c>
      <c r="F59" s="138">
        <f t="shared" si="36"/>
        <v>684.95334190486676</v>
      </c>
      <c r="H59" s="189">
        <f>'Freight-based Activity'!J56*0.000001</f>
        <v>0.61980000000000002</v>
      </c>
      <c r="I59">
        <f>'Freight-based Activity'!K56</f>
        <v>283776.79533510003</v>
      </c>
      <c r="J59">
        <f t="shared" si="37"/>
        <v>283777.41513510002</v>
      </c>
      <c r="L59" s="4">
        <f t="shared" si="38"/>
        <v>1</v>
      </c>
      <c r="M59" s="4">
        <f t="shared" si="39"/>
        <v>2413.7045471820002</v>
      </c>
      <c r="N59" s="4">
        <f t="shared" si="40"/>
        <v>2413.6992775791405</v>
      </c>
      <c r="P59" s="129">
        <f t="shared" si="41"/>
        <v>1</v>
      </c>
      <c r="Q59" s="129">
        <f t="shared" si="42"/>
        <v>0.9758875321662096</v>
      </c>
      <c r="R59" s="129">
        <f t="shared" si="43"/>
        <v>0.97588790769712608</v>
      </c>
      <c r="T59" s="131">
        <f t="shared" si="56"/>
        <v>1.2926205231761601</v>
      </c>
      <c r="U59" s="131">
        <f t="shared" si="44"/>
        <v>0.97588790769712608</v>
      </c>
      <c r="V59" s="131">
        <f t="shared" si="45"/>
        <v>1.0000003848102217</v>
      </c>
      <c r="W59" s="131">
        <f t="shared" si="46"/>
        <v>0.97588753216562818</v>
      </c>
      <c r="X59" s="131">
        <f t="shared" si="47"/>
        <v>1.261452737808747</v>
      </c>
      <c r="Y59" s="131">
        <f t="shared" si="57"/>
        <v>1.2614527378087474</v>
      </c>
      <c r="Z59" s="131"/>
      <c r="AA59" s="131">
        <f t="shared" si="48"/>
        <v>0.97588790769712574</v>
      </c>
      <c r="AD59" s="134"/>
      <c r="AF59" s="129">
        <f t="shared" si="49"/>
        <v>9.0487915319359671E-10</v>
      </c>
      <c r="AG59" s="129">
        <f t="shared" si="50"/>
        <v>0.99999999909512094</v>
      </c>
      <c r="AH59" s="129"/>
      <c r="AI59" s="129">
        <f t="shared" si="58"/>
        <v>8.3093459805801656E-10</v>
      </c>
      <c r="AJ59" s="129">
        <f t="shared" si="59"/>
        <v>0.99999999992812671</v>
      </c>
      <c r="AK59" s="129">
        <f t="shared" si="60"/>
        <v>1.0000000007590613</v>
      </c>
      <c r="AL59" s="129"/>
      <c r="AM59" s="129">
        <f t="shared" si="61"/>
        <v>8.3093459742728628E-10</v>
      </c>
      <c r="AN59" s="129">
        <f t="shared" si="62"/>
        <v>0.99999999916906546</v>
      </c>
      <c r="AO59" s="129"/>
      <c r="AP59" s="129"/>
      <c r="AQ59" s="129">
        <f t="shared" si="63"/>
        <v>0</v>
      </c>
      <c r="AR59" s="129">
        <f t="shared" si="64"/>
        <v>-0.15092084760025873</v>
      </c>
      <c r="AS59" s="129"/>
      <c r="AT59" s="129">
        <f t="shared" si="51"/>
        <v>2.1841061583598091E-6</v>
      </c>
      <c r="AU59" s="129">
        <f t="shared" si="52"/>
        <v>0.99999781589384173</v>
      </c>
      <c r="AV59" s="129"/>
      <c r="AW59" s="129">
        <f t="shared" si="65"/>
        <v>2.2073017704025647E-2</v>
      </c>
      <c r="AX59" s="129">
        <f t="shared" si="66"/>
        <v>-4.7681742136779469E-8</v>
      </c>
      <c r="AY59" s="129"/>
      <c r="AZ59" s="129"/>
      <c r="BA59" s="129">
        <f t="shared" si="67"/>
        <v>0.85991576046939244</v>
      </c>
      <c r="BB59" s="129">
        <f t="shared" si="68"/>
        <v>1.2203888598757071</v>
      </c>
      <c r="BC59" s="129">
        <f t="shared" si="53"/>
        <v>0.97588753216562818</v>
      </c>
      <c r="BD59" s="129"/>
      <c r="BE59" s="129">
        <f t="shared" si="69"/>
        <v>0.99999995233660022</v>
      </c>
      <c r="BF59" s="129">
        <f t="shared" si="70"/>
        <v>0.99999978710679527</v>
      </c>
      <c r="BG59" s="129">
        <f t="shared" si="54"/>
        <v>1.0000003848102217</v>
      </c>
    </row>
    <row r="60" spans="1:59" x14ac:dyDescent="0.2">
      <c r="A60" s="133" t="s">
        <v>664</v>
      </c>
      <c r="B60" s="144">
        <f t="shared" si="55"/>
        <v>1999</v>
      </c>
      <c r="D60" s="190">
        <f t="shared" si="9"/>
        <v>6.1770000000000003E-7</v>
      </c>
      <c r="E60" s="138">
        <f>'Freight-based Energy Use'!I57</f>
        <v>695.56161001065038</v>
      </c>
      <c r="F60" s="138">
        <f t="shared" si="36"/>
        <v>695.56161062835042</v>
      </c>
      <c r="H60" s="189">
        <f>'Freight-based Activity'!J57*0.000001</f>
        <v>0.61770000000000003</v>
      </c>
      <c r="I60">
        <f>'Freight-based Activity'!K57</f>
        <v>287151.42308580002</v>
      </c>
      <c r="J60">
        <f t="shared" si="37"/>
        <v>287152.04078580003</v>
      </c>
      <c r="L60" s="4">
        <f t="shared" si="38"/>
        <v>1</v>
      </c>
      <c r="M60" s="4">
        <f t="shared" si="39"/>
        <v>2422.2816050708498</v>
      </c>
      <c r="N60" s="4">
        <f t="shared" si="40"/>
        <v>2422.2763965908989</v>
      </c>
      <c r="P60" s="129">
        <f t="shared" si="41"/>
        <v>1</v>
      </c>
      <c r="Q60" s="129">
        <f t="shared" si="42"/>
        <v>0.97935533184623613</v>
      </c>
      <c r="R60" s="129">
        <f t="shared" si="43"/>
        <v>0.97935574099525313</v>
      </c>
      <c r="T60" s="131">
        <f t="shared" si="56"/>
        <v>1.3079921142242175</v>
      </c>
      <c r="U60" s="131">
        <f t="shared" si="44"/>
        <v>0.97935574099525313</v>
      </c>
      <c r="V60" s="131">
        <f t="shared" si="45"/>
        <v>1.0000004177775941</v>
      </c>
      <c r="W60" s="131">
        <f t="shared" si="46"/>
        <v>0.97935533184253831</v>
      </c>
      <c r="X60" s="131">
        <f t="shared" si="47"/>
        <v>1.2809895862420055</v>
      </c>
      <c r="Y60" s="131">
        <f t="shared" si="57"/>
        <v>1.2809895862420062</v>
      </c>
      <c r="Z60" s="131"/>
      <c r="AA60" s="131">
        <f t="shared" si="48"/>
        <v>0.97935574099525258</v>
      </c>
      <c r="AD60" s="134"/>
      <c r="AF60" s="129">
        <f t="shared" si="49"/>
        <v>8.8805936176090506E-10</v>
      </c>
      <c r="AG60" s="129">
        <f t="shared" si="50"/>
        <v>0.9999999991119406</v>
      </c>
      <c r="AH60" s="129"/>
      <c r="AI60" s="129">
        <f t="shared" si="58"/>
        <v>8.9644295874837307E-10</v>
      </c>
      <c r="AJ60" s="129">
        <f t="shared" si="59"/>
        <v>1.0000000000084099</v>
      </c>
      <c r="AK60" s="129">
        <f t="shared" si="60"/>
        <v>1.0000000009048529</v>
      </c>
      <c r="AL60" s="129"/>
      <c r="AM60" s="129">
        <f t="shared" si="61"/>
        <v>8.9644295793722405E-10</v>
      </c>
      <c r="AN60" s="129">
        <f t="shared" si="62"/>
        <v>0.99999999910355708</v>
      </c>
      <c r="AO60" s="129"/>
      <c r="AP60" s="129"/>
      <c r="AQ60" s="129">
        <f t="shared" si="63"/>
        <v>0</v>
      </c>
      <c r="AR60" s="129">
        <f t="shared" si="64"/>
        <v>3.5471842194031429E-3</v>
      </c>
      <c r="AS60" s="129"/>
      <c r="AT60" s="129">
        <f t="shared" si="51"/>
        <v>2.1511252307650184E-6</v>
      </c>
      <c r="AU60" s="129">
        <f t="shared" si="52"/>
        <v>0.99999784887476928</v>
      </c>
      <c r="AV60" s="129"/>
      <c r="AW60" s="129">
        <f t="shared" si="65"/>
        <v>-1.5215595629600702E-2</v>
      </c>
      <c r="AX60" s="129">
        <f t="shared" si="66"/>
        <v>3.2980998943135792E-8</v>
      </c>
      <c r="AY60" s="129"/>
      <c r="AZ60" s="129"/>
      <c r="BA60" s="129">
        <f t="shared" si="67"/>
        <v>1.0035534829195067</v>
      </c>
      <c r="BB60" s="129">
        <f t="shared" si="68"/>
        <v>1.2247254908444318</v>
      </c>
      <c r="BC60" s="129">
        <f t="shared" si="53"/>
        <v>0.97935533184253831</v>
      </c>
      <c r="BD60" s="129"/>
      <c r="BE60" s="129">
        <f t="shared" si="69"/>
        <v>1.0000000329673595</v>
      </c>
      <c r="BF60" s="129">
        <f t="shared" si="70"/>
        <v>0.99999982007414778</v>
      </c>
      <c r="BG60" s="129">
        <f t="shared" si="54"/>
        <v>1.0000004177775941</v>
      </c>
    </row>
    <row r="61" spans="1:59" x14ac:dyDescent="0.2">
      <c r="A61" s="133" t="s">
        <v>664</v>
      </c>
      <c r="B61" s="144">
        <f t="shared" si="55"/>
        <v>2000</v>
      </c>
      <c r="D61" s="190">
        <f t="shared" si="9"/>
        <v>5.7729999999999986E-7</v>
      </c>
      <c r="E61" s="138">
        <f>'Freight-based Energy Use'!I58</f>
        <v>692.21055255608428</v>
      </c>
      <c r="F61" s="138">
        <f t="shared" si="36"/>
        <v>692.21055313338434</v>
      </c>
      <c r="H61" s="189">
        <f>'Freight-based Activity'!J58*0.000001</f>
        <v>0.57729999999999992</v>
      </c>
      <c r="I61">
        <f>'Freight-based Activity'!K58</f>
        <v>299080.24614360003</v>
      </c>
      <c r="J61">
        <f t="shared" si="37"/>
        <v>299080.82344360003</v>
      </c>
      <c r="L61" s="4">
        <f t="shared" si="38"/>
        <v>1</v>
      </c>
      <c r="M61" s="4">
        <f t="shared" si="39"/>
        <v>2314.4643000719184</v>
      </c>
      <c r="N61" s="4">
        <f t="shared" si="40"/>
        <v>2314.4598345133277</v>
      </c>
      <c r="P61" s="129">
        <f t="shared" si="41"/>
        <v>1</v>
      </c>
      <c r="Q61" s="129">
        <f t="shared" si="42"/>
        <v>0.93576359903740491</v>
      </c>
      <c r="R61" s="129">
        <f t="shared" si="43"/>
        <v>0.93576419661425336</v>
      </c>
      <c r="T61" s="131">
        <f t="shared" si="56"/>
        <v>1.3623283244283992</v>
      </c>
      <c r="U61" s="131">
        <f t="shared" si="44"/>
        <v>0.93576419661425336</v>
      </c>
      <c r="V61" s="131">
        <f t="shared" si="45"/>
        <v>1.0000006385626756</v>
      </c>
      <c r="W61" s="131">
        <f t="shared" si="46"/>
        <v>0.93576359907054529</v>
      </c>
      <c r="X61" s="131">
        <f t="shared" si="47"/>
        <v>1.2748180700335823</v>
      </c>
      <c r="Y61" s="131">
        <f t="shared" si="57"/>
        <v>1.2748180700335829</v>
      </c>
      <c r="Z61" s="131"/>
      <c r="AA61" s="131">
        <f t="shared" si="48"/>
        <v>0.93576419661425292</v>
      </c>
      <c r="AD61" s="134"/>
      <c r="AF61" s="129">
        <f t="shared" si="49"/>
        <v>8.3399479737310217E-10</v>
      </c>
      <c r="AG61" s="129">
        <f t="shared" si="50"/>
        <v>0.99999999916600513</v>
      </c>
      <c r="AH61" s="129"/>
      <c r="AI61" s="129">
        <f t="shared" si="58"/>
        <v>8.6074410881032193E-10</v>
      </c>
      <c r="AJ61" s="129">
        <f t="shared" si="59"/>
        <v>1.0000000000270322</v>
      </c>
      <c r="AK61" s="129">
        <f t="shared" si="60"/>
        <v>1.0000000008877763</v>
      </c>
      <c r="AL61" s="129"/>
      <c r="AM61" s="129">
        <f t="shared" si="61"/>
        <v>8.6074410804617372E-10</v>
      </c>
      <c r="AN61" s="129">
        <f t="shared" si="62"/>
        <v>0.99999999913925586</v>
      </c>
      <c r="AO61" s="129"/>
      <c r="AP61" s="129"/>
      <c r="AQ61" s="129">
        <f t="shared" si="63"/>
        <v>0</v>
      </c>
      <c r="AR61" s="129">
        <f t="shared" si="64"/>
        <v>-4.553165110968211E-2</v>
      </c>
      <c r="AS61" s="129"/>
      <c r="AT61" s="129">
        <f t="shared" si="51"/>
        <v>1.9302474607131267E-6</v>
      </c>
      <c r="AU61" s="129">
        <f t="shared" si="52"/>
        <v>0.99999806975253924</v>
      </c>
      <c r="AV61" s="129"/>
      <c r="AW61" s="129">
        <f t="shared" si="65"/>
        <v>-0.10834285569571908</v>
      </c>
      <c r="AX61" s="129">
        <f t="shared" si="66"/>
        <v>2.2087822063388225E-7</v>
      </c>
      <c r="AY61" s="129"/>
      <c r="AZ61" s="129"/>
      <c r="BA61" s="129">
        <f t="shared" si="67"/>
        <v>0.95548935983226801</v>
      </c>
      <c r="BB61" s="129">
        <f t="shared" si="68"/>
        <v>1.1702121752172063</v>
      </c>
      <c r="BC61" s="129">
        <f t="shared" si="53"/>
        <v>0.93576359907054529</v>
      </c>
      <c r="BD61" s="129"/>
      <c r="BE61" s="129">
        <f t="shared" si="69"/>
        <v>1.0000002207849894</v>
      </c>
      <c r="BF61" s="129">
        <f t="shared" si="70"/>
        <v>1.0000000408590974</v>
      </c>
      <c r="BG61" s="129">
        <f t="shared" si="54"/>
        <v>1.0000006385626756</v>
      </c>
    </row>
    <row r="62" spans="1:59" x14ac:dyDescent="0.2">
      <c r="A62" s="133" t="s">
        <v>664</v>
      </c>
      <c r="B62" s="144">
        <f t="shared" si="55"/>
        <v>2001</v>
      </c>
      <c r="D62" s="190">
        <f t="shared" ref="D62:D68" si="71">H62*0.000001</f>
        <v>5.7609999999999987E-7</v>
      </c>
      <c r="E62" s="138">
        <f>'Freight-based Energy Use'!I59</f>
        <v>673.62183050351234</v>
      </c>
      <c r="F62" s="138">
        <f>D62+E62</f>
        <v>673.62183107961232</v>
      </c>
      <c r="H62" s="189">
        <f>'Freight-based Activity'!J59*0.000001</f>
        <v>0.57609999999999995</v>
      </c>
      <c r="I62">
        <f>'Freight-based Activity'!K59</f>
        <v>284572.52506920003</v>
      </c>
      <c r="J62">
        <f t="shared" ref="J62:J67" si="72">H62+I62</f>
        <v>284573.10116920003</v>
      </c>
      <c r="L62" s="4">
        <f>D62/H62*1000000</f>
        <v>1</v>
      </c>
      <c r="M62" s="4">
        <f>E62/I62*1000000</f>
        <v>2367.1358657681603</v>
      </c>
      <c r="N62" s="4">
        <f>F62/J62*1000000</f>
        <v>2367.1310756777875</v>
      </c>
      <c r="P62" s="129">
        <f t="shared" si="41"/>
        <v>1</v>
      </c>
      <c r="Q62" s="129">
        <f t="shared" si="42"/>
        <v>0.95705929751990859</v>
      </c>
      <c r="R62" s="129">
        <f t="shared" si="43"/>
        <v>0.95705981857232469</v>
      </c>
      <c r="T62" s="131">
        <f t="shared" si="56"/>
        <v>1.296244913430024</v>
      </c>
      <c r="U62" s="131">
        <f t="shared" ref="U62:U67" si="73">R62</f>
        <v>0.95705981857232469</v>
      </c>
      <c r="V62" s="131">
        <f t="shared" ref="V62:V67" si="74">BG62</f>
        <v>1.0000005444142397</v>
      </c>
      <c r="W62" s="131">
        <f t="shared" ref="W62:W67" si="75">BC62</f>
        <v>0.95705929753561447</v>
      </c>
      <c r="X62" s="131">
        <f t="shared" ref="X62:X67" si="76">T62*V62*W62</f>
        <v>1.2405839216726371</v>
      </c>
      <c r="Y62" s="131">
        <f t="shared" si="57"/>
        <v>1.2405839216726375</v>
      </c>
      <c r="Z62" s="131"/>
      <c r="AA62" s="131">
        <f t="shared" ref="AA62:AA67" si="77">V62*W62</f>
        <v>0.95705981857232425</v>
      </c>
      <c r="AD62" s="134"/>
      <c r="AF62" s="129">
        <f t="shared" si="49"/>
        <v>8.5522762686697014E-10</v>
      </c>
      <c r="AG62" s="129">
        <f t="shared" si="50"/>
        <v>0.99999999914477244</v>
      </c>
      <c r="AH62" s="129"/>
      <c r="AI62" s="129">
        <f t="shared" si="58"/>
        <v>8.4456672892687804E-10</v>
      </c>
      <c r="AJ62" s="129">
        <f t="shared" si="59"/>
        <v>0.99999999998938371</v>
      </c>
      <c r="AK62" s="129">
        <f t="shared" si="60"/>
        <v>1.0000000008339505</v>
      </c>
      <c r="AL62" s="129"/>
      <c r="AM62" s="129">
        <f t="shared" si="61"/>
        <v>8.4456672822255122E-10</v>
      </c>
      <c r="AN62" s="129">
        <f t="shared" si="62"/>
        <v>0.99999999915543325</v>
      </c>
      <c r="AO62" s="129"/>
      <c r="AP62" s="129"/>
      <c r="AQ62" s="129">
        <f t="shared" si="63"/>
        <v>0</v>
      </c>
      <c r="AR62" s="129">
        <f t="shared" si="64"/>
        <v>2.2502471967508132E-2</v>
      </c>
      <c r="AS62" s="129"/>
      <c r="AT62" s="129">
        <f t="shared" si="51"/>
        <v>2.024435892334973E-6</v>
      </c>
      <c r="AU62" s="129">
        <f t="shared" si="52"/>
        <v>0.99999797556410763</v>
      </c>
      <c r="AV62" s="129"/>
      <c r="AW62" s="129">
        <f t="shared" si="65"/>
        <v>4.7642877380122808E-2</v>
      </c>
      <c r="AX62" s="129">
        <f t="shared" si="66"/>
        <v>-9.4188617899966654E-8</v>
      </c>
      <c r="AY62" s="129"/>
      <c r="AZ62" s="129"/>
      <c r="BA62" s="129">
        <f t="shared" si="67"/>
        <v>1.0227575623653467</v>
      </c>
      <c r="BB62" s="129">
        <f t="shared" si="68"/>
        <v>1.1968433517753998</v>
      </c>
      <c r="BC62" s="129">
        <f t="shared" si="53"/>
        <v>0.95705929753561447</v>
      </c>
      <c r="BD62" s="129"/>
      <c r="BE62" s="129">
        <f t="shared" si="69"/>
        <v>0.99999990585162424</v>
      </c>
      <c r="BF62" s="129">
        <f t="shared" si="70"/>
        <v>0.99999994671071779</v>
      </c>
      <c r="BG62" s="129">
        <f t="shared" si="54"/>
        <v>1.0000005444142397</v>
      </c>
    </row>
    <row r="63" spans="1:59" x14ac:dyDescent="0.2">
      <c r="A63" s="133" t="s">
        <v>664</v>
      </c>
      <c r="B63" s="144">
        <f t="shared" si="55"/>
        <v>2002</v>
      </c>
      <c r="D63" s="190">
        <f t="shared" si="71"/>
        <v>5.8619999999999989E-7</v>
      </c>
      <c r="E63" s="138">
        <f>'Freight-based Energy Use'!I60</f>
        <v>718.84439935644684</v>
      </c>
      <c r="F63" s="138">
        <f>D63+E63</f>
        <v>718.84439994264687</v>
      </c>
      <c r="H63" s="189">
        <f>'Freight-based Activity'!J60*0.000001</f>
        <v>0.58619999999999994</v>
      </c>
      <c r="I63">
        <f>'Freight-based Activity'!K60</f>
        <v>294734.98057349998</v>
      </c>
      <c r="J63">
        <f t="shared" si="72"/>
        <v>294735.5667735</v>
      </c>
      <c r="L63" s="4">
        <f t="shared" ref="L63:N64" si="78">D63/H63*1000000</f>
        <v>1</v>
      </c>
      <c r="M63" s="4">
        <f t="shared" si="78"/>
        <v>2438.9517591624449</v>
      </c>
      <c r="N63" s="4">
        <f t="shared" si="78"/>
        <v>2438.9469103166243</v>
      </c>
      <c r="P63" s="129">
        <f t="shared" si="41"/>
        <v>1</v>
      </c>
      <c r="Q63" s="129">
        <f t="shared" si="42"/>
        <v>0.98609526012630266</v>
      </c>
      <c r="R63" s="129">
        <f t="shared" si="43"/>
        <v>0.98609583198800976</v>
      </c>
      <c r="T63" s="131">
        <f t="shared" si="56"/>
        <v>1.342535459842733</v>
      </c>
      <c r="U63" s="131">
        <f t="shared" si="73"/>
        <v>0.98609583198800976</v>
      </c>
      <c r="V63" s="131">
        <f t="shared" si="74"/>
        <v>1.00000057993397</v>
      </c>
      <c r="W63" s="131">
        <f t="shared" si="75"/>
        <v>0.98609526011787019</v>
      </c>
      <c r="X63" s="131">
        <f t="shared" si="76"/>
        <v>1.3238686212470241</v>
      </c>
      <c r="Y63" s="131">
        <f t="shared" si="57"/>
        <v>1.3238686212470252</v>
      </c>
      <c r="Z63" s="131"/>
      <c r="AA63" s="131">
        <f t="shared" si="77"/>
        <v>0.9860958319880091</v>
      </c>
      <c r="AD63" s="134"/>
      <c r="AF63" s="129">
        <f>D63/F63</f>
        <v>8.1547550491701672E-10</v>
      </c>
      <c r="AG63" s="129">
        <f>E63/F63</f>
        <v>0.99999999918452442</v>
      </c>
      <c r="AH63" s="129"/>
      <c r="AI63" s="129">
        <f>(AF63-AF62)/LN(AF63/AF62)</f>
        <v>8.351939007541025E-10</v>
      </c>
      <c r="AJ63" s="129">
        <f>(AG63-AG62)/LN(AG63/AG62)</f>
        <v>1.0000000000198761</v>
      </c>
      <c r="AK63" s="129">
        <f>AI63+AJ63</f>
        <v>1.00000000085507</v>
      </c>
      <c r="AL63" s="129"/>
      <c r="AM63" s="129">
        <f>AI63/AK63</f>
        <v>8.3519390003995323E-10</v>
      </c>
      <c r="AN63" s="129">
        <f>AJ63/AK63</f>
        <v>0.99999999916480609</v>
      </c>
      <c r="AO63" s="129"/>
      <c r="AP63" s="129"/>
      <c r="AQ63" s="129">
        <f>LN(P63/P62)</f>
        <v>0</v>
      </c>
      <c r="AR63" s="129">
        <f>LN(Q63/Q62)</f>
        <v>2.9887611225911201E-2</v>
      </c>
      <c r="AS63" s="129"/>
      <c r="AT63" s="129">
        <f>H63/J63</f>
        <v>1.9889014631562471E-6</v>
      </c>
      <c r="AU63" s="129">
        <f>I63/J63</f>
        <v>0.99999801109853681</v>
      </c>
      <c r="AV63" s="129"/>
      <c r="AW63" s="129">
        <f>LN(AT63/AT62)</f>
        <v>-1.7708632315934211E-2</v>
      </c>
      <c r="AX63" s="129">
        <f>LN(AU63/AU62)</f>
        <v>3.5534500488021586E-8</v>
      </c>
      <c r="AY63" s="129"/>
      <c r="AZ63" s="129"/>
      <c r="BA63" s="129">
        <f>EXP(SUMPRODUCT($AM63:$AN63,AQ63:AR63))</f>
        <v>1.0303387289136861</v>
      </c>
      <c r="BB63" s="129">
        <f>IF(ISERR(BA63),BB62,BA63*BB62)</f>
        <v>1.233154057777061</v>
      </c>
      <c r="BC63" s="129">
        <f t="shared" si="53"/>
        <v>0.98609526011787019</v>
      </c>
      <c r="BD63" s="129"/>
      <c r="BE63" s="129">
        <f>EXP(SUMPRODUCT($AM63:$AN63,AW63:AX63))</f>
        <v>1.000000035519711</v>
      </c>
      <c r="BF63" s="129">
        <f>IF(ISERR(BE63),BF62,BE63*BF62)</f>
        <v>0.99999998223042685</v>
      </c>
      <c r="BG63" s="129">
        <f t="shared" si="54"/>
        <v>1.00000057993397</v>
      </c>
    </row>
    <row r="64" spans="1:59" x14ac:dyDescent="0.2">
      <c r="A64" s="133" t="s">
        <v>664</v>
      </c>
      <c r="B64" s="144">
        <f t="shared" si="55"/>
        <v>2003</v>
      </c>
      <c r="D64" s="190">
        <f t="shared" si="71"/>
        <v>5.9019999999999987E-7</v>
      </c>
      <c r="E64" s="138">
        <f>'Freight-based Energy Use'!I61</f>
        <v>637.54380055200545</v>
      </c>
      <c r="F64" s="138">
        <f>D64+E64</f>
        <v>637.54380114220544</v>
      </c>
      <c r="H64" s="189">
        <f>'Freight-based Activity'!J61*0.000001</f>
        <v>0.59019999999999995</v>
      </c>
      <c r="I64">
        <f>'Freight-based Activity'!K61</f>
        <v>285511.39423740003</v>
      </c>
      <c r="J64">
        <f t="shared" si="72"/>
        <v>285511.98443740001</v>
      </c>
      <c r="L64" s="4">
        <f t="shared" si="78"/>
        <v>1</v>
      </c>
      <c r="M64" s="4">
        <f t="shared" si="78"/>
        <v>2232.988992452938</v>
      </c>
      <c r="N64" s="4">
        <f t="shared" si="78"/>
        <v>2232.9843785663934</v>
      </c>
      <c r="P64" s="129">
        <f t="shared" si="41"/>
        <v>1</v>
      </c>
      <c r="Q64" s="129">
        <f t="shared" si="42"/>
        <v>0.90282222807400414</v>
      </c>
      <c r="R64" s="129">
        <f t="shared" si="43"/>
        <v>0.90282268108607622</v>
      </c>
      <c r="T64" s="131">
        <f t="shared" si="56"/>
        <v>1.3005215743502181</v>
      </c>
      <c r="U64" s="131">
        <f t="shared" si="73"/>
        <v>0.90282268108607622</v>
      </c>
      <c r="V64" s="131">
        <f t="shared" si="74"/>
        <v>1.0000005017051239</v>
      </c>
      <c r="W64" s="131">
        <f t="shared" si="75"/>
        <v>0.90282222813553814</v>
      </c>
      <c r="X64" s="131">
        <f t="shared" si="76"/>
        <v>1.1741403745651484</v>
      </c>
      <c r="Y64" s="131">
        <f t="shared" si="57"/>
        <v>1.1741403745651489</v>
      </c>
      <c r="Z64" s="131"/>
      <c r="AA64" s="131">
        <f t="shared" si="77"/>
        <v>0.902822681086076</v>
      </c>
      <c r="AD64" s="134"/>
      <c r="AF64" s="129">
        <f>D64/F64</f>
        <v>9.2574031610473549E-10</v>
      </c>
      <c r="AG64" s="129">
        <f>E64/F64</f>
        <v>0.99999999907425974</v>
      </c>
      <c r="AH64" s="129"/>
      <c r="AI64" s="129">
        <f>(AF64-AF63)/LN(AF64/AF63)</f>
        <v>8.6944288568015254E-10</v>
      </c>
      <c r="AJ64" s="129">
        <f>(AG64-AG63)/LN(AG64/AG63)</f>
        <v>0.99999999994486777</v>
      </c>
      <c r="AK64" s="129">
        <f>AI64+AJ64</f>
        <v>1.0000000008143106</v>
      </c>
      <c r="AL64" s="129"/>
      <c r="AM64" s="129">
        <f>AI64/AK64</f>
        <v>8.6944288497215594E-10</v>
      </c>
      <c r="AN64" s="129">
        <f>AJ64/AK64</f>
        <v>0.99999999913055715</v>
      </c>
      <c r="AO64" s="129"/>
      <c r="AP64" s="129"/>
      <c r="AQ64" s="129">
        <f>LN(P64/P63)</f>
        <v>0</v>
      </c>
      <c r="AR64" s="129">
        <f>LN(Q64/Q63)</f>
        <v>-8.8227296739279842E-2</v>
      </c>
      <c r="AS64" s="129"/>
      <c r="AT64" s="129">
        <f>H64/J64</f>
        <v>2.0671636644709895E-6</v>
      </c>
      <c r="AU64" s="129">
        <f>I64/J64</f>
        <v>0.99999793283633565</v>
      </c>
      <c r="AV64" s="129"/>
      <c r="AW64" s="129">
        <f>LN(AT64/AT63)</f>
        <v>3.8594999532288364E-2</v>
      </c>
      <c r="AX64" s="129">
        <f>LN(AU64/AU63)</f>
        <v>-7.8262359879902969E-8</v>
      </c>
      <c r="AY64" s="129"/>
      <c r="AZ64" s="129"/>
      <c r="BA64" s="129">
        <f>EXP(SUMPRODUCT($AM64:$AN64,AQ64:AR64))</f>
        <v>0.9155527509863719</v>
      </c>
      <c r="BB64" s="129">
        <f>IF(ISERR(BA64),BB63,BA64*BB63)</f>
        <v>1.1290175899877957</v>
      </c>
      <c r="BC64" s="129">
        <f t="shared" si="53"/>
        <v>0.90282222813553814</v>
      </c>
      <c r="BD64" s="129"/>
      <c r="BE64" s="129">
        <f>EXP(SUMPRODUCT($AM64:$AN64,AW64:AX64))</f>
        <v>0.99999992177119934</v>
      </c>
      <c r="BF64" s="129">
        <f>IF(ISERR(BE64),BF63,BE64*BF63)</f>
        <v>0.99999990400162764</v>
      </c>
      <c r="BG64" s="129">
        <f t="shared" si="54"/>
        <v>1.0000005017051239</v>
      </c>
    </row>
    <row r="65" spans="1:59" x14ac:dyDescent="0.2">
      <c r="A65" s="133" t="s">
        <v>664</v>
      </c>
      <c r="B65" s="144">
        <f t="shared" si="55"/>
        <v>2004</v>
      </c>
      <c r="D65" s="190">
        <f t="shared" si="71"/>
        <v>5.9959999999999994E-7</v>
      </c>
      <c r="E65" s="138">
        <f>'Freight-based Energy Use'!I62</f>
        <v>610.26862882868795</v>
      </c>
      <c r="F65" s="138">
        <f>D65+E65</f>
        <v>610.26862942828791</v>
      </c>
      <c r="H65" s="189">
        <f>'Freight-based Activity'!J62*0.000001</f>
        <v>0.59960000000000002</v>
      </c>
      <c r="I65">
        <f>'Freight-based Activity'!K62</f>
        <v>287762.92796669999</v>
      </c>
      <c r="J65">
        <f t="shared" si="72"/>
        <v>287763.52756670001</v>
      </c>
      <c r="L65" s="4">
        <f t="shared" ref="L65:N66" si="79">D65/H65*1000000</f>
        <v>1</v>
      </c>
      <c r="M65" s="4">
        <f t="shared" si="79"/>
        <v>2120.7340123370873</v>
      </c>
      <c r="N65" s="4">
        <f t="shared" si="79"/>
        <v>2120.7295955420732</v>
      </c>
      <c r="P65" s="129">
        <f t="shared" si="41"/>
        <v>1</v>
      </c>
      <c r="Q65" s="129">
        <f t="shared" si="42"/>
        <v>0.85743629397261545</v>
      </c>
      <c r="R65" s="129">
        <f t="shared" si="43"/>
        <v>0.85743671011935674</v>
      </c>
      <c r="T65" s="131">
        <f t="shared" si="56"/>
        <v>1.3107774675345432</v>
      </c>
      <c r="U65" s="131">
        <f t="shared" si="73"/>
        <v>0.85743671011935674</v>
      </c>
      <c r="V65" s="131">
        <f t="shared" si="74"/>
        <v>1.0000004852210231</v>
      </c>
      <c r="W65" s="131">
        <f t="shared" si="75"/>
        <v>0.85743629407324051</v>
      </c>
      <c r="X65" s="131">
        <f t="shared" si="76"/>
        <v>1.1239087194614001</v>
      </c>
      <c r="Y65" s="131">
        <f t="shared" si="57"/>
        <v>1.1239087194614008</v>
      </c>
      <c r="Z65" s="131"/>
      <c r="AA65" s="131">
        <f t="shared" si="77"/>
        <v>0.8574367101193564</v>
      </c>
      <c r="AD65" s="134"/>
      <c r="AF65" s="129">
        <f t="shared" si="49"/>
        <v>9.825181421527721E-10</v>
      </c>
      <c r="AG65" s="129">
        <f t="shared" si="50"/>
        <v>0.99999999901748193</v>
      </c>
      <c r="AH65" s="129"/>
      <c r="AI65" s="129">
        <f t="shared" si="58"/>
        <v>9.5384760384950049E-10</v>
      </c>
      <c r="AJ65" s="129">
        <f t="shared" si="59"/>
        <v>0.99999999997161115</v>
      </c>
      <c r="AK65" s="129">
        <f t="shared" si="60"/>
        <v>1.0000000009254588</v>
      </c>
      <c r="AL65" s="129"/>
      <c r="AM65" s="129">
        <f t="shared" si="61"/>
        <v>9.5384760296675381E-10</v>
      </c>
      <c r="AN65" s="129">
        <f t="shared" si="62"/>
        <v>0.99999999904615233</v>
      </c>
      <c r="AO65" s="129"/>
      <c r="AP65" s="129"/>
      <c r="AQ65" s="129">
        <f t="shared" si="63"/>
        <v>0</v>
      </c>
      <c r="AR65" s="129">
        <f t="shared" si="64"/>
        <v>-5.1578782363862971E-2</v>
      </c>
      <c r="AS65" s="129"/>
      <c r="AT65" s="129">
        <f t="shared" si="51"/>
        <v>2.0836553022203975E-6</v>
      </c>
      <c r="AU65" s="129">
        <f t="shared" si="52"/>
        <v>0.9999979163446977</v>
      </c>
      <c r="AV65" s="129"/>
      <c r="AW65" s="129">
        <f t="shared" si="65"/>
        <v>7.9462509250089828E-3</v>
      </c>
      <c r="AX65" s="129">
        <f t="shared" si="66"/>
        <v>-1.64916721639838E-8</v>
      </c>
      <c r="AY65" s="129"/>
      <c r="AZ65" s="129"/>
      <c r="BA65" s="129">
        <f t="shared" si="67"/>
        <v>0.94972882517965207</v>
      </c>
      <c r="BB65" s="129">
        <f t="shared" si="68"/>
        <v>1.0722605493462714</v>
      </c>
      <c r="BC65" s="129">
        <f t="shared" si="53"/>
        <v>0.85743629407324051</v>
      </c>
      <c r="BD65" s="129"/>
      <c r="BE65" s="129">
        <f t="shared" si="69"/>
        <v>0.99999998351590746</v>
      </c>
      <c r="BF65" s="129">
        <f t="shared" si="70"/>
        <v>0.99999988751753666</v>
      </c>
      <c r="BG65" s="129">
        <f t="shared" si="54"/>
        <v>1.0000004852210231</v>
      </c>
    </row>
    <row r="66" spans="1:59" x14ac:dyDescent="0.2">
      <c r="A66" s="133" t="s">
        <v>664</v>
      </c>
      <c r="B66" s="144">
        <f t="shared" si="55"/>
        <v>2005</v>
      </c>
      <c r="D66" s="190">
        <f t="shared" si="71"/>
        <v>6.074999999999999E-7</v>
      </c>
      <c r="E66" s="138">
        <f>'Freight-based Energy Use'!I63</f>
        <v>629.49652009018803</v>
      </c>
      <c r="F66">
        <f t="shared" si="36"/>
        <v>629.49652069768808</v>
      </c>
      <c r="H66" s="189">
        <f>'Freight-based Activity'!J63*0.000001</f>
        <v>0.60749999999999993</v>
      </c>
      <c r="I66">
        <f>'Freight-based Activity'!K63</f>
        <v>282072.49328460003</v>
      </c>
      <c r="J66">
        <f t="shared" si="72"/>
        <v>282073.10078460001</v>
      </c>
      <c r="L66" s="4">
        <f t="shared" si="79"/>
        <v>1</v>
      </c>
      <c r="M66" s="4">
        <f t="shared" si="79"/>
        <v>2231.6834681751507</v>
      </c>
      <c r="N66" s="4">
        <f t="shared" si="79"/>
        <v>2231.6786639587858</v>
      </c>
      <c r="P66" s="129">
        <f t="shared" si="41"/>
        <v>1</v>
      </c>
      <c r="Q66" s="129">
        <f t="shared" si="42"/>
        <v>0.90229439012170776</v>
      </c>
      <c r="R66" s="129">
        <f t="shared" si="43"/>
        <v>0.90229476482562732</v>
      </c>
      <c r="T66" s="131">
        <f t="shared" si="56"/>
        <v>1.2848572848425135</v>
      </c>
      <c r="U66" s="131">
        <f t="shared" si="73"/>
        <v>0.90229476482562732</v>
      </c>
      <c r="V66" s="131">
        <f t="shared" si="74"/>
        <v>1.0000004152113084</v>
      </c>
      <c r="W66" s="131">
        <f t="shared" si="75"/>
        <v>0.90229439018279256</v>
      </c>
      <c r="X66" s="131">
        <f t="shared" si="76"/>
        <v>1.1593200016614691</v>
      </c>
      <c r="Y66" s="131">
        <f t="shared" si="57"/>
        <v>1.15932000166147</v>
      </c>
      <c r="Z66" s="131"/>
      <c r="AA66" s="131">
        <f t="shared" si="77"/>
        <v>0.90229476482562687</v>
      </c>
      <c r="AD66" s="134"/>
      <c r="AF66" s="129">
        <f>D66/F66</f>
        <v>9.6505696223180265E-10</v>
      </c>
      <c r="AG66" s="129">
        <f>E66/F66</f>
        <v>0.99999999903494297</v>
      </c>
      <c r="AH66" s="129"/>
      <c r="AI66" s="129">
        <f>(AF66-AF65)/LN(AF66/AF65)</f>
        <v>9.7376145997302135E-10</v>
      </c>
      <c r="AJ66" s="129">
        <f>(AG66-AG65)/LN(AG66/AG65)</f>
        <v>0.99999364175953809</v>
      </c>
      <c r="AK66" s="129">
        <f>AI66+AJ66</f>
        <v>0.99999364273329949</v>
      </c>
      <c r="AL66" s="129"/>
      <c r="AM66" s="129">
        <f>AI66/AK66</f>
        <v>9.7376765047367972E-10</v>
      </c>
      <c r="AN66" s="129">
        <f>AJ66/AK66</f>
        <v>0.99999999902623238</v>
      </c>
      <c r="AO66" s="129"/>
      <c r="AP66" s="129"/>
      <c r="AQ66" s="129">
        <f>LN(P66/P65)</f>
        <v>0</v>
      </c>
      <c r="AR66" s="129">
        <f>LN(Q66/Q65)</f>
        <v>5.0993958134757829E-2</v>
      </c>
      <c r="AS66" s="129"/>
      <c r="AT66" s="129">
        <f>H66/J66</f>
        <v>2.1536970321175936E-6</v>
      </c>
      <c r="AU66" s="129">
        <f>I66/J66</f>
        <v>0.99999784630296795</v>
      </c>
      <c r="AV66" s="129"/>
      <c r="AW66" s="129">
        <f>LN(AT66/AT65)</f>
        <v>3.3062207023414975E-2</v>
      </c>
      <c r="AX66" s="129">
        <f>LN(AU66/AU65)</f>
        <v>-7.0041878196708255E-8</v>
      </c>
      <c r="AY66" s="129"/>
      <c r="AZ66" s="129"/>
      <c r="BA66" s="129">
        <f>EXP(SUMPRODUCT($AM66:$AN66,AQ66:AR66))</f>
        <v>1.0523165352570443</v>
      </c>
      <c r="BB66" s="129">
        <f>IF(ISERR(BA66),BB65,BA66*BB65)</f>
        <v>1.1283575061808833</v>
      </c>
      <c r="BC66" s="129">
        <f t="shared" si="53"/>
        <v>0.90229439018279256</v>
      </c>
      <c r="BD66" s="129"/>
      <c r="BE66" s="129">
        <f>EXP(SUMPRODUCT($AM66:$AN66,AW66:AX66))</f>
        <v>0.99999992999031928</v>
      </c>
      <c r="BF66" s="129">
        <f>IF(ISERR(BE66),BF65,BE66*BF65)</f>
        <v>0.99999981750786382</v>
      </c>
      <c r="BG66" s="129">
        <f t="shared" si="54"/>
        <v>1.0000004152113084</v>
      </c>
    </row>
    <row r="67" spans="1:59" x14ac:dyDescent="0.2">
      <c r="A67" s="133" t="s">
        <v>664</v>
      </c>
      <c r="B67" s="144">
        <f t="shared" si="55"/>
        <v>2006</v>
      </c>
      <c r="D67" s="190">
        <f t="shared" si="71"/>
        <v>5.8129999999999994E-7</v>
      </c>
      <c r="E67" s="138">
        <f>'Freight-based Energy Use'!I64</f>
        <v>629.69807935168819</v>
      </c>
      <c r="F67">
        <f t="shared" ref="F67:F72" si="80">D67+E67</f>
        <v>629.69807993298821</v>
      </c>
      <c r="H67" s="189">
        <f>'Freight-based Activity'!J64*0.000001</f>
        <v>0.58129999999999993</v>
      </c>
      <c r="I67">
        <f>'Freight-based Activity'!K64</f>
        <v>277121.09628990002</v>
      </c>
      <c r="J67">
        <f t="shared" si="72"/>
        <v>277121.67758990003</v>
      </c>
      <c r="L67" s="4">
        <f>D67/H67*1000000</f>
        <v>1</v>
      </c>
      <c r="M67" s="4">
        <f>E67/I67*1000000</f>
        <v>2272.2848883830652</v>
      </c>
      <c r="N67" s="4">
        <f>F67/J67*1000000</f>
        <v>2272.2801240574554</v>
      </c>
      <c r="P67" s="129">
        <f t="shared" si="41"/>
        <v>1</v>
      </c>
      <c r="Q67" s="129">
        <f t="shared" si="42"/>
        <v>0.91870999484657112</v>
      </c>
      <c r="R67" s="129">
        <f t="shared" si="43"/>
        <v>0.91871042783435108</v>
      </c>
      <c r="T67" s="131">
        <f t="shared" si="56"/>
        <v>1.2623033009838875</v>
      </c>
      <c r="U67" s="131">
        <f t="shared" si="73"/>
        <v>0.91871042783435108</v>
      </c>
      <c r="V67" s="131">
        <f t="shared" si="74"/>
        <v>1.0000004712490571</v>
      </c>
      <c r="W67" s="131">
        <f t="shared" si="75"/>
        <v>0.91870999489313165</v>
      </c>
      <c r="X67" s="131">
        <f t="shared" si="76"/>
        <v>1.1596912057036202</v>
      </c>
      <c r="Y67" s="131">
        <f t="shared" si="57"/>
        <v>1.1596912057036211</v>
      </c>
      <c r="Z67" s="131"/>
      <c r="AA67" s="131">
        <f t="shared" si="77"/>
        <v>0.91871042783435053</v>
      </c>
      <c r="AD67" s="134"/>
      <c r="AF67" s="129">
        <f>D67/F67</f>
        <v>9.2314081704340163E-10</v>
      </c>
      <c r="AG67" s="129">
        <f>E67/F67</f>
        <v>0.99999999907685921</v>
      </c>
      <c r="AH67" s="129"/>
      <c r="AI67" s="129">
        <f>(AF67-AF66)/LN(AF67/AF66)</f>
        <v>9.439437863434122E-10</v>
      </c>
      <c r="AJ67" s="129">
        <f>(AG67-AG66)/LN(AG67/AG66)</f>
        <v>1.0000000000209581</v>
      </c>
      <c r="AK67" s="129">
        <f>AI67+AJ67</f>
        <v>1.0000000009649019</v>
      </c>
      <c r="AL67" s="129"/>
      <c r="AM67" s="129">
        <f>AI67/AK67</f>
        <v>9.4394378543259908E-10</v>
      </c>
      <c r="AN67" s="129">
        <f>AJ67/AK67</f>
        <v>0.99999999905605619</v>
      </c>
      <c r="AO67" s="129"/>
      <c r="AP67" s="129"/>
      <c r="AQ67" s="129">
        <f>LN(P67/P66)</f>
        <v>0</v>
      </c>
      <c r="AR67" s="129">
        <f>LN(Q67/Q66)</f>
        <v>1.802966488317646E-2</v>
      </c>
      <c r="AS67" s="129"/>
      <c r="AT67" s="129">
        <f>H67/J67</f>
        <v>2.0976345302738811E-6</v>
      </c>
      <c r="AU67" s="129">
        <f>I67/J67</f>
        <v>0.9999979023654697</v>
      </c>
      <c r="AV67" s="129"/>
      <c r="AW67" s="129">
        <f>LN(AT67/AT66)</f>
        <v>-2.6375619535693999E-2</v>
      </c>
      <c r="AX67" s="129">
        <f>LN(AU67/AU66)</f>
        <v>5.6062620972808501E-8</v>
      </c>
      <c r="AY67" s="129"/>
      <c r="AZ67" s="129"/>
      <c r="BA67" s="129">
        <f>EXP(SUMPRODUCT($AM67:$AN67,AQ67:AR67))</f>
        <v>1.0181931805062132</v>
      </c>
      <c r="BB67" s="129">
        <f>IF(ISERR(BA67),BB66,BA67*BB66)</f>
        <v>1.1488859179663726</v>
      </c>
      <c r="BC67" s="129">
        <f t="shared" si="53"/>
        <v>0.91870999489313165</v>
      </c>
      <c r="BD67" s="129"/>
      <c r="BE67" s="129">
        <f>EXP(SUMPRODUCT($AM67:$AN67,AW67:AX67))</f>
        <v>1.0000000560377253</v>
      </c>
      <c r="BF67" s="129">
        <f>IF(ISERR(BE67),BF66,BE67*BF66)</f>
        <v>0.99999987354557895</v>
      </c>
      <c r="BG67" s="129">
        <f t="shared" si="54"/>
        <v>1.0000004712490571</v>
      </c>
    </row>
    <row r="68" spans="1:59" x14ac:dyDescent="0.2">
      <c r="A68" s="133" t="s">
        <v>664</v>
      </c>
      <c r="B68" s="144">
        <f t="shared" si="55"/>
        <v>2007</v>
      </c>
      <c r="D68" s="190">
        <f t="shared" si="71"/>
        <v>5.5769999999999997E-7</v>
      </c>
      <c r="E68" s="138">
        <f>'Freight-based Energy Use'!I65</f>
        <v>669.74154525538177</v>
      </c>
      <c r="F68">
        <f t="shared" si="80"/>
        <v>669.74154581308176</v>
      </c>
      <c r="H68" s="189">
        <f>'Freight-based Activity'!J65*0.000001</f>
        <v>0.55769999999999997</v>
      </c>
      <c r="I68">
        <f>'Freight-based Activity'!K65</f>
        <v>295045.655211</v>
      </c>
      <c r="J68">
        <f t="shared" si="37"/>
        <v>295046.21291100001</v>
      </c>
      <c r="L68">
        <f t="shared" si="38"/>
        <v>1</v>
      </c>
      <c r="M68">
        <f t="shared" si="39"/>
        <v>2269.9590162628233</v>
      </c>
      <c r="N68">
        <f t="shared" si="40"/>
        <v>2269.9547274484344</v>
      </c>
      <c r="P68" s="129">
        <f t="shared" si="41"/>
        <v>1</v>
      </c>
      <c r="Q68" s="129">
        <f t="shared" si="42"/>
        <v>0.9177696189392518</v>
      </c>
      <c r="R68" s="129">
        <f t="shared" si="43"/>
        <v>0.91777024176708777</v>
      </c>
      <c r="T68" s="131">
        <f t="shared" si="56"/>
        <v>1.3439504687594459</v>
      </c>
      <c r="U68" s="131">
        <f t="shared" si="44"/>
        <v>0.91777024176708777</v>
      </c>
      <c r="V68" s="131">
        <f t="shared" si="45"/>
        <v>1.0000006785804247</v>
      </c>
      <c r="W68" s="131">
        <f t="shared" si="46"/>
        <v>0.91776961898658915</v>
      </c>
      <c r="X68" s="131">
        <f t="shared" si="47"/>
        <v>1.2334377466363464</v>
      </c>
      <c r="Y68" s="131">
        <f t="shared" si="57"/>
        <v>1.2334377466363478</v>
      </c>
      <c r="Z68" s="131"/>
      <c r="AA68" s="131">
        <f t="shared" si="48"/>
        <v>0.91777024176708699</v>
      </c>
      <c r="AD68" s="134"/>
      <c r="AF68" s="129">
        <f t="shared" si="49"/>
        <v>8.3270927940260779E-10</v>
      </c>
      <c r="AG68" s="129">
        <f t="shared" si="50"/>
        <v>0.99999999916729077</v>
      </c>
      <c r="AH68" s="129"/>
      <c r="AI68" s="129">
        <f t="shared" si="58"/>
        <v>8.7714824921737017E-10</v>
      </c>
      <c r="AJ68" s="129">
        <f t="shared" si="59"/>
        <v>0.99999877235239443</v>
      </c>
      <c r="AK68" s="129">
        <f t="shared" si="60"/>
        <v>0.99999877322954267</v>
      </c>
      <c r="AL68" s="129"/>
      <c r="AM68" s="129">
        <f t="shared" si="61"/>
        <v>8.7714932527824909E-10</v>
      </c>
      <c r="AN68" s="129">
        <f t="shared" si="62"/>
        <v>0.99999999912285065</v>
      </c>
      <c r="AO68" s="129"/>
      <c r="AP68" s="129"/>
      <c r="AQ68" s="129">
        <f t="shared" si="63"/>
        <v>0</v>
      </c>
      <c r="AR68" s="129">
        <f t="shared" si="64"/>
        <v>-1.0241071912247606E-3</v>
      </c>
      <c r="AS68" s="129"/>
      <c r="AT68" s="129">
        <f t="shared" si="51"/>
        <v>1.8902123653701288E-6</v>
      </c>
      <c r="AU68" s="129">
        <f t="shared" si="52"/>
        <v>0.99999810978763459</v>
      </c>
      <c r="AV68" s="129"/>
      <c r="AW68" s="129">
        <f t="shared" si="65"/>
        <v>-0.10412111030381231</v>
      </c>
      <c r="AX68" s="129">
        <f t="shared" si="66"/>
        <v>2.0742257847278771E-7</v>
      </c>
      <c r="AY68" s="129"/>
      <c r="AZ68" s="129"/>
      <c r="BA68" s="129">
        <f t="shared" si="67"/>
        <v>0.99897641702847484</v>
      </c>
      <c r="BB68" s="129">
        <f t="shared" si="68"/>
        <v>1.1477099379045173</v>
      </c>
      <c r="BC68" s="129">
        <f t="shared" si="53"/>
        <v>0.91776961898658915</v>
      </c>
      <c r="BD68" s="129"/>
      <c r="BE68" s="129">
        <f t="shared" si="69"/>
        <v>1.0000002073312699</v>
      </c>
      <c r="BF68" s="129">
        <f t="shared" si="70"/>
        <v>1.0000000808768226</v>
      </c>
      <c r="BG68" s="129">
        <f t="shared" si="54"/>
        <v>1.0000006785804247</v>
      </c>
    </row>
    <row r="69" spans="1:59" x14ac:dyDescent="0.2">
      <c r="A69" s="133" t="s">
        <v>664</v>
      </c>
      <c r="B69" s="144">
        <f t="shared" si="55"/>
        <v>2008</v>
      </c>
      <c r="D69" s="190">
        <f>H69*0.000001</f>
        <v>6.0569999999999998E-7</v>
      </c>
      <c r="E69" s="138">
        <f>'Freight-based Energy Use'!I66</f>
        <v>698.40391895490598</v>
      </c>
      <c r="F69">
        <f t="shared" si="80"/>
        <v>698.40391956060603</v>
      </c>
      <c r="H69" s="189">
        <f>'Freight-based Activity'!J66*0.000001</f>
        <v>0.60570000000000002</v>
      </c>
      <c r="I69">
        <f>'Freight-based Activity'!K66</f>
        <v>297142.37230530003</v>
      </c>
      <c r="J69">
        <f>H69+I69</f>
        <v>297142.97800530004</v>
      </c>
      <c r="L69">
        <f t="shared" ref="L69:N71" si="81">D69/H69*1000000</f>
        <v>1</v>
      </c>
      <c r="M69">
        <f t="shared" si="81"/>
        <v>2350.4016392429157</v>
      </c>
      <c r="N69">
        <f t="shared" si="81"/>
        <v>2350.3968501929357</v>
      </c>
      <c r="P69" s="129">
        <f t="shared" si="41"/>
        <v>1</v>
      </c>
      <c r="Q69" s="129">
        <f t="shared" si="42"/>
        <v>0.95029346404393589</v>
      </c>
      <c r="R69" s="129">
        <f t="shared" si="43"/>
        <v>0.95029396814222344</v>
      </c>
      <c r="T69" s="131">
        <f t="shared" si="56"/>
        <v>1.3535013401417979</v>
      </c>
      <c r="U69" s="131">
        <f>R69</f>
        <v>0.95029396814222344</v>
      </c>
      <c r="V69" s="131">
        <f>BG69</f>
        <v>1.000000530443927</v>
      </c>
      <c r="W69" s="131">
        <f>BC69</f>
        <v>0.95029346406482584</v>
      </c>
      <c r="X69" s="131">
        <f>T69*V69*W69</f>
        <v>1.2862241594091655</v>
      </c>
      <c r="Y69" s="131">
        <f t="shared" si="57"/>
        <v>1.2862241594091666</v>
      </c>
      <c r="Z69" s="131"/>
      <c r="AA69" s="131">
        <f>V69*W69</f>
        <v>0.95029396814222278</v>
      </c>
      <c r="AD69" s="134"/>
      <c r="AF69" s="129">
        <f>D69/F69</f>
        <v>8.6726317398257182E-10</v>
      </c>
      <c r="AG69" s="129">
        <f>E69/F69</f>
        <v>0.99999999913273674</v>
      </c>
      <c r="AH69" s="129"/>
      <c r="AI69" s="129">
        <f t="shared" ref="AI69:AJ71" si="82">(AF69-AF68)/LN(AF69/AF68)</f>
        <v>8.498691558540451E-10</v>
      </c>
      <c r="AJ69" s="129">
        <f t="shared" si="82"/>
        <v>0.99999999998272293</v>
      </c>
      <c r="AK69" s="129">
        <f>AI69+AJ69</f>
        <v>1.000000000832592</v>
      </c>
      <c r="AL69" s="129"/>
      <c r="AM69" s="129">
        <f>AI69/AK69</f>
        <v>8.4986915514645082E-10</v>
      </c>
      <c r="AN69" s="129">
        <f>AJ69/AK69</f>
        <v>0.99999999915013094</v>
      </c>
      <c r="AO69" s="129"/>
      <c r="AP69" s="129"/>
      <c r="AQ69" s="129">
        <f t="shared" ref="AQ69:AR71" si="83">LN(P69/P68)</f>
        <v>0</v>
      </c>
      <c r="AR69" s="129">
        <f t="shared" si="83"/>
        <v>3.4824447048140576E-2</v>
      </c>
      <c r="AS69" s="129"/>
      <c r="AT69" s="129">
        <f>H69/J69</f>
        <v>2.038412632416965E-6</v>
      </c>
      <c r="AU69" s="129">
        <f>I69/J69</f>
        <v>0.99999796158736753</v>
      </c>
      <c r="AV69" s="129"/>
      <c r="AW69" s="129">
        <f t="shared" ref="AW69:AX71" si="84">LN(AT69/AT68)</f>
        <v>7.5482198209286575E-2</v>
      </c>
      <c r="AX69" s="129">
        <f t="shared" si="84"/>
        <v>-1.4820055814927842E-7</v>
      </c>
      <c r="AY69" s="129"/>
      <c r="AZ69" s="129"/>
      <c r="BA69" s="129">
        <f>EXP(SUMPRODUCT($AM69:$AN69,AQ69:AR69))</f>
        <v>1.0354379186294593</v>
      </c>
      <c r="BB69" s="129">
        <f>IF(ISERR(BA69),BB68,BA69*BB68)</f>
        <v>1.1883823892941994</v>
      </c>
      <c r="BC69" s="129">
        <f t="shared" si="53"/>
        <v>0.95029346406482584</v>
      </c>
      <c r="BD69" s="129"/>
      <c r="BE69" s="129">
        <f>EXP(SUMPRODUCT($AM69:$AN69,AW69:AX69))</f>
        <v>0.99999985186360296</v>
      </c>
      <c r="BF69" s="129">
        <f>IF(ISERR(BE69),BF68,BE69*BF68)</f>
        <v>0.99999993274041354</v>
      </c>
      <c r="BG69" s="129">
        <f t="shared" si="54"/>
        <v>1.000000530443927</v>
      </c>
    </row>
    <row r="70" spans="1:59" x14ac:dyDescent="0.2">
      <c r="A70" s="133" t="s">
        <v>664</v>
      </c>
      <c r="B70" s="144">
        <f t="shared" si="55"/>
        <v>2009</v>
      </c>
      <c r="D70" s="190">
        <f>H70*0.000001</f>
        <v>5.6840000000000003E-7</v>
      </c>
      <c r="E70" s="138">
        <f>'Freight-based Energy Use'!I67</f>
        <v>722.35174607795159</v>
      </c>
      <c r="F70">
        <f t="shared" si="80"/>
        <v>722.35174664635156</v>
      </c>
      <c r="H70" s="189">
        <f>'Freight-based Activity'!J67*0.000001</f>
        <v>0.56840000000000002</v>
      </c>
      <c r="I70">
        <f>'Freight-based Activity'!K67</f>
        <v>291113.42376120004</v>
      </c>
      <c r="J70">
        <f>H70+I70</f>
        <v>291113.99216120003</v>
      </c>
      <c r="L70">
        <f t="shared" si="81"/>
        <v>1</v>
      </c>
      <c r="M70">
        <f t="shared" si="81"/>
        <v>2481.3412474942957</v>
      </c>
      <c r="N70">
        <f t="shared" si="81"/>
        <v>2481.3364046286033</v>
      </c>
      <c r="P70" s="129">
        <f t="shared" si="41"/>
        <v>1</v>
      </c>
      <c r="Q70" s="129">
        <f t="shared" si="42"/>
        <v>1.0032338006350217</v>
      </c>
      <c r="R70" s="129">
        <f t="shared" si="43"/>
        <v>1.0032344189266222</v>
      </c>
      <c r="T70" s="131">
        <f t="shared" si="56"/>
        <v>1.3260390037458163</v>
      </c>
      <c r="U70" s="131">
        <f>R70</f>
        <v>1.0032344189266222</v>
      </c>
      <c r="V70" s="131">
        <f>BG70</f>
        <v>1.0000006163214332</v>
      </c>
      <c r="W70" s="131">
        <f>BC70</f>
        <v>1.0032338006121282</v>
      </c>
      <c r="X70" s="131">
        <f>T70*V70*W70</f>
        <v>1.3303279693969707</v>
      </c>
      <c r="Y70" s="131">
        <f t="shared" si="57"/>
        <v>1.3303279693969714</v>
      </c>
      <c r="Z70" s="131"/>
      <c r="AA70" s="131">
        <f>V70*W70</f>
        <v>1.003234418926622</v>
      </c>
      <c r="AD70" s="134"/>
      <c r="AF70" s="129">
        <f>D70/F70</f>
        <v>7.8687426539618639E-10</v>
      </c>
      <c r="AG70" s="129">
        <f>E70/F70</f>
        <v>0.99999999921312577</v>
      </c>
      <c r="AH70" s="129"/>
      <c r="AI70" s="129">
        <f t="shared" si="82"/>
        <v>8.2641717650845117E-10</v>
      </c>
      <c r="AJ70" s="129">
        <f t="shared" si="82"/>
        <v>1.0000000000401945</v>
      </c>
      <c r="AK70" s="129">
        <f>AI70+AJ70</f>
        <v>1.0000000008666117</v>
      </c>
      <c r="AL70" s="129"/>
      <c r="AM70" s="129">
        <f>AI70/AK70</f>
        <v>8.2641717579226837E-10</v>
      </c>
      <c r="AN70" s="129">
        <f>AJ70/AK70</f>
        <v>0.99999999917358284</v>
      </c>
      <c r="AO70" s="129"/>
      <c r="AP70" s="129"/>
      <c r="AQ70" s="129">
        <f t="shared" si="83"/>
        <v>0</v>
      </c>
      <c r="AR70" s="129">
        <f t="shared" si="83"/>
        <v>5.4213015717273237E-2</v>
      </c>
      <c r="AS70" s="129"/>
      <c r="AT70" s="129">
        <f>H70/J70</f>
        <v>1.9524997605929467E-6</v>
      </c>
      <c r="AU70" s="129">
        <f>I70/J70</f>
        <v>0.99999804750023946</v>
      </c>
      <c r="AV70" s="129"/>
      <c r="AW70" s="129">
        <f t="shared" si="84"/>
        <v>-4.3060903482279769E-2</v>
      </c>
      <c r="AX70" s="129">
        <f t="shared" si="84"/>
        <v>8.5913043430385679E-8</v>
      </c>
      <c r="AY70" s="129"/>
      <c r="AZ70" s="129"/>
      <c r="BA70" s="129">
        <f>EXP(SUMPRODUCT($AM70:$AN70,AQ70:AR70))</f>
        <v>1.0557094608657551</v>
      </c>
      <c r="BB70" s="129">
        <f>IF(ISERR(BA70),BB69,BA70*BB69)</f>
        <v>1.2545865315041371</v>
      </c>
      <c r="BC70" s="129">
        <f t="shared" si="53"/>
        <v>1.0032338006121282</v>
      </c>
      <c r="BD70" s="129"/>
      <c r="BE70" s="129">
        <f>EXP(SUMPRODUCT($AM70:$AN70,AW70:AX70))</f>
        <v>1.0000000858774607</v>
      </c>
      <c r="BF70" s="129">
        <f>IF(ISERR(BE70),BF69,BE70*BF69)</f>
        <v>1.0000000186178684</v>
      </c>
      <c r="BG70" s="129">
        <f t="shared" si="54"/>
        <v>1.0000006163214332</v>
      </c>
    </row>
    <row r="71" spans="1:59" x14ac:dyDescent="0.2">
      <c r="A71" s="133" t="s">
        <v>664</v>
      </c>
      <c r="B71" s="144">
        <f t="shared" si="55"/>
        <v>2010</v>
      </c>
      <c r="D71" s="190">
        <f>H71*0.000001</f>
        <v>5.4999999999999992E-7</v>
      </c>
      <c r="E71" s="138">
        <f>'Freight-based Energy Use'!I68</f>
        <v>726.60928128076137</v>
      </c>
      <c r="F71">
        <f t="shared" si="80"/>
        <v>726.60928183076135</v>
      </c>
      <c r="H71" s="189">
        <f>'Freight-based Activity'!J68*0.000001</f>
        <v>0.54999999999999993</v>
      </c>
      <c r="I71">
        <f>'Freight-based Activity'!K68</f>
        <v>307231.18230000004</v>
      </c>
      <c r="J71">
        <f>H71+I71</f>
        <v>307231.73230000003</v>
      </c>
      <c r="L71">
        <f t="shared" si="81"/>
        <v>1</v>
      </c>
      <c r="M71">
        <f t="shared" si="81"/>
        <v>2365.024525965121</v>
      </c>
      <c r="N71">
        <f t="shared" si="81"/>
        <v>2365.0202939364844</v>
      </c>
      <c r="P71" s="129">
        <f t="shared" si="41"/>
        <v>1</v>
      </c>
      <c r="Q71" s="129">
        <f t="shared" si="42"/>
        <v>0.95620565940899815</v>
      </c>
      <c r="R71" s="129">
        <f t="shared" si="43"/>
        <v>0.95620640390038947</v>
      </c>
      <c r="T71" s="131">
        <f t="shared" si="56"/>
        <v>1.3994561277995907</v>
      </c>
      <c r="U71" s="131">
        <f>R71</f>
        <v>0.95620640390038947</v>
      </c>
      <c r="V71" s="131">
        <f>BG71</f>
        <v>1.0000007785749552</v>
      </c>
      <c r="W71" s="131">
        <f>BC71</f>
        <v>0.95620565942261049</v>
      </c>
      <c r="X71" s="131">
        <f>T71*V71*W71</f>
        <v>1.3381689113796096</v>
      </c>
      <c r="Y71" s="131">
        <f t="shared" si="57"/>
        <v>1.3381689113796105</v>
      </c>
      <c r="Z71" s="131"/>
      <c r="AA71" s="131">
        <f>V71*W71</f>
        <v>0.95620640390038891</v>
      </c>
      <c r="AD71" s="134"/>
      <c r="AF71" s="129">
        <f>D71/F71</f>
        <v>7.5694050950494675E-10</v>
      </c>
      <c r="AG71" s="129">
        <f>E71/F71</f>
        <v>0.99999999924305949</v>
      </c>
      <c r="AH71" s="129"/>
      <c r="AI71" s="129">
        <f t="shared" si="82"/>
        <v>7.7181064445561851E-10</v>
      </c>
      <c r="AJ71" s="129">
        <f t="shared" si="82"/>
        <v>0.9999962910912964</v>
      </c>
      <c r="AK71" s="129">
        <f>AI71+AJ71</f>
        <v>0.99999629186310701</v>
      </c>
      <c r="AL71" s="129"/>
      <c r="AM71" s="129">
        <f>AI71/AK71</f>
        <v>7.7181350644575625E-10</v>
      </c>
      <c r="AN71" s="129">
        <f>AJ71/AK71</f>
        <v>0.9999999992281865</v>
      </c>
      <c r="AO71" s="129"/>
      <c r="AP71" s="129"/>
      <c r="AQ71" s="129">
        <f t="shared" si="83"/>
        <v>0</v>
      </c>
      <c r="AR71" s="129">
        <f t="shared" si="83"/>
        <v>-4.8010847308903239E-2</v>
      </c>
      <c r="AS71" s="129"/>
      <c r="AT71" s="129">
        <f>H71/J71</f>
        <v>1.7901796662818214E-6</v>
      </c>
      <c r="AU71" s="129">
        <f>I71/J71</f>
        <v>0.99999820982033372</v>
      </c>
      <c r="AV71" s="129"/>
      <c r="AW71" s="129">
        <f t="shared" si="84"/>
        <v>-8.6794493075858056E-2</v>
      </c>
      <c r="AX71" s="129">
        <f t="shared" si="84"/>
        <v>1.6232039793834794E-7</v>
      </c>
      <c r="AY71" s="129"/>
      <c r="AZ71" s="129"/>
      <c r="BA71" s="129">
        <f>EXP(SUMPRODUCT($AM71:$AN71,AQ71:AR71))</f>
        <v>0.95312344823228323</v>
      </c>
      <c r="BB71" s="129">
        <f>IF(ISERR(BA71),BB70,BA71*BB70)</f>
        <v>1.1957758410130033</v>
      </c>
      <c r="BC71" s="129">
        <f t="shared" si="53"/>
        <v>0.95620565942261049</v>
      </c>
      <c r="BD71" s="129"/>
      <c r="BE71" s="129">
        <f>EXP(SUMPRODUCT($AM71:$AN71,AW71:AX71))</f>
        <v>1.0000001622534218</v>
      </c>
      <c r="BF71" s="129">
        <f>IF(ISERR(BE71),BF70,BE71*BF70)</f>
        <v>1.0000001808712933</v>
      </c>
      <c r="BG71" s="129">
        <f t="shared" si="54"/>
        <v>1.0000007785749552</v>
      </c>
    </row>
    <row r="72" spans="1:59" x14ac:dyDescent="0.2">
      <c r="A72" s="133" t="s">
        <v>664</v>
      </c>
      <c r="B72" s="144">
        <f t="shared" si="55"/>
        <v>2011</v>
      </c>
      <c r="D72" s="190">
        <f>H72*0.000001</f>
        <v>5.4999999999999992E-7</v>
      </c>
      <c r="E72" s="138">
        <f>'Freight-based Energy Use'!I69</f>
        <v>736.94700789598915</v>
      </c>
      <c r="F72">
        <f t="shared" si="80"/>
        <v>736.94700844598913</v>
      </c>
      <c r="H72" s="189">
        <f>'Freight-based Activity'!J69*0.000001</f>
        <v>0.54999999999999993</v>
      </c>
      <c r="I72">
        <f>'Freight-based Activity'!K69</f>
        <v>310716.29220000003</v>
      </c>
      <c r="J72">
        <f>H72+I72</f>
        <v>310716.84220000001</v>
      </c>
      <c r="L72">
        <f t="shared" ref="L72" si="85">D72/H72*1000000</f>
        <v>1</v>
      </c>
      <c r="M72">
        <f t="shared" ref="M72" si="86">E72/I72*1000000</f>
        <v>2371.7681576273299</v>
      </c>
      <c r="N72">
        <f t="shared" ref="N72" si="87">F72/J72*1000000</f>
        <v>2371.7639611297163</v>
      </c>
      <c r="P72" s="129">
        <f t="shared" si="41"/>
        <v>1</v>
      </c>
      <c r="Q72" s="129">
        <f t="shared" si="42"/>
        <v>0.95893218452092799</v>
      </c>
      <c r="R72" s="129">
        <f t="shared" si="43"/>
        <v>0.95893295037970461</v>
      </c>
      <c r="T72" s="131">
        <f t="shared" si="56"/>
        <v>1.4153309802085454</v>
      </c>
      <c r="U72" s="131">
        <f>R72</f>
        <v>0.95893295037970461</v>
      </c>
      <c r="V72" s="131">
        <f>BG72</f>
        <v>1.0000007986458164</v>
      </c>
      <c r="W72" s="131">
        <f>BC72</f>
        <v>0.95893218453252682</v>
      </c>
      <c r="X72" s="131">
        <f>T72*V72*W72</f>
        <v>1.3572075126151792</v>
      </c>
      <c r="Y72" s="131">
        <f t="shared" si="57"/>
        <v>1.3572075126151801</v>
      </c>
      <c r="Z72" s="131"/>
      <c r="AA72" s="131">
        <f>V72*W72</f>
        <v>0.95893295037970416</v>
      </c>
      <c r="AD72" s="134"/>
      <c r="AF72" s="129">
        <f>D72/F72</f>
        <v>7.463223185609952E-10</v>
      </c>
      <c r="AG72" s="129">
        <f>E72/F72</f>
        <v>0.99999999925367766</v>
      </c>
      <c r="AH72" s="129"/>
      <c r="AI72" s="129">
        <f t="shared" ref="AI72" si="88">(AF72-AF71)/LN(AF72/AF71)</f>
        <v>7.5161891372620354E-10</v>
      </c>
      <c r="AJ72" s="129">
        <f t="shared" ref="AJ72" si="89">(AG72-AG71)/LN(AG72/AG71)</f>
        <v>1.0000000000053091</v>
      </c>
      <c r="AK72" s="129">
        <f>AI72+AJ72</f>
        <v>1.0000000007569281</v>
      </c>
      <c r="AL72" s="129"/>
      <c r="AM72" s="129">
        <f>AI72/AK72</f>
        <v>7.5161891315728206E-10</v>
      </c>
      <c r="AN72" s="129">
        <f>AJ72/AK72</f>
        <v>0.99999999924838101</v>
      </c>
      <c r="AO72" s="129"/>
      <c r="AP72" s="129"/>
      <c r="AQ72" s="129">
        <f t="shared" ref="AQ72" si="90">LN(P72/P71)</f>
        <v>0</v>
      </c>
      <c r="AR72" s="129">
        <f t="shared" ref="AR72" si="91">LN(Q72/Q71)</f>
        <v>2.8473427775951112E-3</v>
      </c>
      <c r="AS72" s="129"/>
      <c r="AT72" s="129">
        <f>H72/J72</f>
        <v>1.7701003785497402E-6</v>
      </c>
      <c r="AU72" s="129">
        <f>I72/J72</f>
        <v>0.9999982298996215</v>
      </c>
      <c r="AV72" s="129"/>
      <c r="AW72" s="129">
        <f t="shared" ref="AW72" si="92">LN(AT72/AT71)</f>
        <v>-1.1279731017411974E-2</v>
      </c>
      <c r="AX72" s="129">
        <f t="shared" ref="AX72" si="93">LN(AU72/AU71)</f>
        <v>2.0079323557658194E-8</v>
      </c>
      <c r="AY72" s="129"/>
      <c r="AZ72" s="129"/>
      <c r="BA72" s="129">
        <f>EXP(SUMPRODUCT($AM72:$AN72,AQ72:AR72))</f>
        <v>1.0028514003060416</v>
      </c>
      <c r="BB72" s="129">
        <f>IF(ISERR(BA72),BB71,BA72*BB71)</f>
        <v>1.1991854766120249</v>
      </c>
      <c r="BC72" s="129">
        <f t="shared" si="53"/>
        <v>0.95893218453252682</v>
      </c>
      <c r="BD72" s="129"/>
      <c r="BE72" s="129">
        <f>EXP(SUMPRODUCT($AM72:$AN72,AW72:AX72))</f>
        <v>1.0000000200708457</v>
      </c>
      <c r="BF72" s="129">
        <f>IF(ISERR(BE72),BF71,BE72*BF71)</f>
        <v>1.0000002009421425</v>
      </c>
      <c r="BG72" s="129">
        <f t="shared" si="54"/>
        <v>1.0000007986458164</v>
      </c>
    </row>
    <row r="73" spans="1:59" hidden="1" x14ac:dyDescent="0.2">
      <c r="A73" s="133"/>
      <c r="B73" s="144"/>
      <c r="AD73" s="134"/>
      <c r="BA73" s="129"/>
      <c r="BB73" s="129"/>
      <c r="BC73" s="129"/>
      <c r="BD73" s="129"/>
      <c r="BE73" s="129"/>
      <c r="BF73" s="129"/>
      <c r="BG73" s="129"/>
    </row>
    <row r="74" spans="1:59" hidden="1" x14ac:dyDescent="0.2">
      <c r="A74" s="133" t="s">
        <v>684</v>
      </c>
      <c r="B74" s="144">
        <f>Base_year</f>
        <v>1985</v>
      </c>
      <c r="F74" s="129">
        <f>INDEX(F10:F71,Base_row,0)</f>
        <v>542.98771676114472</v>
      </c>
      <c r="J74" s="138">
        <f>INDEX(J10:J71,Base_row,0)</f>
        <v>219536.522937</v>
      </c>
      <c r="L74" s="136">
        <f>INDEX(L10:L71,Base_row,0)</f>
        <v>1</v>
      </c>
      <c r="M74" s="136">
        <f>INDEX(M10:M71,Base_row,0)</f>
        <v>2473.3429494935967</v>
      </c>
      <c r="N74" s="136">
        <f>INDEX(N10:N71,Base_row,0)</f>
        <v>2473.336597924369</v>
      </c>
      <c r="AD74" s="134"/>
      <c r="BA74" s="129"/>
      <c r="BB74" s="129">
        <f>INDEX(BB10:BB71,Base_row,1)</f>
        <v>1.2505425263170409</v>
      </c>
      <c r="BC74" s="129"/>
      <c r="BD74" s="129"/>
      <c r="BE74" s="129"/>
      <c r="BF74" s="129">
        <f>INDEX(BF10:BF71,Base_row,1)</f>
        <v>0.99999940229680351</v>
      </c>
      <c r="BG74" s="129"/>
    </row>
    <row r="75" spans="1:59" hidden="1" x14ac:dyDescent="0.2">
      <c r="A75" s="133" t="s">
        <v>683</v>
      </c>
      <c r="B75" s="144">
        <f>Base_year2</f>
        <v>1996</v>
      </c>
      <c r="J75" s="138">
        <f>INDEX(J10:J71,Base_row2,0)</f>
        <v>286695.64562280005</v>
      </c>
      <c r="L75" s="136">
        <f>INDEX(L10:L71,Base_row2,0)</f>
        <v>1</v>
      </c>
      <c r="M75" s="136">
        <f>INDEX(M10:M71,Base_row2,0)</f>
        <v>2674.748391354573</v>
      </c>
      <c r="N75" s="136">
        <f>INDEX(N10:N71,Base_row2,0)</f>
        <v>2674.7426166418095</v>
      </c>
      <c r="AD75" s="134"/>
    </row>
    <row r="76" spans="1:59" x14ac:dyDescent="0.2">
      <c r="A76" s="133"/>
      <c r="B76" s="133"/>
      <c r="AD76" s="134"/>
    </row>
    <row r="77" spans="1:59" x14ac:dyDescent="0.2">
      <c r="A77" s="133"/>
      <c r="B77" s="133"/>
      <c r="D77" s="146" t="s">
        <v>108</v>
      </c>
      <c r="E77" s="146"/>
      <c r="H77" s="146" t="s">
        <v>107</v>
      </c>
      <c r="I77" s="146"/>
      <c r="J77" s="146"/>
      <c r="AD77" s="134"/>
    </row>
    <row r="78" spans="1:59" x14ac:dyDescent="0.2">
      <c r="A78" s="133"/>
      <c r="B78" s="133"/>
      <c r="AD78" s="134"/>
    </row>
    <row r="79" spans="1:59" x14ac:dyDescent="0.2">
      <c r="A79" s="133"/>
      <c r="B79" s="133"/>
      <c r="AD79" s="134"/>
    </row>
    <row r="80" spans="1:59" x14ac:dyDescent="0.2">
      <c r="A80" s="133"/>
      <c r="B80" s="133"/>
      <c r="AD80" s="134"/>
    </row>
    <row r="81" spans="1:30" x14ac:dyDescent="0.2">
      <c r="A81" s="133"/>
      <c r="B81" s="133"/>
      <c r="AD81" s="134"/>
    </row>
    <row r="82" spans="1:30" x14ac:dyDescent="0.2">
      <c r="A82" s="133"/>
      <c r="B82" s="133"/>
      <c r="AD82" s="134"/>
    </row>
    <row r="83" spans="1:30" x14ac:dyDescent="0.2">
      <c r="A83" s="133"/>
      <c r="B83" s="133"/>
      <c r="AD83" s="134"/>
    </row>
    <row r="84" spans="1:30" x14ac:dyDescent="0.2">
      <c r="A84" s="133"/>
      <c r="B84" s="133"/>
      <c r="AD84" s="134"/>
    </row>
    <row r="85" spans="1:30" x14ac:dyDescent="0.2">
      <c r="A85" s="133"/>
      <c r="B85" s="133"/>
      <c r="AD85" s="134"/>
    </row>
    <row r="86" spans="1:30" x14ac:dyDescent="0.2">
      <c r="A86" s="133"/>
      <c r="B86" s="133"/>
      <c r="AD86" s="134"/>
    </row>
    <row r="87" spans="1:30" x14ac:dyDescent="0.2">
      <c r="A87" s="133"/>
      <c r="B87" s="133"/>
      <c r="AD87" s="134"/>
    </row>
    <row r="88" spans="1:30" x14ac:dyDescent="0.2">
      <c r="A88" s="133"/>
      <c r="B88" s="133"/>
      <c r="AD88" s="134"/>
    </row>
    <row r="89" spans="1:30" x14ac:dyDescent="0.2">
      <c r="A89" s="133"/>
      <c r="B89" s="133"/>
      <c r="AD89" s="134"/>
    </row>
    <row r="90" spans="1:30" x14ac:dyDescent="0.2">
      <c r="A90" s="133"/>
      <c r="B90" s="133"/>
      <c r="AD90" s="134"/>
    </row>
    <row r="91" spans="1:30" x14ac:dyDescent="0.2">
      <c r="A91" s="133"/>
      <c r="B91" s="133"/>
      <c r="AD91" s="134"/>
    </row>
    <row r="92" spans="1:30" x14ac:dyDescent="0.2">
      <c r="A92" s="133"/>
      <c r="B92" s="133"/>
      <c r="AD92" s="134"/>
    </row>
    <row r="93" spans="1:30" x14ac:dyDescent="0.2">
      <c r="A93" s="133"/>
      <c r="B93" s="133"/>
      <c r="AD93" s="134"/>
    </row>
    <row r="94" spans="1:30" x14ac:dyDescent="0.2">
      <c r="A94" s="133"/>
      <c r="B94" s="133"/>
      <c r="AD94" s="134"/>
    </row>
    <row r="95" spans="1:30" x14ac:dyDescent="0.2">
      <c r="A95" s="133"/>
      <c r="B95" s="133"/>
      <c r="AD95" s="134"/>
    </row>
    <row r="96" spans="1:30" x14ac:dyDescent="0.2">
      <c r="A96" s="133"/>
      <c r="B96" s="133"/>
      <c r="AD96" s="134"/>
    </row>
    <row r="97" spans="1:30" x14ac:dyDescent="0.2">
      <c r="A97" s="133"/>
      <c r="B97" s="133"/>
      <c r="AD97" s="134"/>
    </row>
    <row r="98" spans="1:30" x14ac:dyDescent="0.2">
      <c r="A98" s="133"/>
      <c r="B98" s="133"/>
      <c r="AD98" s="134"/>
    </row>
    <row r="99" spans="1:30" x14ac:dyDescent="0.2">
      <c r="A99" s="133"/>
      <c r="B99" s="133"/>
      <c r="AD99" s="134"/>
    </row>
    <row r="100" spans="1:30" x14ac:dyDescent="0.2">
      <c r="A100" s="133"/>
      <c r="B100" s="133"/>
      <c r="AD100" s="134"/>
    </row>
    <row r="101" spans="1:30" x14ac:dyDescent="0.2">
      <c r="A101" s="133"/>
      <c r="B101" s="133"/>
      <c r="AD101" s="134"/>
    </row>
    <row r="102" spans="1:30" x14ac:dyDescent="0.2">
      <c r="A102" s="133"/>
      <c r="B102" s="133"/>
      <c r="AD102" s="134"/>
    </row>
    <row r="103" spans="1:30" x14ac:dyDescent="0.2">
      <c r="A103" s="133"/>
      <c r="B103" s="133"/>
      <c r="AD103" s="134"/>
    </row>
    <row r="104" spans="1:30" x14ac:dyDescent="0.2">
      <c r="A104" s="133"/>
      <c r="B104" s="133"/>
      <c r="AD104" s="134"/>
    </row>
    <row r="105" spans="1:30" x14ac:dyDescent="0.2">
      <c r="A105" s="133"/>
      <c r="B105" s="133"/>
      <c r="AD105" s="134"/>
    </row>
    <row r="106" spans="1:30" x14ac:dyDescent="0.2">
      <c r="A106" s="133"/>
      <c r="B106" s="133"/>
      <c r="AD106" s="134"/>
    </row>
    <row r="107" spans="1:30" x14ac:dyDescent="0.2">
      <c r="A107" s="133"/>
      <c r="B107" s="133"/>
      <c r="AD107" s="134"/>
    </row>
    <row r="108" spans="1:30" x14ac:dyDescent="0.2">
      <c r="A108" s="133"/>
      <c r="B108" s="133"/>
      <c r="AD108" s="134"/>
    </row>
    <row r="109" spans="1:30" x14ac:dyDescent="0.2">
      <c r="A109" s="133"/>
      <c r="B109" s="133"/>
      <c r="AD109" s="134"/>
    </row>
    <row r="110" spans="1:30" x14ac:dyDescent="0.2">
      <c r="A110" s="133"/>
      <c r="B110" s="133"/>
      <c r="AD110" s="134"/>
    </row>
    <row r="111" spans="1:30" x14ac:dyDescent="0.2">
      <c r="A111" s="133"/>
      <c r="B111" s="133"/>
      <c r="AD111" s="134"/>
    </row>
    <row r="112" spans="1:30" x14ac:dyDescent="0.2">
      <c r="A112" s="133"/>
      <c r="B112" s="133"/>
      <c r="AD112" s="134"/>
    </row>
    <row r="113" spans="1:30" x14ac:dyDescent="0.2">
      <c r="A113" s="133"/>
      <c r="B113" s="133"/>
      <c r="AD113" s="134"/>
    </row>
    <row r="114" spans="1:30" x14ac:dyDescent="0.2">
      <c r="A114" s="133"/>
      <c r="B114" s="133"/>
      <c r="AD114" s="134"/>
    </row>
    <row r="115" spans="1:30" x14ac:dyDescent="0.2">
      <c r="A115" s="133"/>
      <c r="B115" s="133"/>
      <c r="AD115" s="134"/>
    </row>
    <row r="116" spans="1:30" x14ac:dyDescent="0.2">
      <c r="A116" s="133"/>
      <c r="B116" s="133"/>
      <c r="AD116" s="134"/>
    </row>
    <row r="117" spans="1:30" x14ac:dyDescent="0.2">
      <c r="A117" s="133"/>
      <c r="B117" s="133"/>
      <c r="AD117" s="134"/>
    </row>
    <row r="118" spans="1:30" x14ac:dyDescent="0.2">
      <c r="A118" s="133"/>
      <c r="B118" s="133"/>
      <c r="AD118" s="134"/>
    </row>
    <row r="119" spans="1:30" x14ac:dyDescent="0.2">
      <c r="A119" s="133"/>
      <c r="B119" s="133"/>
      <c r="AD119" s="134"/>
    </row>
    <row r="120" spans="1:30" x14ac:dyDescent="0.2">
      <c r="A120" s="133"/>
      <c r="B120" s="133"/>
      <c r="AD120" s="134"/>
    </row>
    <row r="121" spans="1:30" x14ac:dyDescent="0.2">
      <c r="A121" s="133"/>
      <c r="B121" s="133"/>
      <c r="AD121" s="134"/>
    </row>
    <row r="122" spans="1:30" x14ac:dyDescent="0.2">
      <c r="A122" s="133"/>
      <c r="B122" s="133"/>
      <c r="AD122" s="134"/>
    </row>
    <row r="123" spans="1:30" x14ac:dyDescent="0.2">
      <c r="A123" s="133"/>
      <c r="B123" s="133"/>
      <c r="AD123" s="134"/>
    </row>
    <row r="124" spans="1:30" x14ac:dyDescent="0.2">
      <c r="A124" s="133"/>
      <c r="B124" s="133"/>
      <c r="AD124" s="134"/>
    </row>
    <row r="125" spans="1:30" x14ac:dyDescent="0.2">
      <c r="A125" s="133"/>
      <c r="B125" s="133"/>
      <c r="AD125" s="134"/>
    </row>
    <row r="126" spans="1:30" x14ac:dyDescent="0.2">
      <c r="A126" s="133"/>
      <c r="B126" s="133"/>
      <c r="AD126" s="134"/>
    </row>
    <row r="127" spans="1:30" x14ac:dyDescent="0.2">
      <c r="A127" s="133"/>
      <c r="B127" s="133"/>
      <c r="AD127" s="134"/>
    </row>
    <row r="128" spans="1:30" x14ac:dyDescent="0.2">
      <c r="A128" s="133"/>
      <c r="B128" s="133"/>
      <c r="AD128" s="134"/>
    </row>
    <row r="129" spans="1:30" x14ac:dyDescent="0.2">
      <c r="A129" s="133"/>
      <c r="B129" s="133"/>
      <c r="AD129" s="134"/>
    </row>
    <row r="130" spans="1:30" x14ac:dyDescent="0.2">
      <c r="A130" s="133"/>
      <c r="B130" s="133"/>
      <c r="AD130" s="134"/>
    </row>
    <row r="131" spans="1:30" x14ac:dyDescent="0.2">
      <c r="A131" s="133"/>
      <c r="B131" s="133"/>
      <c r="AD131" s="134"/>
    </row>
    <row r="132" spans="1:30" x14ac:dyDescent="0.2">
      <c r="A132" s="133"/>
      <c r="B132" s="133"/>
      <c r="AD132" s="134"/>
    </row>
    <row r="133" spans="1:30" x14ac:dyDescent="0.2">
      <c r="A133" s="133"/>
      <c r="B133" s="133"/>
      <c r="AD133" s="134"/>
    </row>
    <row r="134" spans="1:30" x14ac:dyDescent="0.2">
      <c r="A134" s="133"/>
      <c r="B134" s="133"/>
      <c r="AD134" s="134"/>
    </row>
    <row r="135" spans="1:30" x14ac:dyDescent="0.2">
      <c r="A135" s="133"/>
      <c r="B135" s="133"/>
      <c r="AD135" s="134"/>
    </row>
    <row r="136" spans="1:30" x14ac:dyDescent="0.2">
      <c r="A136" s="133"/>
      <c r="B136" s="133"/>
      <c r="AD136" s="134"/>
    </row>
    <row r="137" spans="1:30" x14ac:dyDescent="0.2">
      <c r="A137" s="133"/>
      <c r="B137" s="133"/>
      <c r="AD137" s="134"/>
    </row>
    <row r="138" spans="1:30" x14ac:dyDescent="0.2">
      <c r="A138" s="133"/>
      <c r="B138" s="133"/>
      <c r="AD138" s="134"/>
    </row>
    <row r="139" spans="1:30" x14ac:dyDescent="0.2">
      <c r="A139" s="133"/>
      <c r="B139" s="133"/>
      <c r="AD139" s="134"/>
    </row>
    <row r="140" spans="1:30" x14ac:dyDescent="0.2">
      <c r="A140" s="133"/>
      <c r="B140" s="133"/>
      <c r="AD140" s="134"/>
    </row>
    <row r="141" spans="1:30" x14ac:dyDescent="0.2">
      <c r="A141" s="133"/>
      <c r="B141" s="133"/>
      <c r="AD141" s="134"/>
    </row>
    <row r="142" spans="1:30" x14ac:dyDescent="0.2">
      <c r="A142" s="133"/>
      <c r="B142" s="133"/>
      <c r="AD142" s="134"/>
    </row>
    <row r="143" spans="1:30" x14ac:dyDescent="0.2">
      <c r="A143" s="133"/>
      <c r="B143" s="133"/>
      <c r="AD143" s="134"/>
    </row>
    <row r="144" spans="1:30" x14ac:dyDescent="0.2">
      <c r="A144" s="133"/>
      <c r="B144" s="133"/>
      <c r="AD144" s="134"/>
    </row>
    <row r="145" spans="1:30" x14ac:dyDescent="0.2">
      <c r="A145" s="133"/>
      <c r="B145" s="133"/>
      <c r="AD145" s="134"/>
    </row>
    <row r="146" spans="1:30" x14ac:dyDescent="0.2">
      <c r="A146" s="133"/>
      <c r="B146" s="133"/>
      <c r="AD146" s="134"/>
    </row>
    <row r="147" spans="1:30" x14ac:dyDescent="0.2">
      <c r="A147" s="133"/>
      <c r="B147" s="133"/>
      <c r="AD147" s="134"/>
    </row>
    <row r="148" spans="1:30" x14ac:dyDescent="0.2">
      <c r="A148" s="133"/>
      <c r="B148" s="133"/>
      <c r="AD148" s="134"/>
    </row>
    <row r="149" spans="1:30" x14ac:dyDescent="0.2">
      <c r="A149" s="133"/>
      <c r="B149" s="133"/>
      <c r="AD149" s="134"/>
    </row>
    <row r="150" spans="1:30" x14ac:dyDescent="0.2">
      <c r="A150" s="133"/>
      <c r="B150" s="133"/>
      <c r="AD150" s="134"/>
    </row>
    <row r="151" spans="1:30" x14ac:dyDescent="0.2">
      <c r="A151" s="133"/>
      <c r="B151" s="133"/>
      <c r="AD151" s="134"/>
    </row>
    <row r="152" spans="1:30" x14ac:dyDescent="0.2">
      <c r="A152" s="133"/>
      <c r="B152" s="133"/>
      <c r="AD152" s="134"/>
    </row>
    <row r="153" spans="1:30" x14ac:dyDescent="0.2">
      <c r="A153" s="133"/>
      <c r="B153" s="133"/>
      <c r="AD153" s="134"/>
    </row>
    <row r="154" spans="1:30" x14ac:dyDescent="0.2">
      <c r="A154" s="133"/>
      <c r="B154" s="133"/>
      <c r="AD154" s="134"/>
    </row>
    <row r="155" spans="1:30" x14ac:dyDescent="0.2">
      <c r="A155" s="133"/>
      <c r="B155" s="133"/>
      <c r="AD155" s="134"/>
    </row>
    <row r="156" spans="1:30" x14ac:dyDescent="0.2">
      <c r="A156" s="133"/>
      <c r="B156" s="133"/>
      <c r="AD156" s="134"/>
    </row>
    <row r="157" spans="1:30" x14ac:dyDescent="0.2">
      <c r="A157" s="133"/>
      <c r="B157" s="133"/>
      <c r="AD157" s="134"/>
    </row>
    <row r="158" spans="1:30" x14ac:dyDescent="0.2">
      <c r="A158" s="133"/>
      <c r="B158" s="133"/>
      <c r="AD158" s="134"/>
    </row>
    <row r="159" spans="1:30" x14ac:dyDescent="0.2">
      <c r="A159" s="133"/>
      <c r="B159" s="133"/>
      <c r="AD159" s="134"/>
    </row>
    <row r="160" spans="1:30" x14ac:dyDescent="0.2">
      <c r="A160" s="133"/>
      <c r="B160" s="133"/>
      <c r="AD160" s="134"/>
    </row>
    <row r="161" spans="1:30" x14ac:dyDescent="0.2">
      <c r="A161" s="133"/>
      <c r="B161" s="133"/>
      <c r="AD161" s="134"/>
    </row>
    <row r="162" spans="1:30" x14ac:dyDescent="0.2">
      <c r="A162" s="133"/>
      <c r="B162" s="133"/>
      <c r="AD162" s="134"/>
    </row>
    <row r="163" spans="1:30" x14ac:dyDescent="0.2">
      <c r="A163" s="133"/>
      <c r="B163" s="133"/>
      <c r="AD163" s="134"/>
    </row>
    <row r="164" spans="1:30" x14ac:dyDescent="0.2">
      <c r="A164" s="133"/>
      <c r="B164" s="133"/>
      <c r="AD164" s="134"/>
    </row>
    <row r="165" spans="1:30" x14ac:dyDescent="0.2">
      <c r="A165" s="133"/>
      <c r="B165" s="133"/>
      <c r="AD165" s="134"/>
    </row>
    <row r="166" spans="1:30" x14ac:dyDescent="0.2">
      <c r="A166" s="133"/>
      <c r="B166" s="133"/>
      <c r="AD166" s="134"/>
    </row>
    <row r="167" spans="1:30" x14ac:dyDescent="0.2">
      <c r="A167" s="133"/>
      <c r="B167" s="133"/>
      <c r="AD167" s="134"/>
    </row>
    <row r="168" spans="1:30" x14ac:dyDescent="0.2">
      <c r="A168" s="133"/>
      <c r="B168" s="133"/>
      <c r="AD168" s="134"/>
    </row>
    <row r="169" spans="1:30" x14ac:dyDescent="0.2">
      <c r="A169" s="133"/>
      <c r="B169" s="133"/>
      <c r="AD169" s="134"/>
    </row>
    <row r="170" spans="1:30" x14ac:dyDescent="0.2">
      <c r="A170" s="133"/>
      <c r="B170" s="133"/>
      <c r="AD170" s="134"/>
    </row>
    <row r="171" spans="1:30" x14ac:dyDescent="0.2">
      <c r="A171" s="133"/>
      <c r="B171" s="133"/>
      <c r="AD171" s="134"/>
    </row>
    <row r="172" spans="1:30" x14ac:dyDescent="0.2">
      <c r="A172" s="133"/>
      <c r="B172" s="133"/>
      <c r="AD172" s="134"/>
    </row>
    <row r="173" spans="1:30" x14ac:dyDescent="0.2">
      <c r="A173" s="133"/>
      <c r="B173" s="133"/>
      <c r="AD173" s="134"/>
    </row>
    <row r="174" spans="1:30" x14ac:dyDescent="0.2">
      <c r="A174" s="133"/>
      <c r="B174" s="133"/>
      <c r="AD174" s="134"/>
    </row>
    <row r="175" spans="1:30" x14ac:dyDescent="0.2">
      <c r="A175" s="133"/>
      <c r="B175" s="133"/>
      <c r="AD175" s="134"/>
    </row>
    <row r="176" spans="1:30" x14ac:dyDescent="0.2">
      <c r="A176" s="133"/>
      <c r="B176" s="133"/>
      <c r="AD176" s="134"/>
    </row>
    <row r="177" spans="1:30" x14ac:dyDescent="0.2">
      <c r="A177" s="133"/>
      <c r="B177" s="133"/>
      <c r="AD177" s="134"/>
    </row>
    <row r="178" spans="1:30" x14ac:dyDescent="0.2">
      <c r="A178" s="133"/>
      <c r="B178" s="133"/>
      <c r="AD178" s="134"/>
    </row>
    <row r="179" spans="1:30" x14ac:dyDescent="0.2">
      <c r="A179" s="133"/>
      <c r="B179" s="133"/>
      <c r="AD179" s="134"/>
    </row>
    <row r="180" spans="1:30" x14ac:dyDescent="0.2">
      <c r="A180" s="133"/>
      <c r="B180" s="133"/>
      <c r="AD180" s="134"/>
    </row>
    <row r="181" spans="1:30" x14ac:dyDescent="0.2">
      <c r="A181" s="133"/>
      <c r="B181" s="133"/>
      <c r="AD181" s="134"/>
    </row>
    <row r="182" spans="1:30" x14ac:dyDescent="0.2">
      <c r="A182" s="133"/>
      <c r="B182" s="133"/>
      <c r="AD182" s="134"/>
    </row>
    <row r="183" spans="1:30" x14ac:dyDescent="0.2">
      <c r="A183" s="133"/>
      <c r="B183" s="133"/>
      <c r="AD183" s="134"/>
    </row>
    <row r="184" spans="1:30" x14ac:dyDescent="0.2">
      <c r="A184" s="133"/>
      <c r="B184" s="133"/>
      <c r="AD184" s="134"/>
    </row>
    <row r="185" spans="1:30" x14ac:dyDescent="0.2">
      <c r="A185" s="133"/>
      <c r="B185" s="133"/>
      <c r="AD185" s="134"/>
    </row>
    <row r="186" spans="1:30" x14ac:dyDescent="0.2">
      <c r="A186" s="133"/>
      <c r="B186" s="133"/>
      <c r="AD186" s="134"/>
    </row>
    <row r="187" spans="1:30" x14ac:dyDescent="0.2">
      <c r="A187" s="133"/>
      <c r="B187" s="133"/>
      <c r="AD187" s="134"/>
    </row>
    <row r="188" spans="1:30" x14ac:dyDescent="0.2">
      <c r="A188" s="133"/>
      <c r="B188" s="133"/>
      <c r="AD188" s="134"/>
    </row>
    <row r="189" spans="1:30" x14ac:dyDescent="0.2">
      <c r="A189" s="133"/>
      <c r="B189" s="133"/>
      <c r="AD189" s="134"/>
    </row>
    <row r="190" spans="1:30" x14ac:dyDescent="0.2">
      <c r="A190" s="133"/>
      <c r="B190" s="133"/>
      <c r="AD190" s="134"/>
    </row>
    <row r="191" spans="1:30" x14ac:dyDescent="0.2">
      <c r="A191" s="133"/>
      <c r="B191" s="133"/>
      <c r="AD191" s="134"/>
    </row>
    <row r="192" spans="1:30" x14ac:dyDescent="0.2">
      <c r="A192" s="133"/>
      <c r="B192" s="133"/>
      <c r="AD192" s="134"/>
    </row>
    <row r="193" spans="1:30" x14ac:dyDescent="0.2">
      <c r="A193" s="133"/>
      <c r="B193" s="133"/>
      <c r="AD193" s="134"/>
    </row>
    <row r="194" spans="1:30" x14ac:dyDescent="0.2">
      <c r="A194" s="133"/>
      <c r="B194" s="133"/>
      <c r="AD194" s="134"/>
    </row>
    <row r="195" spans="1:30" x14ac:dyDescent="0.2">
      <c r="A195" s="133"/>
      <c r="B195" s="133"/>
      <c r="AD195" s="134"/>
    </row>
    <row r="196" spans="1:30" x14ac:dyDescent="0.2">
      <c r="A196" s="133"/>
      <c r="B196" s="133"/>
      <c r="AD196" s="134"/>
    </row>
    <row r="197" spans="1:30" x14ac:dyDescent="0.2">
      <c r="A197" s="133"/>
      <c r="B197" s="133"/>
      <c r="AD197" s="134"/>
    </row>
    <row r="198" spans="1:30" x14ac:dyDescent="0.2">
      <c r="A198" s="133"/>
      <c r="B198" s="133"/>
      <c r="AD198" s="134"/>
    </row>
    <row r="199" spans="1:30" x14ac:dyDescent="0.2">
      <c r="A199" s="133"/>
      <c r="B199" s="133"/>
      <c r="AD199" s="134"/>
    </row>
    <row r="200" spans="1:30" x14ac:dyDescent="0.2">
      <c r="A200" s="133"/>
      <c r="B200" s="133"/>
      <c r="AD200" s="134"/>
    </row>
    <row r="201" spans="1:30" x14ac:dyDescent="0.2">
      <c r="A201" s="133"/>
      <c r="B201" s="133"/>
      <c r="AD201" s="134"/>
    </row>
    <row r="202" spans="1:30" x14ac:dyDescent="0.2">
      <c r="A202" s="133"/>
      <c r="B202" s="133"/>
      <c r="AD202" s="134"/>
    </row>
    <row r="203" spans="1:30" x14ac:dyDescent="0.2">
      <c r="A203" s="133"/>
      <c r="B203" s="133"/>
      <c r="AD203" s="134"/>
    </row>
    <row r="204" spans="1:30" x14ac:dyDescent="0.2">
      <c r="A204" s="133"/>
      <c r="B204" s="133"/>
      <c r="AD204" s="134"/>
    </row>
    <row r="205" spans="1:30" x14ac:dyDescent="0.2">
      <c r="A205" s="133"/>
      <c r="B205" s="133"/>
      <c r="AD205" s="134"/>
    </row>
    <row r="206" spans="1:30" x14ac:dyDescent="0.2">
      <c r="A206" s="133"/>
      <c r="B206" s="133"/>
      <c r="AD206" s="134"/>
    </row>
    <row r="207" spans="1:30" x14ac:dyDescent="0.2">
      <c r="A207" s="133"/>
      <c r="B207" s="133"/>
      <c r="AD207" s="134"/>
    </row>
    <row r="208" spans="1:30" x14ac:dyDescent="0.2">
      <c r="A208" s="133"/>
      <c r="B208" s="133"/>
      <c r="AD208" s="134"/>
    </row>
    <row r="209" spans="1:30" x14ac:dyDescent="0.2">
      <c r="A209" s="133"/>
      <c r="B209" s="133"/>
      <c r="AD209" s="134"/>
    </row>
    <row r="210" spans="1:30" x14ac:dyDescent="0.2">
      <c r="A210" s="133"/>
      <c r="B210" s="133"/>
      <c r="AD210" s="134"/>
    </row>
    <row r="211" spans="1:30" x14ac:dyDescent="0.2">
      <c r="A211" s="133"/>
      <c r="B211" s="133"/>
      <c r="AD211" s="134"/>
    </row>
    <row r="212" spans="1:30" x14ac:dyDescent="0.2">
      <c r="A212" s="133"/>
      <c r="B212" s="133"/>
      <c r="AD212" s="134"/>
    </row>
    <row r="213" spans="1:30" x14ac:dyDescent="0.2">
      <c r="A213" s="133"/>
      <c r="B213" s="133"/>
      <c r="AD213" s="134"/>
    </row>
    <row r="214" spans="1:30" x14ac:dyDescent="0.2">
      <c r="A214" s="133"/>
      <c r="B214" s="133"/>
      <c r="AD214" s="134"/>
    </row>
    <row r="215" spans="1:30" x14ac:dyDescent="0.2">
      <c r="A215" s="133"/>
      <c r="B215" s="133"/>
      <c r="AD215" s="134"/>
    </row>
    <row r="216" spans="1:30" x14ac:dyDescent="0.2">
      <c r="A216" s="133"/>
      <c r="B216" s="133"/>
      <c r="AD216" s="134"/>
    </row>
    <row r="217" spans="1:30" x14ac:dyDescent="0.2">
      <c r="A217" s="133"/>
      <c r="B217" s="133"/>
      <c r="AD217" s="134"/>
    </row>
    <row r="218" spans="1:30" x14ac:dyDescent="0.2">
      <c r="A218" s="133"/>
      <c r="B218" s="133"/>
      <c r="AD218" s="134"/>
    </row>
    <row r="219" spans="1:30" x14ac:dyDescent="0.2">
      <c r="A219" s="133"/>
      <c r="B219" s="133"/>
      <c r="AD219" s="134"/>
    </row>
    <row r="220" spans="1:30" x14ac:dyDescent="0.2">
      <c r="A220" s="133"/>
      <c r="B220" s="133"/>
      <c r="AD220" s="134"/>
    </row>
    <row r="221" spans="1:30" x14ac:dyDescent="0.2">
      <c r="A221" s="133"/>
      <c r="B221" s="133"/>
      <c r="AD221" s="134"/>
    </row>
    <row r="222" spans="1:30" x14ac:dyDescent="0.2">
      <c r="A222" s="133"/>
      <c r="B222" s="133"/>
      <c r="AD222" s="134"/>
    </row>
    <row r="223" spans="1:30" x14ac:dyDescent="0.2">
      <c r="A223" s="133"/>
      <c r="B223" s="133"/>
      <c r="AD223" s="134"/>
    </row>
    <row r="224" spans="1:30" x14ac:dyDescent="0.2">
      <c r="A224" s="133"/>
      <c r="B224" s="133"/>
      <c r="AD224" s="134"/>
    </row>
    <row r="225" spans="1:30" x14ac:dyDescent="0.2">
      <c r="A225" s="133"/>
      <c r="B225" s="133"/>
      <c r="AD225" s="134"/>
    </row>
    <row r="226" spans="1:30" x14ac:dyDescent="0.2">
      <c r="A226" s="133"/>
      <c r="B226" s="133"/>
      <c r="AD226" s="134"/>
    </row>
    <row r="227" spans="1:30" x14ac:dyDescent="0.2">
      <c r="A227" s="133"/>
      <c r="B227" s="133"/>
      <c r="AD227" s="134"/>
    </row>
    <row r="228" spans="1:30" x14ac:dyDescent="0.2">
      <c r="A228" s="133"/>
      <c r="B228" s="133"/>
      <c r="AD228" s="134"/>
    </row>
    <row r="229" spans="1:30" x14ac:dyDescent="0.2">
      <c r="A229" s="133"/>
      <c r="B229" s="133"/>
      <c r="AD229" s="134"/>
    </row>
    <row r="230" spans="1:30" x14ac:dyDescent="0.2">
      <c r="A230" s="133"/>
      <c r="B230" s="133"/>
      <c r="AD230" s="134"/>
    </row>
    <row r="231" spans="1:30" x14ac:dyDescent="0.2">
      <c r="A231" s="133"/>
      <c r="B231" s="133"/>
      <c r="AD231" s="134"/>
    </row>
    <row r="232" spans="1:30" x14ac:dyDescent="0.2">
      <c r="A232" s="133"/>
      <c r="B232" s="133"/>
      <c r="AD232" s="134"/>
    </row>
    <row r="233" spans="1:30" x14ac:dyDescent="0.2">
      <c r="A233" s="133"/>
      <c r="B233" s="133"/>
      <c r="AD233" s="134"/>
    </row>
    <row r="234" spans="1:30" x14ac:dyDescent="0.2">
      <c r="A234" s="133"/>
      <c r="B234" s="133"/>
      <c r="AD234" s="134"/>
    </row>
    <row r="235" spans="1:30" x14ac:dyDescent="0.2">
      <c r="A235" s="133"/>
      <c r="B235" s="133"/>
      <c r="AD235" s="134"/>
    </row>
    <row r="236" spans="1:30" x14ac:dyDescent="0.2">
      <c r="A236" s="133"/>
      <c r="B236" s="133"/>
      <c r="AD236" s="134"/>
    </row>
    <row r="237" spans="1:30" x14ac:dyDescent="0.2">
      <c r="A237" s="133"/>
      <c r="B237" s="133"/>
      <c r="AD237" s="134"/>
    </row>
    <row r="238" spans="1:30" x14ac:dyDescent="0.2">
      <c r="A238" s="133"/>
      <c r="B238" s="133"/>
      <c r="AD238" s="134"/>
    </row>
    <row r="239" spans="1:30" x14ac:dyDescent="0.2">
      <c r="A239" s="133"/>
      <c r="B239" s="133"/>
      <c r="AD239" s="134"/>
    </row>
    <row r="240" spans="1:30" x14ac:dyDescent="0.2">
      <c r="A240" s="133"/>
      <c r="B240" s="133"/>
      <c r="AD240" s="134"/>
    </row>
    <row r="241" spans="1:30" x14ac:dyDescent="0.2">
      <c r="A241" s="133"/>
      <c r="B241" s="133"/>
      <c r="AD241" s="134"/>
    </row>
    <row r="242" spans="1:30" x14ac:dyDescent="0.2">
      <c r="A242" s="133"/>
      <c r="B242" s="133"/>
      <c r="AD242" s="134"/>
    </row>
    <row r="243" spans="1:30" x14ac:dyDescent="0.2">
      <c r="A243" s="133"/>
      <c r="B243" s="133"/>
      <c r="AD243" s="134"/>
    </row>
    <row r="244" spans="1:30" x14ac:dyDescent="0.2">
      <c r="A244" s="133"/>
      <c r="B244" s="133"/>
      <c r="AD244" s="134"/>
    </row>
    <row r="245" spans="1:30" x14ac:dyDescent="0.2">
      <c r="A245" s="133"/>
      <c r="B245" s="133"/>
      <c r="AD245" s="134"/>
    </row>
    <row r="246" spans="1:30" x14ac:dyDescent="0.2">
      <c r="A246" s="133"/>
      <c r="B246" s="133"/>
      <c r="AD246" s="134"/>
    </row>
    <row r="247" spans="1:30" x14ac:dyDescent="0.2">
      <c r="A247" s="133"/>
      <c r="B247" s="133"/>
      <c r="AD247" s="134"/>
    </row>
    <row r="248" spans="1:30" x14ac:dyDescent="0.2">
      <c r="A248" s="133"/>
      <c r="B248" s="133"/>
      <c r="AD248" s="134"/>
    </row>
    <row r="249" spans="1:30" x14ac:dyDescent="0.2">
      <c r="A249" s="133"/>
      <c r="B249" s="133"/>
      <c r="AD249" s="134"/>
    </row>
    <row r="250" spans="1:30" x14ac:dyDescent="0.2">
      <c r="A250" s="133"/>
      <c r="B250" s="133"/>
      <c r="AD250" s="134"/>
    </row>
    <row r="251" spans="1:30" x14ac:dyDescent="0.2">
      <c r="A251" s="133"/>
      <c r="B251" s="133"/>
      <c r="AD251" s="134"/>
    </row>
    <row r="252" spans="1:30" x14ac:dyDescent="0.2">
      <c r="A252" s="133"/>
      <c r="B252" s="133"/>
      <c r="AD252" s="134"/>
    </row>
    <row r="253" spans="1:30" x14ac:dyDescent="0.2">
      <c r="A253" s="133"/>
      <c r="B253" s="133"/>
      <c r="AD253" s="134"/>
    </row>
    <row r="254" spans="1:30" x14ac:dyDescent="0.2">
      <c r="A254" s="133"/>
      <c r="B254" s="133"/>
      <c r="AD254" s="134"/>
    </row>
    <row r="255" spans="1:30" x14ac:dyDescent="0.2">
      <c r="A255" s="133"/>
      <c r="B255" s="133"/>
      <c r="AD255" s="134"/>
    </row>
    <row r="256" spans="1:30" x14ac:dyDescent="0.2">
      <c r="A256" s="133"/>
      <c r="B256" s="133"/>
      <c r="AD256" s="134"/>
    </row>
    <row r="257" spans="1:30" x14ac:dyDescent="0.2">
      <c r="A257" s="133"/>
      <c r="B257" s="133"/>
      <c r="AD257" s="134"/>
    </row>
    <row r="258" spans="1:30" x14ac:dyDescent="0.2">
      <c r="AD258" s="134"/>
    </row>
    <row r="259" spans="1:30" x14ac:dyDescent="0.2">
      <c r="AD259" s="134"/>
    </row>
    <row r="260" spans="1:30" x14ac:dyDescent="0.2">
      <c r="AD260" s="134"/>
    </row>
    <row r="261" spans="1:30" x14ac:dyDescent="0.2">
      <c r="AD261" s="134"/>
    </row>
    <row r="262" spans="1:30" x14ac:dyDescent="0.2">
      <c r="AD262" s="134"/>
    </row>
    <row r="263" spans="1:30" x14ac:dyDescent="0.2">
      <c r="AD263" s="134"/>
    </row>
    <row r="264" spans="1:30" x14ac:dyDescent="0.2">
      <c r="AD264" s="134"/>
    </row>
    <row r="265" spans="1:30" x14ac:dyDescent="0.2">
      <c r="AD265" s="134"/>
    </row>
    <row r="266" spans="1:30" x14ac:dyDescent="0.2">
      <c r="AD266" s="134"/>
    </row>
    <row r="267" spans="1:30" x14ac:dyDescent="0.2">
      <c r="AD267" s="134"/>
    </row>
    <row r="268" spans="1:30" x14ac:dyDescent="0.2">
      <c r="AD268" s="134"/>
    </row>
    <row r="269" spans="1:30" x14ac:dyDescent="0.2">
      <c r="AD269" s="134"/>
    </row>
    <row r="270" spans="1:30" x14ac:dyDescent="0.2">
      <c r="AD270" s="134"/>
    </row>
    <row r="271" spans="1:30" x14ac:dyDescent="0.2">
      <c r="AD271" s="134"/>
    </row>
    <row r="272" spans="1:30" x14ac:dyDescent="0.2">
      <c r="AD272" s="134"/>
    </row>
    <row r="273" spans="30:30" x14ac:dyDescent="0.2">
      <c r="AD273" s="134"/>
    </row>
    <row r="274" spans="30:30" x14ac:dyDescent="0.2">
      <c r="AD274" s="134"/>
    </row>
    <row r="275" spans="30:30" x14ac:dyDescent="0.2">
      <c r="AD275" s="134"/>
    </row>
    <row r="276" spans="30:30" x14ac:dyDescent="0.2">
      <c r="AD276" s="134"/>
    </row>
    <row r="277" spans="30:30" x14ac:dyDescent="0.2">
      <c r="AD277" s="134"/>
    </row>
    <row r="278" spans="30:30" x14ac:dyDescent="0.2">
      <c r="AD278" s="134"/>
    </row>
    <row r="279" spans="30:30" x14ac:dyDescent="0.2">
      <c r="AD279" s="134"/>
    </row>
    <row r="280" spans="30:30" x14ac:dyDescent="0.2">
      <c r="AD280" s="134"/>
    </row>
    <row r="281" spans="30:30" x14ac:dyDescent="0.2">
      <c r="AD281" s="134"/>
    </row>
    <row r="282" spans="30:30" x14ac:dyDescent="0.2">
      <c r="AD282" s="134"/>
    </row>
    <row r="283" spans="30:30" x14ac:dyDescent="0.2">
      <c r="AD283" s="134"/>
    </row>
    <row r="284" spans="30:30" x14ac:dyDescent="0.2">
      <c r="AD284" s="134"/>
    </row>
    <row r="285" spans="30:30" x14ac:dyDescent="0.2">
      <c r="AD285" s="134"/>
    </row>
    <row r="286" spans="30:30" x14ac:dyDescent="0.2">
      <c r="AD286" s="134"/>
    </row>
    <row r="287" spans="30:30" x14ac:dyDescent="0.2">
      <c r="AD287" s="134"/>
    </row>
    <row r="288" spans="30:30" x14ac:dyDescent="0.2">
      <c r="AD288" s="134"/>
    </row>
    <row r="289" spans="30:30" x14ac:dyDescent="0.2">
      <c r="AD289" s="134"/>
    </row>
    <row r="290" spans="30:30" x14ac:dyDescent="0.2">
      <c r="AD290" s="134"/>
    </row>
    <row r="291" spans="30:30" x14ac:dyDescent="0.2">
      <c r="AD291" s="134"/>
    </row>
    <row r="292" spans="30:30" x14ac:dyDescent="0.2">
      <c r="AD292" s="134"/>
    </row>
    <row r="293" spans="30:30" x14ac:dyDescent="0.2">
      <c r="AD293" s="134"/>
    </row>
    <row r="294" spans="30:30" x14ac:dyDescent="0.2">
      <c r="AD294" s="134"/>
    </row>
    <row r="295" spans="30:30" x14ac:dyDescent="0.2">
      <c r="AD295" s="134"/>
    </row>
    <row r="296" spans="30:30" x14ac:dyDescent="0.2">
      <c r="AD296" s="134"/>
    </row>
    <row r="297" spans="30:30" x14ac:dyDescent="0.2">
      <c r="AD297" s="134"/>
    </row>
    <row r="298" spans="30:30" x14ac:dyDescent="0.2">
      <c r="AD298" s="134"/>
    </row>
    <row r="299" spans="30:30" x14ac:dyDescent="0.2">
      <c r="AD299" s="134"/>
    </row>
    <row r="300" spans="30:30" x14ac:dyDescent="0.2">
      <c r="AD300" s="134"/>
    </row>
    <row r="301" spans="30:30" x14ac:dyDescent="0.2">
      <c r="AD301" s="134"/>
    </row>
    <row r="302" spans="30:30" x14ac:dyDescent="0.2">
      <c r="AD302" s="134"/>
    </row>
    <row r="303" spans="30:30" x14ac:dyDescent="0.2">
      <c r="AD303" s="134"/>
    </row>
    <row r="304" spans="30:30" x14ac:dyDescent="0.2">
      <c r="AD304" s="134"/>
    </row>
    <row r="305" spans="30:30" x14ac:dyDescent="0.2">
      <c r="AD305" s="134"/>
    </row>
    <row r="306" spans="30:30" x14ac:dyDescent="0.2">
      <c r="AD306" s="134"/>
    </row>
    <row r="307" spans="30:30" x14ac:dyDescent="0.2">
      <c r="AD307" s="134"/>
    </row>
    <row r="308" spans="30:30" x14ac:dyDescent="0.2">
      <c r="AD308" s="134"/>
    </row>
    <row r="309" spans="30:30" x14ac:dyDescent="0.2">
      <c r="AD309" s="134"/>
    </row>
    <row r="310" spans="30:30" x14ac:dyDescent="0.2">
      <c r="AD310" s="134"/>
    </row>
    <row r="311" spans="30:30" x14ac:dyDescent="0.2">
      <c r="AD311" s="134"/>
    </row>
    <row r="312" spans="30:30" x14ac:dyDescent="0.2">
      <c r="AD312" s="134"/>
    </row>
    <row r="313" spans="30:30" x14ac:dyDescent="0.2">
      <c r="AD313" s="134"/>
    </row>
    <row r="314" spans="30:30" x14ac:dyDescent="0.2">
      <c r="AD314" s="134"/>
    </row>
    <row r="315" spans="30:30" x14ac:dyDescent="0.2">
      <c r="AD315" s="134"/>
    </row>
    <row r="316" spans="30:30" x14ac:dyDescent="0.2">
      <c r="AD316" s="134"/>
    </row>
    <row r="317" spans="30:30" x14ac:dyDescent="0.2">
      <c r="AD317" s="134"/>
    </row>
    <row r="318" spans="30:30" x14ac:dyDescent="0.2">
      <c r="AD318" s="134"/>
    </row>
    <row r="319" spans="30:30" x14ac:dyDescent="0.2">
      <c r="AD319" s="134"/>
    </row>
    <row r="320" spans="30:30" x14ac:dyDescent="0.2">
      <c r="AD320" s="134"/>
    </row>
    <row r="321" spans="30:30" x14ac:dyDescent="0.2">
      <c r="AD321" s="134"/>
    </row>
    <row r="322" spans="30:30" x14ac:dyDescent="0.2">
      <c r="AD322" s="134"/>
    </row>
    <row r="323" spans="30:30" x14ac:dyDescent="0.2">
      <c r="AD323" s="134"/>
    </row>
    <row r="324" spans="30:30" x14ac:dyDescent="0.2">
      <c r="AD324" s="134"/>
    </row>
    <row r="325" spans="30:30" x14ac:dyDescent="0.2">
      <c r="AD325" s="134"/>
    </row>
    <row r="326" spans="30:30" x14ac:dyDescent="0.2">
      <c r="AD326" s="134"/>
    </row>
    <row r="327" spans="30:30" x14ac:dyDescent="0.2">
      <c r="AD327" s="134"/>
    </row>
    <row r="328" spans="30:30" x14ac:dyDescent="0.2">
      <c r="AD328" s="134"/>
    </row>
    <row r="329" spans="30:30" x14ac:dyDescent="0.2">
      <c r="AD329" s="134"/>
    </row>
    <row r="330" spans="30:30" x14ac:dyDescent="0.2">
      <c r="AD330" s="134"/>
    </row>
    <row r="331" spans="30:30" x14ac:dyDescent="0.2">
      <c r="AD331" s="134"/>
    </row>
    <row r="332" spans="30:30" x14ac:dyDescent="0.2">
      <c r="AD332" s="134"/>
    </row>
    <row r="333" spans="30:30" x14ac:dyDescent="0.2">
      <c r="AD333" s="134"/>
    </row>
    <row r="334" spans="30:30" x14ac:dyDescent="0.2">
      <c r="AD334" s="134"/>
    </row>
    <row r="335" spans="30:30" x14ac:dyDescent="0.2">
      <c r="AD335" s="134"/>
    </row>
    <row r="336" spans="30:30" x14ac:dyDescent="0.2">
      <c r="AD336" s="134"/>
    </row>
    <row r="337" spans="30:30" x14ac:dyDescent="0.2">
      <c r="AD337" s="134"/>
    </row>
    <row r="338" spans="30:30" x14ac:dyDescent="0.2">
      <c r="AD338" s="134"/>
    </row>
    <row r="339" spans="30:30" x14ac:dyDescent="0.2">
      <c r="AD339" s="134"/>
    </row>
    <row r="340" spans="30:30" x14ac:dyDescent="0.2">
      <c r="AD340" s="134"/>
    </row>
    <row r="341" spans="30:30" x14ac:dyDescent="0.2">
      <c r="AD341" s="134"/>
    </row>
    <row r="342" spans="30:30" x14ac:dyDescent="0.2">
      <c r="AD342" s="134"/>
    </row>
    <row r="343" spans="30:30" x14ac:dyDescent="0.2">
      <c r="AD343" s="134"/>
    </row>
    <row r="344" spans="30:30" x14ac:dyDescent="0.2">
      <c r="AD344" s="134"/>
    </row>
    <row r="345" spans="30:30" x14ac:dyDescent="0.2">
      <c r="AD345" s="134"/>
    </row>
    <row r="346" spans="30:30" x14ac:dyDescent="0.2">
      <c r="AD346" s="134"/>
    </row>
    <row r="347" spans="30:30" x14ac:dyDescent="0.2">
      <c r="AD347" s="134"/>
    </row>
    <row r="348" spans="30:30" x14ac:dyDescent="0.2">
      <c r="AD348" s="134"/>
    </row>
    <row r="349" spans="30:30" x14ac:dyDescent="0.2">
      <c r="AD349" s="134"/>
    </row>
    <row r="350" spans="30:30" x14ac:dyDescent="0.2">
      <c r="AD350" s="134"/>
    </row>
    <row r="351" spans="30:30" x14ac:dyDescent="0.2">
      <c r="AD351" s="134"/>
    </row>
    <row r="352" spans="30:30" x14ac:dyDescent="0.2">
      <c r="AD352" s="134"/>
    </row>
    <row r="353" spans="30:30" x14ac:dyDescent="0.2">
      <c r="AD353" s="134"/>
    </row>
    <row r="354" spans="30:30" x14ac:dyDescent="0.2">
      <c r="AD354" s="134"/>
    </row>
    <row r="355" spans="30:30" x14ac:dyDescent="0.2">
      <c r="AD355" s="134"/>
    </row>
    <row r="356" spans="30:30" x14ac:dyDescent="0.2">
      <c r="AD356" s="134"/>
    </row>
    <row r="357" spans="30:30" x14ac:dyDescent="0.2">
      <c r="AD357" s="134"/>
    </row>
    <row r="358" spans="30:30" x14ac:dyDescent="0.2">
      <c r="AD358" s="134"/>
    </row>
    <row r="359" spans="30:30" x14ac:dyDescent="0.2">
      <c r="AD359" s="134"/>
    </row>
    <row r="360" spans="30:30" x14ac:dyDescent="0.2">
      <c r="AD360" s="134"/>
    </row>
    <row r="361" spans="30:30" x14ac:dyDescent="0.2">
      <c r="AD361" s="134"/>
    </row>
    <row r="362" spans="30:30" x14ac:dyDescent="0.2">
      <c r="AD362" s="134"/>
    </row>
    <row r="363" spans="30:30" x14ac:dyDescent="0.2">
      <c r="AD363" s="134"/>
    </row>
    <row r="364" spans="30:30" x14ac:dyDescent="0.2">
      <c r="AD364" s="134"/>
    </row>
    <row r="365" spans="30:30" x14ac:dyDescent="0.2">
      <c r="AD365" s="134"/>
    </row>
    <row r="366" spans="30:30" x14ac:dyDescent="0.2">
      <c r="AD366" s="134"/>
    </row>
    <row r="367" spans="30:30" x14ac:dyDescent="0.2">
      <c r="AD367" s="134"/>
    </row>
    <row r="368" spans="30:30" x14ac:dyDescent="0.2">
      <c r="AD368" s="134"/>
    </row>
    <row r="369" spans="30:30" x14ac:dyDescent="0.2">
      <c r="AD369" s="134"/>
    </row>
    <row r="370" spans="30:30" x14ac:dyDescent="0.2">
      <c r="AD370" s="134"/>
    </row>
    <row r="371" spans="30:30" x14ac:dyDescent="0.2">
      <c r="AD371" s="134"/>
    </row>
    <row r="372" spans="30:30" x14ac:dyDescent="0.2">
      <c r="AD372" s="134"/>
    </row>
    <row r="373" spans="30:30" x14ac:dyDescent="0.2">
      <c r="AD373" s="134"/>
    </row>
    <row r="374" spans="30:30" x14ac:dyDescent="0.2">
      <c r="AD374" s="134"/>
    </row>
    <row r="375" spans="30:30" x14ac:dyDescent="0.2">
      <c r="AD375" s="134"/>
    </row>
    <row r="376" spans="30:30" x14ac:dyDescent="0.2">
      <c r="AD376" s="134"/>
    </row>
    <row r="377" spans="30:30" x14ac:dyDescent="0.2">
      <c r="AD377" s="134"/>
    </row>
    <row r="378" spans="30:30" x14ac:dyDescent="0.2">
      <c r="AD378" s="134"/>
    </row>
    <row r="379" spans="30:30" x14ac:dyDescent="0.2">
      <c r="AD379" s="134"/>
    </row>
    <row r="380" spans="30:30" x14ac:dyDescent="0.2">
      <c r="AD380" s="134"/>
    </row>
    <row r="381" spans="30:30" x14ac:dyDescent="0.2">
      <c r="AD381" s="134"/>
    </row>
    <row r="382" spans="30:30" x14ac:dyDescent="0.2">
      <c r="AD382" s="134"/>
    </row>
    <row r="383" spans="30:30" x14ac:dyDescent="0.2">
      <c r="AD383" s="134"/>
    </row>
    <row r="384" spans="30:30" x14ac:dyDescent="0.2">
      <c r="AD384" s="134"/>
    </row>
    <row r="385" spans="30:30" x14ac:dyDescent="0.2">
      <c r="AD385" s="134"/>
    </row>
    <row r="386" spans="30:30" x14ac:dyDescent="0.2">
      <c r="AD386" s="134"/>
    </row>
    <row r="387" spans="30:30" x14ac:dyDescent="0.2">
      <c r="AD387" s="134"/>
    </row>
    <row r="388" spans="30:30" x14ac:dyDescent="0.2">
      <c r="AD388" s="134"/>
    </row>
    <row r="389" spans="30:30" x14ac:dyDescent="0.2">
      <c r="AD389" s="134"/>
    </row>
    <row r="390" spans="30:30" x14ac:dyDescent="0.2">
      <c r="AD390" s="134"/>
    </row>
    <row r="391" spans="30:30" x14ac:dyDescent="0.2">
      <c r="AD391" s="134"/>
    </row>
    <row r="392" spans="30:30" x14ac:dyDescent="0.2">
      <c r="AD392" s="134"/>
    </row>
    <row r="393" spans="30:30" x14ac:dyDescent="0.2">
      <c r="AD393" s="134"/>
    </row>
    <row r="394" spans="30:30" x14ac:dyDescent="0.2">
      <c r="AD394" s="134"/>
    </row>
    <row r="395" spans="30:30" x14ac:dyDescent="0.2">
      <c r="AD395" s="134"/>
    </row>
    <row r="396" spans="30:30" x14ac:dyDescent="0.2">
      <c r="AD396" s="134"/>
    </row>
    <row r="397" spans="30:30" x14ac:dyDescent="0.2">
      <c r="AD397" s="134"/>
    </row>
    <row r="398" spans="30:30" x14ac:dyDescent="0.2">
      <c r="AD398" s="134"/>
    </row>
    <row r="399" spans="30:30" x14ac:dyDescent="0.2">
      <c r="AD399" s="134"/>
    </row>
    <row r="400" spans="30:30" x14ac:dyDescent="0.2">
      <c r="AD400" s="134"/>
    </row>
    <row r="401" spans="30:30" x14ac:dyDescent="0.2">
      <c r="AD401" s="134"/>
    </row>
    <row r="402" spans="30:30" x14ac:dyDescent="0.2">
      <c r="AD402" s="134"/>
    </row>
    <row r="403" spans="30:30" x14ac:dyDescent="0.2">
      <c r="AD403" s="134"/>
    </row>
    <row r="404" spans="30:30" x14ac:dyDescent="0.2">
      <c r="AD404" s="134"/>
    </row>
    <row r="405" spans="30:30" x14ac:dyDescent="0.2">
      <c r="AD405" s="134"/>
    </row>
    <row r="406" spans="30:30" x14ac:dyDescent="0.2">
      <c r="AD406" s="134"/>
    </row>
    <row r="407" spans="30:30" x14ac:dyDescent="0.2">
      <c r="AD407" s="134"/>
    </row>
    <row r="408" spans="30:30" x14ac:dyDescent="0.2">
      <c r="AD408" s="134"/>
    </row>
    <row r="409" spans="30:30" x14ac:dyDescent="0.2">
      <c r="AD409" s="134"/>
    </row>
    <row r="410" spans="30:30" x14ac:dyDescent="0.2">
      <c r="AD410" s="134"/>
    </row>
    <row r="411" spans="30:30" x14ac:dyDescent="0.2">
      <c r="AD411" s="134"/>
    </row>
    <row r="412" spans="30:30" x14ac:dyDescent="0.2">
      <c r="AD412" s="134"/>
    </row>
    <row r="413" spans="30:30" x14ac:dyDescent="0.2">
      <c r="AD413" s="134"/>
    </row>
    <row r="414" spans="30:30" x14ac:dyDescent="0.2">
      <c r="AD414" s="134"/>
    </row>
    <row r="415" spans="30:30" x14ac:dyDescent="0.2">
      <c r="AD415" s="134"/>
    </row>
    <row r="416" spans="30:30" x14ac:dyDescent="0.2">
      <c r="AD416" s="134"/>
    </row>
    <row r="417" spans="30:30" x14ac:dyDescent="0.2">
      <c r="AD417" s="134"/>
    </row>
    <row r="418" spans="30:30" x14ac:dyDescent="0.2">
      <c r="AD418" s="134"/>
    </row>
    <row r="419" spans="30:30" x14ac:dyDescent="0.2">
      <c r="AD419" s="134"/>
    </row>
    <row r="420" spans="30:30" x14ac:dyDescent="0.2">
      <c r="AD420" s="134"/>
    </row>
    <row r="421" spans="30:30" x14ac:dyDescent="0.2">
      <c r="AD421" s="134"/>
    </row>
    <row r="422" spans="30:30" x14ac:dyDescent="0.2">
      <c r="AD422" s="134"/>
    </row>
    <row r="423" spans="30:30" x14ac:dyDescent="0.2">
      <c r="AD423" s="134"/>
    </row>
    <row r="424" spans="30:30" x14ac:dyDescent="0.2">
      <c r="AD424" s="134"/>
    </row>
    <row r="425" spans="30:30" x14ac:dyDescent="0.2">
      <c r="AD425" s="134"/>
    </row>
    <row r="426" spans="30:30" x14ac:dyDescent="0.2">
      <c r="AD426" s="134"/>
    </row>
    <row r="427" spans="30:30" x14ac:dyDescent="0.2">
      <c r="AD427" s="134"/>
    </row>
    <row r="428" spans="30:30" x14ac:dyDescent="0.2">
      <c r="AD428" s="134"/>
    </row>
    <row r="429" spans="30:30" x14ac:dyDescent="0.2">
      <c r="AD429" s="134"/>
    </row>
    <row r="430" spans="30:30" x14ac:dyDescent="0.2">
      <c r="AD430" s="134"/>
    </row>
    <row r="431" spans="30:30" x14ac:dyDescent="0.2">
      <c r="AD431" s="134"/>
    </row>
    <row r="432" spans="30:30" x14ac:dyDescent="0.2">
      <c r="AD432" s="134"/>
    </row>
    <row r="433" spans="30:30" x14ac:dyDescent="0.2">
      <c r="AD433" s="134"/>
    </row>
    <row r="434" spans="30:30" x14ac:dyDescent="0.2">
      <c r="AD434" s="134"/>
    </row>
    <row r="435" spans="30:30" x14ac:dyDescent="0.2">
      <c r="AD435" s="134"/>
    </row>
    <row r="436" spans="30:30" x14ac:dyDescent="0.2">
      <c r="AD436" s="134"/>
    </row>
    <row r="437" spans="30:30" x14ac:dyDescent="0.2">
      <c r="AD437" s="134"/>
    </row>
    <row r="438" spans="30:30" x14ac:dyDescent="0.2">
      <c r="AD438" s="134"/>
    </row>
    <row r="439" spans="30:30" x14ac:dyDescent="0.2">
      <c r="AD439" s="134"/>
    </row>
    <row r="440" spans="30:30" x14ac:dyDescent="0.2">
      <c r="AD440" s="134"/>
    </row>
    <row r="441" spans="30:30" x14ac:dyDescent="0.2">
      <c r="AD441" s="134"/>
    </row>
    <row r="442" spans="30:30" x14ac:dyDescent="0.2">
      <c r="AD442" s="134"/>
    </row>
    <row r="443" spans="30:30" x14ac:dyDescent="0.2">
      <c r="AD443" s="134"/>
    </row>
    <row r="444" spans="30:30" x14ac:dyDescent="0.2">
      <c r="AD444" s="134"/>
    </row>
    <row r="445" spans="30:30" x14ac:dyDescent="0.2">
      <c r="AD445" s="134"/>
    </row>
    <row r="446" spans="30:30" x14ac:dyDescent="0.2">
      <c r="AD446" s="134"/>
    </row>
    <row r="447" spans="30:30" x14ac:dyDescent="0.2">
      <c r="AD447" s="134"/>
    </row>
    <row r="448" spans="30:30" x14ac:dyDescent="0.2">
      <c r="AD448" s="134"/>
    </row>
    <row r="449" spans="30:30" x14ac:dyDescent="0.2">
      <c r="AD449" s="134"/>
    </row>
    <row r="450" spans="30:30" x14ac:dyDescent="0.2">
      <c r="AD450" s="134"/>
    </row>
    <row r="451" spans="30:30" x14ac:dyDescent="0.2">
      <c r="AD451" s="134"/>
    </row>
    <row r="452" spans="30:30" x14ac:dyDescent="0.2">
      <c r="AD452" s="134"/>
    </row>
    <row r="453" spans="30:30" x14ac:dyDescent="0.2">
      <c r="AD453" s="134"/>
    </row>
    <row r="454" spans="30:30" x14ac:dyDescent="0.2">
      <c r="AD454" s="134"/>
    </row>
    <row r="455" spans="30:30" x14ac:dyDescent="0.2">
      <c r="AD455" s="134"/>
    </row>
    <row r="456" spans="30:30" x14ac:dyDescent="0.2">
      <c r="AD456" s="134"/>
    </row>
    <row r="457" spans="30:30" x14ac:dyDescent="0.2">
      <c r="AD457" s="134"/>
    </row>
    <row r="458" spans="30:30" x14ac:dyDescent="0.2">
      <c r="AD458" s="134"/>
    </row>
    <row r="459" spans="30:30" x14ac:dyDescent="0.2">
      <c r="AD459" s="134"/>
    </row>
    <row r="460" spans="30:30" x14ac:dyDescent="0.2">
      <c r="AD460" s="134"/>
    </row>
    <row r="461" spans="30:30" x14ac:dyDescent="0.2">
      <c r="AD461" s="134"/>
    </row>
    <row r="462" spans="30:30" x14ac:dyDescent="0.2">
      <c r="AD462" s="134"/>
    </row>
    <row r="463" spans="30:30" x14ac:dyDescent="0.2">
      <c r="AD463" s="134"/>
    </row>
    <row r="464" spans="30:30" x14ac:dyDescent="0.2">
      <c r="AD464" s="134"/>
    </row>
    <row r="465" spans="30:30" x14ac:dyDescent="0.2">
      <c r="AD465" s="134"/>
    </row>
    <row r="466" spans="30:30" x14ac:dyDescent="0.2">
      <c r="AD466" s="134"/>
    </row>
    <row r="467" spans="30:30" x14ac:dyDescent="0.2">
      <c r="AD467" s="134"/>
    </row>
    <row r="468" spans="30:30" x14ac:dyDescent="0.2">
      <c r="AD468" s="134"/>
    </row>
    <row r="469" spans="30:30" x14ac:dyDescent="0.2">
      <c r="AD469" s="134"/>
    </row>
    <row r="470" spans="30:30" x14ac:dyDescent="0.2">
      <c r="AD470" s="134"/>
    </row>
    <row r="471" spans="30:30" x14ac:dyDescent="0.2">
      <c r="AD471" s="134"/>
    </row>
    <row r="472" spans="30:30" x14ac:dyDescent="0.2">
      <c r="AD472" s="134"/>
    </row>
    <row r="473" spans="30:30" x14ac:dyDescent="0.2">
      <c r="AD473" s="134"/>
    </row>
    <row r="474" spans="30:30" x14ac:dyDescent="0.2">
      <c r="AD474" s="134"/>
    </row>
    <row r="475" spans="30:30" x14ac:dyDescent="0.2">
      <c r="AD475" s="134"/>
    </row>
    <row r="476" spans="30:30" x14ac:dyDescent="0.2">
      <c r="AD476" s="134"/>
    </row>
    <row r="477" spans="30:30" x14ac:dyDescent="0.2">
      <c r="AD477" s="134"/>
    </row>
    <row r="478" spans="30:30" x14ac:dyDescent="0.2">
      <c r="AD478" s="134"/>
    </row>
    <row r="479" spans="30:30" x14ac:dyDescent="0.2">
      <c r="AD479" s="134"/>
    </row>
    <row r="480" spans="30:30" x14ac:dyDescent="0.2">
      <c r="AD480" s="134"/>
    </row>
    <row r="481" spans="30:30" x14ac:dyDescent="0.2">
      <c r="AD481" s="134"/>
    </row>
    <row r="482" spans="30:30" x14ac:dyDescent="0.2">
      <c r="AD482" s="134"/>
    </row>
    <row r="483" spans="30:30" x14ac:dyDescent="0.2">
      <c r="AD483" s="134"/>
    </row>
    <row r="484" spans="30:30" x14ac:dyDescent="0.2">
      <c r="AD484" s="134"/>
    </row>
    <row r="485" spans="30:30" x14ac:dyDescent="0.2">
      <c r="AD485" s="134"/>
    </row>
    <row r="486" spans="30:30" x14ac:dyDescent="0.2">
      <c r="AD486" s="134"/>
    </row>
    <row r="487" spans="30:30" x14ac:dyDescent="0.2">
      <c r="AD487" s="134"/>
    </row>
    <row r="488" spans="30:30" x14ac:dyDescent="0.2">
      <c r="AD488" s="134"/>
    </row>
    <row r="489" spans="30:30" x14ac:dyDescent="0.2">
      <c r="AD489" s="134"/>
    </row>
    <row r="490" spans="30:30" x14ac:dyDescent="0.2">
      <c r="AD490" s="134"/>
    </row>
    <row r="491" spans="30:30" x14ac:dyDescent="0.2">
      <c r="AD491" s="134"/>
    </row>
    <row r="492" spans="30:30" x14ac:dyDescent="0.2">
      <c r="AD492" s="134"/>
    </row>
    <row r="493" spans="30:30" x14ac:dyDescent="0.2">
      <c r="AD493" s="134"/>
    </row>
    <row r="494" spans="30:30" x14ac:dyDescent="0.2">
      <c r="AD494" s="134"/>
    </row>
    <row r="495" spans="30:30" x14ac:dyDescent="0.2">
      <c r="AD495" s="134"/>
    </row>
    <row r="496" spans="30:30" x14ac:dyDescent="0.2">
      <c r="AD496" s="134"/>
    </row>
    <row r="497" spans="30:30" x14ac:dyDescent="0.2">
      <c r="AD497" s="134"/>
    </row>
    <row r="498" spans="30:30" x14ac:dyDescent="0.2">
      <c r="AD498" s="134"/>
    </row>
    <row r="499" spans="30:30" x14ac:dyDescent="0.2">
      <c r="AD499" s="134"/>
    </row>
    <row r="500" spans="30:30" x14ac:dyDescent="0.2">
      <c r="AD500" s="134"/>
    </row>
    <row r="501" spans="30:30" x14ac:dyDescent="0.2">
      <c r="AD501" s="134"/>
    </row>
    <row r="502" spans="30:30" x14ac:dyDescent="0.2">
      <c r="AD502" s="134"/>
    </row>
    <row r="503" spans="30:30" x14ac:dyDescent="0.2">
      <c r="AD503" s="134"/>
    </row>
    <row r="504" spans="30:30" x14ac:dyDescent="0.2">
      <c r="AD504" s="134"/>
    </row>
    <row r="505" spans="30:30" x14ac:dyDescent="0.2">
      <c r="AD505" s="134"/>
    </row>
    <row r="506" spans="30:30" x14ac:dyDescent="0.2">
      <c r="AD506" s="134"/>
    </row>
    <row r="507" spans="30:30" x14ac:dyDescent="0.2">
      <c r="AD507" s="134"/>
    </row>
    <row r="508" spans="30:30" x14ac:dyDescent="0.2">
      <c r="AD508" s="134"/>
    </row>
    <row r="509" spans="30:30" x14ac:dyDescent="0.2">
      <c r="AD509" s="134"/>
    </row>
    <row r="510" spans="30:30" x14ac:dyDescent="0.2">
      <c r="AD510" s="134"/>
    </row>
    <row r="511" spans="30:30" x14ac:dyDescent="0.2">
      <c r="AD511" s="134"/>
    </row>
    <row r="512" spans="30:30" x14ac:dyDescent="0.2">
      <c r="AD512" s="134"/>
    </row>
    <row r="513" spans="30:30" x14ac:dyDescent="0.2">
      <c r="AD513" s="134"/>
    </row>
    <row r="514" spans="30:30" x14ac:dyDescent="0.2">
      <c r="AD514" s="134"/>
    </row>
    <row r="515" spans="30:30" x14ac:dyDescent="0.2">
      <c r="AD515" s="134"/>
    </row>
    <row r="516" spans="30:30" x14ac:dyDescent="0.2">
      <c r="AD516" s="134"/>
    </row>
    <row r="517" spans="30:30" x14ac:dyDescent="0.2">
      <c r="AD517" s="134"/>
    </row>
    <row r="518" spans="30:30" x14ac:dyDescent="0.2">
      <c r="AD518" s="134"/>
    </row>
    <row r="519" spans="30:30" x14ac:dyDescent="0.2">
      <c r="AD519" s="134"/>
    </row>
    <row r="520" spans="30:30" x14ac:dyDescent="0.2">
      <c r="AD520" s="134"/>
    </row>
    <row r="521" spans="30:30" x14ac:dyDescent="0.2">
      <c r="AD521" s="134"/>
    </row>
    <row r="522" spans="30:30" x14ac:dyDescent="0.2">
      <c r="AD522" s="134"/>
    </row>
    <row r="523" spans="30:30" x14ac:dyDescent="0.2">
      <c r="AD523" s="134"/>
    </row>
    <row r="524" spans="30:30" x14ac:dyDescent="0.2">
      <c r="AD524" s="134"/>
    </row>
    <row r="525" spans="30:30" x14ac:dyDescent="0.2">
      <c r="AD525" s="134"/>
    </row>
    <row r="526" spans="30:30" x14ac:dyDescent="0.2">
      <c r="AD526" s="134"/>
    </row>
    <row r="527" spans="30:30" x14ac:dyDescent="0.2">
      <c r="AD527" s="134"/>
    </row>
    <row r="528" spans="30:30" x14ac:dyDescent="0.2">
      <c r="AD528" s="134"/>
    </row>
    <row r="529" spans="30:30" x14ac:dyDescent="0.2">
      <c r="AD529" s="134"/>
    </row>
    <row r="530" spans="30:30" x14ac:dyDescent="0.2">
      <c r="AD530" s="134"/>
    </row>
    <row r="531" spans="30:30" x14ac:dyDescent="0.2">
      <c r="AD531" s="134"/>
    </row>
    <row r="532" spans="30:30" x14ac:dyDescent="0.2">
      <c r="AD532" s="134"/>
    </row>
    <row r="533" spans="30:30" x14ac:dyDescent="0.2">
      <c r="AD533" s="134"/>
    </row>
    <row r="534" spans="30:30" x14ac:dyDescent="0.2">
      <c r="AD534" s="134"/>
    </row>
    <row r="535" spans="30:30" x14ac:dyDescent="0.2">
      <c r="AD535" s="134"/>
    </row>
    <row r="536" spans="30:30" x14ac:dyDescent="0.2">
      <c r="AD536" s="134"/>
    </row>
    <row r="537" spans="30:30" x14ac:dyDescent="0.2">
      <c r="AD537" s="134"/>
    </row>
    <row r="538" spans="30:30" x14ac:dyDescent="0.2">
      <c r="AD538" s="134"/>
    </row>
    <row r="539" spans="30:30" x14ac:dyDescent="0.2">
      <c r="AD539" s="134"/>
    </row>
    <row r="540" spans="30:30" x14ac:dyDescent="0.2">
      <c r="AD540" s="134"/>
    </row>
    <row r="541" spans="30:30" x14ac:dyDescent="0.2">
      <c r="AD541" s="134"/>
    </row>
    <row r="542" spans="30:30" x14ac:dyDescent="0.2">
      <c r="AD542" s="134"/>
    </row>
    <row r="543" spans="30:30" x14ac:dyDescent="0.2">
      <c r="AD543" s="134"/>
    </row>
    <row r="544" spans="30:30" x14ac:dyDescent="0.2">
      <c r="AD544" s="134"/>
    </row>
    <row r="545" spans="30:30" x14ac:dyDescent="0.2">
      <c r="AD545" s="134"/>
    </row>
    <row r="546" spans="30:30" x14ac:dyDescent="0.2">
      <c r="AD546" s="134"/>
    </row>
    <row r="547" spans="30:30" x14ac:dyDescent="0.2">
      <c r="AD547" s="134"/>
    </row>
    <row r="548" spans="30:30" x14ac:dyDescent="0.2">
      <c r="AD548" s="134"/>
    </row>
    <row r="549" spans="30:30" x14ac:dyDescent="0.2">
      <c r="AD549" s="134"/>
    </row>
    <row r="550" spans="30:30" x14ac:dyDescent="0.2">
      <c r="AD550" s="134"/>
    </row>
    <row r="551" spans="30:30" x14ac:dyDescent="0.2">
      <c r="AD551" s="134"/>
    </row>
    <row r="552" spans="30:30" x14ac:dyDescent="0.2">
      <c r="AD552" s="134"/>
    </row>
    <row r="553" spans="30:30" x14ac:dyDescent="0.2">
      <c r="AD553" s="134"/>
    </row>
    <row r="554" spans="30:30" x14ac:dyDescent="0.2">
      <c r="AD554" s="134"/>
    </row>
    <row r="555" spans="30:30" x14ac:dyDescent="0.2">
      <c r="AD555" s="134"/>
    </row>
    <row r="556" spans="30:30" x14ac:dyDescent="0.2">
      <c r="AD556" s="134"/>
    </row>
    <row r="557" spans="30:30" x14ac:dyDescent="0.2">
      <c r="AD557" s="134"/>
    </row>
    <row r="558" spans="30:30" x14ac:dyDescent="0.2">
      <c r="AD558" s="134"/>
    </row>
    <row r="559" spans="30:30" x14ac:dyDescent="0.2">
      <c r="AD559" s="134"/>
    </row>
    <row r="560" spans="30:30" x14ac:dyDescent="0.2">
      <c r="AD560" s="134"/>
    </row>
    <row r="561" spans="30:30" x14ac:dyDescent="0.2">
      <c r="AD561" s="134"/>
    </row>
    <row r="562" spans="30:30" x14ac:dyDescent="0.2">
      <c r="AD562" s="134"/>
    </row>
    <row r="563" spans="30:30" x14ac:dyDescent="0.2">
      <c r="AD563" s="134"/>
    </row>
    <row r="564" spans="30:30" x14ac:dyDescent="0.2">
      <c r="AD564" s="134"/>
    </row>
    <row r="565" spans="30:30" x14ac:dyDescent="0.2">
      <c r="AD565" s="134"/>
    </row>
    <row r="566" spans="30:30" x14ac:dyDescent="0.2">
      <c r="AD566" s="134"/>
    </row>
    <row r="567" spans="30:30" x14ac:dyDescent="0.2">
      <c r="AD567" s="134"/>
    </row>
    <row r="568" spans="30:30" x14ac:dyDescent="0.2">
      <c r="AD568" s="134"/>
    </row>
    <row r="569" spans="30:30" x14ac:dyDescent="0.2">
      <c r="AD569" s="134"/>
    </row>
    <row r="570" spans="30:30" x14ac:dyDescent="0.2">
      <c r="AD570" s="134"/>
    </row>
    <row r="571" spans="30:30" x14ac:dyDescent="0.2">
      <c r="AD571" s="134"/>
    </row>
    <row r="572" spans="30:30" x14ac:dyDescent="0.2">
      <c r="AD572" s="134"/>
    </row>
    <row r="573" spans="30:30" x14ac:dyDescent="0.2">
      <c r="AD573" s="134"/>
    </row>
    <row r="574" spans="30:30" x14ac:dyDescent="0.2">
      <c r="AD574" s="134"/>
    </row>
    <row r="575" spans="30:30" x14ac:dyDescent="0.2">
      <c r="AD575" s="134"/>
    </row>
    <row r="576" spans="30:30" x14ac:dyDescent="0.2">
      <c r="AD576" s="134"/>
    </row>
    <row r="577" spans="30:30" x14ac:dyDescent="0.2">
      <c r="AD577" s="134"/>
    </row>
    <row r="578" spans="30:30" x14ac:dyDescent="0.2">
      <c r="AD578" s="134"/>
    </row>
    <row r="579" spans="30:30" x14ac:dyDescent="0.2">
      <c r="AD579" s="134"/>
    </row>
    <row r="580" spans="30:30" x14ac:dyDescent="0.2">
      <c r="AD580" s="134"/>
    </row>
    <row r="581" spans="30:30" x14ac:dyDescent="0.2">
      <c r="AD581" s="134"/>
    </row>
    <row r="582" spans="30:30" x14ac:dyDescent="0.2">
      <c r="AD582" s="134"/>
    </row>
    <row r="583" spans="30:30" x14ac:dyDescent="0.2">
      <c r="AD583" s="134"/>
    </row>
    <row r="584" spans="30:30" x14ac:dyDescent="0.2">
      <c r="AD584" s="134"/>
    </row>
    <row r="585" spans="30:30" x14ac:dyDescent="0.2">
      <c r="AD585" s="134"/>
    </row>
    <row r="586" spans="30:30" x14ac:dyDescent="0.2">
      <c r="AD586" s="134"/>
    </row>
    <row r="587" spans="30:30" x14ac:dyDescent="0.2">
      <c r="AD587" s="134"/>
    </row>
    <row r="588" spans="30:30" x14ac:dyDescent="0.2">
      <c r="AD588" s="134"/>
    </row>
    <row r="589" spans="30:30" x14ac:dyDescent="0.2">
      <c r="AD589" s="134"/>
    </row>
    <row r="590" spans="30:30" x14ac:dyDescent="0.2">
      <c r="AD590" s="134"/>
    </row>
    <row r="591" spans="30:30" x14ac:dyDescent="0.2">
      <c r="AD591" s="134"/>
    </row>
    <row r="592" spans="30:30" x14ac:dyDescent="0.2">
      <c r="AD592" s="134"/>
    </row>
    <row r="593" spans="30:30" x14ac:dyDescent="0.2">
      <c r="AD593" s="134"/>
    </row>
    <row r="594" spans="30:30" x14ac:dyDescent="0.2">
      <c r="AD594" s="134"/>
    </row>
    <row r="595" spans="30:30" x14ac:dyDescent="0.2">
      <c r="AD595" s="134"/>
    </row>
    <row r="596" spans="30:30" x14ac:dyDescent="0.2">
      <c r="AD596" s="134"/>
    </row>
    <row r="597" spans="30:30" x14ac:dyDescent="0.2">
      <c r="AD597" s="134"/>
    </row>
    <row r="598" spans="30:30" x14ac:dyDescent="0.2">
      <c r="AD598" s="134"/>
    </row>
    <row r="599" spans="30:30" x14ac:dyDescent="0.2">
      <c r="AD599" s="134"/>
    </row>
    <row r="600" spans="30:30" x14ac:dyDescent="0.2">
      <c r="AD600" s="134"/>
    </row>
    <row r="601" spans="30:30" x14ac:dyDescent="0.2">
      <c r="AD601" s="134"/>
    </row>
    <row r="602" spans="30:30" x14ac:dyDescent="0.2">
      <c r="AD602" s="134"/>
    </row>
    <row r="603" spans="30:30" x14ac:dyDescent="0.2">
      <c r="AD603" s="134"/>
    </row>
    <row r="604" spans="30:30" x14ac:dyDescent="0.2">
      <c r="AD604" s="134"/>
    </row>
    <row r="605" spans="30:30" x14ac:dyDescent="0.2">
      <c r="AD605" s="134"/>
    </row>
    <row r="606" spans="30:30" x14ac:dyDescent="0.2">
      <c r="AD606" s="134"/>
    </row>
    <row r="607" spans="30:30" x14ac:dyDescent="0.2">
      <c r="AD607" s="134"/>
    </row>
    <row r="608" spans="30:30" x14ac:dyDescent="0.2">
      <c r="AD608" s="134"/>
    </row>
    <row r="609" spans="30:30" x14ac:dyDescent="0.2">
      <c r="AD609" s="134"/>
    </row>
    <row r="610" spans="30:30" x14ac:dyDescent="0.2">
      <c r="AD610" s="134"/>
    </row>
    <row r="611" spans="30:30" x14ac:dyDescent="0.2">
      <c r="AD611" s="134"/>
    </row>
    <row r="612" spans="30:30" x14ac:dyDescent="0.2">
      <c r="AD612" s="134"/>
    </row>
    <row r="613" spans="30:30" x14ac:dyDescent="0.2">
      <c r="AD613" s="134"/>
    </row>
    <row r="614" spans="30:30" x14ac:dyDescent="0.2">
      <c r="AD614" s="134"/>
    </row>
    <row r="615" spans="30:30" x14ac:dyDescent="0.2">
      <c r="AD615" s="134"/>
    </row>
    <row r="616" spans="30:30" x14ac:dyDescent="0.2">
      <c r="AD616" s="134"/>
    </row>
    <row r="617" spans="30:30" x14ac:dyDescent="0.2">
      <c r="AD617" s="134"/>
    </row>
    <row r="618" spans="30:30" x14ac:dyDescent="0.2">
      <c r="AD618" s="134"/>
    </row>
    <row r="619" spans="30:30" x14ac:dyDescent="0.2">
      <c r="AD619" s="134"/>
    </row>
    <row r="620" spans="30:30" x14ac:dyDescent="0.2">
      <c r="AD620" s="134"/>
    </row>
    <row r="621" spans="30:30" x14ac:dyDescent="0.2">
      <c r="AD621" s="134"/>
    </row>
    <row r="622" spans="30:30" x14ac:dyDescent="0.2">
      <c r="AD622" s="134"/>
    </row>
    <row r="623" spans="30:30" x14ac:dyDescent="0.2">
      <c r="AD623" s="134"/>
    </row>
    <row r="624" spans="30:30" x14ac:dyDescent="0.2">
      <c r="AD624" s="134"/>
    </row>
    <row r="625" spans="30:30" x14ac:dyDescent="0.2">
      <c r="AD625" s="134"/>
    </row>
    <row r="626" spans="30:30" x14ac:dyDescent="0.2">
      <c r="AD626" s="134"/>
    </row>
    <row r="627" spans="30:30" x14ac:dyDescent="0.2">
      <c r="AD627" s="134"/>
    </row>
    <row r="628" spans="30:30" x14ac:dyDescent="0.2">
      <c r="AD628" s="134"/>
    </row>
    <row r="629" spans="30:30" x14ac:dyDescent="0.2">
      <c r="AD629" s="134"/>
    </row>
    <row r="630" spans="30:30" x14ac:dyDescent="0.2">
      <c r="AD630" s="134"/>
    </row>
    <row r="631" spans="30:30" x14ac:dyDescent="0.2">
      <c r="AD631" s="134"/>
    </row>
    <row r="632" spans="30:30" x14ac:dyDescent="0.2">
      <c r="AD632" s="134"/>
    </row>
    <row r="633" spans="30:30" x14ac:dyDescent="0.2">
      <c r="AD633" s="134"/>
    </row>
    <row r="634" spans="30:30" x14ac:dyDescent="0.2">
      <c r="AD634" s="134"/>
    </row>
    <row r="635" spans="30:30" x14ac:dyDescent="0.2">
      <c r="AD635" s="134"/>
    </row>
    <row r="636" spans="30:30" x14ac:dyDescent="0.2">
      <c r="AD636" s="134"/>
    </row>
    <row r="637" spans="30:30" x14ac:dyDescent="0.2">
      <c r="AD637" s="134"/>
    </row>
    <row r="638" spans="30:30" x14ac:dyDescent="0.2">
      <c r="AD638" s="134"/>
    </row>
    <row r="639" spans="30:30" x14ac:dyDescent="0.2">
      <c r="AD639" s="134"/>
    </row>
    <row r="640" spans="30:30" x14ac:dyDescent="0.2">
      <c r="AD640" s="134"/>
    </row>
    <row r="641" spans="30:30" x14ac:dyDescent="0.2">
      <c r="AD641" s="134"/>
    </row>
    <row r="642" spans="30:30" x14ac:dyDescent="0.2">
      <c r="AD642" s="134"/>
    </row>
    <row r="643" spans="30:30" x14ac:dyDescent="0.2">
      <c r="AD643" s="134"/>
    </row>
    <row r="644" spans="30:30" x14ac:dyDescent="0.2">
      <c r="AD644" s="134"/>
    </row>
    <row r="645" spans="30:30" x14ac:dyDescent="0.2">
      <c r="AD645" s="134"/>
    </row>
    <row r="646" spans="30:30" x14ac:dyDescent="0.2">
      <c r="AD646" s="134"/>
    </row>
    <row r="647" spans="30:30" x14ac:dyDescent="0.2">
      <c r="AD647" s="134"/>
    </row>
    <row r="648" spans="30:30" x14ac:dyDescent="0.2">
      <c r="AD648" s="134"/>
    </row>
    <row r="649" spans="30:30" x14ac:dyDescent="0.2">
      <c r="AD649" s="134"/>
    </row>
    <row r="650" spans="30:30" x14ac:dyDescent="0.2">
      <c r="AD650" s="134"/>
    </row>
    <row r="651" spans="30:30" x14ac:dyDescent="0.2">
      <c r="AD651" s="134"/>
    </row>
    <row r="652" spans="30:30" x14ac:dyDescent="0.2">
      <c r="AD652" s="134"/>
    </row>
    <row r="653" spans="30:30" x14ac:dyDescent="0.2">
      <c r="AD653" s="134"/>
    </row>
    <row r="654" spans="30:30" x14ac:dyDescent="0.2">
      <c r="AD654" s="134"/>
    </row>
    <row r="655" spans="30:30" x14ac:dyDescent="0.2">
      <c r="AD655" s="134"/>
    </row>
    <row r="656" spans="30:30" x14ac:dyDescent="0.2">
      <c r="AD656" s="134"/>
    </row>
    <row r="657" spans="30:30" x14ac:dyDescent="0.2">
      <c r="AD657" s="134"/>
    </row>
    <row r="658" spans="30:30" x14ac:dyDescent="0.2">
      <c r="AD658" s="134"/>
    </row>
    <row r="659" spans="30:30" x14ac:dyDescent="0.2">
      <c r="AD659" s="134"/>
    </row>
    <row r="660" spans="30:30" x14ac:dyDescent="0.2">
      <c r="AD660" s="134"/>
    </row>
    <row r="661" spans="30:30" x14ac:dyDescent="0.2">
      <c r="AD661" s="134"/>
    </row>
    <row r="662" spans="30:30" x14ac:dyDescent="0.2">
      <c r="AD662" s="134"/>
    </row>
    <row r="663" spans="30:30" x14ac:dyDescent="0.2">
      <c r="AD663" s="134"/>
    </row>
    <row r="664" spans="30:30" x14ac:dyDescent="0.2">
      <c r="AD664" s="134"/>
    </row>
    <row r="665" spans="30:30" x14ac:dyDescent="0.2">
      <c r="AD665" s="134"/>
    </row>
    <row r="666" spans="30:30" x14ac:dyDescent="0.2">
      <c r="AD666" s="134"/>
    </row>
    <row r="667" spans="30:30" x14ac:dyDescent="0.2">
      <c r="AD667" s="134"/>
    </row>
    <row r="668" spans="30:30" x14ac:dyDescent="0.2">
      <c r="AD668" s="134"/>
    </row>
    <row r="669" spans="30:30" x14ac:dyDescent="0.2">
      <c r="AD669" s="134"/>
    </row>
    <row r="670" spans="30:30" x14ac:dyDescent="0.2">
      <c r="AD670" s="134"/>
    </row>
    <row r="671" spans="30:30" x14ac:dyDescent="0.2">
      <c r="AD671" s="134"/>
    </row>
    <row r="672" spans="30:30" x14ac:dyDescent="0.2">
      <c r="AD672" s="134"/>
    </row>
    <row r="673" spans="30:30" x14ac:dyDescent="0.2">
      <c r="AD673" s="134"/>
    </row>
    <row r="674" spans="30:30" x14ac:dyDescent="0.2">
      <c r="AD674" s="134"/>
    </row>
    <row r="675" spans="30:30" x14ac:dyDescent="0.2">
      <c r="AD675" s="134"/>
    </row>
    <row r="676" spans="30:30" x14ac:dyDescent="0.2">
      <c r="AD676" s="134"/>
    </row>
    <row r="677" spans="30:30" x14ac:dyDescent="0.2">
      <c r="AD677" s="134"/>
    </row>
    <row r="678" spans="30:30" x14ac:dyDescent="0.2">
      <c r="AD678" s="134"/>
    </row>
    <row r="679" spans="30:30" x14ac:dyDescent="0.2">
      <c r="AD679" s="134"/>
    </row>
    <row r="680" spans="30:30" x14ac:dyDescent="0.2">
      <c r="AD680" s="134"/>
    </row>
    <row r="681" spans="30:30" x14ac:dyDescent="0.2">
      <c r="AD681" s="134"/>
    </row>
    <row r="682" spans="30:30" x14ac:dyDescent="0.2">
      <c r="AD682" s="134"/>
    </row>
    <row r="683" spans="30:30" x14ac:dyDescent="0.2">
      <c r="AD683" s="134"/>
    </row>
    <row r="684" spans="30:30" x14ac:dyDescent="0.2">
      <c r="AD684" s="134"/>
    </row>
    <row r="685" spans="30:30" x14ac:dyDescent="0.2">
      <c r="AD685" s="134"/>
    </row>
    <row r="686" spans="30:30" x14ac:dyDescent="0.2">
      <c r="AD686" s="134"/>
    </row>
    <row r="687" spans="30:30" x14ac:dyDescent="0.2">
      <c r="AD687" s="134"/>
    </row>
    <row r="688" spans="30:30" x14ac:dyDescent="0.2">
      <c r="AD688" s="134"/>
    </row>
    <row r="689" spans="30:30" x14ac:dyDescent="0.2">
      <c r="AD689" s="134"/>
    </row>
    <row r="690" spans="30:30" x14ac:dyDescent="0.2">
      <c r="AD690" s="134"/>
    </row>
    <row r="691" spans="30:30" x14ac:dyDescent="0.2">
      <c r="AD691" s="134"/>
    </row>
    <row r="692" spans="30:30" x14ac:dyDescent="0.2">
      <c r="AD692" s="134"/>
    </row>
    <row r="693" spans="30:30" x14ac:dyDescent="0.2">
      <c r="AD693" s="134"/>
    </row>
    <row r="694" spans="30:30" x14ac:dyDescent="0.2">
      <c r="AD694" s="134"/>
    </row>
    <row r="695" spans="30:30" x14ac:dyDescent="0.2">
      <c r="AD695" s="134"/>
    </row>
    <row r="696" spans="30:30" x14ac:dyDescent="0.2">
      <c r="AD696" s="134"/>
    </row>
    <row r="697" spans="30:30" x14ac:dyDescent="0.2">
      <c r="AD697" s="134"/>
    </row>
    <row r="698" spans="30:30" x14ac:dyDescent="0.2">
      <c r="AD698" s="134"/>
    </row>
    <row r="699" spans="30:30" x14ac:dyDescent="0.2">
      <c r="AD699" s="134"/>
    </row>
    <row r="700" spans="30:30" x14ac:dyDescent="0.2">
      <c r="AD700" s="134"/>
    </row>
    <row r="701" spans="30:30" x14ac:dyDescent="0.2">
      <c r="AD701" s="134"/>
    </row>
    <row r="702" spans="30:30" x14ac:dyDescent="0.2">
      <c r="AD702" s="134"/>
    </row>
    <row r="703" spans="30:30" x14ac:dyDescent="0.2">
      <c r="AD703" s="134"/>
    </row>
    <row r="704" spans="30:30" x14ac:dyDescent="0.2">
      <c r="AD704" s="134"/>
    </row>
    <row r="705" spans="30:30" x14ac:dyDescent="0.2">
      <c r="AD705" s="134"/>
    </row>
    <row r="706" spans="30:30" x14ac:dyDescent="0.2">
      <c r="AD706" s="134"/>
    </row>
    <row r="707" spans="30:30" x14ac:dyDescent="0.2">
      <c r="AD707" s="134"/>
    </row>
    <row r="708" spans="30:30" x14ac:dyDescent="0.2">
      <c r="AD708" s="134"/>
    </row>
    <row r="709" spans="30:30" x14ac:dyDescent="0.2">
      <c r="AD709" s="134"/>
    </row>
    <row r="710" spans="30:30" x14ac:dyDescent="0.2">
      <c r="AD710" s="134"/>
    </row>
    <row r="711" spans="30:30" x14ac:dyDescent="0.2">
      <c r="AD711" s="134"/>
    </row>
    <row r="712" spans="30:30" x14ac:dyDescent="0.2">
      <c r="AD712" s="134"/>
    </row>
    <row r="713" spans="30:30" x14ac:dyDescent="0.2">
      <c r="AD713" s="134"/>
    </row>
    <row r="714" spans="30:30" x14ac:dyDescent="0.2">
      <c r="AD714" s="134"/>
    </row>
    <row r="715" spans="30:30" x14ac:dyDescent="0.2">
      <c r="AD715" s="134"/>
    </row>
    <row r="716" spans="30:30" x14ac:dyDescent="0.2">
      <c r="AD716" s="134"/>
    </row>
    <row r="717" spans="30:30" x14ac:dyDescent="0.2">
      <c r="AD717" s="134"/>
    </row>
    <row r="718" spans="30:30" x14ac:dyDescent="0.2">
      <c r="AD718" s="134"/>
    </row>
    <row r="719" spans="30:30" x14ac:dyDescent="0.2">
      <c r="AD719" s="134"/>
    </row>
    <row r="720" spans="30:30" x14ac:dyDescent="0.2">
      <c r="AD720" s="134"/>
    </row>
    <row r="721" spans="30:30" x14ac:dyDescent="0.2">
      <c r="AD721" s="134"/>
    </row>
    <row r="722" spans="30:30" x14ac:dyDescent="0.2">
      <c r="AD722" s="134"/>
    </row>
    <row r="723" spans="30:30" x14ac:dyDescent="0.2">
      <c r="AD723" s="134"/>
    </row>
    <row r="724" spans="30:30" x14ac:dyDescent="0.2">
      <c r="AD724" s="134"/>
    </row>
    <row r="725" spans="30:30" x14ac:dyDescent="0.2">
      <c r="AD725" s="134"/>
    </row>
    <row r="726" spans="30:30" x14ac:dyDescent="0.2">
      <c r="AD726" s="134"/>
    </row>
    <row r="727" spans="30:30" x14ac:dyDescent="0.2">
      <c r="AD727" s="134"/>
    </row>
    <row r="728" spans="30:30" x14ac:dyDescent="0.2">
      <c r="AD728" s="134"/>
    </row>
    <row r="729" spans="30:30" x14ac:dyDescent="0.2">
      <c r="AD729" s="134"/>
    </row>
    <row r="730" spans="30:30" x14ac:dyDescent="0.2">
      <c r="AD730" s="134"/>
    </row>
    <row r="731" spans="30:30" x14ac:dyDescent="0.2">
      <c r="AD731" s="134"/>
    </row>
    <row r="732" spans="30:30" x14ac:dyDescent="0.2">
      <c r="AD732" s="134"/>
    </row>
    <row r="733" spans="30:30" x14ac:dyDescent="0.2">
      <c r="AD733" s="134"/>
    </row>
    <row r="734" spans="30:30" x14ac:dyDescent="0.2">
      <c r="AD734" s="134"/>
    </row>
    <row r="735" spans="30:30" x14ac:dyDescent="0.2">
      <c r="AD735" s="134"/>
    </row>
    <row r="736" spans="30:30" x14ac:dyDescent="0.2">
      <c r="AD736" s="134"/>
    </row>
    <row r="737" spans="30:30" x14ac:dyDescent="0.2">
      <c r="AD737" s="134"/>
    </row>
  </sheetData>
  <phoneticPr fontId="0" type="noConversion"/>
  <pageMargins left="0.75" right="0.75" top="1" bottom="1" header="0.5" footer="0.5"/>
  <pageSetup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8"/>
  <sheetViews>
    <sheetView topLeftCell="A34" workbookViewId="0">
      <selection activeCell="AJ75" sqref="AJ75"/>
    </sheetView>
  </sheetViews>
  <sheetFormatPr defaultRowHeight="12.75" x14ac:dyDescent="0.2"/>
  <cols>
    <col min="1" max="1" width="4.5703125" style="105" bestFit="1" customWidth="1"/>
    <col min="2" max="2" width="6.5703125" style="105" bestFit="1" customWidth="1"/>
    <col min="3" max="3" width="2.28515625" style="105" bestFit="1" customWidth="1"/>
    <col min="4" max="4" width="4.85546875" style="105" bestFit="1" customWidth="1"/>
    <col min="5" max="5" width="2.28515625" style="105" bestFit="1" customWidth="1"/>
    <col min="6" max="6" width="6.5703125" style="105" bestFit="1" customWidth="1"/>
    <col min="7" max="7" width="2.28515625" style="105" bestFit="1" customWidth="1"/>
    <col min="8" max="8" width="6.5703125" style="105" bestFit="1" customWidth="1"/>
    <col min="9" max="9" width="2.28515625" style="105" bestFit="1" customWidth="1"/>
    <col min="10" max="10" width="6.28515625" style="105" bestFit="1" customWidth="1"/>
    <col min="11" max="11" width="2.28515625" style="105" bestFit="1" customWidth="1"/>
    <col min="12" max="12" width="6.28515625" style="105" bestFit="1" customWidth="1"/>
    <col min="13" max="13" width="2.5703125" style="105" bestFit="1" customWidth="1"/>
    <col min="14" max="14" width="6.5703125" style="105" bestFit="1" customWidth="1"/>
    <col min="15" max="15" width="2.42578125" style="105" bestFit="1" customWidth="1"/>
    <col min="16" max="16" width="6.5703125" style="105" bestFit="1" customWidth="1"/>
    <col min="17" max="17" width="2.42578125" style="105" bestFit="1" customWidth="1"/>
    <col min="18" max="18" width="6.7109375" style="105" bestFit="1" customWidth="1"/>
    <col min="19" max="19" width="2.28515625" style="105" bestFit="1" customWidth="1"/>
    <col min="20" max="20" width="5.5703125" style="105" bestFit="1" customWidth="1"/>
    <col min="21" max="21" width="2.28515625" style="105" bestFit="1" customWidth="1"/>
    <col min="22" max="22" width="4.85546875" style="105" bestFit="1" customWidth="1"/>
    <col min="23" max="23" width="2.28515625" style="105" bestFit="1" customWidth="1"/>
    <col min="24" max="24" width="5.5703125" style="105" bestFit="1" customWidth="1"/>
    <col min="25" max="25" width="2.28515625" style="105" bestFit="1" customWidth="1"/>
    <col min="26" max="26" width="6.5703125" style="105" bestFit="1" customWidth="1"/>
    <col min="27" max="27" width="2.42578125" style="105" bestFit="1" customWidth="1"/>
    <col min="28" max="28" width="6.28515625" style="105" bestFit="1" customWidth="1"/>
    <col min="29" max="29" width="2.42578125" style="105" bestFit="1" customWidth="1"/>
    <col min="30" max="30" width="6.5703125" style="105" bestFit="1" customWidth="1"/>
    <col min="31" max="31" width="2.42578125" style="105" bestFit="1" customWidth="1"/>
    <col min="32" max="32" width="7.28515625" style="105" bestFit="1" customWidth="1"/>
    <col min="33" max="33" width="2.42578125" style="105" bestFit="1" customWidth="1"/>
    <col min="34" max="34" width="10.140625" style="105" bestFit="1" customWidth="1"/>
    <col min="35" max="16384" width="9.140625" style="105"/>
  </cols>
  <sheetData>
    <row r="1" spans="1:34" ht="15.75" x14ac:dyDescent="0.25">
      <c r="A1" s="803" t="s">
        <v>29</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5"/>
    </row>
    <row r="2" spans="1:34" x14ac:dyDescent="0.2">
      <c r="A2" s="806" t="s">
        <v>475</v>
      </c>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8"/>
    </row>
    <row r="3" spans="1:34" x14ac:dyDescent="0.2">
      <c r="A3" s="809" t="s">
        <v>310</v>
      </c>
      <c r="B3" s="812"/>
      <c r="C3" s="813"/>
      <c r="D3" s="814" t="s">
        <v>476</v>
      </c>
      <c r="E3" s="815"/>
      <c r="F3" s="815"/>
      <c r="G3" s="815"/>
      <c r="H3" s="815"/>
      <c r="I3" s="816"/>
      <c r="J3" s="814" t="s">
        <v>477</v>
      </c>
      <c r="K3" s="815"/>
      <c r="L3" s="815"/>
      <c r="M3" s="815"/>
      <c r="N3" s="815"/>
      <c r="O3" s="815"/>
      <c r="P3" s="815"/>
      <c r="Q3" s="815"/>
      <c r="R3" s="815"/>
      <c r="S3" s="816"/>
      <c r="T3" s="814" t="s">
        <v>478</v>
      </c>
      <c r="U3" s="815"/>
      <c r="V3" s="815"/>
      <c r="W3" s="815"/>
      <c r="X3" s="815"/>
      <c r="Y3" s="816"/>
      <c r="Z3" s="814" t="s">
        <v>30</v>
      </c>
      <c r="AA3" s="815"/>
      <c r="AB3" s="815"/>
      <c r="AC3" s="815"/>
      <c r="AD3" s="815"/>
      <c r="AE3" s="816"/>
      <c r="AF3" s="814" t="s">
        <v>740</v>
      </c>
      <c r="AG3" s="816"/>
    </row>
    <row r="4" spans="1:34" x14ac:dyDescent="0.2">
      <c r="A4" s="810"/>
      <c r="B4" s="823"/>
      <c r="C4" s="824"/>
      <c r="D4" s="817"/>
      <c r="E4" s="818"/>
      <c r="F4" s="818"/>
      <c r="G4" s="818"/>
      <c r="H4" s="818"/>
      <c r="I4" s="819"/>
      <c r="J4" s="817"/>
      <c r="K4" s="818"/>
      <c r="L4" s="818"/>
      <c r="M4" s="818"/>
      <c r="N4" s="818"/>
      <c r="O4" s="818"/>
      <c r="P4" s="818"/>
      <c r="Q4" s="818"/>
      <c r="R4" s="818"/>
      <c r="S4" s="819"/>
      <c r="T4" s="817"/>
      <c r="U4" s="818"/>
      <c r="V4" s="818"/>
      <c r="W4" s="818"/>
      <c r="X4" s="818"/>
      <c r="Y4" s="819"/>
      <c r="Z4" s="817"/>
      <c r="AA4" s="818"/>
      <c r="AB4" s="818"/>
      <c r="AC4" s="818"/>
      <c r="AD4" s="818"/>
      <c r="AE4" s="819"/>
      <c r="AF4" s="817"/>
      <c r="AG4" s="819"/>
    </row>
    <row r="5" spans="1:34" x14ac:dyDescent="0.2">
      <c r="A5" s="810"/>
      <c r="B5" s="823"/>
      <c r="C5" s="824"/>
      <c r="D5" s="820"/>
      <c r="E5" s="821"/>
      <c r="F5" s="821"/>
      <c r="G5" s="821"/>
      <c r="H5" s="821"/>
      <c r="I5" s="822"/>
      <c r="J5" s="820"/>
      <c r="K5" s="821"/>
      <c r="L5" s="821"/>
      <c r="M5" s="821"/>
      <c r="N5" s="821"/>
      <c r="O5" s="821"/>
      <c r="P5" s="821"/>
      <c r="Q5" s="821"/>
      <c r="R5" s="821"/>
      <c r="S5" s="822"/>
      <c r="T5" s="820"/>
      <c r="U5" s="821"/>
      <c r="V5" s="821"/>
      <c r="W5" s="821"/>
      <c r="X5" s="821"/>
      <c r="Y5" s="822"/>
      <c r="Z5" s="820"/>
      <c r="AA5" s="821"/>
      <c r="AB5" s="821"/>
      <c r="AC5" s="821"/>
      <c r="AD5" s="821"/>
      <c r="AE5" s="822"/>
      <c r="AF5" s="817"/>
      <c r="AG5" s="819"/>
    </row>
    <row r="6" spans="1:34" x14ac:dyDescent="0.2">
      <c r="A6" s="810"/>
      <c r="B6" s="817" t="s">
        <v>479</v>
      </c>
      <c r="C6" s="819"/>
      <c r="D6" s="814" t="s">
        <v>31</v>
      </c>
      <c r="E6" s="816"/>
      <c r="F6" s="814" t="s">
        <v>32</v>
      </c>
      <c r="G6" s="816"/>
      <c r="H6" s="814" t="s">
        <v>740</v>
      </c>
      <c r="I6" s="816"/>
      <c r="J6" s="812"/>
      <c r="K6" s="813"/>
      <c r="L6" s="814" t="s">
        <v>480</v>
      </c>
      <c r="M6" s="815"/>
      <c r="N6" s="815"/>
      <c r="O6" s="815"/>
      <c r="P6" s="815"/>
      <c r="Q6" s="816"/>
      <c r="R6" s="814" t="s">
        <v>740</v>
      </c>
      <c r="S6" s="816"/>
      <c r="T6" s="814" t="s">
        <v>33</v>
      </c>
      <c r="U6" s="816"/>
      <c r="V6" s="812"/>
      <c r="W6" s="813"/>
      <c r="X6" s="814" t="s">
        <v>740</v>
      </c>
      <c r="Y6" s="816"/>
      <c r="Z6" s="812"/>
      <c r="AA6" s="813"/>
      <c r="AB6" s="814" t="s">
        <v>300</v>
      </c>
      <c r="AC6" s="816"/>
      <c r="AD6" s="814" t="s">
        <v>740</v>
      </c>
      <c r="AE6" s="816"/>
      <c r="AF6" s="817"/>
      <c r="AG6" s="819"/>
    </row>
    <row r="7" spans="1:34" x14ac:dyDescent="0.2">
      <c r="A7" s="810"/>
      <c r="B7" s="817" t="s">
        <v>481</v>
      </c>
      <c r="C7" s="819"/>
      <c r="D7" s="817"/>
      <c r="E7" s="819"/>
      <c r="F7" s="817"/>
      <c r="G7" s="819"/>
      <c r="H7" s="817"/>
      <c r="I7" s="819"/>
      <c r="J7" s="817" t="s">
        <v>482</v>
      </c>
      <c r="K7" s="819"/>
      <c r="L7" s="820"/>
      <c r="M7" s="821"/>
      <c r="N7" s="821"/>
      <c r="O7" s="821"/>
      <c r="P7" s="821"/>
      <c r="Q7" s="822"/>
      <c r="R7" s="817"/>
      <c r="S7" s="819"/>
      <c r="T7" s="817" t="s">
        <v>483</v>
      </c>
      <c r="U7" s="819"/>
      <c r="V7" s="817" t="s">
        <v>231</v>
      </c>
      <c r="W7" s="819"/>
      <c r="X7" s="817"/>
      <c r="Y7" s="819"/>
      <c r="Z7" s="817" t="s">
        <v>662</v>
      </c>
      <c r="AA7" s="819"/>
      <c r="AB7" s="817"/>
      <c r="AC7" s="819"/>
      <c r="AD7" s="817"/>
      <c r="AE7" s="819"/>
      <c r="AF7" s="817"/>
      <c r="AG7" s="819"/>
    </row>
    <row r="8" spans="1:34" x14ac:dyDescent="0.2">
      <c r="A8" s="811"/>
      <c r="B8" s="820"/>
      <c r="C8" s="822"/>
      <c r="D8" s="820"/>
      <c r="E8" s="822"/>
      <c r="F8" s="820"/>
      <c r="G8" s="822"/>
      <c r="H8" s="820"/>
      <c r="I8" s="822"/>
      <c r="J8" s="820" t="s">
        <v>484</v>
      </c>
      <c r="K8" s="822"/>
      <c r="L8" s="827" t="s">
        <v>34</v>
      </c>
      <c r="M8" s="828"/>
      <c r="N8" s="827" t="s">
        <v>35</v>
      </c>
      <c r="O8" s="828"/>
      <c r="P8" s="827" t="s">
        <v>740</v>
      </c>
      <c r="Q8" s="828"/>
      <c r="R8" s="820"/>
      <c r="S8" s="822"/>
      <c r="T8" s="820" t="s">
        <v>36</v>
      </c>
      <c r="U8" s="822"/>
      <c r="V8" s="820" t="s">
        <v>37</v>
      </c>
      <c r="W8" s="822"/>
      <c r="X8" s="820"/>
      <c r="Y8" s="822"/>
      <c r="Z8" s="820" t="s">
        <v>301</v>
      </c>
      <c r="AA8" s="822"/>
      <c r="AB8" s="820"/>
      <c r="AC8" s="822"/>
      <c r="AD8" s="820"/>
      <c r="AE8" s="822"/>
      <c r="AF8" s="820"/>
      <c r="AG8" s="822"/>
    </row>
    <row r="9" spans="1:34" x14ac:dyDescent="0.2">
      <c r="A9" s="349">
        <v>1949</v>
      </c>
      <c r="B9" s="350">
        <v>992544</v>
      </c>
      <c r="C9" s="351"/>
      <c r="D9" s="352"/>
      <c r="E9" s="353" t="s">
        <v>302</v>
      </c>
      <c r="F9" s="350">
        <v>347818</v>
      </c>
      <c r="G9" s="351"/>
      <c r="H9" s="350">
        <v>347818</v>
      </c>
      <c r="I9" s="351"/>
      <c r="J9" s="350">
        <v>835297</v>
      </c>
      <c r="K9" s="351"/>
      <c r="L9" s="352"/>
      <c r="M9" s="353" t="s">
        <v>648</v>
      </c>
      <c r="N9" s="350">
        <v>2245372</v>
      </c>
      <c r="O9" s="351"/>
      <c r="P9" s="350">
        <v>2245372</v>
      </c>
      <c r="Q9" s="351"/>
      <c r="R9" s="350">
        <v>3080669</v>
      </c>
      <c r="S9" s="351"/>
      <c r="T9" s="354" t="s">
        <v>325</v>
      </c>
      <c r="U9" s="351"/>
      <c r="V9" s="354" t="s">
        <v>325</v>
      </c>
      <c r="W9" s="351"/>
      <c r="X9" s="354" t="s">
        <v>325</v>
      </c>
      <c r="Y9" s="351"/>
      <c r="Z9" s="350">
        <v>550121</v>
      </c>
      <c r="AA9" s="351"/>
      <c r="AB9" s="354" t="s">
        <v>325</v>
      </c>
      <c r="AC9" s="351"/>
      <c r="AD9" s="350">
        <v>550121</v>
      </c>
      <c r="AE9" s="351"/>
      <c r="AF9" s="350">
        <v>4971152</v>
      </c>
      <c r="AG9" s="351"/>
      <c r="AH9" s="4" t="e">
        <f>AF9-J9-T9</f>
        <v>#VALUE!</v>
      </c>
    </row>
    <row r="10" spans="1:34" x14ac:dyDescent="0.2">
      <c r="A10" s="349">
        <v>1950</v>
      </c>
      <c r="B10" s="350">
        <v>1198369</v>
      </c>
      <c r="C10" s="351"/>
      <c r="D10" s="352"/>
      <c r="E10" s="353" t="s">
        <v>302</v>
      </c>
      <c r="F10" s="350">
        <v>387838</v>
      </c>
      <c r="G10" s="351"/>
      <c r="H10" s="350">
        <v>387838</v>
      </c>
      <c r="I10" s="351"/>
      <c r="J10" s="350">
        <v>927611</v>
      </c>
      <c r="K10" s="351"/>
      <c r="L10" s="352"/>
      <c r="M10" s="353" t="s">
        <v>648</v>
      </c>
      <c r="N10" s="350">
        <v>2498259</v>
      </c>
      <c r="O10" s="351"/>
      <c r="P10" s="350">
        <v>2498259</v>
      </c>
      <c r="Q10" s="351"/>
      <c r="R10" s="350">
        <v>3425870</v>
      </c>
      <c r="S10" s="351"/>
      <c r="T10" s="350">
        <v>125546</v>
      </c>
      <c r="U10" s="351"/>
      <c r="V10" s="354" t="s">
        <v>325</v>
      </c>
      <c r="W10" s="351"/>
      <c r="X10" s="350">
        <v>125546</v>
      </c>
      <c r="Y10" s="351"/>
      <c r="Z10" s="350">
        <v>628919</v>
      </c>
      <c r="AA10" s="351"/>
      <c r="AB10" s="354" t="s">
        <v>325</v>
      </c>
      <c r="AC10" s="351"/>
      <c r="AD10" s="350">
        <v>628919</v>
      </c>
      <c r="AE10" s="351"/>
      <c r="AF10" s="350">
        <v>5766542</v>
      </c>
      <c r="AG10" s="351"/>
      <c r="AH10" s="4">
        <f t="shared" ref="AH10:AH68" si="0">AF10-J10-T10</f>
        <v>4713385</v>
      </c>
    </row>
    <row r="11" spans="1:34" x14ac:dyDescent="0.2">
      <c r="A11" s="355">
        <v>1951</v>
      </c>
      <c r="B11" s="356">
        <v>1474725</v>
      </c>
      <c r="C11" s="357"/>
      <c r="D11" s="358"/>
      <c r="E11" s="359" t="s">
        <v>302</v>
      </c>
      <c r="F11" s="356">
        <v>464309</v>
      </c>
      <c r="G11" s="357"/>
      <c r="H11" s="356">
        <v>464309</v>
      </c>
      <c r="I11" s="357"/>
      <c r="J11" s="356">
        <v>1149470</v>
      </c>
      <c r="K11" s="357"/>
      <c r="L11" s="358"/>
      <c r="M11" s="359" t="s">
        <v>648</v>
      </c>
      <c r="N11" s="356">
        <v>2765264</v>
      </c>
      <c r="O11" s="357"/>
      <c r="P11" s="356">
        <v>2765264</v>
      </c>
      <c r="Q11" s="357"/>
      <c r="R11" s="356">
        <v>3914734</v>
      </c>
      <c r="S11" s="357"/>
      <c r="T11" s="356">
        <v>192496</v>
      </c>
      <c r="U11" s="357"/>
      <c r="V11" s="360" t="s">
        <v>325</v>
      </c>
      <c r="W11" s="357"/>
      <c r="X11" s="356">
        <v>192496</v>
      </c>
      <c r="Y11" s="357"/>
      <c r="Z11" s="356">
        <v>763898</v>
      </c>
      <c r="AA11" s="357"/>
      <c r="AB11" s="360" t="s">
        <v>325</v>
      </c>
      <c r="AC11" s="357"/>
      <c r="AD11" s="356">
        <v>763898</v>
      </c>
      <c r="AE11" s="357"/>
      <c r="AF11" s="356">
        <v>6810162</v>
      </c>
      <c r="AG11" s="357"/>
      <c r="AH11" s="4">
        <f t="shared" si="0"/>
        <v>5468196</v>
      </c>
    </row>
    <row r="12" spans="1:34" x14ac:dyDescent="0.2">
      <c r="A12" s="349">
        <v>1952</v>
      </c>
      <c r="B12" s="350">
        <v>1621966</v>
      </c>
      <c r="C12" s="351"/>
      <c r="D12" s="352"/>
      <c r="E12" s="353" t="s">
        <v>302</v>
      </c>
      <c r="F12" s="350">
        <v>515669</v>
      </c>
      <c r="G12" s="351"/>
      <c r="H12" s="350">
        <v>515669</v>
      </c>
      <c r="I12" s="351"/>
      <c r="J12" s="350">
        <v>1164596</v>
      </c>
      <c r="K12" s="351"/>
      <c r="L12" s="352"/>
      <c r="M12" s="353" t="s">
        <v>648</v>
      </c>
      <c r="N12" s="350">
        <v>2874765</v>
      </c>
      <c r="O12" s="351"/>
      <c r="P12" s="350">
        <v>2874765</v>
      </c>
      <c r="Q12" s="351"/>
      <c r="R12" s="350">
        <v>4039361</v>
      </c>
      <c r="S12" s="351"/>
      <c r="T12" s="350">
        <v>207207</v>
      </c>
      <c r="U12" s="351"/>
      <c r="V12" s="354" t="s">
        <v>325</v>
      </c>
      <c r="W12" s="351"/>
      <c r="X12" s="350">
        <v>207207</v>
      </c>
      <c r="Y12" s="351"/>
      <c r="Z12" s="350">
        <v>910117</v>
      </c>
      <c r="AA12" s="351"/>
      <c r="AB12" s="354" t="s">
        <v>325</v>
      </c>
      <c r="AC12" s="351"/>
      <c r="AD12" s="350">
        <v>910117</v>
      </c>
      <c r="AE12" s="351"/>
      <c r="AF12" s="350">
        <v>7294320</v>
      </c>
      <c r="AG12" s="351"/>
      <c r="AH12" s="4">
        <f t="shared" si="0"/>
        <v>5922517</v>
      </c>
    </row>
    <row r="13" spans="1:34" x14ac:dyDescent="0.2">
      <c r="A13" s="349">
        <v>1953</v>
      </c>
      <c r="B13" s="350">
        <v>1685503</v>
      </c>
      <c r="C13" s="351"/>
      <c r="D13" s="352"/>
      <c r="E13" s="353" t="s">
        <v>302</v>
      </c>
      <c r="F13" s="350">
        <v>530650</v>
      </c>
      <c r="G13" s="351"/>
      <c r="H13" s="350">
        <v>530650</v>
      </c>
      <c r="I13" s="351"/>
      <c r="J13" s="350">
        <v>1131017</v>
      </c>
      <c r="K13" s="351"/>
      <c r="L13" s="352"/>
      <c r="M13" s="353" t="s">
        <v>648</v>
      </c>
      <c r="N13" s="350">
        <v>3027514</v>
      </c>
      <c r="O13" s="351"/>
      <c r="P13" s="350">
        <v>3027514</v>
      </c>
      <c r="Q13" s="351"/>
      <c r="R13" s="350">
        <v>4158531</v>
      </c>
      <c r="S13" s="351"/>
      <c r="T13" s="350">
        <v>230314</v>
      </c>
      <c r="U13" s="351"/>
      <c r="V13" s="354" t="s">
        <v>325</v>
      </c>
      <c r="W13" s="351"/>
      <c r="X13" s="350">
        <v>230314</v>
      </c>
      <c r="Y13" s="351"/>
      <c r="Z13" s="350">
        <v>1034272</v>
      </c>
      <c r="AA13" s="351"/>
      <c r="AB13" s="354" t="s">
        <v>325</v>
      </c>
      <c r="AC13" s="351"/>
      <c r="AD13" s="350">
        <v>1034272</v>
      </c>
      <c r="AE13" s="351"/>
      <c r="AF13" s="350">
        <v>7639270</v>
      </c>
      <c r="AG13" s="351"/>
      <c r="AH13" s="4">
        <f t="shared" si="0"/>
        <v>6277939</v>
      </c>
    </row>
    <row r="14" spans="1:34" x14ac:dyDescent="0.2">
      <c r="A14" s="355">
        <v>1954</v>
      </c>
      <c r="B14" s="356">
        <v>1894248</v>
      </c>
      <c r="C14" s="357"/>
      <c r="D14" s="358"/>
      <c r="E14" s="359" t="s">
        <v>302</v>
      </c>
      <c r="F14" s="356">
        <v>584957</v>
      </c>
      <c r="G14" s="357"/>
      <c r="H14" s="356">
        <v>584957</v>
      </c>
      <c r="I14" s="357"/>
      <c r="J14" s="356">
        <v>1102535</v>
      </c>
      <c r="K14" s="357"/>
      <c r="L14" s="358"/>
      <c r="M14" s="359" t="s">
        <v>648</v>
      </c>
      <c r="N14" s="356">
        <v>3070651</v>
      </c>
      <c r="O14" s="357"/>
      <c r="P14" s="356">
        <v>3070651</v>
      </c>
      <c r="Q14" s="357"/>
      <c r="R14" s="356">
        <v>4173186</v>
      </c>
      <c r="S14" s="357"/>
      <c r="T14" s="356">
        <v>230615</v>
      </c>
      <c r="U14" s="357"/>
      <c r="V14" s="360" t="s">
        <v>325</v>
      </c>
      <c r="W14" s="357"/>
      <c r="X14" s="356">
        <v>230615</v>
      </c>
      <c r="Y14" s="357"/>
      <c r="Z14" s="356">
        <v>1165498</v>
      </c>
      <c r="AA14" s="357"/>
      <c r="AB14" s="360" t="s">
        <v>325</v>
      </c>
      <c r="AC14" s="357"/>
      <c r="AD14" s="356">
        <v>1165498</v>
      </c>
      <c r="AE14" s="357"/>
      <c r="AF14" s="356">
        <v>8048504</v>
      </c>
      <c r="AG14" s="357"/>
      <c r="AH14" s="4">
        <f t="shared" si="0"/>
        <v>6715354</v>
      </c>
    </row>
    <row r="15" spans="1:34" x14ac:dyDescent="0.2">
      <c r="A15" s="349">
        <v>1955</v>
      </c>
      <c r="B15" s="350">
        <v>2123952</v>
      </c>
      <c r="C15" s="351"/>
      <c r="D15" s="352"/>
      <c r="E15" s="353" t="s">
        <v>302</v>
      </c>
      <c r="F15" s="350">
        <v>629219</v>
      </c>
      <c r="G15" s="351"/>
      <c r="H15" s="350">
        <v>629219</v>
      </c>
      <c r="I15" s="351"/>
      <c r="J15" s="350">
        <v>1130985</v>
      </c>
      <c r="K15" s="351"/>
      <c r="L15" s="352"/>
      <c r="M15" s="353" t="s">
        <v>648</v>
      </c>
      <c r="N15" s="350">
        <v>3410975</v>
      </c>
      <c r="O15" s="351"/>
      <c r="P15" s="350">
        <v>3410975</v>
      </c>
      <c r="Q15" s="351"/>
      <c r="R15" s="350">
        <v>4541960</v>
      </c>
      <c r="S15" s="351"/>
      <c r="T15" s="350">
        <v>245246</v>
      </c>
      <c r="U15" s="351"/>
      <c r="V15" s="354" t="s">
        <v>325</v>
      </c>
      <c r="W15" s="351"/>
      <c r="X15" s="350">
        <v>245246</v>
      </c>
      <c r="Y15" s="351"/>
      <c r="Z15" s="350">
        <v>1153280</v>
      </c>
      <c r="AA15" s="351"/>
      <c r="AB15" s="354" t="s">
        <v>325</v>
      </c>
      <c r="AC15" s="351"/>
      <c r="AD15" s="350">
        <v>1153280</v>
      </c>
      <c r="AE15" s="351"/>
      <c r="AF15" s="350">
        <v>8693657</v>
      </c>
      <c r="AG15" s="351"/>
      <c r="AH15" s="4">
        <f t="shared" si="0"/>
        <v>7317426</v>
      </c>
    </row>
    <row r="16" spans="1:34" x14ac:dyDescent="0.2">
      <c r="A16" s="349">
        <v>1956</v>
      </c>
      <c r="B16" s="350">
        <v>2327564</v>
      </c>
      <c r="C16" s="351"/>
      <c r="D16" s="352"/>
      <c r="E16" s="353" t="s">
        <v>302</v>
      </c>
      <c r="F16" s="350">
        <v>716871</v>
      </c>
      <c r="G16" s="351"/>
      <c r="H16" s="350">
        <v>716871</v>
      </c>
      <c r="I16" s="351"/>
      <c r="J16" s="350">
        <v>1002537</v>
      </c>
      <c r="K16" s="351"/>
      <c r="L16" s="352"/>
      <c r="M16" s="353" t="s">
        <v>648</v>
      </c>
      <c r="N16" s="350">
        <v>3706610</v>
      </c>
      <c r="O16" s="351"/>
      <c r="P16" s="350">
        <v>3706610</v>
      </c>
      <c r="Q16" s="351"/>
      <c r="R16" s="350">
        <v>4709147</v>
      </c>
      <c r="S16" s="351"/>
      <c r="T16" s="350">
        <v>295972</v>
      </c>
      <c r="U16" s="351"/>
      <c r="V16" s="354" t="s">
        <v>325</v>
      </c>
      <c r="W16" s="351"/>
      <c r="X16" s="350">
        <v>295972</v>
      </c>
      <c r="Y16" s="351"/>
      <c r="Z16" s="350">
        <v>1239311</v>
      </c>
      <c r="AA16" s="351"/>
      <c r="AB16" s="354" t="s">
        <v>325</v>
      </c>
      <c r="AC16" s="351"/>
      <c r="AD16" s="350">
        <v>1239311</v>
      </c>
      <c r="AE16" s="351"/>
      <c r="AF16" s="350">
        <v>9288865</v>
      </c>
      <c r="AG16" s="351"/>
      <c r="AH16" s="4">
        <f t="shared" si="0"/>
        <v>7990356</v>
      </c>
    </row>
    <row r="17" spans="1:34" x14ac:dyDescent="0.2">
      <c r="A17" s="355">
        <v>1957</v>
      </c>
      <c r="B17" s="356">
        <v>2500269</v>
      </c>
      <c r="C17" s="357"/>
      <c r="D17" s="358"/>
      <c r="E17" s="359" t="s">
        <v>302</v>
      </c>
      <c r="F17" s="356">
        <v>775916</v>
      </c>
      <c r="G17" s="357"/>
      <c r="H17" s="356">
        <v>775916</v>
      </c>
      <c r="I17" s="357"/>
      <c r="J17" s="356">
        <v>1046084</v>
      </c>
      <c r="K17" s="357"/>
      <c r="L17" s="358"/>
      <c r="M17" s="359" t="s">
        <v>648</v>
      </c>
      <c r="N17" s="356">
        <v>3888494</v>
      </c>
      <c r="O17" s="357"/>
      <c r="P17" s="356">
        <v>3888494</v>
      </c>
      <c r="Q17" s="357"/>
      <c r="R17" s="356">
        <v>4934578</v>
      </c>
      <c r="S17" s="357"/>
      <c r="T17" s="356">
        <v>299235</v>
      </c>
      <c r="U17" s="357"/>
      <c r="V17" s="360" t="s">
        <v>325</v>
      </c>
      <c r="W17" s="357"/>
      <c r="X17" s="356">
        <v>299235</v>
      </c>
      <c r="Y17" s="357"/>
      <c r="Z17" s="356">
        <v>1336141</v>
      </c>
      <c r="AA17" s="357"/>
      <c r="AB17" s="360" t="s">
        <v>325</v>
      </c>
      <c r="AC17" s="357"/>
      <c r="AD17" s="356">
        <v>1336141</v>
      </c>
      <c r="AE17" s="357"/>
      <c r="AF17" s="356">
        <v>9846139</v>
      </c>
      <c r="AG17" s="357"/>
      <c r="AH17" s="4">
        <f t="shared" si="0"/>
        <v>8500820</v>
      </c>
    </row>
    <row r="18" spans="1:34" x14ac:dyDescent="0.2">
      <c r="A18" s="349">
        <v>1958</v>
      </c>
      <c r="B18" s="350">
        <v>2714251</v>
      </c>
      <c r="C18" s="351"/>
      <c r="D18" s="352"/>
      <c r="E18" s="353" t="s">
        <v>302</v>
      </c>
      <c r="F18" s="350">
        <v>871774</v>
      </c>
      <c r="G18" s="351"/>
      <c r="H18" s="350">
        <v>871774</v>
      </c>
      <c r="I18" s="351"/>
      <c r="J18" s="350">
        <v>1146064</v>
      </c>
      <c r="K18" s="351"/>
      <c r="L18" s="352"/>
      <c r="M18" s="353" t="s">
        <v>648</v>
      </c>
      <c r="N18" s="350">
        <v>3885445</v>
      </c>
      <c r="O18" s="351"/>
      <c r="P18" s="350">
        <v>3885445</v>
      </c>
      <c r="Q18" s="351"/>
      <c r="R18" s="350">
        <v>5031509</v>
      </c>
      <c r="S18" s="351"/>
      <c r="T18" s="350">
        <v>312221</v>
      </c>
      <c r="U18" s="351"/>
      <c r="V18" s="354" t="s">
        <v>325</v>
      </c>
      <c r="W18" s="351"/>
      <c r="X18" s="350">
        <v>312221</v>
      </c>
      <c r="Y18" s="351"/>
      <c r="Z18" s="350">
        <v>1372853</v>
      </c>
      <c r="AA18" s="351"/>
      <c r="AB18" s="354" t="s">
        <v>325</v>
      </c>
      <c r="AC18" s="351"/>
      <c r="AD18" s="350">
        <v>1372853</v>
      </c>
      <c r="AE18" s="351"/>
      <c r="AF18" s="350">
        <v>10302608</v>
      </c>
      <c r="AG18" s="351"/>
      <c r="AH18" s="4">
        <f t="shared" si="0"/>
        <v>8844323</v>
      </c>
    </row>
    <row r="19" spans="1:34" x14ac:dyDescent="0.2">
      <c r="A19" s="349">
        <v>1959</v>
      </c>
      <c r="B19" s="350">
        <v>2912601</v>
      </c>
      <c r="C19" s="351"/>
      <c r="D19" s="352"/>
      <c r="E19" s="353" t="s">
        <v>302</v>
      </c>
      <c r="F19" s="350">
        <v>975107</v>
      </c>
      <c r="G19" s="351"/>
      <c r="H19" s="350">
        <v>975107</v>
      </c>
      <c r="I19" s="351"/>
      <c r="J19" s="350">
        <v>1238945</v>
      </c>
      <c r="K19" s="351"/>
      <c r="L19" s="352"/>
      <c r="M19" s="353" t="s">
        <v>648</v>
      </c>
      <c r="N19" s="350">
        <v>4216671</v>
      </c>
      <c r="O19" s="351"/>
      <c r="P19" s="350">
        <v>4216671</v>
      </c>
      <c r="Q19" s="351"/>
      <c r="R19" s="350">
        <v>5455616</v>
      </c>
      <c r="S19" s="351"/>
      <c r="T19" s="350">
        <v>349348</v>
      </c>
      <c r="U19" s="351"/>
      <c r="V19" s="354" t="s">
        <v>325</v>
      </c>
      <c r="W19" s="351"/>
      <c r="X19" s="350">
        <v>349348</v>
      </c>
      <c r="Y19" s="351"/>
      <c r="Z19" s="350">
        <v>1628509</v>
      </c>
      <c r="AA19" s="351"/>
      <c r="AB19" s="354" t="s">
        <v>325</v>
      </c>
      <c r="AC19" s="351"/>
      <c r="AD19" s="350">
        <v>1628509</v>
      </c>
      <c r="AE19" s="351"/>
      <c r="AF19" s="350">
        <v>11321181</v>
      </c>
      <c r="AG19" s="351"/>
      <c r="AH19" s="4">
        <f t="shared" si="0"/>
        <v>9732888</v>
      </c>
    </row>
    <row r="20" spans="1:34" x14ac:dyDescent="0.2">
      <c r="A20" s="355">
        <v>1960</v>
      </c>
      <c r="B20" s="356">
        <v>3103167</v>
      </c>
      <c r="C20" s="357"/>
      <c r="D20" s="358"/>
      <c r="E20" s="359" t="s">
        <v>302</v>
      </c>
      <c r="F20" s="356">
        <v>1020222</v>
      </c>
      <c r="G20" s="357"/>
      <c r="H20" s="356">
        <v>1020222</v>
      </c>
      <c r="I20" s="357"/>
      <c r="J20" s="356">
        <v>1236781</v>
      </c>
      <c r="K20" s="357"/>
      <c r="L20" s="358"/>
      <c r="M20" s="359" t="s">
        <v>648</v>
      </c>
      <c r="N20" s="356">
        <v>4534530</v>
      </c>
      <c r="O20" s="357"/>
      <c r="P20" s="356">
        <v>4534530</v>
      </c>
      <c r="Q20" s="357"/>
      <c r="R20" s="356">
        <v>5771311</v>
      </c>
      <c r="S20" s="357"/>
      <c r="T20" s="356">
        <v>347075</v>
      </c>
      <c r="U20" s="357"/>
      <c r="V20" s="360" t="s">
        <v>325</v>
      </c>
      <c r="W20" s="357"/>
      <c r="X20" s="356">
        <v>347075</v>
      </c>
      <c r="Y20" s="357"/>
      <c r="Z20" s="356">
        <v>1724762</v>
      </c>
      <c r="AA20" s="357"/>
      <c r="AB20" s="360" t="s">
        <v>325</v>
      </c>
      <c r="AC20" s="357"/>
      <c r="AD20" s="356">
        <v>1724762</v>
      </c>
      <c r="AE20" s="357"/>
      <c r="AF20" s="356">
        <v>11966537</v>
      </c>
      <c r="AG20" s="357"/>
      <c r="AH20" s="4">
        <f t="shared" si="0"/>
        <v>10382681</v>
      </c>
    </row>
    <row r="21" spans="1:34" x14ac:dyDescent="0.2">
      <c r="A21" s="349">
        <v>1961</v>
      </c>
      <c r="B21" s="350">
        <v>3248578</v>
      </c>
      <c r="C21" s="351"/>
      <c r="D21" s="352"/>
      <c r="E21" s="353" t="s">
        <v>302</v>
      </c>
      <c r="F21" s="350">
        <v>1076849</v>
      </c>
      <c r="G21" s="351"/>
      <c r="H21" s="350">
        <v>1076849</v>
      </c>
      <c r="I21" s="351"/>
      <c r="J21" s="350">
        <v>1288762</v>
      </c>
      <c r="K21" s="351"/>
      <c r="L21" s="352"/>
      <c r="M21" s="353" t="s">
        <v>648</v>
      </c>
      <c r="N21" s="350">
        <v>4672355</v>
      </c>
      <c r="O21" s="351"/>
      <c r="P21" s="350">
        <v>4672355</v>
      </c>
      <c r="Q21" s="351"/>
      <c r="R21" s="350">
        <v>5961117</v>
      </c>
      <c r="S21" s="351"/>
      <c r="T21" s="350">
        <v>377607</v>
      </c>
      <c r="U21" s="351"/>
      <c r="V21" s="354" t="s">
        <v>325</v>
      </c>
      <c r="W21" s="351"/>
      <c r="X21" s="350">
        <v>377607</v>
      </c>
      <c r="Y21" s="351"/>
      <c r="Z21" s="350">
        <v>1825117</v>
      </c>
      <c r="AA21" s="351"/>
      <c r="AB21" s="354" t="s">
        <v>325</v>
      </c>
      <c r="AC21" s="351"/>
      <c r="AD21" s="350">
        <v>1825117</v>
      </c>
      <c r="AE21" s="351"/>
      <c r="AF21" s="350">
        <v>12489268</v>
      </c>
      <c r="AG21" s="351"/>
      <c r="AH21" s="4">
        <f t="shared" si="0"/>
        <v>10822899</v>
      </c>
    </row>
    <row r="22" spans="1:34" x14ac:dyDescent="0.2">
      <c r="A22" s="349">
        <v>1962</v>
      </c>
      <c r="B22" s="350">
        <v>3478563</v>
      </c>
      <c r="C22" s="351"/>
      <c r="D22" s="352"/>
      <c r="E22" s="353" t="s">
        <v>302</v>
      </c>
      <c r="F22" s="350">
        <v>1206668</v>
      </c>
      <c r="G22" s="351"/>
      <c r="H22" s="350">
        <v>1206668</v>
      </c>
      <c r="I22" s="351"/>
      <c r="J22" s="350">
        <v>1369512</v>
      </c>
      <c r="K22" s="351"/>
      <c r="L22" s="352"/>
      <c r="M22" s="353" t="s">
        <v>648</v>
      </c>
      <c r="N22" s="350">
        <v>4863300</v>
      </c>
      <c r="O22" s="351"/>
      <c r="P22" s="350">
        <v>4863300</v>
      </c>
      <c r="Q22" s="351"/>
      <c r="R22" s="350">
        <v>6232812</v>
      </c>
      <c r="S22" s="351"/>
      <c r="T22" s="350">
        <v>382496</v>
      </c>
      <c r="U22" s="351"/>
      <c r="V22" s="354" t="s">
        <v>325</v>
      </c>
      <c r="W22" s="351"/>
      <c r="X22" s="350">
        <v>382496</v>
      </c>
      <c r="Y22" s="351"/>
      <c r="Z22" s="350">
        <v>1965974</v>
      </c>
      <c r="AA22" s="351"/>
      <c r="AB22" s="354" t="s">
        <v>325</v>
      </c>
      <c r="AC22" s="351"/>
      <c r="AD22" s="350">
        <v>1965974</v>
      </c>
      <c r="AE22" s="351"/>
      <c r="AF22" s="350">
        <v>13266513</v>
      </c>
      <c r="AG22" s="351"/>
      <c r="AH22" s="4">
        <f t="shared" si="0"/>
        <v>11514505</v>
      </c>
    </row>
    <row r="23" spans="1:34" x14ac:dyDescent="0.2">
      <c r="A23" s="355">
        <v>1963</v>
      </c>
      <c r="B23" s="356">
        <v>3589021</v>
      </c>
      <c r="C23" s="357"/>
      <c r="D23" s="358"/>
      <c r="E23" s="359" t="s">
        <v>302</v>
      </c>
      <c r="F23" s="356">
        <v>1267783</v>
      </c>
      <c r="G23" s="357"/>
      <c r="H23" s="356">
        <v>1267783</v>
      </c>
      <c r="I23" s="357"/>
      <c r="J23" s="356">
        <v>1411088</v>
      </c>
      <c r="K23" s="357"/>
      <c r="L23" s="358"/>
      <c r="M23" s="359" t="s">
        <v>648</v>
      </c>
      <c r="N23" s="356">
        <v>5134081</v>
      </c>
      <c r="O23" s="357"/>
      <c r="P23" s="356">
        <v>5134081</v>
      </c>
      <c r="Q23" s="357"/>
      <c r="R23" s="356">
        <v>6545169</v>
      </c>
      <c r="S23" s="357"/>
      <c r="T23" s="356">
        <v>423783</v>
      </c>
      <c r="U23" s="357"/>
      <c r="V23" s="360" t="s">
        <v>325</v>
      </c>
      <c r="W23" s="357"/>
      <c r="X23" s="356">
        <v>423783</v>
      </c>
      <c r="Y23" s="357"/>
      <c r="Z23" s="356">
        <v>2144473</v>
      </c>
      <c r="AA23" s="357"/>
      <c r="AB23" s="360" t="s">
        <v>325</v>
      </c>
      <c r="AC23" s="357"/>
      <c r="AD23" s="356">
        <v>2144473</v>
      </c>
      <c r="AE23" s="357"/>
      <c r="AF23" s="356">
        <v>13970229</v>
      </c>
      <c r="AG23" s="357"/>
      <c r="AH23" s="4">
        <f t="shared" si="0"/>
        <v>12135358</v>
      </c>
    </row>
    <row r="24" spans="1:34" x14ac:dyDescent="0.2">
      <c r="A24" s="349">
        <v>1964</v>
      </c>
      <c r="B24" s="350">
        <v>3787292</v>
      </c>
      <c r="C24" s="351"/>
      <c r="D24" s="352"/>
      <c r="E24" s="353" t="s">
        <v>302</v>
      </c>
      <c r="F24" s="350">
        <v>1374717</v>
      </c>
      <c r="G24" s="351"/>
      <c r="H24" s="350">
        <v>1374717</v>
      </c>
      <c r="I24" s="351"/>
      <c r="J24" s="350">
        <v>1370835</v>
      </c>
      <c r="K24" s="351"/>
      <c r="L24" s="352"/>
      <c r="M24" s="353" t="s">
        <v>648</v>
      </c>
      <c r="N24" s="350">
        <v>5522498</v>
      </c>
      <c r="O24" s="351"/>
      <c r="P24" s="350">
        <v>5522498</v>
      </c>
      <c r="Q24" s="351"/>
      <c r="R24" s="350">
        <v>6893333</v>
      </c>
      <c r="S24" s="351"/>
      <c r="T24" s="350">
        <v>435570</v>
      </c>
      <c r="U24" s="351"/>
      <c r="V24" s="354" t="s">
        <v>325</v>
      </c>
      <c r="W24" s="351"/>
      <c r="X24" s="350">
        <v>435570</v>
      </c>
      <c r="Y24" s="351"/>
      <c r="Z24" s="350">
        <v>2322896</v>
      </c>
      <c r="AA24" s="351"/>
      <c r="AB24" s="354" t="s">
        <v>325</v>
      </c>
      <c r="AC24" s="351"/>
      <c r="AD24" s="350">
        <v>2322896</v>
      </c>
      <c r="AE24" s="351"/>
      <c r="AF24" s="350">
        <v>14813808</v>
      </c>
      <c r="AG24" s="351"/>
      <c r="AH24" s="4">
        <f t="shared" si="0"/>
        <v>13007403</v>
      </c>
    </row>
    <row r="25" spans="1:34" x14ac:dyDescent="0.2">
      <c r="A25" s="349">
        <v>1965</v>
      </c>
      <c r="B25" s="350">
        <v>3902802</v>
      </c>
      <c r="C25" s="351"/>
      <c r="D25" s="352"/>
      <c r="E25" s="353" t="s">
        <v>302</v>
      </c>
      <c r="F25" s="350">
        <v>1443648</v>
      </c>
      <c r="G25" s="351"/>
      <c r="H25" s="350">
        <v>1443648</v>
      </c>
      <c r="I25" s="351"/>
      <c r="J25" s="350">
        <v>1156224</v>
      </c>
      <c r="K25" s="351"/>
      <c r="L25" s="352"/>
      <c r="M25" s="353" t="s">
        <v>648</v>
      </c>
      <c r="N25" s="350">
        <v>5955417</v>
      </c>
      <c r="O25" s="351"/>
      <c r="P25" s="350">
        <v>5955417</v>
      </c>
      <c r="Q25" s="351"/>
      <c r="R25" s="350">
        <v>7111641</v>
      </c>
      <c r="S25" s="351"/>
      <c r="T25" s="350">
        <v>500524</v>
      </c>
      <c r="U25" s="351"/>
      <c r="V25" s="354" t="s">
        <v>325</v>
      </c>
      <c r="W25" s="351"/>
      <c r="X25" s="350">
        <v>500524</v>
      </c>
      <c r="Y25" s="351"/>
      <c r="Z25" s="350">
        <v>2321101</v>
      </c>
      <c r="AA25" s="351"/>
      <c r="AB25" s="354" t="s">
        <v>325</v>
      </c>
      <c r="AC25" s="351"/>
      <c r="AD25" s="350">
        <v>2321101</v>
      </c>
      <c r="AE25" s="351"/>
      <c r="AF25" s="350">
        <v>15279716</v>
      </c>
      <c r="AG25" s="351"/>
      <c r="AH25" s="4">
        <f t="shared" si="0"/>
        <v>13622968</v>
      </c>
    </row>
    <row r="26" spans="1:34" x14ac:dyDescent="0.2">
      <c r="A26" s="355">
        <v>1966</v>
      </c>
      <c r="B26" s="356">
        <v>4138259</v>
      </c>
      <c r="C26" s="357"/>
      <c r="D26" s="358"/>
      <c r="E26" s="359" t="s">
        <v>302</v>
      </c>
      <c r="F26" s="356">
        <v>1622740</v>
      </c>
      <c r="G26" s="357"/>
      <c r="H26" s="356">
        <v>1622740</v>
      </c>
      <c r="I26" s="357"/>
      <c r="J26" s="356">
        <v>1033400</v>
      </c>
      <c r="K26" s="357"/>
      <c r="L26" s="358"/>
      <c r="M26" s="359" t="s">
        <v>648</v>
      </c>
      <c r="N26" s="356">
        <v>6512702</v>
      </c>
      <c r="O26" s="357"/>
      <c r="P26" s="356">
        <v>6512702</v>
      </c>
      <c r="Q26" s="357"/>
      <c r="R26" s="356">
        <v>7546102</v>
      </c>
      <c r="S26" s="357"/>
      <c r="T26" s="356">
        <v>535353</v>
      </c>
      <c r="U26" s="357"/>
      <c r="V26" s="360" t="s">
        <v>325</v>
      </c>
      <c r="W26" s="357"/>
      <c r="X26" s="356">
        <v>535353</v>
      </c>
      <c r="Y26" s="357"/>
      <c r="Z26" s="356">
        <v>2609949</v>
      </c>
      <c r="AA26" s="357"/>
      <c r="AB26" s="360" t="s">
        <v>325</v>
      </c>
      <c r="AC26" s="357"/>
      <c r="AD26" s="356">
        <v>2609949</v>
      </c>
      <c r="AE26" s="357"/>
      <c r="AF26" s="356">
        <v>16452403</v>
      </c>
      <c r="AG26" s="357"/>
      <c r="AH26" s="4">
        <f t="shared" si="0"/>
        <v>14883650</v>
      </c>
    </row>
    <row r="27" spans="1:34" x14ac:dyDescent="0.2">
      <c r="A27" s="349">
        <v>1967</v>
      </c>
      <c r="B27" s="350">
        <v>4313304</v>
      </c>
      <c r="C27" s="351"/>
      <c r="D27" s="352"/>
      <c r="E27" s="353" t="s">
        <v>302</v>
      </c>
      <c r="F27" s="350">
        <v>1958970</v>
      </c>
      <c r="G27" s="351"/>
      <c r="H27" s="350">
        <v>1958970</v>
      </c>
      <c r="I27" s="351"/>
      <c r="J27" s="350">
        <v>1140966</v>
      </c>
      <c r="K27" s="351"/>
      <c r="L27" s="352"/>
      <c r="M27" s="353" t="s">
        <v>648</v>
      </c>
      <c r="N27" s="350">
        <v>6653016</v>
      </c>
      <c r="O27" s="351"/>
      <c r="P27" s="350">
        <v>6653016</v>
      </c>
      <c r="Q27" s="351"/>
      <c r="R27" s="350">
        <v>7793982</v>
      </c>
      <c r="S27" s="351"/>
      <c r="T27" s="350">
        <v>575752</v>
      </c>
      <c r="U27" s="351"/>
      <c r="V27" s="354" t="s">
        <v>325</v>
      </c>
      <c r="W27" s="351"/>
      <c r="X27" s="350">
        <v>575752</v>
      </c>
      <c r="Y27" s="351"/>
      <c r="Z27" s="350">
        <v>2746352</v>
      </c>
      <c r="AA27" s="351"/>
      <c r="AB27" s="354" t="s">
        <v>325</v>
      </c>
      <c r="AC27" s="351"/>
      <c r="AD27" s="350">
        <v>2746352</v>
      </c>
      <c r="AE27" s="351"/>
      <c r="AF27" s="350">
        <v>17388360</v>
      </c>
      <c r="AG27" s="351"/>
      <c r="AH27" s="4">
        <f t="shared" si="0"/>
        <v>15671642</v>
      </c>
    </row>
    <row r="28" spans="1:34" x14ac:dyDescent="0.2">
      <c r="A28" s="349">
        <v>1968</v>
      </c>
      <c r="B28" s="350">
        <v>4450354</v>
      </c>
      <c r="C28" s="351"/>
      <c r="D28" s="352"/>
      <c r="E28" s="353" t="s">
        <v>302</v>
      </c>
      <c r="F28" s="350">
        <v>2075736</v>
      </c>
      <c r="G28" s="351"/>
      <c r="H28" s="350">
        <v>2075736</v>
      </c>
      <c r="I28" s="351"/>
      <c r="J28" s="350">
        <v>1237131</v>
      </c>
      <c r="K28" s="351"/>
      <c r="L28" s="352"/>
      <c r="M28" s="353" t="s">
        <v>648</v>
      </c>
      <c r="N28" s="350">
        <v>7129967</v>
      </c>
      <c r="O28" s="351"/>
      <c r="P28" s="350">
        <v>7129967</v>
      </c>
      <c r="Q28" s="351"/>
      <c r="R28" s="350">
        <v>8367098</v>
      </c>
      <c r="S28" s="351"/>
      <c r="T28" s="350">
        <v>590965</v>
      </c>
      <c r="U28" s="351"/>
      <c r="V28" s="354" t="s">
        <v>325</v>
      </c>
      <c r="W28" s="351"/>
      <c r="X28" s="350">
        <v>590965</v>
      </c>
      <c r="Y28" s="351"/>
      <c r="Z28" s="350">
        <v>3147909</v>
      </c>
      <c r="AA28" s="351"/>
      <c r="AB28" s="354" t="s">
        <v>325</v>
      </c>
      <c r="AC28" s="351"/>
      <c r="AD28" s="350">
        <v>3147909</v>
      </c>
      <c r="AE28" s="351"/>
      <c r="AF28" s="350">
        <v>18632062</v>
      </c>
      <c r="AG28" s="351"/>
      <c r="AH28" s="4">
        <f t="shared" si="0"/>
        <v>16803966</v>
      </c>
    </row>
    <row r="29" spans="1:34" x14ac:dyDescent="0.2">
      <c r="A29" s="355">
        <v>1969</v>
      </c>
      <c r="B29" s="356">
        <v>4728281</v>
      </c>
      <c r="C29" s="357"/>
      <c r="D29" s="358"/>
      <c r="E29" s="359" t="s">
        <v>302</v>
      </c>
      <c r="F29" s="356">
        <v>2253206</v>
      </c>
      <c r="G29" s="357"/>
      <c r="H29" s="356">
        <v>2253206</v>
      </c>
      <c r="I29" s="357"/>
      <c r="J29" s="356">
        <v>1345648</v>
      </c>
      <c r="K29" s="357"/>
      <c r="L29" s="358"/>
      <c r="M29" s="359" t="s">
        <v>648</v>
      </c>
      <c r="N29" s="356">
        <v>7610501</v>
      </c>
      <c r="O29" s="357"/>
      <c r="P29" s="356">
        <v>7610501</v>
      </c>
      <c r="Q29" s="357"/>
      <c r="R29" s="356">
        <v>8956149</v>
      </c>
      <c r="S29" s="357"/>
      <c r="T29" s="356">
        <v>630962</v>
      </c>
      <c r="U29" s="357"/>
      <c r="V29" s="360" t="s">
        <v>325</v>
      </c>
      <c r="W29" s="357"/>
      <c r="X29" s="356">
        <v>630962</v>
      </c>
      <c r="Y29" s="357"/>
      <c r="Z29" s="356">
        <v>3487642</v>
      </c>
      <c r="AA29" s="357"/>
      <c r="AB29" s="360" t="s">
        <v>325</v>
      </c>
      <c r="AC29" s="357"/>
      <c r="AD29" s="356">
        <v>3487642</v>
      </c>
      <c r="AE29" s="357"/>
      <c r="AF29" s="356">
        <v>20056240</v>
      </c>
      <c r="AG29" s="357"/>
      <c r="AH29" s="4">
        <f t="shared" si="0"/>
        <v>18079630</v>
      </c>
    </row>
    <row r="30" spans="1:34" x14ac:dyDescent="0.2">
      <c r="A30" s="349">
        <v>1970</v>
      </c>
      <c r="B30" s="350">
        <v>4837432</v>
      </c>
      <c r="C30" s="351"/>
      <c r="D30" s="352"/>
      <c r="E30" s="353" t="s">
        <v>302</v>
      </c>
      <c r="F30" s="350">
        <v>2398510</v>
      </c>
      <c r="G30" s="351"/>
      <c r="H30" s="350">
        <v>2398510</v>
      </c>
      <c r="I30" s="351"/>
      <c r="J30" s="350">
        <v>1398758</v>
      </c>
      <c r="K30" s="351"/>
      <c r="L30" s="352"/>
      <c r="M30" s="353" t="s">
        <v>648</v>
      </c>
      <c r="N30" s="350">
        <v>7850660</v>
      </c>
      <c r="O30" s="351"/>
      <c r="P30" s="350">
        <v>7850660</v>
      </c>
      <c r="Q30" s="351"/>
      <c r="R30" s="350">
        <v>9249418</v>
      </c>
      <c r="S30" s="351"/>
      <c r="T30" s="350">
        <v>722166</v>
      </c>
      <c r="U30" s="351"/>
      <c r="V30" s="354" t="s">
        <v>325</v>
      </c>
      <c r="W30" s="351"/>
      <c r="X30" s="350">
        <v>722166</v>
      </c>
      <c r="Y30" s="351"/>
      <c r="Z30" s="350">
        <v>3931860</v>
      </c>
      <c r="AA30" s="351"/>
      <c r="AB30" s="354" t="s">
        <v>325</v>
      </c>
      <c r="AC30" s="351"/>
      <c r="AD30" s="350">
        <v>3931860</v>
      </c>
      <c r="AE30" s="351"/>
      <c r="AF30" s="350">
        <v>21139386</v>
      </c>
      <c r="AG30" s="351"/>
      <c r="AH30" s="4">
        <f t="shared" si="0"/>
        <v>19018462</v>
      </c>
    </row>
    <row r="31" spans="1:34" x14ac:dyDescent="0.2">
      <c r="A31" s="349">
        <v>1971</v>
      </c>
      <c r="B31" s="350">
        <v>4971690</v>
      </c>
      <c r="C31" s="351"/>
      <c r="D31" s="352"/>
      <c r="E31" s="353" t="s">
        <v>302</v>
      </c>
      <c r="F31" s="350">
        <v>2508977</v>
      </c>
      <c r="G31" s="351"/>
      <c r="H31" s="350">
        <v>2508977</v>
      </c>
      <c r="I31" s="351"/>
      <c r="J31" s="350">
        <v>1413650</v>
      </c>
      <c r="K31" s="351"/>
      <c r="L31" s="352"/>
      <c r="M31" s="353" t="s">
        <v>648</v>
      </c>
      <c r="N31" s="350">
        <v>8180527</v>
      </c>
      <c r="O31" s="351"/>
      <c r="P31" s="350">
        <v>8180527</v>
      </c>
      <c r="Q31" s="351"/>
      <c r="R31" s="350">
        <v>9594177</v>
      </c>
      <c r="S31" s="351"/>
      <c r="T31" s="350">
        <v>742592</v>
      </c>
      <c r="U31" s="351"/>
      <c r="V31" s="354" t="s">
        <v>325</v>
      </c>
      <c r="W31" s="351"/>
      <c r="X31" s="350">
        <v>742592</v>
      </c>
      <c r="Y31" s="351"/>
      <c r="Z31" s="350">
        <v>3976018</v>
      </c>
      <c r="AA31" s="351"/>
      <c r="AB31" s="354" t="s">
        <v>325</v>
      </c>
      <c r="AC31" s="351"/>
      <c r="AD31" s="350">
        <v>3976018</v>
      </c>
      <c r="AE31" s="351"/>
      <c r="AF31" s="350">
        <v>21793454</v>
      </c>
      <c r="AG31" s="351"/>
      <c r="AH31" s="4">
        <f t="shared" si="0"/>
        <v>19637212</v>
      </c>
    </row>
    <row r="32" spans="1:34" x14ac:dyDescent="0.2">
      <c r="A32" s="355">
        <v>1972</v>
      </c>
      <c r="B32" s="356">
        <v>5125982</v>
      </c>
      <c r="C32" s="357"/>
      <c r="D32" s="358"/>
      <c r="E32" s="359" t="s">
        <v>302</v>
      </c>
      <c r="F32" s="356">
        <v>2607982</v>
      </c>
      <c r="G32" s="357"/>
      <c r="H32" s="356">
        <v>2607982</v>
      </c>
      <c r="I32" s="357"/>
      <c r="J32" s="356">
        <v>1455563</v>
      </c>
      <c r="K32" s="357"/>
      <c r="L32" s="358"/>
      <c r="M32" s="359" t="s">
        <v>648</v>
      </c>
      <c r="N32" s="356">
        <v>8168855</v>
      </c>
      <c r="O32" s="357"/>
      <c r="P32" s="356">
        <v>8168855</v>
      </c>
      <c r="Q32" s="357"/>
      <c r="R32" s="356">
        <v>9624418</v>
      </c>
      <c r="S32" s="357"/>
      <c r="T32" s="356">
        <v>766156</v>
      </c>
      <c r="U32" s="357"/>
      <c r="V32" s="360" t="s">
        <v>325</v>
      </c>
      <c r="W32" s="357"/>
      <c r="X32" s="356">
        <v>766156</v>
      </c>
      <c r="Y32" s="357"/>
      <c r="Z32" s="356">
        <v>3976913</v>
      </c>
      <c r="AA32" s="357"/>
      <c r="AB32" s="360" t="s">
        <v>325</v>
      </c>
      <c r="AC32" s="357"/>
      <c r="AD32" s="356">
        <v>3976913</v>
      </c>
      <c r="AE32" s="357"/>
      <c r="AF32" s="356">
        <v>22101451</v>
      </c>
      <c r="AG32" s="357"/>
      <c r="AH32" s="4">
        <f t="shared" si="0"/>
        <v>19879732</v>
      </c>
    </row>
    <row r="33" spans="1:34" x14ac:dyDescent="0.2">
      <c r="A33" s="349">
        <v>1973</v>
      </c>
      <c r="B33" s="350">
        <v>4879387</v>
      </c>
      <c r="C33" s="351"/>
      <c r="D33" s="352"/>
      <c r="E33" s="353" t="s">
        <v>302</v>
      </c>
      <c r="F33" s="350">
        <v>2597037</v>
      </c>
      <c r="G33" s="351"/>
      <c r="H33" s="350">
        <v>2597037</v>
      </c>
      <c r="I33" s="351"/>
      <c r="J33" s="350">
        <v>1495915</v>
      </c>
      <c r="K33" s="351"/>
      <c r="L33" s="352"/>
      <c r="M33" s="353" t="s">
        <v>648</v>
      </c>
      <c r="N33" s="350">
        <v>8688675</v>
      </c>
      <c r="O33" s="351"/>
      <c r="P33" s="350">
        <v>8688675</v>
      </c>
      <c r="Q33" s="351"/>
      <c r="R33" s="350">
        <v>10184590</v>
      </c>
      <c r="S33" s="351"/>
      <c r="T33" s="350">
        <v>728177</v>
      </c>
      <c r="U33" s="351"/>
      <c r="V33" s="354" t="s">
        <v>325</v>
      </c>
      <c r="W33" s="351"/>
      <c r="X33" s="350">
        <v>728177</v>
      </c>
      <c r="Y33" s="351"/>
      <c r="Z33" s="350">
        <v>3660172</v>
      </c>
      <c r="AA33" s="351"/>
      <c r="AB33" s="354" t="s">
        <v>325</v>
      </c>
      <c r="AC33" s="351"/>
      <c r="AD33" s="350">
        <v>3660172</v>
      </c>
      <c r="AE33" s="351"/>
      <c r="AF33" s="350">
        <v>22049363</v>
      </c>
      <c r="AG33" s="351"/>
      <c r="AH33" s="4">
        <f t="shared" si="0"/>
        <v>19825271</v>
      </c>
    </row>
    <row r="34" spans="1:34" x14ac:dyDescent="0.2">
      <c r="A34" s="349">
        <v>1974</v>
      </c>
      <c r="B34" s="350">
        <v>4786128</v>
      </c>
      <c r="C34" s="351"/>
      <c r="D34" s="352"/>
      <c r="E34" s="353" t="s">
        <v>302</v>
      </c>
      <c r="F34" s="350">
        <v>2555617</v>
      </c>
      <c r="G34" s="351"/>
      <c r="H34" s="350">
        <v>2555617</v>
      </c>
      <c r="I34" s="351"/>
      <c r="J34" s="350">
        <v>1477386</v>
      </c>
      <c r="K34" s="351"/>
      <c r="L34" s="352"/>
      <c r="M34" s="353" t="s">
        <v>648</v>
      </c>
      <c r="N34" s="350">
        <v>8291782</v>
      </c>
      <c r="O34" s="351"/>
      <c r="P34" s="350">
        <v>8291782</v>
      </c>
      <c r="Q34" s="351"/>
      <c r="R34" s="350">
        <v>9769168</v>
      </c>
      <c r="S34" s="351"/>
      <c r="T34" s="350">
        <v>668792</v>
      </c>
      <c r="U34" s="351"/>
      <c r="V34" s="354" t="s">
        <v>325</v>
      </c>
      <c r="W34" s="351"/>
      <c r="X34" s="350">
        <v>668792</v>
      </c>
      <c r="Y34" s="351"/>
      <c r="Z34" s="350">
        <v>3443428</v>
      </c>
      <c r="AA34" s="351"/>
      <c r="AB34" s="354" t="s">
        <v>325</v>
      </c>
      <c r="AC34" s="351"/>
      <c r="AD34" s="350">
        <v>3443428</v>
      </c>
      <c r="AE34" s="351"/>
      <c r="AF34" s="350">
        <v>21223133</v>
      </c>
      <c r="AG34" s="351"/>
      <c r="AH34" s="4">
        <f t="shared" si="0"/>
        <v>19076955</v>
      </c>
    </row>
    <row r="35" spans="1:34" x14ac:dyDescent="0.2">
      <c r="A35" s="355">
        <v>1975</v>
      </c>
      <c r="B35" s="356">
        <v>4924124</v>
      </c>
      <c r="C35" s="357"/>
      <c r="D35" s="358"/>
      <c r="E35" s="359" t="s">
        <v>302</v>
      </c>
      <c r="F35" s="356">
        <v>2508293</v>
      </c>
      <c r="G35" s="357"/>
      <c r="H35" s="356">
        <v>2508293</v>
      </c>
      <c r="I35" s="357"/>
      <c r="J35" s="356">
        <v>1396277</v>
      </c>
      <c r="K35" s="357"/>
      <c r="L35" s="358"/>
      <c r="M35" s="359" t="s">
        <v>648</v>
      </c>
      <c r="N35" s="356">
        <v>6968267</v>
      </c>
      <c r="O35" s="357"/>
      <c r="P35" s="356">
        <v>6968267</v>
      </c>
      <c r="Q35" s="357"/>
      <c r="R35" s="356">
        <v>8364544</v>
      </c>
      <c r="S35" s="357"/>
      <c r="T35" s="356">
        <v>582963</v>
      </c>
      <c r="U35" s="357"/>
      <c r="V35" s="360" t="s">
        <v>325</v>
      </c>
      <c r="W35" s="357"/>
      <c r="X35" s="356">
        <v>582963</v>
      </c>
      <c r="Y35" s="357"/>
      <c r="Z35" s="356">
        <v>3157669</v>
      </c>
      <c r="AA35" s="357"/>
      <c r="AB35" s="360" t="s">
        <v>325</v>
      </c>
      <c r="AC35" s="357"/>
      <c r="AD35" s="356">
        <v>3157669</v>
      </c>
      <c r="AE35" s="357"/>
      <c r="AF35" s="356">
        <v>19537593</v>
      </c>
      <c r="AG35" s="357"/>
      <c r="AH35" s="4">
        <f t="shared" si="0"/>
        <v>17558353</v>
      </c>
    </row>
    <row r="36" spans="1:34" x14ac:dyDescent="0.2">
      <c r="A36" s="349">
        <v>1976</v>
      </c>
      <c r="B36" s="350">
        <v>5051360</v>
      </c>
      <c r="C36" s="351"/>
      <c r="D36" s="352"/>
      <c r="E36" s="353" t="s">
        <v>302</v>
      </c>
      <c r="F36" s="350">
        <v>2667740</v>
      </c>
      <c r="G36" s="351"/>
      <c r="H36" s="350">
        <v>2667740</v>
      </c>
      <c r="I36" s="351"/>
      <c r="J36" s="350">
        <v>1634355</v>
      </c>
      <c r="K36" s="351"/>
      <c r="L36" s="352"/>
      <c r="M36" s="353" t="s">
        <v>648</v>
      </c>
      <c r="N36" s="350">
        <v>6963850</v>
      </c>
      <c r="O36" s="351"/>
      <c r="P36" s="350">
        <v>6963850</v>
      </c>
      <c r="Q36" s="351"/>
      <c r="R36" s="350">
        <v>8598205</v>
      </c>
      <c r="S36" s="351"/>
      <c r="T36" s="350">
        <v>548323</v>
      </c>
      <c r="U36" s="351"/>
      <c r="V36" s="354" t="s">
        <v>325</v>
      </c>
      <c r="W36" s="351"/>
      <c r="X36" s="350">
        <v>548323</v>
      </c>
      <c r="Y36" s="351"/>
      <c r="Z36" s="350">
        <v>3080868</v>
      </c>
      <c r="AA36" s="351"/>
      <c r="AB36" s="354" t="s">
        <v>325</v>
      </c>
      <c r="AC36" s="351"/>
      <c r="AD36" s="350">
        <v>3080868</v>
      </c>
      <c r="AE36" s="351"/>
      <c r="AF36" s="350">
        <v>19946496</v>
      </c>
      <c r="AG36" s="351"/>
      <c r="AH36" s="4">
        <f t="shared" si="0"/>
        <v>17763818</v>
      </c>
    </row>
    <row r="37" spans="1:34" x14ac:dyDescent="0.2">
      <c r="A37" s="349">
        <v>1977</v>
      </c>
      <c r="B37" s="350">
        <v>4821485</v>
      </c>
      <c r="C37" s="351"/>
      <c r="D37" s="352"/>
      <c r="E37" s="353" t="s">
        <v>302</v>
      </c>
      <c r="F37" s="350">
        <v>2500793</v>
      </c>
      <c r="G37" s="351"/>
      <c r="H37" s="350">
        <v>2500793</v>
      </c>
      <c r="I37" s="351"/>
      <c r="J37" s="350">
        <v>1659145</v>
      </c>
      <c r="K37" s="351"/>
      <c r="L37" s="352"/>
      <c r="M37" s="353" t="s">
        <v>648</v>
      </c>
      <c r="N37" s="350">
        <v>6815289</v>
      </c>
      <c r="O37" s="351"/>
      <c r="P37" s="350">
        <v>6815289</v>
      </c>
      <c r="Q37" s="351"/>
      <c r="R37" s="350">
        <v>8474434</v>
      </c>
      <c r="S37" s="351"/>
      <c r="T37" s="350">
        <v>532669</v>
      </c>
      <c r="U37" s="351"/>
      <c r="V37" s="354" t="s">
        <v>325</v>
      </c>
      <c r="W37" s="351"/>
      <c r="X37" s="350">
        <v>532669</v>
      </c>
      <c r="Y37" s="351"/>
      <c r="Z37" s="350">
        <v>3191200</v>
      </c>
      <c r="AA37" s="351"/>
      <c r="AB37" s="354" t="s">
        <v>325</v>
      </c>
      <c r="AC37" s="351"/>
      <c r="AD37" s="350">
        <v>3191200</v>
      </c>
      <c r="AE37" s="351"/>
      <c r="AF37" s="350">
        <v>19520581</v>
      </c>
      <c r="AG37" s="351"/>
      <c r="AH37" s="4">
        <f t="shared" si="0"/>
        <v>17328767</v>
      </c>
    </row>
    <row r="38" spans="1:34" x14ac:dyDescent="0.2">
      <c r="A38" s="355">
        <v>1978</v>
      </c>
      <c r="B38" s="356">
        <v>4903006</v>
      </c>
      <c r="C38" s="357"/>
      <c r="D38" s="358"/>
      <c r="E38" s="359" t="s">
        <v>302</v>
      </c>
      <c r="F38" s="356">
        <v>2601106</v>
      </c>
      <c r="G38" s="357"/>
      <c r="H38" s="356">
        <v>2601106</v>
      </c>
      <c r="I38" s="357"/>
      <c r="J38" s="356">
        <v>1647911</v>
      </c>
      <c r="K38" s="357"/>
      <c r="L38" s="358"/>
      <c r="M38" s="359" t="s">
        <v>648</v>
      </c>
      <c r="N38" s="356">
        <v>6756641</v>
      </c>
      <c r="O38" s="357"/>
      <c r="P38" s="356">
        <v>6756641</v>
      </c>
      <c r="Q38" s="357"/>
      <c r="R38" s="356">
        <v>8404552</v>
      </c>
      <c r="S38" s="357"/>
      <c r="T38" s="356">
        <v>530451</v>
      </c>
      <c r="U38" s="357"/>
      <c r="V38" s="360" t="s">
        <v>325</v>
      </c>
      <c r="W38" s="357"/>
      <c r="X38" s="356">
        <v>530451</v>
      </c>
      <c r="Y38" s="357"/>
      <c r="Z38" s="356">
        <v>3188363</v>
      </c>
      <c r="AA38" s="357"/>
      <c r="AB38" s="360" t="s">
        <v>325</v>
      </c>
      <c r="AC38" s="357"/>
      <c r="AD38" s="356">
        <v>3188363</v>
      </c>
      <c r="AE38" s="357"/>
      <c r="AF38" s="356">
        <v>19627478</v>
      </c>
      <c r="AG38" s="357"/>
      <c r="AH38" s="4">
        <f t="shared" si="0"/>
        <v>17449116</v>
      </c>
    </row>
    <row r="39" spans="1:34" x14ac:dyDescent="0.2">
      <c r="A39" s="349">
        <v>1979</v>
      </c>
      <c r="B39" s="350">
        <v>4965365</v>
      </c>
      <c r="C39" s="351"/>
      <c r="D39" s="352"/>
      <c r="E39" s="353" t="s">
        <v>302</v>
      </c>
      <c r="F39" s="350">
        <v>2785961</v>
      </c>
      <c r="G39" s="351"/>
      <c r="H39" s="350">
        <v>2785961</v>
      </c>
      <c r="I39" s="351"/>
      <c r="J39" s="350">
        <v>1498530</v>
      </c>
      <c r="K39" s="351"/>
      <c r="L39" s="352"/>
      <c r="M39" s="353" t="s">
        <v>648</v>
      </c>
      <c r="N39" s="350">
        <v>6899418</v>
      </c>
      <c r="O39" s="351"/>
      <c r="P39" s="350">
        <v>6899418</v>
      </c>
      <c r="Q39" s="351"/>
      <c r="R39" s="350">
        <v>8397948</v>
      </c>
      <c r="S39" s="351"/>
      <c r="T39" s="350">
        <v>600964</v>
      </c>
      <c r="U39" s="351"/>
      <c r="V39" s="354" t="s">
        <v>325</v>
      </c>
      <c r="W39" s="351"/>
      <c r="X39" s="350">
        <v>600964</v>
      </c>
      <c r="Y39" s="351"/>
      <c r="Z39" s="350">
        <v>3490523</v>
      </c>
      <c r="AA39" s="351"/>
      <c r="AB39" s="354" t="s">
        <v>325</v>
      </c>
      <c r="AC39" s="351"/>
      <c r="AD39" s="350">
        <v>3490523</v>
      </c>
      <c r="AE39" s="351"/>
      <c r="AF39" s="350">
        <v>20240761</v>
      </c>
      <c r="AG39" s="351"/>
      <c r="AH39" s="4">
        <f t="shared" si="0"/>
        <v>18141267</v>
      </c>
    </row>
    <row r="40" spans="1:34" x14ac:dyDescent="0.2">
      <c r="A40" s="349">
        <v>1980</v>
      </c>
      <c r="B40" s="350">
        <v>4752082</v>
      </c>
      <c r="C40" s="351"/>
      <c r="D40" s="352"/>
      <c r="E40" s="353" t="s">
        <v>302</v>
      </c>
      <c r="F40" s="350">
        <v>2610895</v>
      </c>
      <c r="G40" s="351"/>
      <c r="H40" s="350">
        <v>2610895</v>
      </c>
      <c r="I40" s="351"/>
      <c r="J40" s="350">
        <v>1026438</v>
      </c>
      <c r="K40" s="351"/>
      <c r="L40" s="352"/>
      <c r="M40" s="353" t="s">
        <v>648</v>
      </c>
      <c r="N40" s="350">
        <v>7171661</v>
      </c>
      <c r="O40" s="351"/>
      <c r="P40" s="350">
        <v>7171661</v>
      </c>
      <c r="Q40" s="351"/>
      <c r="R40" s="350">
        <v>8198099</v>
      </c>
      <c r="S40" s="351"/>
      <c r="T40" s="350">
        <v>634622</v>
      </c>
      <c r="U40" s="351"/>
      <c r="V40" s="354" t="s">
        <v>325</v>
      </c>
      <c r="W40" s="351"/>
      <c r="X40" s="350">
        <v>634622</v>
      </c>
      <c r="Y40" s="351"/>
      <c r="Z40" s="350">
        <v>3681595</v>
      </c>
      <c r="AA40" s="351"/>
      <c r="AB40" s="354" t="s">
        <v>325</v>
      </c>
      <c r="AC40" s="351"/>
      <c r="AD40" s="350">
        <v>3681595</v>
      </c>
      <c r="AE40" s="351"/>
      <c r="AF40" s="350">
        <v>19877293</v>
      </c>
      <c r="AG40" s="351"/>
      <c r="AH40" s="4">
        <f t="shared" si="0"/>
        <v>18216233</v>
      </c>
    </row>
    <row r="41" spans="1:34" x14ac:dyDescent="0.2">
      <c r="A41" s="355">
        <v>1981</v>
      </c>
      <c r="B41" s="356">
        <v>4546450</v>
      </c>
      <c r="C41" s="357"/>
      <c r="D41" s="358"/>
      <c r="E41" s="359" t="s">
        <v>302</v>
      </c>
      <c r="F41" s="356">
        <v>2519791</v>
      </c>
      <c r="G41" s="357"/>
      <c r="H41" s="356">
        <v>2519791</v>
      </c>
      <c r="I41" s="357"/>
      <c r="J41" s="356">
        <v>927591</v>
      </c>
      <c r="K41" s="357"/>
      <c r="L41" s="358"/>
      <c r="M41" s="359" t="s">
        <v>648</v>
      </c>
      <c r="N41" s="356">
        <v>7127547</v>
      </c>
      <c r="O41" s="357"/>
      <c r="P41" s="356">
        <v>7127547</v>
      </c>
      <c r="Q41" s="357"/>
      <c r="R41" s="356">
        <v>8055138</v>
      </c>
      <c r="S41" s="357"/>
      <c r="T41" s="356">
        <v>642325</v>
      </c>
      <c r="U41" s="357"/>
      <c r="V41" s="360" t="s">
        <v>325</v>
      </c>
      <c r="W41" s="357"/>
      <c r="X41" s="356">
        <v>642325</v>
      </c>
      <c r="Y41" s="357"/>
      <c r="Z41" s="356">
        <v>3640154</v>
      </c>
      <c r="AA41" s="357"/>
      <c r="AB41" s="360" t="s">
        <v>325</v>
      </c>
      <c r="AC41" s="357"/>
      <c r="AD41" s="356">
        <v>3640154</v>
      </c>
      <c r="AE41" s="357"/>
      <c r="AF41" s="356">
        <v>19403858</v>
      </c>
      <c r="AG41" s="357"/>
      <c r="AH41" s="4">
        <f t="shared" si="0"/>
        <v>17833942</v>
      </c>
    </row>
    <row r="42" spans="1:34" x14ac:dyDescent="0.2">
      <c r="A42" s="349">
        <v>1982</v>
      </c>
      <c r="B42" s="350">
        <v>4633035</v>
      </c>
      <c r="C42" s="351"/>
      <c r="D42" s="352"/>
      <c r="E42" s="353" t="s">
        <v>302</v>
      </c>
      <c r="F42" s="350">
        <v>2605523</v>
      </c>
      <c r="G42" s="351"/>
      <c r="H42" s="350">
        <v>2605523</v>
      </c>
      <c r="I42" s="351"/>
      <c r="J42" s="350">
        <v>1109398</v>
      </c>
      <c r="K42" s="351"/>
      <c r="L42" s="352"/>
      <c r="M42" s="353" t="s">
        <v>648</v>
      </c>
      <c r="N42" s="350">
        <v>5831170</v>
      </c>
      <c r="O42" s="351"/>
      <c r="P42" s="350">
        <v>5831170</v>
      </c>
      <c r="Q42" s="351"/>
      <c r="R42" s="350">
        <v>6940568</v>
      </c>
      <c r="S42" s="351"/>
      <c r="T42" s="350">
        <v>596411</v>
      </c>
      <c r="U42" s="351"/>
      <c r="V42" s="354" t="s">
        <v>325</v>
      </c>
      <c r="W42" s="351"/>
      <c r="X42" s="350">
        <v>596411</v>
      </c>
      <c r="Y42" s="351"/>
      <c r="Z42" s="350">
        <v>3225518</v>
      </c>
      <c r="AA42" s="351"/>
      <c r="AB42" s="354" t="s">
        <v>325</v>
      </c>
      <c r="AC42" s="351"/>
      <c r="AD42" s="350">
        <v>3225518</v>
      </c>
      <c r="AE42" s="351"/>
      <c r="AF42" s="350">
        <v>18001055</v>
      </c>
      <c r="AG42" s="351"/>
      <c r="AH42" s="4">
        <f t="shared" si="0"/>
        <v>16295246</v>
      </c>
    </row>
    <row r="43" spans="1:34" x14ac:dyDescent="0.2">
      <c r="A43" s="349">
        <v>1983</v>
      </c>
      <c r="B43" s="350">
        <v>4380599</v>
      </c>
      <c r="C43" s="351"/>
      <c r="D43" s="352"/>
      <c r="E43" s="353" t="s">
        <v>302</v>
      </c>
      <c r="F43" s="350">
        <v>2432547</v>
      </c>
      <c r="G43" s="351"/>
      <c r="H43" s="350">
        <v>2432547</v>
      </c>
      <c r="I43" s="351"/>
      <c r="J43" s="350">
        <v>978249</v>
      </c>
      <c r="K43" s="351"/>
      <c r="L43" s="352"/>
      <c r="M43" s="353" t="s">
        <v>648</v>
      </c>
      <c r="N43" s="350">
        <v>5642708</v>
      </c>
      <c r="O43" s="351"/>
      <c r="P43" s="350">
        <v>5642708</v>
      </c>
      <c r="Q43" s="351"/>
      <c r="R43" s="350">
        <v>6620957</v>
      </c>
      <c r="S43" s="351"/>
      <c r="T43" s="350">
        <v>490042</v>
      </c>
      <c r="U43" s="351"/>
      <c r="V43" s="354" t="s">
        <v>325</v>
      </c>
      <c r="W43" s="351"/>
      <c r="X43" s="350">
        <v>490042</v>
      </c>
      <c r="Y43" s="351"/>
      <c r="Z43" s="350">
        <v>2910767</v>
      </c>
      <c r="AA43" s="351"/>
      <c r="AB43" s="354" t="s">
        <v>325</v>
      </c>
      <c r="AC43" s="351"/>
      <c r="AD43" s="350">
        <v>2910767</v>
      </c>
      <c r="AE43" s="351"/>
      <c r="AF43" s="350">
        <v>16834912</v>
      </c>
      <c r="AG43" s="351"/>
      <c r="AH43" s="4">
        <f t="shared" si="0"/>
        <v>15366621</v>
      </c>
    </row>
    <row r="44" spans="1:34" x14ac:dyDescent="0.2">
      <c r="A44" s="355">
        <v>1984</v>
      </c>
      <c r="B44" s="356">
        <v>4555465</v>
      </c>
      <c r="C44" s="357"/>
      <c r="D44" s="358"/>
      <c r="E44" s="359" t="s">
        <v>302</v>
      </c>
      <c r="F44" s="356">
        <v>2524244</v>
      </c>
      <c r="G44" s="357"/>
      <c r="H44" s="356">
        <v>2524244</v>
      </c>
      <c r="I44" s="357"/>
      <c r="J44" s="356">
        <v>1076881</v>
      </c>
      <c r="K44" s="357"/>
      <c r="L44" s="358"/>
      <c r="M44" s="359" t="s">
        <v>648</v>
      </c>
      <c r="N44" s="356">
        <v>6153841</v>
      </c>
      <c r="O44" s="357"/>
      <c r="P44" s="356">
        <v>6153841</v>
      </c>
      <c r="Q44" s="357"/>
      <c r="R44" s="356">
        <v>7230722</v>
      </c>
      <c r="S44" s="357"/>
      <c r="T44" s="356">
        <v>528754</v>
      </c>
      <c r="U44" s="357"/>
      <c r="V44" s="360" t="s">
        <v>325</v>
      </c>
      <c r="W44" s="357"/>
      <c r="X44" s="356">
        <v>528754</v>
      </c>
      <c r="Y44" s="357"/>
      <c r="Z44" s="356">
        <v>3111342</v>
      </c>
      <c r="AA44" s="357"/>
      <c r="AB44" s="360" t="s">
        <v>325</v>
      </c>
      <c r="AC44" s="357"/>
      <c r="AD44" s="356">
        <v>3111342</v>
      </c>
      <c r="AE44" s="357"/>
      <c r="AF44" s="356">
        <v>17950527</v>
      </c>
      <c r="AG44" s="357"/>
      <c r="AH44" s="4">
        <f t="shared" si="0"/>
        <v>16344892</v>
      </c>
    </row>
    <row r="45" spans="1:34" x14ac:dyDescent="0.2">
      <c r="A45" s="349">
        <v>1985</v>
      </c>
      <c r="B45" s="350">
        <v>4433377</v>
      </c>
      <c r="C45" s="351"/>
      <c r="D45" s="352"/>
      <c r="E45" s="353" t="s">
        <v>302</v>
      </c>
      <c r="F45" s="350">
        <v>2432382</v>
      </c>
      <c r="G45" s="351"/>
      <c r="H45" s="350">
        <v>2432382</v>
      </c>
      <c r="I45" s="351"/>
      <c r="J45" s="350">
        <v>966047</v>
      </c>
      <c r="K45" s="351"/>
      <c r="L45" s="352"/>
      <c r="M45" s="353" t="s">
        <v>648</v>
      </c>
      <c r="N45" s="350">
        <v>5901288</v>
      </c>
      <c r="O45" s="351"/>
      <c r="P45" s="350">
        <v>5901288</v>
      </c>
      <c r="Q45" s="351"/>
      <c r="R45" s="350">
        <v>6867335</v>
      </c>
      <c r="S45" s="351"/>
      <c r="T45" s="350">
        <v>503766</v>
      </c>
      <c r="U45" s="351"/>
      <c r="V45" s="354" t="s">
        <v>325</v>
      </c>
      <c r="W45" s="351"/>
      <c r="X45" s="350">
        <v>503766</v>
      </c>
      <c r="Y45" s="351"/>
      <c r="Z45" s="350">
        <v>3044083</v>
      </c>
      <c r="AA45" s="351"/>
      <c r="AB45" s="354" t="s">
        <v>325</v>
      </c>
      <c r="AC45" s="351"/>
      <c r="AD45" s="350">
        <v>3044083</v>
      </c>
      <c r="AE45" s="351"/>
      <c r="AF45" s="350">
        <v>17280943</v>
      </c>
      <c r="AG45" s="351"/>
      <c r="AH45" s="4">
        <f t="shared" si="0"/>
        <v>15811130</v>
      </c>
    </row>
    <row r="46" spans="1:34" x14ac:dyDescent="0.2">
      <c r="A46" s="349">
        <v>1986</v>
      </c>
      <c r="B46" s="350">
        <v>4313969</v>
      </c>
      <c r="C46" s="351"/>
      <c r="D46" s="352"/>
      <c r="E46" s="353" t="s">
        <v>302</v>
      </c>
      <c r="F46" s="350">
        <v>2318335</v>
      </c>
      <c r="G46" s="351"/>
      <c r="H46" s="350">
        <v>2318335</v>
      </c>
      <c r="I46" s="351"/>
      <c r="J46" s="350">
        <v>922524</v>
      </c>
      <c r="K46" s="351"/>
      <c r="L46" s="352"/>
      <c r="M46" s="353" t="s">
        <v>648</v>
      </c>
      <c r="N46" s="350">
        <v>5579057</v>
      </c>
      <c r="O46" s="351"/>
      <c r="P46" s="350">
        <v>5579057</v>
      </c>
      <c r="Q46" s="351"/>
      <c r="R46" s="350">
        <v>6501581</v>
      </c>
      <c r="S46" s="351"/>
      <c r="T46" s="350">
        <v>485041</v>
      </c>
      <c r="U46" s="351"/>
      <c r="V46" s="354" t="s">
        <v>325</v>
      </c>
      <c r="W46" s="351"/>
      <c r="X46" s="350">
        <v>485041</v>
      </c>
      <c r="Y46" s="351"/>
      <c r="Z46" s="350">
        <v>2602370</v>
      </c>
      <c r="AA46" s="351"/>
      <c r="AB46" s="354" t="s">
        <v>325</v>
      </c>
      <c r="AC46" s="351"/>
      <c r="AD46" s="350">
        <v>2602370</v>
      </c>
      <c r="AE46" s="351"/>
      <c r="AF46" s="350">
        <v>16221296</v>
      </c>
      <c r="AG46" s="351"/>
      <c r="AH46" s="4">
        <f t="shared" si="0"/>
        <v>14813731</v>
      </c>
    </row>
    <row r="47" spans="1:34" x14ac:dyDescent="0.2">
      <c r="A47" s="355">
        <v>1987</v>
      </c>
      <c r="B47" s="356">
        <v>4314833</v>
      </c>
      <c r="C47" s="357"/>
      <c r="D47" s="358"/>
      <c r="E47" s="359" t="s">
        <v>302</v>
      </c>
      <c r="F47" s="356">
        <v>2430064</v>
      </c>
      <c r="G47" s="357"/>
      <c r="H47" s="356">
        <v>2430064</v>
      </c>
      <c r="I47" s="357"/>
      <c r="J47" s="356">
        <v>1149383</v>
      </c>
      <c r="K47" s="357"/>
      <c r="L47" s="358"/>
      <c r="M47" s="359" t="s">
        <v>648</v>
      </c>
      <c r="N47" s="356">
        <v>5953308</v>
      </c>
      <c r="O47" s="357"/>
      <c r="P47" s="356">
        <v>5953308</v>
      </c>
      <c r="Q47" s="357"/>
      <c r="R47" s="356">
        <v>7102691</v>
      </c>
      <c r="S47" s="357"/>
      <c r="T47" s="356">
        <v>519170</v>
      </c>
      <c r="U47" s="357"/>
      <c r="V47" s="360" t="s">
        <v>325</v>
      </c>
      <c r="W47" s="357"/>
      <c r="X47" s="356">
        <v>519170</v>
      </c>
      <c r="Y47" s="357"/>
      <c r="Z47" s="356">
        <v>2844051</v>
      </c>
      <c r="AA47" s="357"/>
      <c r="AB47" s="360" t="s">
        <v>325</v>
      </c>
      <c r="AC47" s="357"/>
      <c r="AD47" s="356">
        <v>2844051</v>
      </c>
      <c r="AE47" s="357"/>
      <c r="AF47" s="356">
        <v>17210809</v>
      </c>
      <c r="AG47" s="357"/>
      <c r="AH47" s="4">
        <f t="shared" si="0"/>
        <v>15542256</v>
      </c>
    </row>
    <row r="48" spans="1:34" x14ac:dyDescent="0.2">
      <c r="A48" s="349">
        <v>1988</v>
      </c>
      <c r="B48" s="350">
        <v>4630330</v>
      </c>
      <c r="C48" s="351"/>
      <c r="D48" s="352"/>
      <c r="E48" s="353" t="s">
        <v>302</v>
      </c>
      <c r="F48" s="350">
        <v>2670465</v>
      </c>
      <c r="G48" s="351"/>
      <c r="H48" s="350">
        <v>2670465</v>
      </c>
      <c r="I48" s="351"/>
      <c r="J48" s="350">
        <v>1095883</v>
      </c>
      <c r="K48" s="351"/>
      <c r="L48" s="352"/>
      <c r="M48" s="353" t="s">
        <v>648</v>
      </c>
      <c r="N48" s="350">
        <v>6383382</v>
      </c>
      <c r="O48" s="351"/>
      <c r="P48" s="350">
        <v>6383382</v>
      </c>
      <c r="Q48" s="351"/>
      <c r="R48" s="350">
        <v>7479265</v>
      </c>
      <c r="S48" s="351"/>
      <c r="T48" s="350">
        <v>613912</v>
      </c>
      <c r="U48" s="351"/>
      <c r="V48" s="354" t="s">
        <v>325</v>
      </c>
      <c r="W48" s="351"/>
      <c r="X48" s="350">
        <v>613912</v>
      </c>
      <c r="Y48" s="351"/>
      <c r="Z48" s="350">
        <v>2635613</v>
      </c>
      <c r="AA48" s="351"/>
      <c r="AB48" s="354" t="s">
        <v>325</v>
      </c>
      <c r="AC48" s="351"/>
      <c r="AD48" s="350">
        <v>2635613</v>
      </c>
      <c r="AE48" s="351"/>
      <c r="AF48" s="350">
        <v>18029585</v>
      </c>
      <c r="AG48" s="351"/>
      <c r="AH48" s="4">
        <f t="shared" si="0"/>
        <v>16319790</v>
      </c>
    </row>
    <row r="49" spans="1:34" x14ac:dyDescent="0.2">
      <c r="A49" s="349">
        <v>1989</v>
      </c>
      <c r="B49" s="350">
        <v>4780638</v>
      </c>
      <c r="C49" s="351"/>
      <c r="D49" s="350">
        <v>30037</v>
      </c>
      <c r="E49" s="351"/>
      <c r="F49" s="350">
        <v>2687685</v>
      </c>
      <c r="G49" s="351"/>
      <c r="H49" s="350">
        <v>2717722</v>
      </c>
      <c r="I49" s="351"/>
      <c r="J49" s="350">
        <v>1069902</v>
      </c>
      <c r="K49" s="351"/>
      <c r="L49" s="350">
        <v>913516</v>
      </c>
      <c r="M49" s="351"/>
      <c r="N49" s="350">
        <v>5902728</v>
      </c>
      <c r="O49" s="353" t="s">
        <v>649</v>
      </c>
      <c r="P49" s="350">
        <v>6816244</v>
      </c>
      <c r="Q49" s="353" t="s">
        <v>649</v>
      </c>
      <c r="R49" s="350">
        <v>7886146</v>
      </c>
      <c r="S49" s="351"/>
      <c r="T49" s="350">
        <v>629308</v>
      </c>
      <c r="U49" s="351"/>
      <c r="V49" s="354" t="s">
        <v>325</v>
      </c>
      <c r="W49" s="351"/>
      <c r="X49" s="350">
        <v>629308</v>
      </c>
      <c r="Y49" s="351"/>
      <c r="Z49" s="350">
        <v>2790567</v>
      </c>
      <c r="AA49" s="353" t="s">
        <v>649</v>
      </c>
      <c r="AB49" s="350">
        <v>314616</v>
      </c>
      <c r="AC49" s="353" t="s">
        <v>649</v>
      </c>
      <c r="AD49" s="350">
        <v>3105183</v>
      </c>
      <c r="AE49" s="353" t="s">
        <v>649</v>
      </c>
      <c r="AF49" s="350">
        <v>19118997</v>
      </c>
      <c r="AG49" s="353" t="s">
        <v>649</v>
      </c>
      <c r="AH49" s="4">
        <f t="shared" si="0"/>
        <v>17419787</v>
      </c>
    </row>
    <row r="50" spans="1:34" x14ac:dyDescent="0.2">
      <c r="A50" s="355">
        <v>1990</v>
      </c>
      <c r="B50" s="356">
        <v>4391324</v>
      </c>
      <c r="C50" s="357"/>
      <c r="D50" s="356">
        <v>46458</v>
      </c>
      <c r="E50" s="357"/>
      <c r="F50" s="356">
        <v>2576263</v>
      </c>
      <c r="G50" s="357"/>
      <c r="H50" s="356">
        <v>2622721</v>
      </c>
      <c r="I50" s="357"/>
      <c r="J50" s="356">
        <v>1236392</v>
      </c>
      <c r="K50" s="357"/>
      <c r="L50" s="356">
        <v>1055235</v>
      </c>
      <c r="M50" s="357"/>
      <c r="N50" s="356">
        <v>5963179</v>
      </c>
      <c r="O50" s="359" t="s">
        <v>649</v>
      </c>
      <c r="P50" s="356">
        <v>7018414</v>
      </c>
      <c r="Q50" s="359" t="s">
        <v>649</v>
      </c>
      <c r="R50" s="356">
        <v>8254806</v>
      </c>
      <c r="S50" s="357"/>
      <c r="T50" s="356">
        <v>659816</v>
      </c>
      <c r="U50" s="357"/>
      <c r="V50" s="360">
        <v>270</v>
      </c>
      <c r="W50" s="357"/>
      <c r="X50" s="356">
        <v>660086</v>
      </c>
      <c r="Y50" s="357"/>
      <c r="Z50" s="356">
        <v>2794110</v>
      </c>
      <c r="AA50" s="359" t="s">
        <v>649</v>
      </c>
      <c r="AB50" s="356">
        <v>450509</v>
      </c>
      <c r="AC50" s="359" t="s">
        <v>649</v>
      </c>
      <c r="AD50" s="356">
        <v>3244619</v>
      </c>
      <c r="AE50" s="359" t="s">
        <v>649</v>
      </c>
      <c r="AF50" s="356">
        <v>19173556</v>
      </c>
      <c r="AG50" s="359" t="s">
        <v>649</v>
      </c>
      <c r="AH50" s="4">
        <f t="shared" si="0"/>
        <v>17277348</v>
      </c>
    </row>
    <row r="51" spans="1:34" x14ac:dyDescent="0.2">
      <c r="A51" s="349">
        <v>1991</v>
      </c>
      <c r="B51" s="350">
        <v>4555659</v>
      </c>
      <c r="C51" s="351"/>
      <c r="D51" s="350">
        <v>52101</v>
      </c>
      <c r="E51" s="351"/>
      <c r="F51" s="350">
        <v>2676480</v>
      </c>
      <c r="G51" s="351"/>
      <c r="H51" s="350">
        <v>2728581</v>
      </c>
      <c r="I51" s="351"/>
      <c r="J51" s="350">
        <v>1129268</v>
      </c>
      <c r="K51" s="351"/>
      <c r="L51" s="350">
        <v>1060716</v>
      </c>
      <c r="M51" s="351"/>
      <c r="N51" s="350">
        <v>6170246</v>
      </c>
      <c r="O51" s="353" t="s">
        <v>649</v>
      </c>
      <c r="P51" s="350">
        <v>7230962</v>
      </c>
      <c r="Q51" s="353" t="s">
        <v>649</v>
      </c>
      <c r="R51" s="350">
        <v>8360230</v>
      </c>
      <c r="S51" s="351"/>
      <c r="T51" s="350">
        <v>601305</v>
      </c>
      <c r="U51" s="351"/>
      <c r="V51" s="354">
        <v>367</v>
      </c>
      <c r="W51" s="351"/>
      <c r="X51" s="350">
        <v>601672</v>
      </c>
      <c r="Y51" s="351"/>
      <c r="Z51" s="350">
        <v>2822159</v>
      </c>
      <c r="AA51" s="353" t="s">
        <v>649</v>
      </c>
      <c r="AB51" s="350">
        <v>493766</v>
      </c>
      <c r="AC51" s="353" t="s">
        <v>649</v>
      </c>
      <c r="AD51" s="350">
        <v>3315925</v>
      </c>
      <c r="AE51" s="353" t="s">
        <v>649</v>
      </c>
      <c r="AF51" s="350">
        <v>19562067</v>
      </c>
      <c r="AG51" s="353" t="s">
        <v>649</v>
      </c>
      <c r="AH51" s="4">
        <f t="shared" si="0"/>
        <v>17831494</v>
      </c>
    </row>
    <row r="52" spans="1:34" x14ac:dyDescent="0.2">
      <c r="A52" s="349">
        <v>1992</v>
      </c>
      <c r="B52" s="350">
        <v>4690065</v>
      </c>
      <c r="C52" s="351"/>
      <c r="D52" s="350">
        <v>62346</v>
      </c>
      <c r="E52" s="351"/>
      <c r="F52" s="350">
        <v>2740405</v>
      </c>
      <c r="G52" s="351"/>
      <c r="H52" s="350">
        <v>2802751</v>
      </c>
      <c r="I52" s="351"/>
      <c r="J52" s="350">
        <v>1170821</v>
      </c>
      <c r="K52" s="351"/>
      <c r="L52" s="350">
        <v>1107361</v>
      </c>
      <c r="M52" s="351"/>
      <c r="N52" s="350">
        <v>6419537</v>
      </c>
      <c r="O52" s="353" t="s">
        <v>649</v>
      </c>
      <c r="P52" s="350">
        <v>7526898</v>
      </c>
      <c r="Q52" s="353" t="s">
        <v>649</v>
      </c>
      <c r="R52" s="350">
        <v>8697719</v>
      </c>
      <c r="S52" s="351"/>
      <c r="T52" s="350">
        <v>587710</v>
      </c>
      <c r="U52" s="351"/>
      <c r="V52" s="350">
        <v>2112</v>
      </c>
      <c r="W52" s="351"/>
      <c r="X52" s="350">
        <v>589822</v>
      </c>
      <c r="Y52" s="351"/>
      <c r="Z52" s="350">
        <v>2828996</v>
      </c>
      <c r="AA52" s="353" t="s">
        <v>649</v>
      </c>
      <c r="AB52" s="350">
        <v>618875</v>
      </c>
      <c r="AC52" s="353" t="s">
        <v>649</v>
      </c>
      <c r="AD52" s="350">
        <v>3447871</v>
      </c>
      <c r="AE52" s="353" t="s">
        <v>649</v>
      </c>
      <c r="AF52" s="350">
        <v>20228228</v>
      </c>
      <c r="AG52" s="353" t="s">
        <v>649</v>
      </c>
      <c r="AH52" s="4">
        <f t="shared" si="0"/>
        <v>18469697</v>
      </c>
    </row>
    <row r="53" spans="1:34" x14ac:dyDescent="0.2">
      <c r="A53" s="355">
        <v>1993</v>
      </c>
      <c r="B53" s="356">
        <v>4956445</v>
      </c>
      <c r="C53" s="357"/>
      <c r="D53" s="356">
        <v>65173</v>
      </c>
      <c r="E53" s="357"/>
      <c r="F53" s="356">
        <v>2796396</v>
      </c>
      <c r="G53" s="357"/>
      <c r="H53" s="356">
        <v>2861569</v>
      </c>
      <c r="I53" s="357"/>
      <c r="J53" s="356">
        <v>1171940</v>
      </c>
      <c r="K53" s="357"/>
      <c r="L53" s="356">
        <v>1124081</v>
      </c>
      <c r="M53" s="357"/>
      <c r="N53" s="356">
        <v>6575657</v>
      </c>
      <c r="O53" s="357"/>
      <c r="P53" s="356">
        <v>7699738</v>
      </c>
      <c r="Q53" s="357"/>
      <c r="R53" s="356">
        <v>8871678</v>
      </c>
      <c r="S53" s="357"/>
      <c r="T53" s="356">
        <v>624308</v>
      </c>
      <c r="U53" s="357"/>
      <c r="V53" s="356">
        <v>2860</v>
      </c>
      <c r="W53" s="357"/>
      <c r="X53" s="356">
        <v>627168</v>
      </c>
      <c r="Y53" s="357"/>
      <c r="Z53" s="356">
        <v>2755093</v>
      </c>
      <c r="AA53" s="357"/>
      <c r="AB53" s="356">
        <v>717890</v>
      </c>
      <c r="AC53" s="357"/>
      <c r="AD53" s="356">
        <v>3472982</v>
      </c>
      <c r="AE53" s="357"/>
      <c r="AF53" s="356">
        <v>20789842</v>
      </c>
      <c r="AG53" s="357"/>
      <c r="AH53" s="4">
        <f t="shared" si="0"/>
        <v>18993594</v>
      </c>
    </row>
    <row r="54" spans="1:34" x14ac:dyDescent="0.2">
      <c r="A54" s="349">
        <v>1994</v>
      </c>
      <c r="B54" s="350">
        <v>4847701</v>
      </c>
      <c r="C54" s="351"/>
      <c r="D54" s="350">
        <v>72285</v>
      </c>
      <c r="E54" s="351"/>
      <c r="F54" s="350">
        <v>2822728</v>
      </c>
      <c r="G54" s="351"/>
      <c r="H54" s="350">
        <v>2895013</v>
      </c>
      <c r="I54" s="351"/>
      <c r="J54" s="350">
        <v>1123720</v>
      </c>
      <c r="K54" s="351"/>
      <c r="L54" s="350">
        <v>1176332</v>
      </c>
      <c r="M54" s="351"/>
      <c r="N54" s="350">
        <v>6613217</v>
      </c>
      <c r="O54" s="351"/>
      <c r="P54" s="350">
        <v>7789549</v>
      </c>
      <c r="Q54" s="351"/>
      <c r="R54" s="350">
        <v>8913269</v>
      </c>
      <c r="S54" s="351"/>
      <c r="T54" s="350">
        <v>685362</v>
      </c>
      <c r="U54" s="351"/>
      <c r="V54" s="350">
        <v>3207</v>
      </c>
      <c r="W54" s="351"/>
      <c r="X54" s="350">
        <v>688569</v>
      </c>
      <c r="Y54" s="351"/>
      <c r="Z54" s="350">
        <v>3064561</v>
      </c>
      <c r="AA54" s="351"/>
      <c r="AB54" s="350">
        <v>837985</v>
      </c>
      <c r="AC54" s="351"/>
      <c r="AD54" s="350">
        <v>3902546</v>
      </c>
      <c r="AE54" s="351"/>
      <c r="AF54" s="350">
        <v>21247098</v>
      </c>
      <c r="AG54" s="351"/>
      <c r="AH54" s="4">
        <f t="shared" si="0"/>
        <v>19438016</v>
      </c>
    </row>
    <row r="55" spans="1:34" x14ac:dyDescent="0.2">
      <c r="A55" s="349">
        <v>1995</v>
      </c>
      <c r="B55" s="350">
        <v>4850318</v>
      </c>
      <c r="C55" s="351"/>
      <c r="D55" s="350">
        <v>77664</v>
      </c>
      <c r="E55" s="351"/>
      <c r="F55" s="350">
        <v>2953413</v>
      </c>
      <c r="G55" s="351"/>
      <c r="H55" s="350">
        <v>3031077</v>
      </c>
      <c r="I55" s="351"/>
      <c r="J55" s="350">
        <v>1220168</v>
      </c>
      <c r="K55" s="351"/>
      <c r="L55" s="350">
        <v>1258063</v>
      </c>
      <c r="M55" s="351"/>
      <c r="N55" s="350">
        <v>6905817</v>
      </c>
      <c r="O55" s="351"/>
      <c r="P55" s="350">
        <v>8163880</v>
      </c>
      <c r="Q55" s="351"/>
      <c r="R55" s="350">
        <v>9384048</v>
      </c>
      <c r="S55" s="351"/>
      <c r="T55" s="350">
        <v>700335</v>
      </c>
      <c r="U55" s="351"/>
      <c r="V55" s="350">
        <v>4585</v>
      </c>
      <c r="W55" s="351"/>
      <c r="X55" s="350">
        <v>704920</v>
      </c>
      <c r="Y55" s="351"/>
      <c r="Z55" s="350">
        <v>3287571</v>
      </c>
      <c r="AA55" s="351"/>
      <c r="AB55" s="350">
        <v>948954</v>
      </c>
      <c r="AC55" s="351"/>
      <c r="AD55" s="350">
        <v>4236526</v>
      </c>
      <c r="AE55" s="351"/>
      <c r="AF55" s="350">
        <v>22206889</v>
      </c>
      <c r="AG55" s="351"/>
      <c r="AH55" s="4">
        <f t="shared" si="0"/>
        <v>20286386</v>
      </c>
    </row>
    <row r="56" spans="1:34" x14ac:dyDescent="0.2">
      <c r="A56" s="355">
        <v>1996</v>
      </c>
      <c r="B56" s="356">
        <v>5241414</v>
      </c>
      <c r="C56" s="357"/>
      <c r="D56" s="356">
        <v>82455</v>
      </c>
      <c r="E56" s="357"/>
      <c r="F56" s="356">
        <v>3075789</v>
      </c>
      <c r="G56" s="357"/>
      <c r="H56" s="356">
        <v>3158244</v>
      </c>
      <c r="I56" s="357"/>
      <c r="J56" s="356">
        <v>1249662</v>
      </c>
      <c r="K56" s="357"/>
      <c r="L56" s="356">
        <v>1288876</v>
      </c>
      <c r="M56" s="357"/>
      <c r="N56" s="356">
        <v>7146470</v>
      </c>
      <c r="O56" s="357"/>
      <c r="P56" s="356">
        <v>8435346</v>
      </c>
      <c r="Q56" s="357"/>
      <c r="R56" s="356">
        <v>9685008</v>
      </c>
      <c r="S56" s="357"/>
      <c r="T56" s="356">
        <v>711446</v>
      </c>
      <c r="U56" s="357"/>
      <c r="V56" s="356">
        <v>6067</v>
      </c>
      <c r="W56" s="357"/>
      <c r="X56" s="356">
        <v>717513</v>
      </c>
      <c r="Y56" s="357"/>
      <c r="Z56" s="356">
        <v>2823724</v>
      </c>
      <c r="AA56" s="357"/>
      <c r="AB56" s="356">
        <v>983177</v>
      </c>
      <c r="AC56" s="357"/>
      <c r="AD56" s="356">
        <v>3806901</v>
      </c>
      <c r="AE56" s="357"/>
      <c r="AF56" s="356">
        <v>22609080</v>
      </c>
      <c r="AG56" s="357"/>
      <c r="AH56" s="4">
        <f t="shared" si="0"/>
        <v>20647972</v>
      </c>
    </row>
    <row r="57" spans="1:34" x14ac:dyDescent="0.2">
      <c r="A57" s="349">
        <v>1997</v>
      </c>
      <c r="B57" s="350">
        <v>4983772</v>
      </c>
      <c r="C57" s="351"/>
      <c r="D57" s="350">
        <v>86915</v>
      </c>
      <c r="E57" s="351"/>
      <c r="F57" s="350">
        <v>3127997</v>
      </c>
      <c r="G57" s="351"/>
      <c r="H57" s="350">
        <v>3214912</v>
      </c>
      <c r="I57" s="351"/>
      <c r="J57" s="350">
        <v>1203179</v>
      </c>
      <c r="K57" s="351"/>
      <c r="L57" s="350">
        <v>1281620</v>
      </c>
      <c r="M57" s="351"/>
      <c r="N57" s="350">
        <v>7229259</v>
      </c>
      <c r="O57" s="351"/>
      <c r="P57" s="350">
        <v>8510879</v>
      </c>
      <c r="Q57" s="351"/>
      <c r="R57" s="350">
        <v>9714058</v>
      </c>
      <c r="S57" s="351"/>
      <c r="T57" s="350">
        <v>751470</v>
      </c>
      <c r="U57" s="351"/>
      <c r="V57" s="350">
        <v>8328</v>
      </c>
      <c r="W57" s="351"/>
      <c r="X57" s="350">
        <v>759798</v>
      </c>
      <c r="Y57" s="351"/>
      <c r="Z57" s="350">
        <v>3039227</v>
      </c>
      <c r="AA57" s="351"/>
      <c r="AB57" s="350">
        <v>1025575</v>
      </c>
      <c r="AC57" s="351"/>
      <c r="AD57" s="350">
        <v>4064803</v>
      </c>
      <c r="AE57" s="351"/>
      <c r="AF57" s="350">
        <v>22737343</v>
      </c>
      <c r="AG57" s="351"/>
      <c r="AH57" s="4">
        <f t="shared" si="0"/>
        <v>20782694</v>
      </c>
    </row>
    <row r="58" spans="1:34" x14ac:dyDescent="0.2">
      <c r="A58" s="349">
        <v>1998</v>
      </c>
      <c r="B58" s="350">
        <v>4520276</v>
      </c>
      <c r="C58" s="351"/>
      <c r="D58" s="350">
        <v>87220</v>
      </c>
      <c r="E58" s="351"/>
      <c r="F58" s="350">
        <v>2912271</v>
      </c>
      <c r="G58" s="351"/>
      <c r="H58" s="350">
        <v>2999491</v>
      </c>
      <c r="I58" s="351"/>
      <c r="J58" s="350">
        <v>1172680</v>
      </c>
      <c r="K58" s="351"/>
      <c r="L58" s="350">
        <v>1354986</v>
      </c>
      <c r="M58" s="351"/>
      <c r="N58" s="350">
        <v>6965421</v>
      </c>
      <c r="O58" s="351"/>
      <c r="P58" s="350">
        <v>8320407</v>
      </c>
      <c r="Q58" s="351"/>
      <c r="R58" s="350">
        <v>9493087</v>
      </c>
      <c r="S58" s="351"/>
      <c r="T58" s="350">
        <v>635477</v>
      </c>
      <c r="U58" s="351"/>
      <c r="V58" s="350">
        <v>9341</v>
      </c>
      <c r="W58" s="351"/>
      <c r="X58" s="350">
        <v>644818</v>
      </c>
      <c r="Y58" s="351"/>
      <c r="Z58" s="350">
        <v>3543931</v>
      </c>
      <c r="AA58" s="351"/>
      <c r="AB58" s="350">
        <v>1044352</v>
      </c>
      <c r="AC58" s="351"/>
      <c r="AD58" s="350">
        <v>4588284</v>
      </c>
      <c r="AE58" s="351"/>
      <c r="AF58" s="350">
        <v>22245956</v>
      </c>
      <c r="AG58" s="351"/>
      <c r="AH58" s="4">
        <f t="shared" si="0"/>
        <v>20437799</v>
      </c>
    </row>
    <row r="59" spans="1:34" x14ac:dyDescent="0.2">
      <c r="A59" s="355">
        <v>1999</v>
      </c>
      <c r="B59" s="356">
        <v>4725672</v>
      </c>
      <c r="C59" s="357"/>
      <c r="D59" s="356">
        <v>84037</v>
      </c>
      <c r="E59" s="357"/>
      <c r="F59" s="356">
        <v>2960621</v>
      </c>
      <c r="G59" s="357"/>
      <c r="H59" s="356">
        <v>3044658</v>
      </c>
      <c r="I59" s="357"/>
      <c r="J59" s="356">
        <v>1078989</v>
      </c>
      <c r="K59" s="357"/>
      <c r="L59" s="356">
        <v>1401374</v>
      </c>
      <c r="M59" s="357"/>
      <c r="N59" s="356">
        <v>6677985</v>
      </c>
      <c r="O59" s="357"/>
      <c r="P59" s="356">
        <v>8079359</v>
      </c>
      <c r="Q59" s="357"/>
      <c r="R59" s="356">
        <v>9158348</v>
      </c>
      <c r="S59" s="357"/>
      <c r="T59" s="356">
        <v>645319</v>
      </c>
      <c r="U59" s="357"/>
      <c r="V59" s="356">
        <v>11622</v>
      </c>
      <c r="W59" s="357"/>
      <c r="X59" s="356">
        <v>656941</v>
      </c>
      <c r="Y59" s="357"/>
      <c r="Z59" s="356">
        <v>3729175</v>
      </c>
      <c r="AA59" s="357"/>
      <c r="AB59" s="356">
        <v>1090356</v>
      </c>
      <c r="AC59" s="357"/>
      <c r="AD59" s="356">
        <v>4819531</v>
      </c>
      <c r="AE59" s="357"/>
      <c r="AF59" s="356">
        <v>22405150</v>
      </c>
      <c r="AG59" s="357"/>
      <c r="AH59" s="4">
        <f t="shared" si="0"/>
        <v>20680842</v>
      </c>
    </row>
    <row r="60" spans="1:34" x14ac:dyDescent="0.2">
      <c r="A60" s="349">
        <v>2000</v>
      </c>
      <c r="B60" s="350">
        <v>4996179</v>
      </c>
      <c r="C60" s="351"/>
      <c r="D60" s="350">
        <v>84874</v>
      </c>
      <c r="E60" s="351"/>
      <c r="F60" s="350">
        <v>3097595</v>
      </c>
      <c r="G60" s="351"/>
      <c r="H60" s="350">
        <v>3182469</v>
      </c>
      <c r="I60" s="351"/>
      <c r="J60" s="350">
        <v>1150948</v>
      </c>
      <c r="K60" s="351"/>
      <c r="L60" s="350">
        <v>1385546</v>
      </c>
      <c r="M60" s="351"/>
      <c r="N60" s="350">
        <v>6756694</v>
      </c>
      <c r="O60" s="351"/>
      <c r="P60" s="350">
        <v>8142240</v>
      </c>
      <c r="Q60" s="351"/>
      <c r="R60" s="350">
        <v>9293188</v>
      </c>
      <c r="S60" s="351"/>
      <c r="T60" s="350">
        <v>642210</v>
      </c>
      <c r="U60" s="351"/>
      <c r="V60" s="350">
        <v>12752</v>
      </c>
      <c r="W60" s="351"/>
      <c r="X60" s="350">
        <v>654962</v>
      </c>
      <c r="Y60" s="351"/>
      <c r="Z60" s="350">
        <v>4092729</v>
      </c>
      <c r="AA60" s="351"/>
      <c r="AB60" s="350">
        <v>1113595</v>
      </c>
      <c r="AC60" s="351"/>
      <c r="AD60" s="350">
        <v>5206324</v>
      </c>
      <c r="AE60" s="351"/>
      <c r="AF60" s="350">
        <v>23333122</v>
      </c>
      <c r="AG60" s="351"/>
      <c r="AH60" s="4">
        <f t="shared" si="0"/>
        <v>21539964</v>
      </c>
    </row>
    <row r="61" spans="1:34" x14ac:dyDescent="0.2">
      <c r="A61" s="349">
        <v>2001</v>
      </c>
      <c r="B61" s="350">
        <v>4771340</v>
      </c>
      <c r="C61" s="351"/>
      <c r="D61" s="350">
        <v>78655</v>
      </c>
      <c r="E61" s="351"/>
      <c r="F61" s="350">
        <v>2944057</v>
      </c>
      <c r="G61" s="351"/>
      <c r="H61" s="350">
        <v>3022712</v>
      </c>
      <c r="I61" s="351"/>
      <c r="J61" s="350">
        <v>1118552</v>
      </c>
      <c r="K61" s="351"/>
      <c r="L61" s="350">
        <v>1309636</v>
      </c>
      <c r="M61" s="351"/>
      <c r="N61" s="350">
        <v>6034583</v>
      </c>
      <c r="O61" s="351"/>
      <c r="P61" s="350">
        <v>7344219</v>
      </c>
      <c r="Q61" s="351"/>
      <c r="R61" s="350">
        <v>8462771</v>
      </c>
      <c r="S61" s="351"/>
      <c r="T61" s="350">
        <v>624964</v>
      </c>
      <c r="U61" s="351"/>
      <c r="V61" s="350">
        <v>14536</v>
      </c>
      <c r="W61" s="351"/>
      <c r="X61" s="350">
        <v>639500</v>
      </c>
      <c r="Y61" s="351"/>
      <c r="Z61" s="350">
        <v>4163930</v>
      </c>
      <c r="AA61" s="351"/>
      <c r="AB61" s="350">
        <v>1178371</v>
      </c>
      <c r="AC61" s="351"/>
      <c r="AD61" s="350">
        <v>5342301</v>
      </c>
      <c r="AE61" s="351"/>
      <c r="AF61" s="350">
        <v>22238624</v>
      </c>
      <c r="AG61" s="351"/>
      <c r="AH61" s="4">
        <f t="shared" si="0"/>
        <v>20495108</v>
      </c>
    </row>
    <row r="62" spans="1:34" x14ac:dyDescent="0.2">
      <c r="A62" s="355">
        <v>2002</v>
      </c>
      <c r="B62" s="356">
        <v>4888818</v>
      </c>
      <c r="C62" s="357"/>
      <c r="D62" s="356">
        <v>73975</v>
      </c>
      <c r="E62" s="357"/>
      <c r="F62" s="356">
        <v>3070195</v>
      </c>
      <c r="G62" s="357"/>
      <c r="H62" s="356">
        <v>3144170</v>
      </c>
      <c r="I62" s="357"/>
      <c r="J62" s="356">
        <v>1113082</v>
      </c>
      <c r="K62" s="357"/>
      <c r="L62" s="356">
        <v>1240209</v>
      </c>
      <c r="M62" s="357"/>
      <c r="N62" s="356">
        <v>6266971</v>
      </c>
      <c r="O62" s="357"/>
      <c r="P62" s="356">
        <v>7507180</v>
      </c>
      <c r="Q62" s="357"/>
      <c r="R62" s="356">
        <v>8620262</v>
      </c>
      <c r="S62" s="357"/>
      <c r="T62" s="356">
        <v>666920</v>
      </c>
      <c r="U62" s="357"/>
      <c r="V62" s="356">
        <v>14950</v>
      </c>
      <c r="W62" s="357"/>
      <c r="X62" s="356">
        <v>681870</v>
      </c>
      <c r="Y62" s="357"/>
      <c r="Z62" s="356">
        <v>4258467</v>
      </c>
      <c r="AA62" s="357"/>
      <c r="AB62" s="356">
        <v>1413431</v>
      </c>
      <c r="AC62" s="357"/>
      <c r="AD62" s="356">
        <v>5671897</v>
      </c>
      <c r="AE62" s="357"/>
      <c r="AF62" s="356">
        <v>23007017</v>
      </c>
      <c r="AG62" s="357"/>
      <c r="AH62" s="4">
        <f t="shared" si="0"/>
        <v>21227015</v>
      </c>
    </row>
    <row r="63" spans="1:34" x14ac:dyDescent="0.2">
      <c r="A63" s="349">
        <v>2003</v>
      </c>
      <c r="B63" s="350">
        <v>5079351</v>
      </c>
      <c r="C63" s="351"/>
      <c r="D63" s="350">
        <v>58453</v>
      </c>
      <c r="E63" s="351"/>
      <c r="F63" s="350">
        <v>3121040</v>
      </c>
      <c r="G63" s="351"/>
      <c r="H63" s="350">
        <v>3179493</v>
      </c>
      <c r="I63" s="351"/>
      <c r="J63" s="350">
        <v>1122283</v>
      </c>
      <c r="K63" s="351"/>
      <c r="L63" s="350">
        <v>1143734</v>
      </c>
      <c r="M63" s="351"/>
      <c r="N63" s="350">
        <v>6006662</v>
      </c>
      <c r="O63" s="351"/>
      <c r="P63" s="350">
        <v>7150396</v>
      </c>
      <c r="Q63" s="351"/>
      <c r="R63" s="350">
        <v>8272679</v>
      </c>
      <c r="S63" s="351"/>
      <c r="T63" s="350">
        <v>591492</v>
      </c>
      <c r="U63" s="351"/>
      <c r="V63" s="350">
        <v>18271</v>
      </c>
      <c r="W63" s="351"/>
      <c r="X63" s="350">
        <v>609763</v>
      </c>
      <c r="Y63" s="351"/>
      <c r="Z63" s="350">
        <v>3780314</v>
      </c>
      <c r="AA63" s="351"/>
      <c r="AB63" s="350">
        <v>1354901</v>
      </c>
      <c r="AC63" s="351"/>
      <c r="AD63" s="350">
        <v>5135215</v>
      </c>
      <c r="AE63" s="351"/>
      <c r="AF63" s="350">
        <v>22276501</v>
      </c>
      <c r="AG63" s="351"/>
      <c r="AH63" s="4">
        <f t="shared" si="0"/>
        <v>20562726</v>
      </c>
    </row>
    <row r="64" spans="1:34" x14ac:dyDescent="0.2">
      <c r="A64" s="349">
        <v>2004</v>
      </c>
      <c r="B64" s="350">
        <v>4868797</v>
      </c>
      <c r="C64" s="351"/>
      <c r="D64" s="350">
        <v>72072</v>
      </c>
      <c r="E64" s="351"/>
      <c r="F64" s="350">
        <v>3056900</v>
      </c>
      <c r="G64" s="351"/>
      <c r="H64" s="350">
        <v>3128972</v>
      </c>
      <c r="I64" s="351"/>
      <c r="J64" s="350">
        <v>1097904</v>
      </c>
      <c r="K64" s="351"/>
      <c r="L64" s="350">
        <v>1190844</v>
      </c>
      <c r="M64" s="351"/>
      <c r="N64" s="350">
        <v>6051993</v>
      </c>
      <c r="O64" s="351"/>
      <c r="P64" s="350">
        <v>7242837</v>
      </c>
      <c r="Q64" s="351"/>
      <c r="R64" s="350">
        <v>8340741</v>
      </c>
      <c r="S64" s="351"/>
      <c r="T64" s="350">
        <v>566187</v>
      </c>
      <c r="U64" s="351"/>
      <c r="V64" s="350">
        <v>20514</v>
      </c>
      <c r="W64" s="351"/>
      <c r="X64" s="350">
        <v>586701</v>
      </c>
      <c r="Y64" s="351"/>
      <c r="Z64" s="350">
        <v>4141535</v>
      </c>
      <c r="AA64" s="351"/>
      <c r="AB64" s="350">
        <v>1322228</v>
      </c>
      <c r="AC64" s="351"/>
      <c r="AD64" s="350">
        <v>5463763</v>
      </c>
      <c r="AE64" s="351"/>
      <c r="AF64" s="350">
        <v>22388974</v>
      </c>
      <c r="AG64" s="351"/>
      <c r="AH64" s="4">
        <f t="shared" si="0"/>
        <v>20724883</v>
      </c>
    </row>
    <row r="65" spans="1:34" x14ac:dyDescent="0.2">
      <c r="A65" s="355">
        <v>2005</v>
      </c>
      <c r="B65" s="356">
        <v>4826775</v>
      </c>
      <c r="C65" s="357"/>
      <c r="D65" s="356">
        <v>67957</v>
      </c>
      <c r="E65" s="359" t="s">
        <v>650</v>
      </c>
      <c r="F65" s="356">
        <v>2930963</v>
      </c>
      <c r="G65" s="359" t="s">
        <v>650</v>
      </c>
      <c r="H65" s="356">
        <v>2998920</v>
      </c>
      <c r="I65" s="357"/>
      <c r="J65" s="356">
        <v>1111517</v>
      </c>
      <c r="K65" s="357"/>
      <c r="L65" s="356">
        <v>1083607</v>
      </c>
      <c r="M65" s="357"/>
      <c r="N65" s="356">
        <v>5513723</v>
      </c>
      <c r="O65" s="357"/>
      <c r="P65" s="356">
        <v>6597330</v>
      </c>
      <c r="Q65" s="357"/>
      <c r="R65" s="356">
        <v>7708847</v>
      </c>
      <c r="S65" s="357"/>
      <c r="T65" s="356">
        <v>584026</v>
      </c>
      <c r="U65" s="357"/>
      <c r="V65" s="356">
        <v>22884</v>
      </c>
      <c r="W65" s="357"/>
      <c r="X65" s="356">
        <v>606910</v>
      </c>
      <c r="Y65" s="357"/>
      <c r="Z65" s="356">
        <v>4592271</v>
      </c>
      <c r="AA65" s="357"/>
      <c r="AB65" s="356">
        <v>1276874</v>
      </c>
      <c r="AC65" s="357"/>
      <c r="AD65" s="356">
        <v>5869145</v>
      </c>
      <c r="AE65" s="357"/>
      <c r="AF65" s="356">
        <v>22010597</v>
      </c>
      <c r="AG65" s="357"/>
      <c r="AH65" s="4">
        <f t="shared" si="0"/>
        <v>20315054</v>
      </c>
    </row>
    <row r="66" spans="1:34" x14ac:dyDescent="0.2">
      <c r="A66" s="349">
        <v>2006</v>
      </c>
      <c r="B66" s="350">
        <v>4368466</v>
      </c>
      <c r="C66" s="353" t="s">
        <v>650</v>
      </c>
      <c r="D66" s="350">
        <v>67735</v>
      </c>
      <c r="E66" s="353" t="s">
        <v>650</v>
      </c>
      <c r="F66" s="350">
        <v>2764296</v>
      </c>
      <c r="G66" s="353" t="s">
        <v>650</v>
      </c>
      <c r="H66" s="350">
        <v>2832030</v>
      </c>
      <c r="I66" s="353" t="s">
        <v>650</v>
      </c>
      <c r="J66" s="350">
        <v>1141977</v>
      </c>
      <c r="K66" s="353" t="s">
        <v>650</v>
      </c>
      <c r="L66" s="350">
        <v>1114597</v>
      </c>
      <c r="M66" s="351"/>
      <c r="N66" s="350">
        <v>5397518</v>
      </c>
      <c r="O66" s="353" t="s">
        <v>650</v>
      </c>
      <c r="P66" s="350">
        <v>6512115</v>
      </c>
      <c r="Q66" s="353" t="s">
        <v>650</v>
      </c>
      <c r="R66" s="350">
        <v>7654092</v>
      </c>
      <c r="S66" s="353" t="s">
        <v>650</v>
      </c>
      <c r="T66" s="350">
        <v>584213</v>
      </c>
      <c r="U66" s="353" t="s">
        <v>650</v>
      </c>
      <c r="V66" s="350">
        <v>23739</v>
      </c>
      <c r="W66" s="353" t="s">
        <v>650</v>
      </c>
      <c r="X66" s="350">
        <v>607952</v>
      </c>
      <c r="Y66" s="353" t="s">
        <v>650</v>
      </c>
      <c r="Z66" s="350">
        <v>5091049</v>
      </c>
      <c r="AA66" s="351"/>
      <c r="AB66" s="350">
        <v>1131051</v>
      </c>
      <c r="AC66" s="351"/>
      <c r="AD66" s="350">
        <v>6222100</v>
      </c>
      <c r="AE66" s="351"/>
      <c r="AF66" s="350">
        <v>21684641</v>
      </c>
      <c r="AG66" s="353" t="s">
        <v>650</v>
      </c>
      <c r="AH66" s="4">
        <f t="shared" si="0"/>
        <v>19958451</v>
      </c>
    </row>
    <row r="67" spans="1:34" x14ac:dyDescent="0.2">
      <c r="A67" s="349">
        <v>2007</v>
      </c>
      <c r="B67" s="350">
        <v>4717311</v>
      </c>
      <c r="C67" s="353" t="s">
        <v>650</v>
      </c>
      <c r="D67" s="350">
        <v>70074</v>
      </c>
      <c r="E67" s="353" t="s">
        <v>650</v>
      </c>
      <c r="F67" s="350">
        <v>2947031</v>
      </c>
      <c r="G67" s="353" t="s">
        <v>650</v>
      </c>
      <c r="H67" s="350">
        <v>3017105</v>
      </c>
      <c r="I67" s="353" t="s">
        <v>650</v>
      </c>
      <c r="J67" s="350">
        <v>1198648</v>
      </c>
      <c r="K67" s="353" t="s">
        <v>650</v>
      </c>
      <c r="L67" s="350">
        <v>1050439</v>
      </c>
      <c r="M67" s="353" t="s">
        <v>650</v>
      </c>
      <c r="N67" s="350">
        <v>5574408</v>
      </c>
      <c r="O67" s="353" t="s">
        <v>650</v>
      </c>
      <c r="P67" s="350">
        <v>6624846</v>
      </c>
      <c r="Q67" s="353" t="s">
        <v>650</v>
      </c>
      <c r="R67" s="350">
        <v>7823495</v>
      </c>
      <c r="S67" s="353" t="s">
        <v>650</v>
      </c>
      <c r="T67" s="350">
        <v>622893</v>
      </c>
      <c r="U67" s="353" t="s">
        <v>650</v>
      </c>
      <c r="V67" s="350">
        <v>25016</v>
      </c>
      <c r="W67" s="353" t="s">
        <v>650</v>
      </c>
      <c r="X67" s="350">
        <v>647909</v>
      </c>
      <c r="Y67" s="353" t="s">
        <v>650</v>
      </c>
      <c r="Z67" s="350">
        <v>5611600</v>
      </c>
      <c r="AA67" s="353" t="s">
        <v>650</v>
      </c>
      <c r="AB67" s="350">
        <v>1229808</v>
      </c>
      <c r="AC67" s="353" t="s">
        <v>650</v>
      </c>
      <c r="AD67" s="350">
        <v>6841408</v>
      </c>
      <c r="AE67" s="353" t="s">
        <v>650</v>
      </c>
      <c r="AF67" s="350">
        <v>23047229</v>
      </c>
      <c r="AG67" s="353" t="s">
        <v>650</v>
      </c>
      <c r="AH67" s="4">
        <f>AF67-J67-T67</f>
        <v>21225688</v>
      </c>
    </row>
    <row r="68" spans="1:34" x14ac:dyDescent="0.2">
      <c r="A68" s="355" t="s">
        <v>38</v>
      </c>
      <c r="B68" s="356">
        <v>4865691</v>
      </c>
      <c r="C68" s="357"/>
      <c r="D68" s="356">
        <v>61246</v>
      </c>
      <c r="E68" s="357"/>
      <c r="F68" s="356">
        <v>3060577</v>
      </c>
      <c r="G68" s="357"/>
      <c r="H68" s="356">
        <v>3121823</v>
      </c>
      <c r="I68" s="357"/>
      <c r="J68" s="356">
        <v>1284625</v>
      </c>
      <c r="K68" s="357"/>
      <c r="L68" s="356">
        <v>945863</v>
      </c>
      <c r="M68" s="357"/>
      <c r="N68" s="356">
        <v>5706261</v>
      </c>
      <c r="O68" s="357"/>
      <c r="P68" s="356">
        <v>6652124</v>
      </c>
      <c r="Q68" s="357"/>
      <c r="R68" s="356">
        <v>7936749</v>
      </c>
      <c r="S68" s="357"/>
      <c r="T68" s="356">
        <v>628014</v>
      </c>
      <c r="U68" s="357"/>
      <c r="V68" s="356">
        <v>30094</v>
      </c>
      <c r="W68" s="357"/>
      <c r="X68" s="356">
        <v>658108</v>
      </c>
      <c r="Y68" s="357"/>
      <c r="Z68" s="356">
        <v>5537849</v>
      </c>
      <c r="AA68" s="357"/>
      <c r="AB68" s="356">
        <v>1123097</v>
      </c>
      <c r="AC68" s="357"/>
      <c r="AD68" s="356">
        <v>6660947</v>
      </c>
      <c r="AE68" s="357"/>
      <c r="AF68" s="356">
        <v>23243317</v>
      </c>
      <c r="AG68" s="357"/>
      <c r="AH68" s="4">
        <f t="shared" si="0"/>
        <v>21330678</v>
      </c>
    </row>
    <row r="69" spans="1:34" x14ac:dyDescent="0.2">
      <c r="A69" s="829" t="s">
        <v>39</v>
      </c>
      <c r="B69" s="830"/>
      <c r="C69" s="830"/>
      <c r="D69" s="830"/>
      <c r="E69" s="830"/>
      <c r="F69" s="830"/>
      <c r="G69" s="830"/>
      <c r="H69" s="830"/>
      <c r="I69" s="830"/>
      <c r="J69" s="830"/>
      <c r="K69" s="830"/>
      <c r="L69" s="830"/>
      <c r="M69" s="830"/>
      <c r="N69" s="830"/>
      <c r="O69" s="830"/>
      <c r="P69" s="830"/>
      <c r="Q69" s="830" t="s">
        <v>40</v>
      </c>
      <c r="R69" s="830"/>
      <c r="S69" s="830"/>
      <c r="T69" s="830"/>
      <c r="U69" s="830"/>
      <c r="V69" s="830"/>
      <c r="W69" s="830"/>
      <c r="X69" s="830"/>
      <c r="Y69" s="830"/>
      <c r="Z69" s="830"/>
      <c r="AA69" s="830"/>
      <c r="AB69" s="830"/>
      <c r="AC69" s="830"/>
      <c r="AD69" s="830"/>
      <c r="AE69" s="830"/>
      <c r="AF69" s="830"/>
      <c r="AG69" s="831"/>
    </row>
    <row r="70" spans="1:34" x14ac:dyDescent="0.2">
      <c r="A70" s="825" t="s">
        <v>619</v>
      </c>
      <c r="B70" s="826"/>
      <c r="C70" s="826"/>
      <c r="D70" s="826"/>
      <c r="E70" s="826"/>
      <c r="F70" s="826"/>
      <c r="G70" s="826"/>
      <c r="H70" s="826"/>
      <c r="I70" s="826"/>
      <c r="J70" s="826"/>
      <c r="K70" s="826"/>
      <c r="L70" s="826"/>
      <c r="M70" s="826"/>
      <c r="N70" s="826"/>
      <c r="O70" s="826"/>
      <c r="P70" s="826"/>
      <c r="Q70" s="832"/>
      <c r="R70" s="832"/>
      <c r="S70" s="832"/>
      <c r="T70" s="832"/>
      <c r="U70" s="832"/>
      <c r="V70" s="832"/>
      <c r="W70" s="832"/>
      <c r="X70" s="832"/>
      <c r="Y70" s="832"/>
      <c r="Z70" s="832"/>
      <c r="AA70" s="832"/>
      <c r="AB70" s="832"/>
      <c r="AC70" s="832"/>
      <c r="AD70" s="832"/>
      <c r="AE70" s="832"/>
      <c r="AF70" s="832"/>
      <c r="AG70" s="833"/>
    </row>
    <row r="71" spans="1:34" x14ac:dyDescent="0.2">
      <c r="A71" s="825" t="s">
        <v>620</v>
      </c>
      <c r="B71" s="826"/>
      <c r="C71" s="826"/>
      <c r="D71" s="826"/>
      <c r="E71" s="826"/>
      <c r="F71" s="826"/>
      <c r="G71" s="826"/>
      <c r="H71" s="826"/>
      <c r="I71" s="826"/>
      <c r="J71" s="826"/>
      <c r="K71" s="826"/>
      <c r="L71" s="826"/>
      <c r="M71" s="826"/>
      <c r="N71" s="826"/>
      <c r="O71" s="826"/>
      <c r="P71" s="826"/>
      <c r="Q71" s="832"/>
      <c r="R71" s="832"/>
      <c r="S71" s="832"/>
      <c r="T71" s="832"/>
      <c r="U71" s="832"/>
      <c r="V71" s="832"/>
      <c r="W71" s="832"/>
      <c r="X71" s="832"/>
      <c r="Y71" s="832"/>
      <c r="Z71" s="832"/>
      <c r="AA71" s="832"/>
      <c r="AB71" s="832"/>
      <c r="AC71" s="832"/>
      <c r="AD71" s="832"/>
      <c r="AE71" s="832"/>
      <c r="AF71" s="832"/>
      <c r="AG71" s="833"/>
    </row>
    <row r="72" spans="1:34" x14ac:dyDescent="0.2">
      <c r="A72" s="825" t="s">
        <v>621</v>
      </c>
      <c r="B72" s="826"/>
      <c r="C72" s="826"/>
      <c r="D72" s="826"/>
      <c r="E72" s="826"/>
      <c r="F72" s="826"/>
      <c r="G72" s="826"/>
      <c r="H72" s="826"/>
      <c r="I72" s="826"/>
      <c r="J72" s="826"/>
      <c r="K72" s="826"/>
      <c r="L72" s="826"/>
      <c r="M72" s="826"/>
      <c r="N72" s="826"/>
      <c r="O72" s="826"/>
      <c r="P72" s="826"/>
      <c r="Q72" s="832"/>
      <c r="R72" s="832"/>
      <c r="S72" s="832"/>
      <c r="T72" s="832"/>
      <c r="U72" s="832"/>
      <c r="V72" s="832"/>
      <c r="W72" s="832"/>
      <c r="X72" s="832"/>
      <c r="Y72" s="832"/>
      <c r="Z72" s="832"/>
      <c r="AA72" s="832"/>
      <c r="AB72" s="832"/>
      <c r="AC72" s="832"/>
      <c r="AD72" s="832"/>
      <c r="AE72" s="832"/>
      <c r="AF72" s="832"/>
      <c r="AG72" s="833"/>
    </row>
    <row r="73" spans="1:34" x14ac:dyDescent="0.2">
      <c r="A73" s="834" t="s">
        <v>41</v>
      </c>
      <c r="B73" s="832"/>
      <c r="C73" s="832"/>
      <c r="D73" s="832"/>
      <c r="E73" s="832"/>
      <c r="F73" s="832"/>
      <c r="G73" s="832"/>
      <c r="H73" s="832"/>
      <c r="I73" s="832"/>
      <c r="J73" s="832"/>
      <c r="K73" s="832"/>
      <c r="L73" s="832"/>
      <c r="M73" s="832"/>
      <c r="N73" s="832"/>
      <c r="O73" s="832"/>
      <c r="P73" s="832"/>
      <c r="Q73" s="832" t="s">
        <v>42</v>
      </c>
      <c r="R73" s="832"/>
      <c r="S73" s="832"/>
      <c r="T73" s="832"/>
      <c r="U73" s="832"/>
      <c r="V73" s="832"/>
      <c r="W73" s="832"/>
      <c r="X73" s="832"/>
      <c r="Y73" s="832"/>
      <c r="Z73" s="832"/>
      <c r="AA73" s="832"/>
      <c r="AB73" s="832"/>
      <c r="AC73" s="832"/>
      <c r="AD73" s="832"/>
      <c r="AE73" s="832"/>
      <c r="AF73" s="832"/>
      <c r="AG73" s="833"/>
    </row>
    <row r="74" spans="1:34" x14ac:dyDescent="0.2">
      <c r="A74" s="834" t="s">
        <v>43</v>
      </c>
      <c r="B74" s="832"/>
      <c r="C74" s="832"/>
      <c r="D74" s="832"/>
      <c r="E74" s="832"/>
      <c r="F74" s="832"/>
      <c r="G74" s="832"/>
      <c r="H74" s="832"/>
      <c r="I74" s="832"/>
      <c r="J74" s="832"/>
      <c r="K74" s="832"/>
      <c r="L74" s="832"/>
      <c r="M74" s="832"/>
      <c r="N74" s="832"/>
      <c r="O74" s="832"/>
      <c r="P74" s="832"/>
      <c r="Q74" s="832" t="s">
        <v>44</v>
      </c>
      <c r="R74" s="832"/>
      <c r="S74" s="832"/>
      <c r="T74" s="832"/>
      <c r="U74" s="832"/>
      <c r="V74" s="832"/>
      <c r="W74" s="832"/>
      <c r="X74" s="832"/>
      <c r="Y74" s="832"/>
      <c r="Z74" s="832"/>
      <c r="AA74" s="832"/>
      <c r="AB74" s="832"/>
      <c r="AC74" s="832"/>
      <c r="AD74" s="832"/>
      <c r="AE74" s="832"/>
      <c r="AF74" s="832"/>
      <c r="AG74" s="833"/>
    </row>
    <row r="75" spans="1:34" x14ac:dyDescent="0.2">
      <c r="A75" s="834"/>
      <c r="B75" s="832"/>
      <c r="C75" s="832"/>
      <c r="D75" s="832"/>
      <c r="E75" s="832"/>
      <c r="F75" s="832"/>
      <c r="G75" s="832"/>
      <c r="H75" s="832"/>
      <c r="I75" s="832"/>
      <c r="J75" s="832"/>
      <c r="K75" s="832"/>
      <c r="L75" s="832"/>
      <c r="M75" s="832"/>
      <c r="N75" s="832"/>
      <c r="O75" s="832"/>
      <c r="P75" s="832"/>
      <c r="Q75" s="826" t="s">
        <v>622</v>
      </c>
      <c r="R75" s="826"/>
      <c r="S75" s="826"/>
      <c r="T75" s="826"/>
      <c r="U75" s="826"/>
      <c r="V75" s="826"/>
      <c r="W75" s="826"/>
      <c r="X75" s="826"/>
      <c r="Y75" s="826"/>
      <c r="Z75" s="826"/>
      <c r="AA75" s="826"/>
      <c r="AB75" s="826"/>
      <c r="AC75" s="826"/>
      <c r="AD75" s="826"/>
      <c r="AE75" s="826"/>
      <c r="AF75" s="826"/>
      <c r="AG75" s="835"/>
    </row>
    <row r="76" spans="1:34" x14ac:dyDescent="0.2">
      <c r="A76" s="834"/>
      <c r="B76" s="832"/>
      <c r="C76" s="832"/>
      <c r="D76" s="832"/>
      <c r="E76" s="832"/>
      <c r="F76" s="832"/>
      <c r="G76" s="832"/>
      <c r="H76" s="832"/>
      <c r="I76" s="832"/>
      <c r="J76" s="832"/>
      <c r="K76" s="832"/>
      <c r="L76" s="832"/>
      <c r="M76" s="832"/>
      <c r="N76" s="832"/>
      <c r="O76" s="832"/>
      <c r="P76" s="832"/>
      <c r="Q76" s="826" t="s">
        <v>623</v>
      </c>
      <c r="R76" s="826"/>
      <c r="S76" s="826"/>
      <c r="T76" s="826"/>
      <c r="U76" s="826"/>
      <c r="V76" s="826"/>
      <c r="W76" s="826"/>
      <c r="X76" s="826"/>
      <c r="Y76" s="826"/>
      <c r="Z76" s="826"/>
      <c r="AA76" s="826"/>
      <c r="AB76" s="826"/>
      <c r="AC76" s="826"/>
      <c r="AD76" s="826"/>
      <c r="AE76" s="826"/>
      <c r="AF76" s="826"/>
      <c r="AG76" s="835"/>
    </row>
    <row r="77" spans="1:34" x14ac:dyDescent="0.2">
      <c r="A77" s="834" t="s">
        <v>45</v>
      </c>
      <c r="B77" s="832"/>
      <c r="C77" s="832"/>
      <c r="D77" s="832"/>
      <c r="E77" s="832"/>
      <c r="F77" s="832"/>
      <c r="G77" s="832"/>
      <c r="H77" s="832"/>
      <c r="I77" s="832"/>
      <c r="J77" s="832"/>
      <c r="K77" s="832"/>
      <c r="L77" s="832"/>
      <c r="M77" s="832"/>
      <c r="N77" s="832"/>
      <c r="O77" s="832"/>
      <c r="P77" s="832"/>
      <c r="Q77" s="826" t="s">
        <v>486</v>
      </c>
      <c r="R77" s="826"/>
      <c r="S77" s="826"/>
      <c r="T77" s="826"/>
      <c r="U77" s="826"/>
      <c r="V77" s="826"/>
      <c r="W77" s="826"/>
      <c r="X77" s="826"/>
      <c r="Y77" s="826"/>
      <c r="Z77" s="826"/>
      <c r="AA77" s="826"/>
      <c r="AB77" s="826"/>
      <c r="AC77" s="826"/>
      <c r="AD77" s="826"/>
      <c r="AE77" s="826"/>
      <c r="AF77" s="826"/>
      <c r="AG77" s="835"/>
    </row>
    <row r="78" spans="1:34" x14ac:dyDescent="0.2">
      <c r="A78" s="834" t="s">
        <v>46</v>
      </c>
      <c r="B78" s="832"/>
      <c r="C78" s="832"/>
      <c r="D78" s="832"/>
      <c r="E78" s="832"/>
      <c r="F78" s="832"/>
      <c r="G78" s="832"/>
      <c r="H78" s="832"/>
      <c r="I78" s="832"/>
      <c r="J78" s="832"/>
      <c r="K78" s="832"/>
      <c r="L78" s="832"/>
      <c r="M78" s="832"/>
      <c r="N78" s="832"/>
      <c r="O78" s="832"/>
      <c r="P78" s="832"/>
      <c r="Q78" s="826" t="s">
        <v>47</v>
      </c>
      <c r="R78" s="826"/>
      <c r="S78" s="826"/>
      <c r="T78" s="826"/>
      <c r="U78" s="826"/>
      <c r="V78" s="826"/>
      <c r="W78" s="826"/>
      <c r="X78" s="826"/>
      <c r="Y78" s="826"/>
      <c r="Z78" s="826"/>
      <c r="AA78" s="826"/>
      <c r="AB78" s="826"/>
      <c r="AC78" s="826"/>
      <c r="AD78" s="826"/>
      <c r="AE78" s="826"/>
      <c r="AF78" s="826"/>
      <c r="AG78" s="835"/>
    </row>
    <row r="79" spans="1:34" x14ac:dyDescent="0.2">
      <c r="A79" s="834"/>
      <c r="B79" s="832"/>
      <c r="C79" s="832"/>
      <c r="D79" s="832"/>
      <c r="E79" s="832"/>
      <c r="F79" s="832"/>
      <c r="G79" s="832"/>
      <c r="H79" s="832"/>
      <c r="I79" s="832"/>
      <c r="J79" s="832"/>
      <c r="K79" s="832"/>
      <c r="L79" s="832"/>
      <c r="M79" s="832"/>
      <c r="N79" s="832"/>
      <c r="O79" s="832"/>
      <c r="P79" s="832"/>
      <c r="Q79" s="826" t="s">
        <v>48</v>
      </c>
      <c r="R79" s="826"/>
      <c r="S79" s="826"/>
      <c r="T79" s="826"/>
      <c r="U79" s="826"/>
      <c r="V79" s="826"/>
      <c r="W79" s="826"/>
      <c r="X79" s="826"/>
      <c r="Y79" s="826"/>
      <c r="Z79" s="826"/>
      <c r="AA79" s="826"/>
      <c r="AB79" s="826"/>
      <c r="AC79" s="826"/>
      <c r="AD79" s="826"/>
      <c r="AE79" s="826"/>
      <c r="AF79" s="826"/>
      <c r="AG79" s="835"/>
    </row>
    <row r="80" spans="1:34" x14ac:dyDescent="0.2">
      <c r="A80" s="834"/>
      <c r="B80" s="832"/>
      <c r="C80" s="832"/>
      <c r="D80" s="832"/>
      <c r="E80" s="832"/>
      <c r="F80" s="832"/>
      <c r="G80" s="832"/>
      <c r="H80" s="832"/>
      <c r="I80" s="832"/>
      <c r="J80" s="832"/>
      <c r="K80" s="832"/>
      <c r="L80" s="832"/>
      <c r="M80" s="832"/>
      <c r="N80" s="832"/>
      <c r="O80" s="832"/>
      <c r="P80" s="832"/>
      <c r="Q80" s="826" t="s">
        <v>49</v>
      </c>
      <c r="R80" s="826"/>
      <c r="S80" s="826"/>
      <c r="T80" s="826"/>
      <c r="U80" s="826"/>
      <c r="V80" s="826"/>
      <c r="W80" s="826"/>
      <c r="X80" s="826"/>
      <c r="Y80" s="826"/>
      <c r="Z80" s="826"/>
      <c r="AA80" s="826"/>
      <c r="AB80" s="826"/>
      <c r="AC80" s="826"/>
      <c r="AD80" s="826"/>
      <c r="AE80" s="826"/>
      <c r="AF80" s="826"/>
      <c r="AG80" s="835"/>
    </row>
    <row r="81" spans="1:33" x14ac:dyDescent="0.2">
      <c r="A81" s="834"/>
      <c r="B81" s="832"/>
      <c r="C81" s="832"/>
      <c r="D81" s="832"/>
      <c r="E81" s="832"/>
      <c r="F81" s="832"/>
      <c r="G81" s="832"/>
      <c r="H81" s="832"/>
      <c r="I81" s="832"/>
      <c r="J81" s="832"/>
      <c r="K81" s="832"/>
      <c r="L81" s="832"/>
      <c r="M81" s="832"/>
      <c r="N81" s="832"/>
      <c r="O81" s="832"/>
      <c r="P81" s="832"/>
      <c r="Q81" s="826" t="s">
        <v>50</v>
      </c>
      <c r="R81" s="826"/>
      <c r="S81" s="826"/>
      <c r="T81" s="826"/>
      <c r="U81" s="826"/>
      <c r="V81" s="826"/>
      <c r="W81" s="826"/>
      <c r="X81" s="826"/>
      <c r="Y81" s="826"/>
      <c r="Z81" s="826"/>
      <c r="AA81" s="826"/>
      <c r="AB81" s="826"/>
      <c r="AC81" s="826"/>
      <c r="AD81" s="826"/>
      <c r="AE81" s="826"/>
      <c r="AF81" s="826"/>
      <c r="AG81" s="835"/>
    </row>
    <row r="82" spans="1:33" x14ac:dyDescent="0.2">
      <c r="A82" s="834"/>
      <c r="B82" s="832"/>
      <c r="C82" s="832"/>
      <c r="D82" s="832"/>
      <c r="E82" s="832"/>
      <c r="F82" s="832"/>
      <c r="G82" s="832"/>
      <c r="H82" s="832"/>
      <c r="I82" s="832"/>
      <c r="J82" s="832"/>
      <c r="K82" s="832"/>
      <c r="L82" s="832"/>
      <c r="M82" s="832"/>
      <c r="N82" s="832"/>
      <c r="O82" s="832"/>
      <c r="P82" s="832"/>
      <c r="Q82" s="826" t="s">
        <v>51</v>
      </c>
      <c r="R82" s="826"/>
      <c r="S82" s="826"/>
      <c r="T82" s="826"/>
      <c r="U82" s="826"/>
      <c r="V82" s="826"/>
      <c r="W82" s="826"/>
      <c r="X82" s="826"/>
      <c r="Y82" s="826"/>
      <c r="Z82" s="826"/>
      <c r="AA82" s="826"/>
      <c r="AB82" s="826"/>
      <c r="AC82" s="826"/>
      <c r="AD82" s="826"/>
      <c r="AE82" s="826"/>
      <c r="AF82" s="826"/>
      <c r="AG82" s="835"/>
    </row>
    <row r="83" spans="1:33" x14ac:dyDescent="0.2">
      <c r="A83" s="834"/>
      <c r="B83" s="832"/>
      <c r="C83" s="832"/>
      <c r="D83" s="832"/>
      <c r="E83" s="832"/>
      <c r="F83" s="832"/>
      <c r="G83" s="832"/>
      <c r="H83" s="832"/>
      <c r="I83" s="832"/>
      <c r="J83" s="832"/>
      <c r="K83" s="832"/>
      <c r="L83" s="832"/>
      <c r="M83" s="832"/>
      <c r="N83" s="832"/>
      <c r="O83" s="832"/>
      <c r="P83" s="832"/>
      <c r="Q83" s="826" t="s">
        <v>624</v>
      </c>
      <c r="R83" s="826"/>
      <c r="S83" s="826"/>
      <c r="T83" s="826"/>
      <c r="U83" s="826"/>
      <c r="V83" s="826"/>
      <c r="W83" s="826"/>
      <c r="X83" s="826"/>
      <c r="Y83" s="826"/>
      <c r="Z83" s="826"/>
      <c r="AA83" s="826"/>
      <c r="AB83" s="826"/>
      <c r="AC83" s="826"/>
      <c r="AD83" s="826"/>
      <c r="AE83" s="826"/>
      <c r="AF83" s="826"/>
      <c r="AG83" s="835"/>
    </row>
    <row r="84" spans="1:33" x14ac:dyDescent="0.2">
      <c r="A84" s="834" t="s">
        <v>52</v>
      </c>
      <c r="B84" s="832"/>
      <c r="C84" s="832"/>
      <c r="D84" s="832"/>
      <c r="E84" s="832"/>
      <c r="F84" s="832"/>
      <c r="G84" s="832"/>
      <c r="H84" s="832"/>
      <c r="I84" s="832"/>
      <c r="J84" s="832"/>
      <c r="K84" s="832"/>
      <c r="L84" s="832"/>
      <c r="M84" s="832"/>
      <c r="N84" s="832"/>
      <c r="O84" s="832"/>
      <c r="P84" s="832"/>
      <c r="Q84" s="826" t="s">
        <v>487</v>
      </c>
      <c r="R84" s="826"/>
      <c r="S84" s="826"/>
      <c r="T84" s="826"/>
      <c r="U84" s="826"/>
      <c r="V84" s="826"/>
      <c r="W84" s="826"/>
      <c r="X84" s="826"/>
      <c r="Y84" s="826"/>
      <c r="Z84" s="826"/>
      <c r="AA84" s="826"/>
      <c r="AB84" s="826"/>
      <c r="AC84" s="826"/>
      <c r="AD84" s="826"/>
      <c r="AE84" s="826"/>
      <c r="AF84" s="826"/>
      <c r="AG84" s="835"/>
    </row>
    <row r="85" spans="1:33" x14ac:dyDescent="0.2">
      <c r="A85" s="834"/>
      <c r="B85" s="832"/>
      <c r="C85" s="832"/>
      <c r="D85" s="832"/>
      <c r="E85" s="832"/>
      <c r="F85" s="832"/>
      <c r="G85" s="832"/>
      <c r="H85" s="832"/>
      <c r="I85" s="832"/>
      <c r="J85" s="832"/>
      <c r="K85" s="832"/>
      <c r="L85" s="832"/>
      <c r="M85" s="832"/>
      <c r="N85" s="832"/>
      <c r="O85" s="832"/>
      <c r="P85" s="832"/>
      <c r="Q85" s="826" t="s">
        <v>488</v>
      </c>
      <c r="R85" s="826"/>
      <c r="S85" s="826"/>
      <c r="T85" s="826"/>
      <c r="U85" s="826"/>
      <c r="V85" s="826"/>
      <c r="W85" s="826"/>
      <c r="X85" s="826"/>
      <c r="Y85" s="826"/>
      <c r="Z85" s="826"/>
      <c r="AA85" s="826"/>
      <c r="AB85" s="826"/>
      <c r="AC85" s="826"/>
      <c r="AD85" s="826"/>
      <c r="AE85" s="826"/>
      <c r="AF85" s="826"/>
      <c r="AG85" s="835"/>
    </row>
    <row r="86" spans="1:33" x14ac:dyDescent="0.2">
      <c r="A86" s="834" t="s">
        <v>53</v>
      </c>
      <c r="B86" s="832"/>
      <c r="C86" s="832"/>
      <c r="D86" s="832"/>
      <c r="E86" s="832"/>
      <c r="F86" s="832"/>
      <c r="G86" s="832"/>
      <c r="H86" s="832"/>
      <c r="I86" s="832"/>
      <c r="J86" s="832"/>
      <c r="K86" s="832"/>
      <c r="L86" s="832"/>
      <c r="M86" s="832"/>
      <c r="N86" s="832"/>
      <c r="O86" s="832"/>
      <c r="P86" s="832"/>
      <c r="Q86" s="826" t="s">
        <v>54</v>
      </c>
      <c r="R86" s="826"/>
      <c r="S86" s="826"/>
      <c r="T86" s="826"/>
      <c r="U86" s="826"/>
      <c r="V86" s="826"/>
      <c r="W86" s="826"/>
      <c r="X86" s="826"/>
      <c r="Y86" s="826"/>
      <c r="Z86" s="826"/>
      <c r="AA86" s="826"/>
      <c r="AB86" s="826"/>
      <c r="AC86" s="826"/>
      <c r="AD86" s="826"/>
      <c r="AE86" s="826"/>
      <c r="AF86" s="826"/>
      <c r="AG86" s="835"/>
    </row>
    <row r="87" spans="1:33" x14ac:dyDescent="0.2">
      <c r="A87" s="834"/>
      <c r="B87" s="832"/>
      <c r="C87" s="832"/>
      <c r="D87" s="832"/>
      <c r="E87" s="832"/>
      <c r="F87" s="832"/>
      <c r="G87" s="832"/>
      <c r="H87" s="832"/>
      <c r="I87" s="832"/>
      <c r="J87" s="832"/>
      <c r="K87" s="832"/>
      <c r="L87" s="832"/>
      <c r="M87" s="832"/>
      <c r="N87" s="832"/>
      <c r="O87" s="832"/>
      <c r="P87" s="832"/>
      <c r="Q87" s="836" t="s">
        <v>55</v>
      </c>
      <c r="R87" s="836"/>
      <c r="S87" s="836"/>
      <c r="T87" s="836"/>
      <c r="U87" s="836"/>
      <c r="V87" s="836"/>
      <c r="W87" s="836"/>
      <c r="X87" s="836"/>
      <c r="Y87" s="836"/>
      <c r="Z87" s="836"/>
      <c r="AA87" s="836"/>
      <c r="AB87" s="836"/>
      <c r="AC87" s="836"/>
      <c r="AD87" s="836"/>
      <c r="AE87" s="836"/>
      <c r="AF87" s="836"/>
      <c r="AG87" s="837"/>
    </row>
    <row r="88" spans="1:33" x14ac:dyDescent="0.2">
      <c r="A88" s="834"/>
      <c r="B88" s="832"/>
      <c r="C88" s="832"/>
      <c r="D88" s="832"/>
      <c r="E88" s="832"/>
      <c r="F88" s="832"/>
      <c r="G88" s="832"/>
      <c r="H88" s="832"/>
      <c r="I88" s="832"/>
      <c r="J88" s="832"/>
      <c r="K88" s="832"/>
      <c r="L88" s="832"/>
      <c r="M88" s="832"/>
      <c r="N88" s="832"/>
      <c r="O88" s="832"/>
      <c r="P88" s="832"/>
      <c r="Q88" s="826" t="s">
        <v>56</v>
      </c>
      <c r="R88" s="826"/>
      <c r="S88" s="826"/>
      <c r="T88" s="826"/>
      <c r="U88" s="826"/>
      <c r="V88" s="826"/>
      <c r="W88" s="826"/>
      <c r="X88" s="826"/>
      <c r="Y88" s="826"/>
      <c r="Z88" s="826"/>
      <c r="AA88" s="826"/>
      <c r="AB88" s="826"/>
      <c r="AC88" s="826"/>
      <c r="AD88" s="826"/>
      <c r="AE88" s="826"/>
      <c r="AF88" s="826"/>
      <c r="AG88" s="835"/>
    </row>
    <row r="89" spans="1:33" x14ac:dyDescent="0.2">
      <c r="A89" s="834"/>
      <c r="B89" s="832"/>
      <c r="C89" s="832"/>
      <c r="D89" s="832"/>
      <c r="E89" s="832"/>
      <c r="F89" s="832"/>
      <c r="G89" s="832"/>
      <c r="H89" s="832"/>
      <c r="I89" s="832"/>
      <c r="J89" s="832"/>
      <c r="K89" s="832"/>
      <c r="L89" s="832"/>
      <c r="M89" s="832"/>
      <c r="N89" s="832"/>
      <c r="O89" s="832"/>
      <c r="P89" s="832"/>
      <c r="Q89" s="836" t="s">
        <v>71</v>
      </c>
      <c r="R89" s="836"/>
      <c r="S89" s="836"/>
      <c r="T89" s="836"/>
      <c r="U89" s="836"/>
      <c r="V89" s="836"/>
      <c r="W89" s="836"/>
      <c r="X89" s="836"/>
      <c r="Y89" s="836"/>
      <c r="Z89" s="836"/>
      <c r="AA89" s="836"/>
      <c r="AB89" s="836"/>
      <c r="AC89" s="836"/>
      <c r="AD89" s="836"/>
      <c r="AE89" s="836"/>
      <c r="AF89" s="836"/>
      <c r="AG89" s="837"/>
    </row>
    <row r="90" spans="1:33" x14ac:dyDescent="0.2">
      <c r="A90" s="834"/>
      <c r="B90" s="832"/>
      <c r="C90" s="832"/>
      <c r="D90" s="832"/>
      <c r="E90" s="832"/>
      <c r="F90" s="832"/>
      <c r="G90" s="832"/>
      <c r="H90" s="832"/>
      <c r="I90" s="832"/>
      <c r="J90" s="832"/>
      <c r="K90" s="832"/>
      <c r="L90" s="832"/>
      <c r="M90" s="832"/>
      <c r="N90" s="832"/>
      <c r="O90" s="832"/>
      <c r="P90" s="832"/>
      <c r="Q90" s="826" t="s">
        <v>72</v>
      </c>
      <c r="R90" s="826"/>
      <c r="S90" s="826"/>
      <c r="T90" s="826"/>
      <c r="U90" s="826"/>
      <c r="V90" s="826"/>
      <c r="W90" s="826"/>
      <c r="X90" s="826"/>
      <c r="Y90" s="826"/>
      <c r="Z90" s="826"/>
      <c r="AA90" s="826"/>
      <c r="AB90" s="826"/>
      <c r="AC90" s="826"/>
      <c r="AD90" s="826"/>
      <c r="AE90" s="826"/>
      <c r="AF90" s="826"/>
      <c r="AG90" s="835"/>
    </row>
    <row r="91" spans="1:33" x14ac:dyDescent="0.2">
      <c r="A91" s="834"/>
      <c r="B91" s="832"/>
      <c r="C91" s="832"/>
      <c r="D91" s="832"/>
      <c r="E91" s="832"/>
      <c r="F91" s="832"/>
      <c r="G91" s="832"/>
      <c r="H91" s="832"/>
      <c r="I91" s="832"/>
      <c r="J91" s="832"/>
      <c r="K91" s="832"/>
      <c r="L91" s="832"/>
      <c r="M91" s="832"/>
      <c r="N91" s="832"/>
      <c r="O91" s="832"/>
      <c r="P91" s="832"/>
      <c r="Q91" s="826" t="s">
        <v>489</v>
      </c>
      <c r="R91" s="826"/>
      <c r="S91" s="826"/>
      <c r="T91" s="826"/>
      <c r="U91" s="826"/>
      <c r="V91" s="826"/>
      <c r="W91" s="826"/>
      <c r="X91" s="826"/>
      <c r="Y91" s="826"/>
      <c r="Z91" s="826"/>
      <c r="AA91" s="826"/>
      <c r="AB91" s="826"/>
      <c r="AC91" s="826"/>
      <c r="AD91" s="826"/>
      <c r="AE91" s="826"/>
      <c r="AF91" s="826"/>
      <c r="AG91" s="835"/>
    </row>
    <row r="92" spans="1:33" x14ac:dyDescent="0.2">
      <c r="A92" s="834"/>
      <c r="B92" s="832"/>
      <c r="C92" s="832"/>
      <c r="D92" s="832"/>
      <c r="E92" s="832"/>
      <c r="F92" s="832"/>
      <c r="G92" s="832"/>
      <c r="H92" s="832"/>
      <c r="I92" s="832"/>
      <c r="J92" s="832"/>
      <c r="K92" s="832"/>
      <c r="L92" s="832"/>
      <c r="M92" s="832"/>
      <c r="N92" s="832"/>
      <c r="O92" s="832"/>
      <c r="P92" s="832"/>
      <c r="Q92" s="826" t="s">
        <v>490</v>
      </c>
      <c r="R92" s="826"/>
      <c r="S92" s="826"/>
      <c r="T92" s="826"/>
      <c r="U92" s="826"/>
      <c r="V92" s="826"/>
      <c r="W92" s="826"/>
      <c r="X92" s="826"/>
      <c r="Y92" s="826"/>
      <c r="Z92" s="826"/>
      <c r="AA92" s="826"/>
      <c r="AB92" s="826"/>
      <c r="AC92" s="826"/>
      <c r="AD92" s="826"/>
      <c r="AE92" s="826"/>
      <c r="AF92" s="826"/>
      <c r="AG92" s="835"/>
    </row>
    <row r="93" spans="1:33" x14ac:dyDescent="0.2">
      <c r="A93" s="834"/>
      <c r="B93" s="832"/>
      <c r="C93" s="832"/>
      <c r="D93" s="832"/>
      <c r="E93" s="832"/>
      <c r="F93" s="832"/>
      <c r="G93" s="832"/>
      <c r="H93" s="832"/>
      <c r="I93" s="832"/>
      <c r="J93" s="832"/>
      <c r="K93" s="832"/>
      <c r="L93" s="832"/>
      <c r="M93" s="832"/>
      <c r="N93" s="832"/>
      <c r="O93" s="832"/>
      <c r="P93" s="832"/>
      <c r="Q93" s="826" t="s">
        <v>491</v>
      </c>
      <c r="R93" s="826"/>
      <c r="S93" s="826"/>
      <c r="T93" s="826"/>
      <c r="U93" s="826"/>
      <c r="V93" s="826"/>
      <c r="W93" s="826"/>
      <c r="X93" s="826"/>
      <c r="Y93" s="826"/>
      <c r="Z93" s="826"/>
      <c r="AA93" s="826"/>
      <c r="AB93" s="826"/>
      <c r="AC93" s="826"/>
      <c r="AD93" s="826"/>
      <c r="AE93" s="826"/>
      <c r="AF93" s="826"/>
      <c r="AG93" s="835"/>
    </row>
    <row r="94" spans="1:33" x14ac:dyDescent="0.2">
      <c r="A94" s="834"/>
      <c r="B94" s="832"/>
      <c r="C94" s="832"/>
      <c r="D94" s="832"/>
      <c r="E94" s="832"/>
      <c r="F94" s="832"/>
      <c r="G94" s="832"/>
      <c r="H94" s="832"/>
      <c r="I94" s="832"/>
      <c r="J94" s="832"/>
      <c r="K94" s="832"/>
      <c r="L94" s="832"/>
      <c r="M94" s="832"/>
      <c r="N94" s="832"/>
      <c r="O94" s="832"/>
      <c r="P94" s="832"/>
      <c r="Q94" s="826" t="s">
        <v>73</v>
      </c>
      <c r="R94" s="826"/>
      <c r="S94" s="826"/>
      <c r="T94" s="826"/>
      <c r="U94" s="826"/>
      <c r="V94" s="826"/>
      <c r="W94" s="826"/>
      <c r="X94" s="826"/>
      <c r="Y94" s="826"/>
      <c r="Z94" s="826"/>
      <c r="AA94" s="826"/>
      <c r="AB94" s="826"/>
      <c r="AC94" s="826"/>
      <c r="AD94" s="826"/>
      <c r="AE94" s="826"/>
      <c r="AF94" s="826"/>
      <c r="AG94" s="835"/>
    </row>
    <row r="95" spans="1:33" x14ac:dyDescent="0.2">
      <c r="A95" s="834"/>
      <c r="B95" s="832"/>
      <c r="C95" s="832"/>
      <c r="D95" s="832"/>
      <c r="E95" s="832"/>
      <c r="F95" s="832"/>
      <c r="G95" s="832"/>
      <c r="H95" s="832"/>
      <c r="I95" s="832"/>
      <c r="J95" s="832"/>
      <c r="K95" s="832"/>
      <c r="L95" s="832"/>
      <c r="M95" s="832"/>
      <c r="N95" s="832"/>
      <c r="O95" s="832"/>
      <c r="P95" s="832"/>
      <c r="Q95" s="826" t="s">
        <v>74</v>
      </c>
      <c r="R95" s="826"/>
      <c r="S95" s="826"/>
      <c r="T95" s="826"/>
      <c r="U95" s="826"/>
      <c r="V95" s="826"/>
      <c r="W95" s="826"/>
      <c r="X95" s="826"/>
      <c r="Y95" s="826"/>
      <c r="Z95" s="826"/>
      <c r="AA95" s="826"/>
      <c r="AB95" s="826"/>
      <c r="AC95" s="826"/>
      <c r="AD95" s="826"/>
      <c r="AE95" s="826"/>
      <c r="AF95" s="826"/>
      <c r="AG95" s="835"/>
    </row>
    <row r="96" spans="1:33" x14ac:dyDescent="0.2">
      <c r="A96" s="834"/>
      <c r="B96" s="832"/>
      <c r="C96" s="832"/>
      <c r="D96" s="832"/>
      <c r="E96" s="832"/>
      <c r="F96" s="832"/>
      <c r="G96" s="832"/>
      <c r="H96" s="832"/>
      <c r="I96" s="832"/>
      <c r="J96" s="832"/>
      <c r="K96" s="832"/>
      <c r="L96" s="832"/>
      <c r="M96" s="832"/>
      <c r="N96" s="832"/>
      <c r="O96" s="832"/>
      <c r="P96" s="832"/>
      <c r="Q96" s="826" t="s">
        <v>492</v>
      </c>
      <c r="R96" s="826"/>
      <c r="S96" s="826"/>
      <c r="T96" s="826"/>
      <c r="U96" s="826"/>
      <c r="V96" s="826"/>
      <c r="W96" s="826"/>
      <c r="X96" s="826"/>
      <c r="Y96" s="826"/>
      <c r="Z96" s="826"/>
      <c r="AA96" s="826"/>
      <c r="AB96" s="826"/>
      <c r="AC96" s="826"/>
      <c r="AD96" s="826"/>
      <c r="AE96" s="826"/>
      <c r="AF96" s="826"/>
      <c r="AG96" s="835"/>
    </row>
    <row r="97" spans="1:33" x14ac:dyDescent="0.2">
      <c r="A97" s="834" t="s">
        <v>75</v>
      </c>
      <c r="B97" s="832"/>
      <c r="C97" s="832"/>
      <c r="D97" s="832"/>
      <c r="E97" s="832"/>
      <c r="F97" s="832"/>
      <c r="G97" s="832"/>
      <c r="H97" s="832"/>
      <c r="I97" s="832"/>
      <c r="J97" s="832"/>
      <c r="K97" s="832"/>
      <c r="L97" s="832"/>
      <c r="M97" s="832"/>
      <c r="N97" s="832"/>
      <c r="O97" s="832"/>
      <c r="P97" s="832"/>
      <c r="Q97" s="838"/>
      <c r="R97" s="838"/>
      <c r="S97" s="838"/>
      <c r="T97" s="838"/>
      <c r="U97" s="838"/>
      <c r="V97" s="838"/>
      <c r="W97" s="838"/>
      <c r="X97" s="838"/>
      <c r="Y97" s="838"/>
      <c r="Z97" s="838"/>
      <c r="AA97" s="838"/>
      <c r="AB97" s="838"/>
      <c r="AC97" s="838"/>
      <c r="AD97" s="838"/>
      <c r="AE97" s="838"/>
      <c r="AF97" s="838"/>
      <c r="AG97" s="839"/>
    </row>
    <row r="98" spans="1:33" x14ac:dyDescent="0.2">
      <c r="A98" s="842" t="s">
        <v>485</v>
      </c>
      <c r="B98" s="843"/>
      <c r="C98" s="843"/>
      <c r="D98" s="843"/>
      <c r="E98" s="843"/>
      <c r="F98" s="843"/>
      <c r="G98" s="843"/>
      <c r="H98" s="843"/>
      <c r="I98" s="843"/>
      <c r="J98" s="843"/>
      <c r="K98" s="843"/>
      <c r="L98" s="843"/>
      <c r="M98" s="843"/>
      <c r="N98" s="843"/>
      <c r="O98" s="843"/>
      <c r="P98" s="843"/>
      <c r="Q98" s="840"/>
      <c r="R98" s="840"/>
      <c r="S98" s="840"/>
      <c r="T98" s="840"/>
      <c r="U98" s="840"/>
      <c r="V98" s="840"/>
      <c r="W98" s="840"/>
      <c r="X98" s="840"/>
      <c r="Y98" s="840"/>
      <c r="Z98" s="840"/>
      <c r="AA98" s="840"/>
      <c r="AB98" s="840"/>
      <c r="AC98" s="840"/>
      <c r="AD98" s="840"/>
      <c r="AE98" s="840"/>
      <c r="AF98" s="840"/>
      <c r="AG98" s="841"/>
    </row>
  </sheetData>
  <mergeCells count="75">
    <mergeCell ref="A97:P97"/>
    <mergeCell ref="Q97:AG98"/>
    <mergeCell ref="A98:P98"/>
    <mergeCell ref="Q92:AG92"/>
    <mergeCell ref="Q93:AG93"/>
    <mergeCell ref="Q94:AG94"/>
    <mergeCell ref="Q95:AG95"/>
    <mergeCell ref="A84:P85"/>
    <mergeCell ref="Q84:AG84"/>
    <mergeCell ref="Q85:AG85"/>
    <mergeCell ref="A86:P96"/>
    <mergeCell ref="Q86:AG86"/>
    <mergeCell ref="Q87:AG87"/>
    <mergeCell ref="Q88:AG88"/>
    <mergeCell ref="Q89:AG89"/>
    <mergeCell ref="Q90:AG90"/>
    <mergeCell ref="Q91:AG91"/>
    <mergeCell ref="Q96:AG96"/>
    <mergeCell ref="A77:P77"/>
    <mergeCell ref="Q77:AG77"/>
    <mergeCell ref="A78:P83"/>
    <mergeCell ref="Q78:AG78"/>
    <mergeCell ref="Q79:AG79"/>
    <mergeCell ref="Q80:AG80"/>
    <mergeCell ref="Q81:AG81"/>
    <mergeCell ref="Q82:AG82"/>
    <mergeCell ref="Q83:AG83"/>
    <mergeCell ref="A73:P73"/>
    <mergeCell ref="Q73:AG73"/>
    <mergeCell ref="A74:P76"/>
    <mergeCell ref="Q74:AG74"/>
    <mergeCell ref="Q75:AG75"/>
    <mergeCell ref="Q76:AG76"/>
    <mergeCell ref="T8:U8"/>
    <mergeCell ref="V8:W8"/>
    <mergeCell ref="V7:W7"/>
    <mergeCell ref="T6:U6"/>
    <mergeCell ref="V6:W6"/>
    <mergeCell ref="J6:K6"/>
    <mergeCell ref="A71:P71"/>
    <mergeCell ref="A72:P72"/>
    <mergeCell ref="AB6:AC8"/>
    <mergeCell ref="A69:P69"/>
    <mergeCell ref="Q69:AG72"/>
    <mergeCell ref="X6:Y8"/>
    <mergeCell ref="Z6:AA6"/>
    <mergeCell ref="N8:O8"/>
    <mergeCell ref="P8:Q8"/>
    <mergeCell ref="AD6:AE8"/>
    <mergeCell ref="Z7:AA7"/>
    <mergeCell ref="Z8:AA8"/>
    <mergeCell ref="H6:I8"/>
    <mergeCell ref="L6:Q7"/>
    <mergeCell ref="R6:S8"/>
    <mergeCell ref="A70:P70"/>
    <mergeCell ref="B7:C7"/>
    <mergeCell ref="J7:K7"/>
    <mergeCell ref="J8:K8"/>
    <mergeCell ref="L8:M8"/>
    <mergeCell ref="A1:AG1"/>
    <mergeCell ref="A2:AG2"/>
    <mergeCell ref="A3:A8"/>
    <mergeCell ref="B3:C3"/>
    <mergeCell ref="D3:I5"/>
    <mergeCell ref="J3:S5"/>
    <mergeCell ref="T3:Y5"/>
    <mergeCell ref="Z3:AE5"/>
    <mergeCell ref="AF3:AG8"/>
    <mergeCell ref="B4:C4"/>
    <mergeCell ref="T7:U7"/>
    <mergeCell ref="B5:C5"/>
    <mergeCell ref="B6:C6"/>
    <mergeCell ref="D6:E8"/>
    <mergeCell ref="F6:G8"/>
    <mergeCell ref="B8:C8"/>
  </mergeCells>
  <phoneticPr fontId="4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9"/>
  <sheetViews>
    <sheetView topLeftCell="A5" workbookViewId="0">
      <selection activeCell="O36" sqref="O36"/>
    </sheetView>
  </sheetViews>
  <sheetFormatPr defaultRowHeight="12.75" x14ac:dyDescent="0.2"/>
  <cols>
    <col min="1" max="1" width="4.5703125" bestFit="1" customWidth="1"/>
    <col min="2" max="2" width="6.5703125" bestFit="1" customWidth="1"/>
    <col min="3" max="3" width="2.28515625" bestFit="1" customWidth="1"/>
    <col min="4" max="4" width="4.85546875" bestFit="1" customWidth="1"/>
    <col min="5" max="5" width="2.28515625" bestFit="1" customWidth="1"/>
    <col min="6" max="6" width="6.5703125" bestFit="1" customWidth="1"/>
    <col min="7" max="7" width="2.28515625" bestFit="1" customWidth="1"/>
    <col min="8" max="8" width="6.5703125" bestFit="1" customWidth="1"/>
    <col min="9" max="9" width="2.28515625" bestFit="1" customWidth="1"/>
    <col min="10" max="10" width="6.28515625" bestFit="1" customWidth="1"/>
    <col min="11" max="11" width="2.28515625" bestFit="1" customWidth="1"/>
    <col min="12" max="12" width="6.28515625" bestFit="1" customWidth="1"/>
    <col min="13" max="13" width="2.5703125" bestFit="1" customWidth="1"/>
    <col min="14" max="14" width="6.5703125" bestFit="1" customWidth="1"/>
    <col min="15" max="15" width="2.42578125" bestFit="1" customWidth="1"/>
    <col min="16" max="16" width="6.5703125" bestFit="1" customWidth="1"/>
    <col min="17" max="17" width="2.42578125" bestFit="1" customWidth="1"/>
    <col min="18" max="18" width="6.7109375" bestFit="1" customWidth="1"/>
    <col min="19" max="19" width="2.28515625" bestFit="1" customWidth="1"/>
    <col min="20" max="20" width="5.5703125" bestFit="1" customWidth="1"/>
    <col min="21" max="21" width="2.28515625" bestFit="1" customWidth="1"/>
    <col min="22" max="22" width="4.85546875" bestFit="1" customWidth="1"/>
    <col min="23" max="23" width="2.28515625" bestFit="1" customWidth="1"/>
    <col min="24" max="24" width="5.5703125" bestFit="1" customWidth="1"/>
    <col min="25" max="25" width="2.28515625" bestFit="1" customWidth="1"/>
    <col min="26" max="26" width="6.5703125" bestFit="1" customWidth="1"/>
    <col min="27" max="27" width="2.42578125" bestFit="1" customWidth="1"/>
    <col min="28" max="28" width="6.28515625" bestFit="1" customWidth="1"/>
    <col min="29" max="29" width="2.42578125" bestFit="1" customWidth="1"/>
    <col min="30" max="30" width="6.5703125" bestFit="1" customWidth="1"/>
    <col min="31" max="31" width="2.42578125" bestFit="1" customWidth="1"/>
    <col min="32" max="32" width="7.28515625" bestFit="1" customWidth="1"/>
    <col min="33" max="33" width="2.42578125" bestFit="1" customWidth="1"/>
    <col min="34" max="34" width="10.140625" bestFit="1" customWidth="1"/>
  </cols>
  <sheetData>
    <row r="1" spans="1:34" ht="15.75" x14ac:dyDescent="0.25">
      <c r="A1" s="879" t="s">
        <v>818</v>
      </c>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1"/>
    </row>
    <row r="2" spans="1:34" x14ac:dyDescent="0.2">
      <c r="A2" s="882" t="s">
        <v>475</v>
      </c>
      <c r="B2" s="883"/>
      <c r="C2" s="883"/>
      <c r="D2" s="883"/>
      <c r="E2" s="883"/>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4"/>
    </row>
    <row r="3" spans="1:34" ht="15" x14ac:dyDescent="0.25">
      <c r="A3" s="885" t="s">
        <v>310</v>
      </c>
      <c r="B3" s="877"/>
      <c r="C3" s="878"/>
      <c r="D3" s="871" t="s">
        <v>476</v>
      </c>
      <c r="E3" s="875"/>
      <c r="F3" s="875"/>
      <c r="G3" s="875"/>
      <c r="H3" s="875"/>
      <c r="I3" s="872"/>
      <c r="J3" s="871" t="s">
        <v>477</v>
      </c>
      <c r="K3" s="875"/>
      <c r="L3" s="875"/>
      <c r="M3" s="875"/>
      <c r="N3" s="875"/>
      <c r="O3" s="875"/>
      <c r="P3" s="875"/>
      <c r="Q3" s="875"/>
      <c r="R3" s="875"/>
      <c r="S3" s="872"/>
      <c r="T3" s="871" t="s">
        <v>478</v>
      </c>
      <c r="U3" s="875"/>
      <c r="V3" s="875"/>
      <c r="W3" s="875"/>
      <c r="X3" s="875"/>
      <c r="Y3" s="872"/>
      <c r="Z3" s="871" t="s">
        <v>30</v>
      </c>
      <c r="AA3" s="875"/>
      <c r="AB3" s="875"/>
      <c r="AC3" s="875"/>
      <c r="AD3" s="875"/>
      <c r="AE3" s="872"/>
      <c r="AF3" s="871" t="s">
        <v>740</v>
      </c>
      <c r="AG3" s="872"/>
    </row>
    <row r="4" spans="1:34" ht="15" x14ac:dyDescent="0.25">
      <c r="A4" s="886"/>
      <c r="B4" s="889"/>
      <c r="C4" s="890"/>
      <c r="D4" s="869"/>
      <c r="E4" s="888"/>
      <c r="F4" s="888"/>
      <c r="G4" s="888"/>
      <c r="H4" s="888"/>
      <c r="I4" s="870"/>
      <c r="J4" s="869"/>
      <c r="K4" s="888"/>
      <c r="L4" s="888"/>
      <c r="M4" s="888"/>
      <c r="N4" s="888"/>
      <c r="O4" s="888"/>
      <c r="P4" s="888"/>
      <c r="Q4" s="888"/>
      <c r="R4" s="888"/>
      <c r="S4" s="870"/>
      <c r="T4" s="869"/>
      <c r="U4" s="888"/>
      <c r="V4" s="888"/>
      <c r="W4" s="888"/>
      <c r="X4" s="888"/>
      <c r="Y4" s="870"/>
      <c r="Z4" s="869"/>
      <c r="AA4" s="888"/>
      <c r="AB4" s="888"/>
      <c r="AC4" s="888"/>
      <c r="AD4" s="888"/>
      <c r="AE4" s="870"/>
      <c r="AF4" s="869"/>
      <c r="AG4" s="870"/>
    </row>
    <row r="5" spans="1:34" ht="15" x14ac:dyDescent="0.25">
      <c r="A5" s="886"/>
      <c r="B5" s="889"/>
      <c r="C5" s="890"/>
      <c r="D5" s="873"/>
      <c r="E5" s="876"/>
      <c r="F5" s="876"/>
      <c r="G5" s="876"/>
      <c r="H5" s="876"/>
      <c r="I5" s="874"/>
      <c r="J5" s="873"/>
      <c r="K5" s="876"/>
      <c r="L5" s="876"/>
      <c r="M5" s="876"/>
      <c r="N5" s="876"/>
      <c r="O5" s="876"/>
      <c r="P5" s="876"/>
      <c r="Q5" s="876"/>
      <c r="R5" s="876"/>
      <c r="S5" s="874"/>
      <c r="T5" s="873"/>
      <c r="U5" s="876"/>
      <c r="V5" s="876"/>
      <c r="W5" s="876"/>
      <c r="X5" s="876"/>
      <c r="Y5" s="874"/>
      <c r="Z5" s="873"/>
      <c r="AA5" s="876"/>
      <c r="AB5" s="876"/>
      <c r="AC5" s="876"/>
      <c r="AD5" s="876"/>
      <c r="AE5" s="874"/>
      <c r="AF5" s="869"/>
      <c r="AG5" s="870"/>
    </row>
    <row r="6" spans="1:34" ht="15" x14ac:dyDescent="0.25">
      <c r="A6" s="886"/>
      <c r="B6" s="869" t="s">
        <v>479</v>
      </c>
      <c r="C6" s="870"/>
      <c r="D6" s="871" t="s">
        <v>31</v>
      </c>
      <c r="E6" s="872"/>
      <c r="F6" s="871" t="s">
        <v>32</v>
      </c>
      <c r="G6" s="872"/>
      <c r="H6" s="871" t="s">
        <v>740</v>
      </c>
      <c r="I6" s="872"/>
      <c r="J6" s="877"/>
      <c r="K6" s="878"/>
      <c r="L6" s="871" t="s">
        <v>480</v>
      </c>
      <c r="M6" s="875"/>
      <c r="N6" s="875"/>
      <c r="O6" s="875"/>
      <c r="P6" s="875"/>
      <c r="Q6" s="872"/>
      <c r="R6" s="871" t="s">
        <v>740</v>
      </c>
      <c r="S6" s="872"/>
      <c r="T6" s="871" t="s">
        <v>33</v>
      </c>
      <c r="U6" s="872"/>
      <c r="V6" s="877"/>
      <c r="W6" s="878"/>
      <c r="X6" s="871" t="s">
        <v>740</v>
      </c>
      <c r="Y6" s="872"/>
      <c r="Z6" s="877"/>
      <c r="AA6" s="878"/>
      <c r="AB6" s="871" t="s">
        <v>300</v>
      </c>
      <c r="AC6" s="872"/>
      <c r="AD6" s="871" t="s">
        <v>740</v>
      </c>
      <c r="AE6" s="872"/>
      <c r="AF6" s="869"/>
      <c r="AG6" s="870"/>
    </row>
    <row r="7" spans="1:34" x14ac:dyDescent="0.2">
      <c r="A7" s="886"/>
      <c r="B7" s="869" t="s">
        <v>481</v>
      </c>
      <c r="C7" s="870"/>
      <c r="D7" s="869"/>
      <c r="E7" s="870"/>
      <c r="F7" s="869"/>
      <c r="G7" s="870"/>
      <c r="H7" s="869"/>
      <c r="I7" s="870"/>
      <c r="J7" s="869" t="s">
        <v>482</v>
      </c>
      <c r="K7" s="870"/>
      <c r="L7" s="873"/>
      <c r="M7" s="876"/>
      <c r="N7" s="876"/>
      <c r="O7" s="876"/>
      <c r="P7" s="876"/>
      <c r="Q7" s="874"/>
      <c r="R7" s="869"/>
      <c r="S7" s="870"/>
      <c r="T7" s="869" t="s">
        <v>483</v>
      </c>
      <c r="U7" s="870"/>
      <c r="V7" s="869" t="s">
        <v>231</v>
      </c>
      <c r="W7" s="870"/>
      <c r="X7" s="869"/>
      <c r="Y7" s="870"/>
      <c r="Z7" s="869" t="s">
        <v>662</v>
      </c>
      <c r="AA7" s="870"/>
      <c r="AB7" s="869"/>
      <c r="AC7" s="870"/>
      <c r="AD7" s="869"/>
      <c r="AE7" s="870"/>
      <c r="AF7" s="869"/>
      <c r="AG7" s="870"/>
    </row>
    <row r="8" spans="1:34" x14ac:dyDescent="0.2">
      <c r="A8" s="887"/>
      <c r="B8" s="873"/>
      <c r="C8" s="874"/>
      <c r="D8" s="873"/>
      <c r="E8" s="874"/>
      <c r="F8" s="873"/>
      <c r="G8" s="874"/>
      <c r="H8" s="873"/>
      <c r="I8" s="874"/>
      <c r="J8" s="873" t="s">
        <v>484</v>
      </c>
      <c r="K8" s="874"/>
      <c r="L8" s="867" t="s">
        <v>34</v>
      </c>
      <c r="M8" s="868"/>
      <c r="N8" s="867" t="s">
        <v>35</v>
      </c>
      <c r="O8" s="868"/>
      <c r="P8" s="867" t="s">
        <v>740</v>
      </c>
      <c r="Q8" s="868"/>
      <c r="R8" s="873"/>
      <c r="S8" s="874"/>
      <c r="T8" s="873" t="s">
        <v>36</v>
      </c>
      <c r="U8" s="874"/>
      <c r="V8" s="873" t="s">
        <v>37</v>
      </c>
      <c r="W8" s="874"/>
      <c r="X8" s="873"/>
      <c r="Y8" s="874"/>
      <c r="Z8" s="873" t="s">
        <v>301</v>
      </c>
      <c r="AA8" s="874"/>
      <c r="AB8" s="873"/>
      <c r="AC8" s="874"/>
      <c r="AD8" s="873"/>
      <c r="AE8" s="874"/>
      <c r="AF8" s="873"/>
      <c r="AG8" s="874"/>
    </row>
    <row r="9" spans="1:34" ht="15" x14ac:dyDescent="0.25">
      <c r="A9" s="475">
        <v>1949</v>
      </c>
      <c r="B9" s="476">
        <v>992544</v>
      </c>
      <c r="C9" s="477"/>
      <c r="D9" s="478"/>
      <c r="E9" s="479" t="s">
        <v>302</v>
      </c>
      <c r="F9" s="476">
        <v>347818</v>
      </c>
      <c r="G9" s="477"/>
      <c r="H9" s="476">
        <v>347818</v>
      </c>
      <c r="I9" s="477"/>
      <c r="J9" s="476">
        <v>835297</v>
      </c>
      <c r="K9" s="477"/>
      <c r="L9" s="478"/>
      <c r="M9" s="479" t="s">
        <v>648</v>
      </c>
      <c r="N9" s="476">
        <v>2245372</v>
      </c>
      <c r="O9" s="477"/>
      <c r="P9" s="476">
        <v>2245372</v>
      </c>
      <c r="Q9" s="477"/>
      <c r="R9" s="476">
        <v>3080669</v>
      </c>
      <c r="S9" s="477"/>
      <c r="T9" s="480" t="s">
        <v>325</v>
      </c>
      <c r="U9" s="477"/>
      <c r="V9" s="480" t="s">
        <v>325</v>
      </c>
      <c r="W9" s="477"/>
      <c r="X9" s="480" t="s">
        <v>325</v>
      </c>
      <c r="Y9" s="477"/>
      <c r="Z9" s="476">
        <v>550121</v>
      </c>
      <c r="AA9" s="477"/>
      <c r="AB9" s="480" t="s">
        <v>325</v>
      </c>
      <c r="AC9" s="477"/>
      <c r="AD9" s="476">
        <v>550121</v>
      </c>
      <c r="AE9" s="477"/>
      <c r="AF9" s="476">
        <v>4971152</v>
      </c>
      <c r="AG9" s="477"/>
      <c r="AH9" s="4" t="e">
        <f>AF9-J9-T9</f>
        <v>#VALUE!</v>
      </c>
    </row>
    <row r="10" spans="1:34" ht="15" x14ac:dyDescent="0.25">
      <c r="A10" s="475">
        <v>1950</v>
      </c>
      <c r="B10" s="476">
        <v>1198369</v>
      </c>
      <c r="C10" s="477"/>
      <c r="D10" s="478"/>
      <c r="E10" s="479" t="s">
        <v>302</v>
      </c>
      <c r="F10" s="476">
        <v>387838</v>
      </c>
      <c r="G10" s="477"/>
      <c r="H10" s="476">
        <v>387838</v>
      </c>
      <c r="I10" s="477"/>
      <c r="J10" s="476">
        <v>927611</v>
      </c>
      <c r="K10" s="477"/>
      <c r="L10" s="478"/>
      <c r="M10" s="479" t="s">
        <v>648</v>
      </c>
      <c r="N10" s="476">
        <v>2498259</v>
      </c>
      <c r="O10" s="477"/>
      <c r="P10" s="476">
        <v>2498259</v>
      </c>
      <c r="Q10" s="477"/>
      <c r="R10" s="476">
        <v>3425870</v>
      </c>
      <c r="S10" s="477"/>
      <c r="T10" s="476">
        <v>125546</v>
      </c>
      <c r="U10" s="477"/>
      <c r="V10" s="480" t="s">
        <v>325</v>
      </c>
      <c r="W10" s="477"/>
      <c r="X10" s="476">
        <v>125546</v>
      </c>
      <c r="Y10" s="477"/>
      <c r="Z10" s="476">
        <v>628919</v>
      </c>
      <c r="AA10" s="477"/>
      <c r="AB10" s="480" t="s">
        <v>325</v>
      </c>
      <c r="AC10" s="477"/>
      <c r="AD10" s="476">
        <v>628919</v>
      </c>
      <c r="AE10" s="477"/>
      <c r="AF10" s="476">
        <v>5766542</v>
      </c>
      <c r="AG10" s="477"/>
      <c r="AH10" s="4">
        <f t="shared" ref="AH10:AH70" si="0">AF10-J10-T10</f>
        <v>4713385</v>
      </c>
    </row>
    <row r="11" spans="1:34" ht="15" x14ac:dyDescent="0.25">
      <c r="A11" s="481">
        <v>1951</v>
      </c>
      <c r="B11" s="482">
        <v>1474725</v>
      </c>
      <c r="C11" s="483"/>
      <c r="D11" s="484"/>
      <c r="E11" s="485" t="s">
        <v>302</v>
      </c>
      <c r="F11" s="482">
        <v>464309</v>
      </c>
      <c r="G11" s="483"/>
      <c r="H11" s="482">
        <v>464309</v>
      </c>
      <c r="I11" s="483"/>
      <c r="J11" s="482">
        <v>1149470</v>
      </c>
      <c r="K11" s="483"/>
      <c r="L11" s="484"/>
      <c r="M11" s="485" t="s">
        <v>648</v>
      </c>
      <c r="N11" s="482">
        <v>2765264</v>
      </c>
      <c r="O11" s="483"/>
      <c r="P11" s="482">
        <v>2765264</v>
      </c>
      <c r="Q11" s="483"/>
      <c r="R11" s="482">
        <v>3914734</v>
      </c>
      <c r="S11" s="483"/>
      <c r="T11" s="482">
        <v>192496</v>
      </c>
      <c r="U11" s="483"/>
      <c r="V11" s="486" t="s">
        <v>325</v>
      </c>
      <c r="W11" s="483"/>
      <c r="X11" s="482">
        <v>192496</v>
      </c>
      <c r="Y11" s="483"/>
      <c r="Z11" s="482">
        <v>763898</v>
      </c>
      <c r="AA11" s="483"/>
      <c r="AB11" s="486" t="s">
        <v>325</v>
      </c>
      <c r="AC11" s="483"/>
      <c r="AD11" s="482">
        <v>763898</v>
      </c>
      <c r="AE11" s="483"/>
      <c r="AF11" s="482">
        <v>6810162</v>
      </c>
      <c r="AG11" s="483"/>
      <c r="AH11" s="4">
        <f t="shared" si="0"/>
        <v>5468196</v>
      </c>
    </row>
    <row r="12" spans="1:34" ht="15" x14ac:dyDescent="0.25">
      <c r="A12" s="475">
        <v>1952</v>
      </c>
      <c r="B12" s="476">
        <v>1621966</v>
      </c>
      <c r="C12" s="477"/>
      <c r="D12" s="478"/>
      <c r="E12" s="479" t="s">
        <v>302</v>
      </c>
      <c r="F12" s="476">
        <v>515669</v>
      </c>
      <c r="G12" s="477"/>
      <c r="H12" s="476">
        <v>515669</v>
      </c>
      <c r="I12" s="477"/>
      <c r="J12" s="476">
        <v>1164596</v>
      </c>
      <c r="K12" s="477"/>
      <c r="L12" s="478"/>
      <c r="M12" s="479" t="s">
        <v>648</v>
      </c>
      <c r="N12" s="476">
        <v>2874765</v>
      </c>
      <c r="O12" s="477"/>
      <c r="P12" s="476">
        <v>2874765</v>
      </c>
      <c r="Q12" s="477"/>
      <c r="R12" s="476">
        <v>4039361</v>
      </c>
      <c r="S12" s="477"/>
      <c r="T12" s="476">
        <v>207207</v>
      </c>
      <c r="U12" s="477"/>
      <c r="V12" s="480" t="s">
        <v>325</v>
      </c>
      <c r="W12" s="477"/>
      <c r="X12" s="476">
        <v>207207</v>
      </c>
      <c r="Y12" s="477"/>
      <c r="Z12" s="476">
        <v>910117</v>
      </c>
      <c r="AA12" s="477"/>
      <c r="AB12" s="480" t="s">
        <v>325</v>
      </c>
      <c r="AC12" s="477"/>
      <c r="AD12" s="476">
        <v>910117</v>
      </c>
      <c r="AE12" s="477"/>
      <c r="AF12" s="476">
        <v>7294320</v>
      </c>
      <c r="AG12" s="477"/>
      <c r="AH12" s="4">
        <f t="shared" si="0"/>
        <v>5922517</v>
      </c>
    </row>
    <row r="13" spans="1:34" ht="15" x14ac:dyDescent="0.25">
      <c r="A13" s="475">
        <v>1953</v>
      </c>
      <c r="B13" s="476">
        <v>1685503</v>
      </c>
      <c r="C13" s="477"/>
      <c r="D13" s="478"/>
      <c r="E13" s="479" t="s">
        <v>302</v>
      </c>
      <c r="F13" s="476">
        <v>530650</v>
      </c>
      <c r="G13" s="477"/>
      <c r="H13" s="476">
        <v>530650</v>
      </c>
      <c r="I13" s="477"/>
      <c r="J13" s="476">
        <v>1131017</v>
      </c>
      <c r="K13" s="477"/>
      <c r="L13" s="478"/>
      <c r="M13" s="479" t="s">
        <v>648</v>
      </c>
      <c r="N13" s="476">
        <v>3027514</v>
      </c>
      <c r="O13" s="477"/>
      <c r="P13" s="476">
        <v>3027514</v>
      </c>
      <c r="Q13" s="477"/>
      <c r="R13" s="476">
        <v>4158531</v>
      </c>
      <c r="S13" s="477"/>
      <c r="T13" s="476">
        <v>230314</v>
      </c>
      <c r="U13" s="477"/>
      <c r="V13" s="480" t="s">
        <v>325</v>
      </c>
      <c r="W13" s="477"/>
      <c r="X13" s="476">
        <v>230314</v>
      </c>
      <c r="Y13" s="477"/>
      <c r="Z13" s="476">
        <v>1034272</v>
      </c>
      <c r="AA13" s="477"/>
      <c r="AB13" s="480" t="s">
        <v>325</v>
      </c>
      <c r="AC13" s="477"/>
      <c r="AD13" s="476">
        <v>1034272</v>
      </c>
      <c r="AE13" s="477"/>
      <c r="AF13" s="476">
        <v>7639270</v>
      </c>
      <c r="AG13" s="477"/>
      <c r="AH13" s="4">
        <f t="shared" si="0"/>
        <v>6277939</v>
      </c>
    </row>
    <row r="14" spans="1:34" ht="15" x14ac:dyDescent="0.25">
      <c r="A14" s="481">
        <v>1954</v>
      </c>
      <c r="B14" s="482">
        <v>1894248</v>
      </c>
      <c r="C14" s="483"/>
      <c r="D14" s="484"/>
      <c r="E14" s="485" t="s">
        <v>302</v>
      </c>
      <c r="F14" s="482">
        <v>584957</v>
      </c>
      <c r="G14" s="483"/>
      <c r="H14" s="482">
        <v>584957</v>
      </c>
      <c r="I14" s="483"/>
      <c r="J14" s="482">
        <v>1102535</v>
      </c>
      <c r="K14" s="483"/>
      <c r="L14" s="484"/>
      <c r="M14" s="485" t="s">
        <v>648</v>
      </c>
      <c r="N14" s="482">
        <v>3070651</v>
      </c>
      <c r="O14" s="483"/>
      <c r="P14" s="482">
        <v>3070651</v>
      </c>
      <c r="Q14" s="483"/>
      <c r="R14" s="482">
        <v>4173186</v>
      </c>
      <c r="S14" s="483"/>
      <c r="T14" s="482">
        <v>230615</v>
      </c>
      <c r="U14" s="483"/>
      <c r="V14" s="486" t="s">
        <v>325</v>
      </c>
      <c r="W14" s="483"/>
      <c r="X14" s="482">
        <v>230615</v>
      </c>
      <c r="Y14" s="483"/>
      <c r="Z14" s="482">
        <v>1165498</v>
      </c>
      <c r="AA14" s="483"/>
      <c r="AB14" s="486" t="s">
        <v>325</v>
      </c>
      <c r="AC14" s="483"/>
      <c r="AD14" s="482">
        <v>1165498</v>
      </c>
      <c r="AE14" s="483"/>
      <c r="AF14" s="482">
        <v>8048504</v>
      </c>
      <c r="AG14" s="483"/>
      <c r="AH14" s="4">
        <f t="shared" si="0"/>
        <v>6715354</v>
      </c>
    </row>
    <row r="15" spans="1:34" ht="15" x14ac:dyDescent="0.25">
      <c r="A15" s="475">
        <v>1955</v>
      </c>
      <c r="B15" s="476">
        <v>2123952</v>
      </c>
      <c r="C15" s="477"/>
      <c r="D15" s="478"/>
      <c r="E15" s="479" t="s">
        <v>302</v>
      </c>
      <c r="F15" s="476">
        <v>629219</v>
      </c>
      <c r="G15" s="477"/>
      <c r="H15" s="476">
        <v>629219</v>
      </c>
      <c r="I15" s="477"/>
      <c r="J15" s="476">
        <v>1130985</v>
      </c>
      <c r="K15" s="477"/>
      <c r="L15" s="478"/>
      <c r="M15" s="479" t="s">
        <v>648</v>
      </c>
      <c r="N15" s="476">
        <v>3410975</v>
      </c>
      <c r="O15" s="477"/>
      <c r="P15" s="476">
        <v>3410975</v>
      </c>
      <c r="Q15" s="477"/>
      <c r="R15" s="476">
        <v>4541960</v>
      </c>
      <c r="S15" s="477"/>
      <c r="T15" s="476">
        <v>245246</v>
      </c>
      <c r="U15" s="477"/>
      <c r="V15" s="480" t="s">
        <v>325</v>
      </c>
      <c r="W15" s="477"/>
      <c r="X15" s="476">
        <v>245246</v>
      </c>
      <c r="Y15" s="477"/>
      <c r="Z15" s="476">
        <v>1153280</v>
      </c>
      <c r="AA15" s="477"/>
      <c r="AB15" s="480" t="s">
        <v>325</v>
      </c>
      <c r="AC15" s="477"/>
      <c r="AD15" s="476">
        <v>1153280</v>
      </c>
      <c r="AE15" s="477"/>
      <c r="AF15" s="476">
        <v>8693657</v>
      </c>
      <c r="AG15" s="477"/>
      <c r="AH15" s="4">
        <f t="shared" si="0"/>
        <v>7317426</v>
      </c>
    </row>
    <row r="16" spans="1:34" ht="15" x14ac:dyDescent="0.25">
      <c r="A16" s="475">
        <v>1956</v>
      </c>
      <c r="B16" s="476">
        <v>2327564</v>
      </c>
      <c r="C16" s="477"/>
      <c r="D16" s="478"/>
      <c r="E16" s="479" t="s">
        <v>302</v>
      </c>
      <c r="F16" s="476">
        <v>716871</v>
      </c>
      <c r="G16" s="477"/>
      <c r="H16" s="476">
        <v>716871</v>
      </c>
      <c r="I16" s="477"/>
      <c r="J16" s="476">
        <v>1002537</v>
      </c>
      <c r="K16" s="477"/>
      <c r="L16" s="478"/>
      <c r="M16" s="479" t="s">
        <v>648</v>
      </c>
      <c r="N16" s="476">
        <v>3706610</v>
      </c>
      <c r="O16" s="477"/>
      <c r="P16" s="476">
        <v>3706610</v>
      </c>
      <c r="Q16" s="477"/>
      <c r="R16" s="476">
        <v>4709147</v>
      </c>
      <c r="S16" s="477"/>
      <c r="T16" s="476">
        <v>295972</v>
      </c>
      <c r="U16" s="477"/>
      <c r="V16" s="480" t="s">
        <v>325</v>
      </c>
      <c r="W16" s="477"/>
      <c r="X16" s="476">
        <v>295972</v>
      </c>
      <c r="Y16" s="477"/>
      <c r="Z16" s="476">
        <v>1239311</v>
      </c>
      <c r="AA16" s="477"/>
      <c r="AB16" s="480" t="s">
        <v>325</v>
      </c>
      <c r="AC16" s="477"/>
      <c r="AD16" s="476">
        <v>1239311</v>
      </c>
      <c r="AE16" s="477"/>
      <c r="AF16" s="476">
        <v>9288865</v>
      </c>
      <c r="AG16" s="477"/>
      <c r="AH16" s="4">
        <f t="shared" si="0"/>
        <v>7990356</v>
      </c>
    </row>
    <row r="17" spans="1:34" ht="15" x14ac:dyDescent="0.25">
      <c r="A17" s="481">
        <v>1957</v>
      </c>
      <c r="B17" s="482">
        <v>2500269</v>
      </c>
      <c r="C17" s="483"/>
      <c r="D17" s="484"/>
      <c r="E17" s="485" t="s">
        <v>302</v>
      </c>
      <c r="F17" s="482">
        <v>775916</v>
      </c>
      <c r="G17" s="483"/>
      <c r="H17" s="482">
        <v>775916</v>
      </c>
      <c r="I17" s="483"/>
      <c r="J17" s="482">
        <v>1046084</v>
      </c>
      <c r="K17" s="483"/>
      <c r="L17" s="484"/>
      <c r="M17" s="485" t="s">
        <v>648</v>
      </c>
      <c r="N17" s="482">
        <v>3888494</v>
      </c>
      <c r="O17" s="483"/>
      <c r="P17" s="482">
        <v>3888494</v>
      </c>
      <c r="Q17" s="483"/>
      <c r="R17" s="482">
        <v>4934578</v>
      </c>
      <c r="S17" s="483"/>
      <c r="T17" s="482">
        <v>299235</v>
      </c>
      <c r="U17" s="483"/>
      <c r="V17" s="486" t="s">
        <v>325</v>
      </c>
      <c r="W17" s="483"/>
      <c r="X17" s="482">
        <v>299235</v>
      </c>
      <c r="Y17" s="483"/>
      <c r="Z17" s="482">
        <v>1336141</v>
      </c>
      <c r="AA17" s="483"/>
      <c r="AB17" s="486" t="s">
        <v>325</v>
      </c>
      <c r="AC17" s="483"/>
      <c r="AD17" s="482">
        <v>1336141</v>
      </c>
      <c r="AE17" s="483"/>
      <c r="AF17" s="482">
        <v>9846139</v>
      </c>
      <c r="AG17" s="483"/>
      <c r="AH17" s="4">
        <f t="shared" si="0"/>
        <v>8500820</v>
      </c>
    </row>
    <row r="18" spans="1:34" ht="15" x14ac:dyDescent="0.25">
      <c r="A18" s="475">
        <v>1958</v>
      </c>
      <c r="B18" s="476">
        <v>2714251</v>
      </c>
      <c r="C18" s="477"/>
      <c r="D18" s="478"/>
      <c r="E18" s="479" t="s">
        <v>302</v>
      </c>
      <c r="F18" s="476">
        <v>871774</v>
      </c>
      <c r="G18" s="477"/>
      <c r="H18" s="476">
        <v>871774</v>
      </c>
      <c r="I18" s="477"/>
      <c r="J18" s="476">
        <v>1146064</v>
      </c>
      <c r="K18" s="477"/>
      <c r="L18" s="478"/>
      <c r="M18" s="479" t="s">
        <v>648</v>
      </c>
      <c r="N18" s="476">
        <v>3885445</v>
      </c>
      <c r="O18" s="477"/>
      <c r="P18" s="476">
        <v>3885445</v>
      </c>
      <c r="Q18" s="477"/>
      <c r="R18" s="476">
        <v>5031509</v>
      </c>
      <c r="S18" s="477"/>
      <c r="T18" s="476">
        <v>312221</v>
      </c>
      <c r="U18" s="477"/>
      <c r="V18" s="480" t="s">
        <v>325</v>
      </c>
      <c r="W18" s="477"/>
      <c r="X18" s="476">
        <v>312221</v>
      </c>
      <c r="Y18" s="477"/>
      <c r="Z18" s="476">
        <v>1372853</v>
      </c>
      <c r="AA18" s="477"/>
      <c r="AB18" s="480" t="s">
        <v>325</v>
      </c>
      <c r="AC18" s="477"/>
      <c r="AD18" s="476">
        <v>1372853</v>
      </c>
      <c r="AE18" s="477"/>
      <c r="AF18" s="476">
        <v>10302608</v>
      </c>
      <c r="AG18" s="477"/>
      <c r="AH18" s="4">
        <f t="shared" si="0"/>
        <v>8844323</v>
      </c>
    </row>
    <row r="19" spans="1:34" ht="15" x14ac:dyDescent="0.25">
      <c r="A19" s="475">
        <v>1959</v>
      </c>
      <c r="B19" s="476">
        <v>2912601</v>
      </c>
      <c r="C19" s="477"/>
      <c r="D19" s="478"/>
      <c r="E19" s="479" t="s">
        <v>302</v>
      </c>
      <c r="F19" s="476">
        <v>975107</v>
      </c>
      <c r="G19" s="477"/>
      <c r="H19" s="476">
        <v>975107</v>
      </c>
      <c r="I19" s="477"/>
      <c r="J19" s="476">
        <v>1238945</v>
      </c>
      <c r="K19" s="477"/>
      <c r="L19" s="478"/>
      <c r="M19" s="479" t="s">
        <v>648</v>
      </c>
      <c r="N19" s="476">
        <v>4216671</v>
      </c>
      <c r="O19" s="477"/>
      <c r="P19" s="476">
        <v>4216671</v>
      </c>
      <c r="Q19" s="477"/>
      <c r="R19" s="476">
        <v>5455616</v>
      </c>
      <c r="S19" s="477"/>
      <c r="T19" s="476">
        <v>349348</v>
      </c>
      <c r="U19" s="477"/>
      <c r="V19" s="480" t="s">
        <v>325</v>
      </c>
      <c r="W19" s="477"/>
      <c r="X19" s="476">
        <v>349348</v>
      </c>
      <c r="Y19" s="477"/>
      <c r="Z19" s="476">
        <v>1628509</v>
      </c>
      <c r="AA19" s="477"/>
      <c r="AB19" s="480" t="s">
        <v>325</v>
      </c>
      <c r="AC19" s="477"/>
      <c r="AD19" s="476">
        <v>1628509</v>
      </c>
      <c r="AE19" s="477"/>
      <c r="AF19" s="476">
        <v>11321181</v>
      </c>
      <c r="AG19" s="477"/>
      <c r="AH19" s="4">
        <f t="shared" si="0"/>
        <v>9732888</v>
      </c>
    </row>
    <row r="20" spans="1:34" ht="15" x14ac:dyDescent="0.25">
      <c r="A20" s="481">
        <v>1960</v>
      </c>
      <c r="B20" s="482">
        <v>3103167</v>
      </c>
      <c r="C20" s="483"/>
      <c r="D20" s="484"/>
      <c r="E20" s="485" t="s">
        <v>302</v>
      </c>
      <c r="F20" s="482">
        <v>1020222</v>
      </c>
      <c r="G20" s="483"/>
      <c r="H20" s="482">
        <v>1020222</v>
      </c>
      <c r="I20" s="483"/>
      <c r="J20" s="482">
        <v>1236781</v>
      </c>
      <c r="K20" s="483"/>
      <c r="L20" s="484"/>
      <c r="M20" s="485" t="s">
        <v>648</v>
      </c>
      <c r="N20" s="482">
        <v>4534530</v>
      </c>
      <c r="O20" s="483"/>
      <c r="P20" s="482">
        <v>4534530</v>
      </c>
      <c r="Q20" s="483"/>
      <c r="R20" s="482">
        <v>5771311</v>
      </c>
      <c r="S20" s="483"/>
      <c r="T20" s="482">
        <v>347075</v>
      </c>
      <c r="U20" s="483"/>
      <c r="V20" s="486" t="s">
        <v>325</v>
      </c>
      <c r="W20" s="483"/>
      <c r="X20" s="482">
        <v>347075</v>
      </c>
      <c r="Y20" s="483"/>
      <c r="Z20" s="482">
        <v>1724762</v>
      </c>
      <c r="AA20" s="483"/>
      <c r="AB20" s="486" t="s">
        <v>325</v>
      </c>
      <c r="AC20" s="483"/>
      <c r="AD20" s="482">
        <v>1724762</v>
      </c>
      <c r="AE20" s="483"/>
      <c r="AF20" s="482">
        <v>11966537</v>
      </c>
      <c r="AG20" s="483"/>
      <c r="AH20" s="4">
        <f t="shared" si="0"/>
        <v>10382681</v>
      </c>
    </row>
    <row r="21" spans="1:34" ht="15" x14ac:dyDescent="0.25">
      <c r="A21" s="475">
        <v>1961</v>
      </c>
      <c r="B21" s="476">
        <v>3248578</v>
      </c>
      <c r="C21" s="477"/>
      <c r="D21" s="478"/>
      <c r="E21" s="479" t="s">
        <v>302</v>
      </c>
      <c r="F21" s="476">
        <v>1076849</v>
      </c>
      <c r="G21" s="477"/>
      <c r="H21" s="476">
        <v>1076849</v>
      </c>
      <c r="I21" s="477"/>
      <c r="J21" s="476">
        <v>1288762</v>
      </c>
      <c r="K21" s="477"/>
      <c r="L21" s="478"/>
      <c r="M21" s="479" t="s">
        <v>648</v>
      </c>
      <c r="N21" s="476">
        <v>4672355</v>
      </c>
      <c r="O21" s="477"/>
      <c r="P21" s="476">
        <v>4672355</v>
      </c>
      <c r="Q21" s="477"/>
      <c r="R21" s="476">
        <v>5961117</v>
      </c>
      <c r="S21" s="477"/>
      <c r="T21" s="476">
        <v>377607</v>
      </c>
      <c r="U21" s="477"/>
      <c r="V21" s="480" t="s">
        <v>325</v>
      </c>
      <c r="W21" s="477"/>
      <c r="X21" s="476">
        <v>377607</v>
      </c>
      <c r="Y21" s="477"/>
      <c r="Z21" s="476">
        <v>1825117</v>
      </c>
      <c r="AA21" s="477"/>
      <c r="AB21" s="480" t="s">
        <v>325</v>
      </c>
      <c r="AC21" s="477"/>
      <c r="AD21" s="476">
        <v>1825117</v>
      </c>
      <c r="AE21" s="477"/>
      <c r="AF21" s="476">
        <v>12489268</v>
      </c>
      <c r="AG21" s="477"/>
      <c r="AH21" s="4">
        <f t="shared" si="0"/>
        <v>10822899</v>
      </c>
    </row>
    <row r="22" spans="1:34" ht="15" x14ac:dyDescent="0.25">
      <c r="A22" s="475">
        <v>1962</v>
      </c>
      <c r="B22" s="476">
        <v>3478563</v>
      </c>
      <c r="C22" s="477"/>
      <c r="D22" s="478"/>
      <c r="E22" s="479" t="s">
        <v>302</v>
      </c>
      <c r="F22" s="476">
        <v>1206668</v>
      </c>
      <c r="G22" s="477"/>
      <c r="H22" s="476">
        <v>1206668</v>
      </c>
      <c r="I22" s="477"/>
      <c r="J22" s="476">
        <v>1369512</v>
      </c>
      <c r="K22" s="477"/>
      <c r="L22" s="478"/>
      <c r="M22" s="479" t="s">
        <v>648</v>
      </c>
      <c r="N22" s="476">
        <v>4863300</v>
      </c>
      <c r="O22" s="477"/>
      <c r="P22" s="476">
        <v>4863300</v>
      </c>
      <c r="Q22" s="477"/>
      <c r="R22" s="476">
        <v>6232812</v>
      </c>
      <c r="S22" s="477"/>
      <c r="T22" s="476">
        <v>382496</v>
      </c>
      <c r="U22" s="477"/>
      <c r="V22" s="480" t="s">
        <v>325</v>
      </c>
      <c r="W22" s="477"/>
      <c r="X22" s="476">
        <v>382496</v>
      </c>
      <c r="Y22" s="477"/>
      <c r="Z22" s="476">
        <v>1965974</v>
      </c>
      <c r="AA22" s="477"/>
      <c r="AB22" s="480" t="s">
        <v>325</v>
      </c>
      <c r="AC22" s="477"/>
      <c r="AD22" s="476">
        <v>1965974</v>
      </c>
      <c r="AE22" s="477"/>
      <c r="AF22" s="476">
        <v>13266513</v>
      </c>
      <c r="AG22" s="477"/>
      <c r="AH22" s="4">
        <f t="shared" si="0"/>
        <v>11514505</v>
      </c>
    </row>
    <row r="23" spans="1:34" ht="15" x14ac:dyDescent="0.25">
      <c r="A23" s="481">
        <v>1963</v>
      </c>
      <c r="B23" s="482">
        <v>3589021</v>
      </c>
      <c r="C23" s="483"/>
      <c r="D23" s="484"/>
      <c r="E23" s="485" t="s">
        <v>302</v>
      </c>
      <c r="F23" s="482">
        <v>1267783</v>
      </c>
      <c r="G23" s="483"/>
      <c r="H23" s="482">
        <v>1267783</v>
      </c>
      <c r="I23" s="483"/>
      <c r="J23" s="482">
        <v>1411088</v>
      </c>
      <c r="K23" s="483"/>
      <c r="L23" s="484"/>
      <c r="M23" s="485" t="s">
        <v>648</v>
      </c>
      <c r="N23" s="482">
        <v>5134081</v>
      </c>
      <c r="O23" s="483"/>
      <c r="P23" s="482">
        <v>5134081</v>
      </c>
      <c r="Q23" s="483"/>
      <c r="R23" s="482">
        <v>6545169</v>
      </c>
      <c r="S23" s="483"/>
      <c r="T23" s="482">
        <v>423783</v>
      </c>
      <c r="U23" s="483"/>
      <c r="V23" s="486" t="s">
        <v>325</v>
      </c>
      <c r="W23" s="483"/>
      <c r="X23" s="482">
        <v>423783</v>
      </c>
      <c r="Y23" s="483"/>
      <c r="Z23" s="482">
        <v>2144473</v>
      </c>
      <c r="AA23" s="483"/>
      <c r="AB23" s="486" t="s">
        <v>325</v>
      </c>
      <c r="AC23" s="483"/>
      <c r="AD23" s="482">
        <v>2144473</v>
      </c>
      <c r="AE23" s="483"/>
      <c r="AF23" s="482">
        <v>13970229</v>
      </c>
      <c r="AG23" s="483"/>
      <c r="AH23" s="4">
        <f t="shared" si="0"/>
        <v>12135358</v>
      </c>
    </row>
    <row r="24" spans="1:34" ht="15" x14ac:dyDescent="0.25">
      <c r="A24" s="475">
        <v>1964</v>
      </c>
      <c r="B24" s="476">
        <v>3787292</v>
      </c>
      <c r="C24" s="477"/>
      <c r="D24" s="478"/>
      <c r="E24" s="479" t="s">
        <v>302</v>
      </c>
      <c r="F24" s="476">
        <v>1374717</v>
      </c>
      <c r="G24" s="477"/>
      <c r="H24" s="476">
        <v>1374717</v>
      </c>
      <c r="I24" s="477"/>
      <c r="J24" s="476">
        <v>1370835</v>
      </c>
      <c r="K24" s="477"/>
      <c r="L24" s="478"/>
      <c r="M24" s="479" t="s">
        <v>648</v>
      </c>
      <c r="N24" s="476">
        <v>5522498</v>
      </c>
      <c r="O24" s="477"/>
      <c r="P24" s="476">
        <v>5522498</v>
      </c>
      <c r="Q24" s="477"/>
      <c r="R24" s="476">
        <v>6893333</v>
      </c>
      <c r="S24" s="477"/>
      <c r="T24" s="476">
        <v>435570</v>
      </c>
      <c r="U24" s="477"/>
      <c r="V24" s="480" t="s">
        <v>325</v>
      </c>
      <c r="W24" s="477"/>
      <c r="X24" s="476">
        <v>435570</v>
      </c>
      <c r="Y24" s="477"/>
      <c r="Z24" s="476">
        <v>2322896</v>
      </c>
      <c r="AA24" s="477"/>
      <c r="AB24" s="480" t="s">
        <v>325</v>
      </c>
      <c r="AC24" s="477"/>
      <c r="AD24" s="476">
        <v>2322896</v>
      </c>
      <c r="AE24" s="477"/>
      <c r="AF24" s="476">
        <v>14813808</v>
      </c>
      <c r="AG24" s="477"/>
      <c r="AH24" s="4">
        <f t="shared" si="0"/>
        <v>13007403</v>
      </c>
    </row>
    <row r="25" spans="1:34" ht="15" x14ac:dyDescent="0.25">
      <c r="A25" s="475">
        <v>1965</v>
      </c>
      <c r="B25" s="476">
        <v>3902802</v>
      </c>
      <c r="C25" s="477"/>
      <c r="D25" s="478"/>
      <c r="E25" s="479" t="s">
        <v>302</v>
      </c>
      <c r="F25" s="476">
        <v>1443648</v>
      </c>
      <c r="G25" s="477"/>
      <c r="H25" s="476">
        <v>1443648</v>
      </c>
      <c r="I25" s="477"/>
      <c r="J25" s="476">
        <v>1156224</v>
      </c>
      <c r="K25" s="477"/>
      <c r="L25" s="478"/>
      <c r="M25" s="479" t="s">
        <v>648</v>
      </c>
      <c r="N25" s="476">
        <v>5955417</v>
      </c>
      <c r="O25" s="477"/>
      <c r="P25" s="476">
        <v>5955417</v>
      </c>
      <c r="Q25" s="477"/>
      <c r="R25" s="476">
        <v>7111641</v>
      </c>
      <c r="S25" s="477"/>
      <c r="T25" s="476">
        <v>500524</v>
      </c>
      <c r="U25" s="477"/>
      <c r="V25" s="480" t="s">
        <v>325</v>
      </c>
      <c r="W25" s="477"/>
      <c r="X25" s="476">
        <v>500524</v>
      </c>
      <c r="Y25" s="477"/>
      <c r="Z25" s="476">
        <v>2321101</v>
      </c>
      <c r="AA25" s="477"/>
      <c r="AB25" s="480" t="s">
        <v>325</v>
      </c>
      <c r="AC25" s="477"/>
      <c r="AD25" s="476">
        <v>2321101</v>
      </c>
      <c r="AE25" s="477"/>
      <c r="AF25" s="476">
        <v>15279716</v>
      </c>
      <c r="AG25" s="477"/>
      <c r="AH25" s="4">
        <f t="shared" si="0"/>
        <v>13622968</v>
      </c>
    </row>
    <row r="26" spans="1:34" ht="15" x14ac:dyDescent="0.25">
      <c r="A26" s="481">
        <v>1966</v>
      </c>
      <c r="B26" s="482">
        <v>4138259</v>
      </c>
      <c r="C26" s="483"/>
      <c r="D26" s="484"/>
      <c r="E26" s="485" t="s">
        <v>302</v>
      </c>
      <c r="F26" s="482">
        <v>1622740</v>
      </c>
      <c r="G26" s="483"/>
      <c r="H26" s="482">
        <v>1622740</v>
      </c>
      <c r="I26" s="483"/>
      <c r="J26" s="482">
        <v>1033400</v>
      </c>
      <c r="K26" s="483"/>
      <c r="L26" s="484"/>
      <c r="M26" s="485" t="s">
        <v>648</v>
      </c>
      <c r="N26" s="482">
        <v>6512702</v>
      </c>
      <c r="O26" s="483"/>
      <c r="P26" s="482">
        <v>6512702</v>
      </c>
      <c r="Q26" s="483"/>
      <c r="R26" s="482">
        <v>7546102</v>
      </c>
      <c r="S26" s="483"/>
      <c r="T26" s="482">
        <v>535353</v>
      </c>
      <c r="U26" s="483"/>
      <c r="V26" s="486" t="s">
        <v>325</v>
      </c>
      <c r="W26" s="483"/>
      <c r="X26" s="482">
        <v>535353</v>
      </c>
      <c r="Y26" s="483"/>
      <c r="Z26" s="482">
        <v>2609949</v>
      </c>
      <c r="AA26" s="483"/>
      <c r="AB26" s="486" t="s">
        <v>325</v>
      </c>
      <c r="AC26" s="483"/>
      <c r="AD26" s="482">
        <v>2609949</v>
      </c>
      <c r="AE26" s="483"/>
      <c r="AF26" s="482">
        <v>16452403</v>
      </c>
      <c r="AG26" s="483"/>
      <c r="AH26" s="4">
        <f t="shared" si="0"/>
        <v>14883650</v>
      </c>
    </row>
    <row r="27" spans="1:34" ht="15" x14ac:dyDescent="0.25">
      <c r="A27" s="475">
        <v>1967</v>
      </c>
      <c r="B27" s="476">
        <v>4313304</v>
      </c>
      <c r="C27" s="477"/>
      <c r="D27" s="478"/>
      <c r="E27" s="479" t="s">
        <v>302</v>
      </c>
      <c r="F27" s="476">
        <v>1958970</v>
      </c>
      <c r="G27" s="477"/>
      <c r="H27" s="476">
        <v>1958970</v>
      </c>
      <c r="I27" s="477"/>
      <c r="J27" s="476">
        <v>1140966</v>
      </c>
      <c r="K27" s="477"/>
      <c r="L27" s="478"/>
      <c r="M27" s="479" t="s">
        <v>648</v>
      </c>
      <c r="N27" s="476">
        <v>6653016</v>
      </c>
      <c r="O27" s="477"/>
      <c r="P27" s="476">
        <v>6653016</v>
      </c>
      <c r="Q27" s="477"/>
      <c r="R27" s="476">
        <v>7793982</v>
      </c>
      <c r="S27" s="477"/>
      <c r="T27" s="476">
        <v>575752</v>
      </c>
      <c r="U27" s="477"/>
      <c r="V27" s="480" t="s">
        <v>325</v>
      </c>
      <c r="W27" s="477"/>
      <c r="X27" s="476">
        <v>575752</v>
      </c>
      <c r="Y27" s="477"/>
      <c r="Z27" s="476">
        <v>2746352</v>
      </c>
      <c r="AA27" s="477"/>
      <c r="AB27" s="480" t="s">
        <v>325</v>
      </c>
      <c r="AC27" s="477"/>
      <c r="AD27" s="476">
        <v>2746352</v>
      </c>
      <c r="AE27" s="477"/>
      <c r="AF27" s="476">
        <v>17388360</v>
      </c>
      <c r="AG27" s="477"/>
      <c r="AH27" s="4">
        <f t="shared" si="0"/>
        <v>15671642</v>
      </c>
    </row>
    <row r="28" spans="1:34" ht="15" x14ac:dyDescent="0.25">
      <c r="A28" s="475">
        <v>1968</v>
      </c>
      <c r="B28" s="476">
        <v>4450354</v>
      </c>
      <c r="C28" s="477"/>
      <c r="D28" s="478"/>
      <c r="E28" s="479" t="s">
        <v>302</v>
      </c>
      <c r="F28" s="476">
        <v>2075736</v>
      </c>
      <c r="G28" s="477"/>
      <c r="H28" s="476">
        <v>2075736</v>
      </c>
      <c r="I28" s="477"/>
      <c r="J28" s="476">
        <v>1237131</v>
      </c>
      <c r="K28" s="477"/>
      <c r="L28" s="478"/>
      <c r="M28" s="479" t="s">
        <v>648</v>
      </c>
      <c r="N28" s="476">
        <v>7129967</v>
      </c>
      <c r="O28" s="477"/>
      <c r="P28" s="476">
        <v>7129967</v>
      </c>
      <c r="Q28" s="477"/>
      <c r="R28" s="476">
        <v>8367098</v>
      </c>
      <c r="S28" s="477"/>
      <c r="T28" s="476">
        <v>590965</v>
      </c>
      <c r="U28" s="477"/>
      <c r="V28" s="480" t="s">
        <v>325</v>
      </c>
      <c r="W28" s="477"/>
      <c r="X28" s="476">
        <v>590965</v>
      </c>
      <c r="Y28" s="477"/>
      <c r="Z28" s="476">
        <v>3147909</v>
      </c>
      <c r="AA28" s="477"/>
      <c r="AB28" s="480" t="s">
        <v>325</v>
      </c>
      <c r="AC28" s="477"/>
      <c r="AD28" s="476">
        <v>3147909</v>
      </c>
      <c r="AE28" s="477"/>
      <c r="AF28" s="476">
        <v>18632062</v>
      </c>
      <c r="AG28" s="477"/>
      <c r="AH28" s="4">
        <f t="shared" si="0"/>
        <v>16803966</v>
      </c>
    </row>
    <row r="29" spans="1:34" ht="15" x14ac:dyDescent="0.25">
      <c r="A29" s="481">
        <v>1969</v>
      </c>
      <c r="B29" s="482">
        <v>4728281</v>
      </c>
      <c r="C29" s="483"/>
      <c r="D29" s="484"/>
      <c r="E29" s="485" t="s">
        <v>302</v>
      </c>
      <c r="F29" s="482">
        <v>2253206</v>
      </c>
      <c r="G29" s="483"/>
      <c r="H29" s="482">
        <v>2253206</v>
      </c>
      <c r="I29" s="483"/>
      <c r="J29" s="482">
        <v>1345648</v>
      </c>
      <c r="K29" s="483"/>
      <c r="L29" s="484"/>
      <c r="M29" s="485" t="s">
        <v>648</v>
      </c>
      <c r="N29" s="482">
        <v>7610501</v>
      </c>
      <c r="O29" s="483"/>
      <c r="P29" s="482">
        <v>7610501</v>
      </c>
      <c r="Q29" s="483"/>
      <c r="R29" s="482">
        <v>8956149</v>
      </c>
      <c r="S29" s="483"/>
      <c r="T29" s="482">
        <v>630962</v>
      </c>
      <c r="U29" s="483"/>
      <c r="V29" s="486" t="s">
        <v>325</v>
      </c>
      <c r="W29" s="483"/>
      <c r="X29" s="482">
        <v>630962</v>
      </c>
      <c r="Y29" s="483"/>
      <c r="Z29" s="482">
        <v>3487642</v>
      </c>
      <c r="AA29" s="483"/>
      <c r="AB29" s="486" t="s">
        <v>325</v>
      </c>
      <c r="AC29" s="483"/>
      <c r="AD29" s="482">
        <v>3487642</v>
      </c>
      <c r="AE29" s="483"/>
      <c r="AF29" s="482">
        <v>20056240</v>
      </c>
      <c r="AG29" s="483"/>
      <c r="AH29" s="4">
        <f t="shared" si="0"/>
        <v>18079630</v>
      </c>
    </row>
    <row r="30" spans="1:34" ht="15" x14ac:dyDescent="0.25">
      <c r="A30" s="475">
        <v>1970</v>
      </c>
      <c r="B30" s="476">
        <v>4837432</v>
      </c>
      <c r="C30" s="477"/>
      <c r="D30" s="478"/>
      <c r="E30" s="479" t="s">
        <v>302</v>
      </c>
      <c r="F30" s="476">
        <v>2398510</v>
      </c>
      <c r="G30" s="477"/>
      <c r="H30" s="476">
        <v>2398510</v>
      </c>
      <c r="I30" s="477"/>
      <c r="J30" s="476">
        <v>1398758</v>
      </c>
      <c r="K30" s="477"/>
      <c r="L30" s="478"/>
      <c r="M30" s="479" t="s">
        <v>648</v>
      </c>
      <c r="N30" s="476">
        <v>7850660</v>
      </c>
      <c r="O30" s="477"/>
      <c r="P30" s="476">
        <v>7850660</v>
      </c>
      <c r="Q30" s="477"/>
      <c r="R30" s="476">
        <v>9249418</v>
      </c>
      <c r="S30" s="477"/>
      <c r="T30" s="476">
        <v>722166</v>
      </c>
      <c r="U30" s="477"/>
      <c r="V30" s="480" t="s">
        <v>325</v>
      </c>
      <c r="W30" s="477"/>
      <c r="X30" s="476">
        <v>722166</v>
      </c>
      <c r="Y30" s="477"/>
      <c r="Z30" s="476">
        <v>3931860</v>
      </c>
      <c r="AA30" s="477"/>
      <c r="AB30" s="480" t="s">
        <v>325</v>
      </c>
      <c r="AC30" s="477"/>
      <c r="AD30" s="476">
        <v>3931860</v>
      </c>
      <c r="AE30" s="477"/>
      <c r="AF30" s="476">
        <v>21139386</v>
      </c>
      <c r="AG30" s="477"/>
      <c r="AH30" s="4">
        <f t="shared" si="0"/>
        <v>19018462</v>
      </c>
    </row>
    <row r="31" spans="1:34" ht="15" x14ac:dyDescent="0.25">
      <c r="A31" s="475">
        <v>1971</v>
      </c>
      <c r="B31" s="476">
        <v>4971690</v>
      </c>
      <c r="C31" s="477"/>
      <c r="D31" s="478"/>
      <c r="E31" s="479" t="s">
        <v>302</v>
      </c>
      <c r="F31" s="476">
        <v>2508977</v>
      </c>
      <c r="G31" s="477"/>
      <c r="H31" s="476">
        <v>2508977</v>
      </c>
      <c r="I31" s="477"/>
      <c r="J31" s="476">
        <v>1413650</v>
      </c>
      <c r="K31" s="477"/>
      <c r="L31" s="478"/>
      <c r="M31" s="479" t="s">
        <v>648</v>
      </c>
      <c r="N31" s="476">
        <v>8180527</v>
      </c>
      <c r="O31" s="477"/>
      <c r="P31" s="476">
        <v>8180527</v>
      </c>
      <c r="Q31" s="477"/>
      <c r="R31" s="476">
        <v>9594177</v>
      </c>
      <c r="S31" s="477"/>
      <c r="T31" s="476">
        <v>742592</v>
      </c>
      <c r="U31" s="477"/>
      <c r="V31" s="480" t="s">
        <v>325</v>
      </c>
      <c r="W31" s="477"/>
      <c r="X31" s="476">
        <v>742592</v>
      </c>
      <c r="Y31" s="477"/>
      <c r="Z31" s="476">
        <v>3976018</v>
      </c>
      <c r="AA31" s="477"/>
      <c r="AB31" s="480" t="s">
        <v>325</v>
      </c>
      <c r="AC31" s="477"/>
      <c r="AD31" s="476">
        <v>3976018</v>
      </c>
      <c r="AE31" s="477"/>
      <c r="AF31" s="476">
        <v>21793454</v>
      </c>
      <c r="AG31" s="477"/>
      <c r="AH31" s="4">
        <f t="shared" si="0"/>
        <v>19637212</v>
      </c>
    </row>
    <row r="32" spans="1:34" ht="15" x14ac:dyDescent="0.25">
      <c r="A32" s="481">
        <v>1972</v>
      </c>
      <c r="B32" s="482">
        <v>5125982</v>
      </c>
      <c r="C32" s="483"/>
      <c r="D32" s="484"/>
      <c r="E32" s="485" t="s">
        <v>302</v>
      </c>
      <c r="F32" s="482">
        <v>2607982</v>
      </c>
      <c r="G32" s="483"/>
      <c r="H32" s="482">
        <v>2607982</v>
      </c>
      <c r="I32" s="483"/>
      <c r="J32" s="482">
        <v>1455563</v>
      </c>
      <c r="K32" s="483"/>
      <c r="L32" s="484"/>
      <c r="M32" s="485" t="s">
        <v>648</v>
      </c>
      <c r="N32" s="482">
        <v>8168855</v>
      </c>
      <c r="O32" s="483"/>
      <c r="P32" s="482">
        <v>8168855</v>
      </c>
      <c r="Q32" s="483"/>
      <c r="R32" s="482">
        <v>9624418</v>
      </c>
      <c r="S32" s="483"/>
      <c r="T32" s="482">
        <v>766156</v>
      </c>
      <c r="U32" s="483"/>
      <c r="V32" s="486" t="s">
        <v>325</v>
      </c>
      <c r="W32" s="483"/>
      <c r="X32" s="482">
        <v>766156</v>
      </c>
      <c r="Y32" s="483"/>
      <c r="Z32" s="482">
        <v>3976913</v>
      </c>
      <c r="AA32" s="483"/>
      <c r="AB32" s="486" t="s">
        <v>325</v>
      </c>
      <c r="AC32" s="483"/>
      <c r="AD32" s="482">
        <v>3976913</v>
      </c>
      <c r="AE32" s="483"/>
      <c r="AF32" s="482">
        <v>22101451</v>
      </c>
      <c r="AG32" s="483"/>
      <c r="AH32" s="4">
        <f t="shared" si="0"/>
        <v>19879732</v>
      </c>
    </row>
    <row r="33" spans="1:34" ht="15" x14ac:dyDescent="0.25">
      <c r="A33" s="475">
        <v>1973</v>
      </c>
      <c r="B33" s="476">
        <v>4879387</v>
      </c>
      <c r="C33" s="477"/>
      <c r="D33" s="478"/>
      <c r="E33" s="479" t="s">
        <v>302</v>
      </c>
      <c r="F33" s="476">
        <v>2597037</v>
      </c>
      <c r="G33" s="477"/>
      <c r="H33" s="476">
        <v>2597037</v>
      </c>
      <c r="I33" s="477"/>
      <c r="J33" s="476">
        <v>1495915</v>
      </c>
      <c r="K33" s="477"/>
      <c r="L33" s="478"/>
      <c r="M33" s="479" t="s">
        <v>648</v>
      </c>
      <c r="N33" s="476">
        <v>8688675</v>
      </c>
      <c r="O33" s="477"/>
      <c r="P33" s="476">
        <v>8688675</v>
      </c>
      <c r="Q33" s="477"/>
      <c r="R33" s="476">
        <v>10184590</v>
      </c>
      <c r="S33" s="477"/>
      <c r="T33" s="476">
        <v>728177</v>
      </c>
      <c r="U33" s="477"/>
      <c r="V33" s="480" t="s">
        <v>325</v>
      </c>
      <c r="W33" s="477"/>
      <c r="X33" s="476">
        <v>728177</v>
      </c>
      <c r="Y33" s="477"/>
      <c r="Z33" s="476">
        <v>3660172</v>
      </c>
      <c r="AA33" s="477"/>
      <c r="AB33" s="480" t="s">
        <v>325</v>
      </c>
      <c r="AC33" s="477"/>
      <c r="AD33" s="476">
        <v>3660172</v>
      </c>
      <c r="AE33" s="477"/>
      <c r="AF33" s="476">
        <v>22049363</v>
      </c>
      <c r="AG33" s="477"/>
      <c r="AH33" s="4">
        <f t="shared" si="0"/>
        <v>19825271</v>
      </c>
    </row>
    <row r="34" spans="1:34" ht="15" x14ac:dyDescent="0.25">
      <c r="A34" s="475">
        <v>1974</v>
      </c>
      <c r="B34" s="476">
        <v>4786128</v>
      </c>
      <c r="C34" s="477"/>
      <c r="D34" s="478"/>
      <c r="E34" s="479" t="s">
        <v>302</v>
      </c>
      <c r="F34" s="476">
        <v>2555617</v>
      </c>
      <c r="G34" s="477"/>
      <c r="H34" s="476">
        <v>2555617</v>
      </c>
      <c r="I34" s="477"/>
      <c r="J34" s="476">
        <v>1477386</v>
      </c>
      <c r="K34" s="477"/>
      <c r="L34" s="478"/>
      <c r="M34" s="479" t="s">
        <v>648</v>
      </c>
      <c r="N34" s="476">
        <v>8291782</v>
      </c>
      <c r="O34" s="477"/>
      <c r="P34" s="476">
        <v>8291782</v>
      </c>
      <c r="Q34" s="477"/>
      <c r="R34" s="476">
        <v>9769168</v>
      </c>
      <c r="S34" s="477"/>
      <c r="T34" s="476">
        <v>668792</v>
      </c>
      <c r="U34" s="477"/>
      <c r="V34" s="480" t="s">
        <v>325</v>
      </c>
      <c r="W34" s="477"/>
      <c r="X34" s="476">
        <v>668792</v>
      </c>
      <c r="Y34" s="477"/>
      <c r="Z34" s="476">
        <v>3443428</v>
      </c>
      <c r="AA34" s="477"/>
      <c r="AB34" s="480" t="s">
        <v>325</v>
      </c>
      <c r="AC34" s="477"/>
      <c r="AD34" s="476">
        <v>3443428</v>
      </c>
      <c r="AE34" s="477"/>
      <c r="AF34" s="476">
        <v>21223133</v>
      </c>
      <c r="AG34" s="477"/>
      <c r="AH34" s="4">
        <f t="shared" si="0"/>
        <v>19076955</v>
      </c>
    </row>
    <row r="35" spans="1:34" ht="15" x14ac:dyDescent="0.25">
      <c r="A35" s="481">
        <v>1975</v>
      </c>
      <c r="B35" s="482">
        <v>4924124</v>
      </c>
      <c r="C35" s="483"/>
      <c r="D35" s="484"/>
      <c r="E35" s="485" t="s">
        <v>302</v>
      </c>
      <c r="F35" s="482">
        <v>2508293</v>
      </c>
      <c r="G35" s="483"/>
      <c r="H35" s="482">
        <v>2508293</v>
      </c>
      <c r="I35" s="483"/>
      <c r="J35" s="482">
        <v>1396277</v>
      </c>
      <c r="K35" s="483"/>
      <c r="L35" s="484"/>
      <c r="M35" s="485" t="s">
        <v>648</v>
      </c>
      <c r="N35" s="482">
        <v>6968267</v>
      </c>
      <c r="O35" s="483"/>
      <c r="P35" s="482">
        <v>6968267</v>
      </c>
      <c r="Q35" s="483"/>
      <c r="R35" s="482">
        <v>8364544</v>
      </c>
      <c r="S35" s="483"/>
      <c r="T35" s="482">
        <v>582963</v>
      </c>
      <c r="U35" s="483"/>
      <c r="V35" s="486" t="s">
        <v>325</v>
      </c>
      <c r="W35" s="483"/>
      <c r="X35" s="482">
        <v>582963</v>
      </c>
      <c r="Y35" s="483"/>
      <c r="Z35" s="482">
        <v>3157669</v>
      </c>
      <c r="AA35" s="483"/>
      <c r="AB35" s="486" t="s">
        <v>325</v>
      </c>
      <c r="AC35" s="483"/>
      <c r="AD35" s="482">
        <v>3157669</v>
      </c>
      <c r="AE35" s="483"/>
      <c r="AF35" s="482">
        <v>19537593</v>
      </c>
      <c r="AG35" s="483"/>
      <c r="AH35" s="4">
        <f t="shared" si="0"/>
        <v>17558353</v>
      </c>
    </row>
    <row r="36" spans="1:34" ht="15" x14ac:dyDescent="0.25">
      <c r="A36" s="475">
        <v>1976</v>
      </c>
      <c r="B36" s="476">
        <v>5051360</v>
      </c>
      <c r="C36" s="477"/>
      <c r="D36" s="478"/>
      <c r="E36" s="479" t="s">
        <v>302</v>
      </c>
      <c r="F36" s="476">
        <v>2667740</v>
      </c>
      <c r="G36" s="477"/>
      <c r="H36" s="476">
        <v>2667740</v>
      </c>
      <c r="I36" s="477"/>
      <c r="J36" s="476">
        <v>1634355</v>
      </c>
      <c r="K36" s="477"/>
      <c r="L36" s="478"/>
      <c r="M36" s="479" t="s">
        <v>648</v>
      </c>
      <c r="N36" s="476">
        <v>6963850</v>
      </c>
      <c r="O36" s="477"/>
      <c r="P36" s="476">
        <v>6963850</v>
      </c>
      <c r="Q36" s="477"/>
      <c r="R36" s="476">
        <v>8598205</v>
      </c>
      <c r="S36" s="477"/>
      <c r="T36" s="476">
        <v>548323</v>
      </c>
      <c r="U36" s="477"/>
      <c r="V36" s="480" t="s">
        <v>325</v>
      </c>
      <c r="W36" s="477"/>
      <c r="X36" s="476">
        <v>548323</v>
      </c>
      <c r="Y36" s="477"/>
      <c r="Z36" s="476">
        <v>3080868</v>
      </c>
      <c r="AA36" s="477"/>
      <c r="AB36" s="480" t="s">
        <v>325</v>
      </c>
      <c r="AC36" s="477"/>
      <c r="AD36" s="476">
        <v>3080868</v>
      </c>
      <c r="AE36" s="477"/>
      <c r="AF36" s="476">
        <v>19946496</v>
      </c>
      <c r="AG36" s="477"/>
      <c r="AH36" s="4">
        <f t="shared" si="0"/>
        <v>17763818</v>
      </c>
    </row>
    <row r="37" spans="1:34" ht="15" x14ac:dyDescent="0.25">
      <c r="A37" s="475">
        <v>1977</v>
      </c>
      <c r="B37" s="476">
        <v>4821485</v>
      </c>
      <c r="C37" s="477"/>
      <c r="D37" s="478"/>
      <c r="E37" s="479" t="s">
        <v>302</v>
      </c>
      <c r="F37" s="476">
        <v>2500793</v>
      </c>
      <c r="G37" s="477"/>
      <c r="H37" s="476">
        <v>2500793</v>
      </c>
      <c r="I37" s="477"/>
      <c r="J37" s="476">
        <v>1659145</v>
      </c>
      <c r="K37" s="477"/>
      <c r="L37" s="478"/>
      <c r="M37" s="479" t="s">
        <v>648</v>
      </c>
      <c r="N37" s="476">
        <v>6815289</v>
      </c>
      <c r="O37" s="477"/>
      <c r="P37" s="476">
        <v>6815289</v>
      </c>
      <c r="Q37" s="477"/>
      <c r="R37" s="476">
        <v>8474434</v>
      </c>
      <c r="S37" s="477"/>
      <c r="T37" s="476">
        <v>532669</v>
      </c>
      <c r="U37" s="477"/>
      <c r="V37" s="480" t="s">
        <v>325</v>
      </c>
      <c r="W37" s="477"/>
      <c r="X37" s="476">
        <v>532669</v>
      </c>
      <c r="Y37" s="477"/>
      <c r="Z37" s="476">
        <v>3191200</v>
      </c>
      <c r="AA37" s="477"/>
      <c r="AB37" s="480" t="s">
        <v>325</v>
      </c>
      <c r="AC37" s="477"/>
      <c r="AD37" s="476">
        <v>3191200</v>
      </c>
      <c r="AE37" s="477"/>
      <c r="AF37" s="476">
        <v>19520581</v>
      </c>
      <c r="AG37" s="477"/>
      <c r="AH37" s="4">
        <f t="shared" si="0"/>
        <v>17328767</v>
      </c>
    </row>
    <row r="38" spans="1:34" ht="15" x14ac:dyDescent="0.25">
      <c r="A38" s="481">
        <v>1978</v>
      </c>
      <c r="B38" s="482">
        <v>4903006</v>
      </c>
      <c r="C38" s="483"/>
      <c r="D38" s="484"/>
      <c r="E38" s="485" t="s">
        <v>302</v>
      </c>
      <c r="F38" s="482">
        <v>2601106</v>
      </c>
      <c r="G38" s="483"/>
      <c r="H38" s="482">
        <v>2601106</v>
      </c>
      <c r="I38" s="483"/>
      <c r="J38" s="482">
        <v>1647911</v>
      </c>
      <c r="K38" s="483"/>
      <c r="L38" s="484"/>
      <c r="M38" s="485" t="s">
        <v>648</v>
      </c>
      <c r="N38" s="482">
        <v>6756641</v>
      </c>
      <c r="O38" s="483"/>
      <c r="P38" s="482">
        <v>6756641</v>
      </c>
      <c r="Q38" s="483"/>
      <c r="R38" s="482">
        <v>8404552</v>
      </c>
      <c r="S38" s="483"/>
      <c r="T38" s="482">
        <v>530451</v>
      </c>
      <c r="U38" s="483"/>
      <c r="V38" s="486" t="s">
        <v>325</v>
      </c>
      <c r="W38" s="483"/>
      <c r="X38" s="482">
        <v>530451</v>
      </c>
      <c r="Y38" s="483"/>
      <c r="Z38" s="482">
        <v>3188363</v>
      </c>
      <c r="AA38" s="483"/>
      <c r="AB38" s="486" t="s">
        <v>325</v>
      </c>
      <c r="AC38" s="483"/>
      <c r="AD38" s="482">
        <v>3188363</v>
      </c>
      <c r="AE38" s="483"/>
      <c r="AF38" s="482">
        <v>19627478</v>
      </c>
      <c r="AG38" s="483"/>
      <c r="AH38" s="4">
        <f t="shared" si="0"/>
        <v>17449116</v>
      </c>
    </row>
    <row r="39" spans="1:34" ht="15" x14ac:dyDescent="0.25">
      <c r="A39" s="475">
        <v>1979</v>
      </c>
      <c r="B39" s="476">
        <v>4965365</v>
      </c>
      <c r="C39" s="477"/>
      <c r="D39" s="478"/>
      <c r="E39" s="479" t="s">
        <v>302</v>
      </c>
      <c r="F39" s="476">
        <v>2785961</v>
      </c>
      <c r="G39" s="477"/>
      <c r="H39" s="476">
        <v>2785961</v>
      </c>
      <c r="I39" s="477"/>
      <c r="J39" s="476">
        <v>1498530</v>
      </c>
      <c r="K39" s="477"/>
      <c r="L39" s="478"/>
      <c r="M39" s="479" t="s">
        <v>648</v>
      </c>
      <c r="N39" s="476">
        <v>6899418</v>
      </c>
      <c r="O39" s="477"/>
      <c r="P39" s="476">
        <v>6899418</v>
      </c>
      <c r="Q39" s="477"/>
      <c r="R39" s="476">
        <v>8397948</v>
      </c>
      <c r="S39" s="477"/>
      <c r="T39" s="476">
        <v>600964</v>
      </c>
      <c r="U39" s="477"/>
      <c r="V39" s="480" t="s">
        <v>325</v>
      </c>
      <c r="W39" s="477"/>
      <c r="X39" s="476">
        <v>600964</v>
      </c>
      <c r="Y39" s="477"/>
      <c r="Z39" s="476">
        <v>3490523</v>
      </c>
      <c r="AA39" s="477"/>
      <c r="AB39" s="480" t="s">
        <v>325</v>
      </c>
      <c r="AC39" s="477"/>
      <c r="AD39" s="476">
        <v>3490523</v>
      </c>
      <c r="AE39" s="477"/>
      <c r="AF39" s="476">
        <v>20240761</v>
      </c>
      <c r="AG39" s="477"/>
      <c r="AH39" s="4">
        <f t="shared" si="0"/>
        <v>18141267</v>
      </c>
    </row>
    <row r="40" spans="1:34" ht="15" x14ac:dyDescent="0.25">
      <c r="A40" s="475">
        <v>1980</v>
      </c>
      <c r="B40" s="476">
        <v>4752082</v>
      </c>
      <c r="C40" s="477"/>
      <c r="D40" s="478"/>
      <c r="E40" s="479" t="s">
        <v>302</v>
      </c>
      <c r="F40" s="476">
        <v>2610895</v>
      </c>
      <c r="G40" s="477"/>
      <c r="H40" s="476">
        <v>2610895</v>
      </c>
      <c r="I40" s="477"/>
      <c r="J40" s="476">
        <v>1026438</v>
      </c>
      <c r="K40" s="477"/>
      <c r="L40" s="478"/>
      <c r="M40" s="479" t="s">
        <v>648</v>
      </c>
      <c r="N40" s="476">
        <v>7171661</v>
      </c>
      <c r="O40" s="477"/>
      <c r="P40" s="476">
        <v>7171661</v>
      </c>
      <c r="Q40" s="477"/>
      <c r="R40" s="476">
        <v>8198099</v>
      </c>
      <c r="S40" s="477"/>
      <c r="T40" s="476">
        <v>634622</v>
      </c>
      <c r="U40" s="477"/>
      <c r="V40" s="480" t="s">
        <v>325</v>
      </c>
      <c r="W40" s="477"/>
      <c r="X40" s="476">
        <v>634622</v>
      </c>
      <c r="Y40" s="477"/>
      <c r="Z40" s="476">
        <v>3681595</v>
      </c>
      <c r="AA40" s="477"/>
      <c r="AB40" s="480" t="s">
        <v>325</v>
      </c>
      <c r="AC40" s="477"/>
      <c r="AD40" s="476">
        <v>3681595</v>
      </c>
      <c r="AE40" s="477"/>
      <c r="AF40" s="476">
        <v>19877293</v>
      </c>
      <c r="AG40" s="477"/>
      <c r="AH40" s="4">
        <f t="shared" si="0"/>
        <v>18216233</v>
      </c>
    </row>
    <row r="41" spans="1:34" ht="15" x14ac:dyDescent="0.25">
      <c r="A41" s="481">
        <v>1981</v>
      </c>
      <c r="B41" s="482">
        <v>4546450</v>
      </c>
      <c r="C41" s="483"/>
      <c r="D41" s="484"/>
      <c r="E41" s="485" t="s">
        <v>302</v>
      </c>
      <c r="F41" s="482">
        <v>2519791</v>
      </c>
      <c r="G41" s="483"/>
      <c r="H41" s="482">
        <v>2519791</v>
      </c>
      <c r="I41" s="483"/>
      <c r="J41" s="482">
        <v>927591</v>
      </c>
      <c r="K41" s="483"/>
      <c r="L41" s="484"/>
      <c r="M41" s="485" t="s">
        <v>648</v>
      </c>
      <c r="N41" s="482">
        <v>7127547</v>
      </c>
      <c r="O41" s="483"/>
      <c r="P41" s="482">
        <v>7127547</v>
      </c>
      <c r="Q41" s="483"/>
      <c r="R41" s="482">
        <v>8055138</v>
      </c>
      <c r="S41" s="483"/>
      <c r="T41" s="482">
        <v>642325</v>
      </c>
      <c r="U41" s="483"/>
      <c r="V41" s="486" t="s">
        <v>325</v>
      </c>
      <c r="W41" s="483"/>
      <c r="X41" s="482">
        <v>642325</v>
      </c>
      <c r="Y41" s="483"/>
      <c r="Z41" s="482">
        <v>3640154</v>
      </c>
      <c r="AA41" s="483"/>
      <c r="AB41" s="486" t="s">
        <v>325</v>
      </c>
      <c r="AC41" s="483"/>
      <c r="AD41" s="482">
        <v>3640154</v>
      </c>
      <c r="AE41" s="483"/>
      <c r="AF41" s="482">
        <v>19403858</v>
      </c>
      <c r="AG41" s="483"/>
      <c r="AH41" s="4">
        <f t="shared" si="0"/>
        <v>17833942</v>
      </c>
    </row>
    <row r="42" spans="1:34" ht="15" x14ac:dyDescent="0.25">
      <c r="A42" s="475">
        <v>1982</v>
      </c>
      <c r="B42" s="476">
        <v>4633035</v>
      </c>
      <c r="C42" s="477"/>
      <c r="D42" s="478"/>
      <c r="E42" s="479" t="s">
        <v>302</v>
      </c>
      <c r="F42" s="476">
        <v>2605523</v>
      </c>
      <c r="G42" s="477"/>
      <c r="H42" s="476">
        <v>2605523</v>
      </c>
      <c r="I42" s="477"/>
      <c r="J42" s="476">
        <v>1109398</v>
      </c>
      <c r="K42" s="477"/>
      <c r="L42" s="478"/>
      <c r="M42" s="479" t="s">
        <v>648</v>
      </c>
      <c r="N42" s="476">
        <v>5831170</v>
      </c>
      <c r="O42" s="477"/>
      <c r="P42" s="476">
        <v>5831170</v>
      </c>
      <c r="Q42" s="477"/>
      <c r="R42" s="476">
        <v>6940568</v>
      </c>
      <c r="S42" s="477"/>
      <c r="T42" s="476">
        <v>596411</v>
      </c>
      <c r="U42" s="477"/>
      <c r="V42" s="480" t="s">
        <v>325</v>
      </c>
      <c r="W42" s="477"/>
      <c r="X42" s="476">
        <v>596411</v>
      </c>
      <c r="Y42" s="477"/>
      <c r="Z42" s="476">
        <v>3225518</v>
      </c>
      <c r="AA42" s="477"/>
      <c r="AB42" s="480" t="s">
        <v>325</v>
      </c>
      <c r="AC42" s="477"/>
      <c r="AD42" s="476">
        <v>3225518</v>
      </c>
      <c r="AE42" s="477"/>
      <c r="AF42" s="476">
        <v>18001055</v>
      </c>
      <c r="AG42" s="477"/>
      <c r="AH42" s="4">
        <f t="shared" si="0"/>
        <v>16295246</v>
      </c>
    </row>
    <row r="43" spans="1:34" ht="15" x14ac:dyDescent="0.25">
      <c r="A43" s="475">
        <v>1983</v>
      </c>
      <c r="B43" s="476">
        <v>4380599</v>
      </c>
      <c r="C43" s="477"/>
      <c r="D43" s="478"/>
      <c r="E43" s="479" t="s">
        <v>302</v>
      </c>
      <c r="F43" s="476">
        <v>2432547</v>
      </c>
      <c r="G43" s="477"/>
      <c r="H43" s="476">
        <v>2432547</v>
      </c>
      <c r="I43" s="477"/>
      <c r="J43" s="476">
        <v>978249</v>
      </c>
      <c r="K43" s="477"/>
      <c r="L43" s="478"/>
      <c r="M43" s="479" t="s">
        <v>648</v>
      </c>
      <c r="N43" s="476">
        <v>5642708</v>
      </c>
      <c r="O43" s="477"/>
      <c r="P43" s="476">
        <v>5642708</v>
      </c>
      <c r="Q43" s="477"/>
      <c r="R43" s="476">
        <v>6620957</v>
      </c>
      <c r="S43" s="477"/>
      <c r="T43" s="476">
        <v>490042</v>
      </c>
      <c r="U43" s="477"/>
      <c r="V43" s="480" t="s">
        <v>325</v>
      </c>
      <c r="W43" s="477"/>
      <c r="X43" s="476">
        <v>490042</v>
      </c>
      <c r="Y43" s="477"/>
      <c r="Z43" s="476">
        <v>2910767</v>
      </c>
      <c r="AA43" s="477"/>
      <c r="AB43" s="480" t="s">
        <v>325</v>
      </c>
      <c r="AC43" s="477"/>
      <c r="AD43" s="476">
        <v>2910767</v>
      </c>
      <c r="AE43" s="477"/>
      <c r="AF43" s="476">
        <v>16834912</v>
      </c>
      <c r="AG43" s="477"/>
      <c r="AH43" s="4">
        <f t="shared" si="0"/>
        <v>15366621</v>
      </c>
    </row>
    <row r="44" spans="1:34" ht="15" x14ac:dyDescent="0.25">
      <c r="A44" s="481">
        <v>1984</v>
      </c>
      <c r="B44" s="482">
        <v>4555465</v>
      </c>
      <c r="C44" s="483"/>
      <c r="D44" s="484"/>
      <c r="E44" s="485" t="s">
        <v>302</v>
      </c>
      <c r="F44" s="482">
        <v>2524244</v>
      </c>
      <c r="G44" s="483"/>
      <c r="H44" s="482">
        <v>2524244</v>
      </c>
      <c r="I44" s="483"/>
      <c r="J44" s="482">
        <v>1076881</v>
      </c>
      <c r="K44" s="483"/>
      <c r="L44" s="484"/>
      <c r="M44" s="485" t="s">
        <v>648</v>
      </c>
      <c r="N44" s="482">
        <v>6153841</v>
      </c>
      <c r="O44" s="483"/>
      <c r="P44" s="482">
        <v>6153841</v>
      </c>
      <c r="Q44" s="483"/>
      <c r="R44" s="482">
        <v>7230722</v>
      </c>
      <c r="S44" s="483"/>
      <c r="T44" s="482">
        <v>528754</v>
      </c>
      <c r="U44" s="483"/>
      <c r="V44" s="486" t="s">
        <v>325</v>
      </c>
      <c r="W44" s="483"/>
      <c r="X44" s="482">
        <v>528754</v>
      </c>
      <c r="Y44" s="483"/>
      <c r="Z44" s="482">
        <v>3111342</v>
      </c>
      <c r="AA44" s="483"/>
      <c r="AB44" s="486" t="s">
        <v>325</v>
      </c>
      <c r="AC44" s="483"/>
      <c r="AD44" s="482">
        <v>3111342</v>
      </c>
      <c r="AE44" s="483"/>
      <c r="AF44" s="482">
        <v>17950527</v>
      </c>
      <c r="AG44" s="483"/>
      <c r="AH44" s="4">
        <f t="shared" si="0"/>
        <v>16344892</v>
      </c>
    </row>
    <row r="45" spans="1:34" ht="15" x14ac:dyDescent="0.25">
      <c r="A45" s="475">
        <v>1985</v>
      </c>
      <c r="B45" s="476">
        <v>4433377</v>
      </c>
      <c r="C45" s="477"/>
      <c r="D45" s="478"/>
      <c r="E45" s="479" t="s">
        <v>302</v>
      </c>
      <c r="F45" s="476">
        <v>2432382</v>
      </c>
      <c r="G45" s="477"/>
      <c r="H45" s="476">
        <v>2432382</v>
      </c>
      <c r="I45" s="477"/>
      <c r="J45" s="476">
        <v>966047</v>
      </c>
      <c r="K45" s="477"/>
      <c r="L45" s="478"/>
      <c r="M45" s="479" t="s">
        <v>648</v>
      </c>
      <c r="N45" s="476">
        <v>5901288</v>
      </c>
      <c r="O45" s="477"/>
      <c r="P45" s="476">
        <v>5901288</v>
      </c>
      <c r="Q45" s="477"/>
      <c r="R45" s="476">
        <v>6867335</v>
      </c>
      <c r="S45" s="477"/>
      <c r="T45" s="476">
        <v>503766</v>
      </c>
      <c r="U45" s="477"/>
      <c r="V45" s="480" t="s">
        <v>325</v>
      </c>
      <c r="W45" s="477"/>
      <c r="X45" s="476">
        <v>503766</v>
      </c>
      <c r="Y45" s="477"/>
      <c r="Z45" s="476">
        <v>3044083</v>
      </c>
      <c r="AA45" s="477"/>
      <c r="AB45" s="480" t="s">
        <v>325</v>
      </c>
      <c r="AC45" s="477"/>
      <c r="AD45" s="476">
        <v>3044083</v>
      </c>
      <c r="AE45" s="477"/>
      <c r="AF45" s="476">
        <v>17280943</v>
      </c>
      <c r="AG45" s="477"/>
      <c r="AH45" s="4">
        <f t="shared" si="0"/>
        <v>15811130</v>
      </c>
    </row>
    <row r="46" spans="1:34" ht="15" x14ac:dyDescent="0.25">
      <c r="A46" s="475">
        <v>1986</v>
      </c>
      <c r="B46" s="476">
        <v>4313969</v>
      </c>
      <c r="C46" s="477"/>
      <c r="D46" s="478"/>
      <c r="E46" s="479" t="s">
        <v>302</v>
      </c>
      <c r="F46" s="476">
        <v>2318335</v>
      </c>
      <c r="G46" s="477"/>
      <c r="H46" s="476">
        <v>2318335</v>
      </c>
      <c r="I46" s="477"/>
      <c r="J46" s="476">
        <v>922524</v>
      </c>
      <c r="K46" s="477"/>
      <c r="L46" s="478"/>
      <c r="M46" s="479" t="s">
        <v>648</v>
      </c>
      <c r="N46" s="476">
        <v>5579057</v>
      </c>
      <c r="O46" s="477"/>
      <c r="P46" s="476">
        <v>5579057</v>
      </c>
      <c r="Q46" s="477"/>
      <c r="R46" s="476">
        <v>6501581</v>
      </c>
      <c r="S46" s="477"/>
      <c r="T46" s="476">
        <v>485041</v>
      </c>
      <c r="U46" s="477"/>
      <c r="V46" s="480" t="s">
        <v>325</v>
      </c>
      <c r="W46" s="477"/>
      <c r="X46" s="476">
        <v>485041</v>
      </c>
      <c r="Y46" s="477"/>
      <c r="Z46" s="476">
        <v>2602370</v>
      </c>
      <c r="AA46" s="477"/>
      <c r="AB46" s="480" t="s">
        <v>325</v>
      </c>
      <c r="AC46" s="477"/>
      <c r="AD46" s="476">
        <v>2602370</v>
      </c>
      <c r="AE46" s="477"/>
      <c r="AF46" s="476">
        <v>16221296</v>
      </c>
      <c r="AG46" s="477"/>
      <c r="AH46" s="4">
        <f t="shared" si="0"/>
        <v>14813731</v>
      </c>
    </row>
    <row r="47" spans="1:34" ht="15" x14ac:dyDescent="0.25">
      <c r="A47" s="481">
        <v>1987</v>
      </c>
      <c r="B47" s="482">
        <v>4314833</v>
      </c>
      <c r="C47" s="483"/>
      <c r="D47" s="484"/>
      <c r="E47" s="485" t="s">
        <v>302</v>
      </c>
      <c r="F47" s="482">
        <v>2430064</v>
      </c>
      <c r="G47" s="483"/>
      <c r="H47" s="482">
        <v>2430064</v>
      </c>
      <c r="I47" s="483"/>
      <c r="J47" s="482">
        <v>1149383</v>
      </c>
      <c r="K47" s="483"/>
      <c r="L47" s="484"/>
      <c r="M47" s="485" t="s">
        <v>648</v>
      </c>
      <c r="N47" s="482">
        <v>5953308</v>
      </c>
      <c r="O47" s="483"/>
      <c r="P47" s="482">
        <v>5953308</v>
      </c>
      <c r="Q47" s="483"/>
      <c r="R47" s="482">
        <v>7102691</v>
      </c>
      <c r="S47" s="483"/>
      <c r="T47" s="482">
        <v>519170</v>
      </c>
      <c r="U47" s="483"/>
      <c r="V47" s="486" t="s">
        <v>325</v>
      </c>
      <c r="W47" s="483"/>
      <c r="X47" s="482">
        <v>519170</v>
      </c>
      <c r="Y47" s="483"/>
      <c r="Z47" s="482">
        <v>2844051</v>
      </c>
      <c r="AA47" s="483"/>
      <c r="AB47" s="486" t="s">
        <v>325</v>
      </c>
      <c r="AC47" s="483"/>
      <c r="AD47" s="482">
        <v>2844051</v>
      </c>
      <c r="AE47" s="483"/>
      <c r="AF47" s="482">
        <v>17210809</v>
      </c>
      <c r="AG47" s="483"/>
      <c r="AH47" s="4">
        <f t="shared" si="0"/>
        <v>15542256</v>
      </c>
    </row>
    <row r="48" spans="1:34" ht="15" x14ac:dyDescent="0.25">
      <c r="A48" s="475">
        <v>1988</v>
      </c>
      <c r="B48" s="476">
        <v>4630330</v>
      </c>
      <c r="C48" s="477"/>
      <c r="D48" s="478"/>
      <c r="E48" s="479" t="s">
        <v>302</v>
      </c>
      <c r="F48" s="476">
        <v>2670465</v>
      </c>
      <c r="G48" s="477"/>
      <c r="H48" s="476">
        <v>2670465</v>
      </c>
      <c r="I48" s="477"/>
      <c r="J48" s="476">
        <v>1095883</v>
      </c>
      <c r="K48" s="477"/>
      <c r="L48" s="478"/>
      <c r="M48" s="479" t="s">
        <v>648</v>
      </c>
      <c r="N48" s="476">
        <v>6383382</v>
      </c>
      <c r="O48" s="477"/>
      <c r="P48" s="476">
        <v>6383382</v>
      </c>
      <c r="Q48" s="477"/>
      <c r="R48" s="476">
        <v>7479265</v>
      </c>
      <c r="S48" s="477"/>
      <c r="T48" s="476">
        <v>613912</v>
      </c>
      <c r="U48" s="477"/>
      <c r="V48" s="480" t="s">
        <v>325</v>
      </c>
      <c r="W48" s="477"/>
      <c r="X48" s="476">
        <v>613912</v>
      </c>
      <c r="Y48" s="477"/>
      <c r="Z48" s="476">
        <v>2635613</v>
      </c>
      <c r="AA48" s="477"/>
      <c r="AB48" s="480" t="s">
        <v>325</v>
      </c>
      <c r="AC48" s="477"/>
      <c r="AD48" s="476">
        <v>2635613</v>
      </c>
      <c r="AE48" s="477"/>
      <c r="AF48" s="476">
        <v>18029585</v>
      </c>
      <c r="AG48" s="477"/>
      <c r="AH48" s="4">
        <f t="shared" si="0"/>
        <v>16319790</v>
      </c>
    </row>
    <row r="49" spans="1:34" ht="15" x14ac:dyDescent="0.25">
      <c r="A49" s="475">
        <v>1989</v>
      </c>
      <c r="B49" s="476">
        <v>4780638</v>
      </c>
      <c r="C49" s="477"/>
      <c r="D49" s="476">
        <v>30037</v>
      </c>
      <c r="E49" s="477"/>
      <c r="F49" s="476">
        <v>2687685</v>
      </c>
      <c r="G49" s="477"/>
      <c r="H49" s="476">
        <v>2717722</v>
      </c>
      <c r="I49" s="477"/>
      <c r="J49" s="476">
        <v>1069902</v>
      </c>
      <c r="K49" s="477"/>
      <c r="L49" s="476">
        <v>913516</v>
      </c>
      <c r="M49" s="477"/>
      <c r="N49" s="476">
        <v>5902728</v>
      </c>
      <c r="O49" s="479" t="s">
        <v>649</v>
      </c>
      <c r="P49" s="476">
        <v>6816244</v>
      </c>
      <c r="Q49" s="479" t="s">
        <v>649</v>
      </c>
      <c r="R49" s="476">
        <v>7886146</v>
      </c>
      <c r="S49" s="477"/>
      <c r="T49" s="476">
        <v>629308</v>
      </c>
      <c r="U49" s="477"/>
      <c r="V49" s="480" t="s">
        <v>325</v>
      </c>
      <c r="W49" s="477"/>
      <c r="X49" s="476">
        <v>629308</v>
      </c>
      <c r="Y49" s="477"/>
      <c r="Z49" s="476">
        <v>2790567</v>
      </c>
      <c r="AA49" s="479" t="s">
        <v>649</v>
      </c>
      <c r="AB49" s="476">
        <v>314616</v>
      </c>
      <c r="AC49" s="479" t="s">
        <v>649</v>
      </c>
      <c r="AD49" s="476">
        <v>3105183</v>
      </c>
      <c r="AE49" s="479" t="s">
        <v>649</v>
      </c>
      <c r="AF49" s="476">
        <v>19118997</v>
      </c>
      <c r="AG49" s="479" t="s">
        <v>649</v>
      </c>
      <c r="AH49" s="4">
        <f t="shared" si="0"/>
        <v>17419787</v>
      </c>
    </row>
    <row r="50" spans="1:34" ht="15" x14ac:dyDescent="0.25">
      <c r="A50" s="481">
        <v>1990</v>
      </c>
      <c r="B50" s="482">
        <v>4391324</v>
      </c>
      <c r="C50" s="483"/>
      <c r="D50" s="482">
        <v>46458</v>
      </c>
      <c r="E50" s="483"/>
      <c r="F50" s="482">
        <v>2576263</v>
      </c>
      <c r="G50" s="483"/>
      <c r="H50" s="482">
        <v>2622721</v>
      </c>
      <c r="I50" s="483"/>
      <c r="J50" s="482">
        <v>1236392</v>
      </c>
      <c r="K50" s="483"/>
      <c r="L50" s="482">
        <v>1055235</v>
      </c>
      <c r="M50" s="483"/>
      <c r="N50" s="482">
        <v>5963179</v>
      </c>
      <c r="O50" s="485" t="s">
        <v>649</v>
      </c>
      <c r="P50" s="482">
        <v>7018414</v>
      </c>
      <c r="Q50" s="485" t="s">
        <v>649</v>
      </c>
      <c r="R50" s="482">
        <v>8254806</v>
      </c>
      <c r="S50" s="483"/>
      <c r="T50" s="482">
        <v>659816</v>
      </c>
      <c r="U50" s="483"/>
      <c r="V50" s="486">
        <v>270</v>
      </c>
      <c r="W50" s="483"/>
      <c r="X50" s="482">
        <v>660086</v>
      </c>
      <c r="Y50" s="483"/>
      <c r="Z50" s="482">
        <v>2794110</v>
      </c>
      <c r="AA50" s="485" t="s">
        <v>649</v>
      </c>
      <c r="AB50" s="482">
        <v>450509</v>
      </c>
      <c r="AC50" s="485" t="s">
        <v>649</v>
      </c>
      <c r="AD50" s="482">
        <v>3244619</v>
      </c>
      <c r="AE50" s="485" t="s">
        <v>649</v>
      </c>
      <c r="AF50" s="482">
        <v>19173556</v>
      </c>
      <c r="AG50" s="485" t="s">
        <v>649</v>
      </c>
      <c r="AH50" s="4">
        <f t="shared" si="0"/>
        <v>17277348</v>
      </c>
    </row>
    <row r="51" spans="1:34" ht="15" x14ac:dyDescent="0.25">
      <c r="A51" s="475">
        <v>1991</v>
      </c>
      <c r="B51" s="476">
        <v>4555659</v>
      </c>
      <c r="C51" s="477"/>
      <c r="D51" s="476">
        <v>52101</v>
      </c>
      <c r="E51" s="477"/>
      <c r="F51" s="476">
        <v>2676480</v>
      </c>
      <c r="G51" s="477"/>
      <c r="H51" s="476">
        <v>2728581</v>
      </c>
      <c r="I51" s="477"/>
      <c r="J51" s="476">
        <v>1129268</v>
      </c>
      <c r="K51" s="477"/>
      <c r="L51" s="476">
        <v>1060716</v>
      </c>
      <c r="M51" s="477"/>
      <c r="N51" s="476">
        <v>6170246</v>
      </c>
      <c r="O51" s="479" t="s">
        <v>649</v>
      </c>
      <c r="P51" s="476">
        <v>7230962</v>
      </c>
      <c r="Q51" s="479" t="s">
        <v>649</v>
      </c>
      <c r="R51" s="476">
        <v>8360230</v>
      </c>
      <c r="S51" s="477"/>
      <c r="T51" s="476">
        <v>601305</v>
      </c>
      <c r="U51" s="477"/>
      <c r="V51" s="480">
        <v>367</v>
      </c>
      <c r="W51" s="477"/>
      <c r="X51" s="476">
        <v>601672</v>
      </c>
      <c r="Y51" s="477"/>
      <c r="Z51" s="476">
        <v>2822159</v>
      </c>
      <c r="AA51" s="479" t="s">
        <v>649</v>
      </c>
      <c r="AB51" s="476">
        <v>493766</v>
      </c>
      <c r="AC51" s="479" t="s">
        <v>649</v>
      </c>
      <c r="AD51" s="476">
        <v>3315925</v>
      </c>
      <c r="AE51" s="479" t="s">
        <v>649</v>
      </c>
      <c r="AF51" s="476">
        <v>19562067</v>
      </c>
      <c r="AG51" s="479" t="s">
        <v>649</v>
      </c>
      <c r="AH51" s="4">
        <f t="shared" si="0"/>
        <v>17831494</v>
      </c>
    </row>
    <row r="52" spans="1:34" ht="15" x14ac:dyDescent="0.25">
      <c r="A52" s="475">
        <v>1992</v>
      </c>
      <c r="B52" s="476">
        <v>4690065</v>
      </c>
      <c r="C52" s="477"/>
      <c r="D52" s="476">
        <v>62346</v>
      </c>
      <c r="E52" s="477"/>
      <c r="F52" s="476">
        <v>2740405</v>
      </c>
      <c r="G52" s="477"/>
      <c r="H52" s="476">
        <v>2802751</v>
      </c>
      <c r="I52" s="477"/>
      <c r="J52" s="476">
        <v>1170821</v>
      </c>
      <c r="K52" s="477"/>
      <c r="L52" s="476">
        <v>1107361</v>
      </c>
      <c r="M52" s="477"/>
      <c r="N52" s="476">
        <v>6419537</v>
      </c>
      <c r="O52" s="479" t="s">
        <v>649</v>
      </c>
      <c r="P52" s="476">
        <v>7526898</v>
      </c>
      <c r="Q52" s="479" t="s">
        <v>649</v>
      </c>
      <c r="R52" s="476">
        <v>8697719</v>
      </c>
      <c r="S52" s="477"/>
      <c r="T52" s="476">
        <v>587710</v>
      </c>
      <c r="U52" s="477"/>
      <c r="V52" s="476">
        <v>2112</v>
      </c>
      <c r="W52" s="477"/>
      <c r="X52" s="476">
        <v>589822</v>
      </c>
      <c r="Y52" s="477"/>
      <c r="Z52" s="476">
        <v>2828996</v>
      </c>
      <c r="AA52" s="479" t="s">
        <v>649</v>
      </c>
      <c r="AB52" s="476">
        <v>618875</v>
      </c>
      <c r="AC52" s="479" t="s">
        <v>649</v>
      </c>
      <c r="AD52" s="476">
        <v>3447871</v>
      </c>
      <c r="AE52" s="479" t="s">
        <v>649</v>
      </c>
      <c r="AF52" s="476">
        <v>20228228</v>
      </c>
      <c r="AG52" s="479" t="s">
        <v>649</v>
      </c>
      <c r="AH52" s="4">
        <f t="shared" si="0"/>
        <v>18469697</v>
      </c>
    </row>
    <row r="53" spans="1:34" ht="15" x14ac:dyDescent="0.25">
      <c r="A53" s="481">
        <v>1993</v>
      </c>
      <c r="B53" s="482">
        <v>4956445</v>
      </c>
      <c r="C53" s="483"/>
      <c r="D53" s="482">
        <v>65173</v>
      </c>
      <c r="E53" s="483"/>
      <c r="F53" s="482">
        <v>2796396</v>
      </c>
      <c r="G53" s="483"/>
      <c r="H53" s="482">
        <v>2861569</v>
      </c>
      <c r="I53" s="483"/>
      <c r="J53" s="482">
        <v>1171940</v>
      </c>
      <c r="K53" s="483"/>
      <c r="L53" s="482">
        <v>1124081</v>
      </c>
      <c r="M53" s="483"/>
      <c r="N53" s="482">
        <v>6575657</v>
      </c>
      <c r="O53" s="483"/>
      <c r="P53" s="482">
        <v>7699738</v>
      </c>
      <c r="Q53" s="483"/>
      <c r="R53" s="482">
        <v>8871678</v>
      </c>
      <c r="S53" s="483"/>
      <c r="T53" s="482">
        <v>624308</v>
      </c>
      <c r="U53" s="483"/>
      <c r="V53" s="482">
        <v>2860</v>
      </c>
      <c r="W53" s="483"/>
      <c r="X53" s="482">
        <v>627168</v>
      </c>
      <c r="Y53" s="483"/>
      <c r="Z53" s="482">
        <v>2755093</v>
      </c>
      <c r="AA53" s="483"/>
      <c r="AB53" s="482">
        <v>717890</v>
      </c>
      <c r="AC53" s="483"/>
      <c r="AD53" s="482">
        <v>3472982</v>
      </c>
      <c r="AE53" s="483"/>
      <c r="AF53" s="482">
        <v>20789842</v>
      </c>
      <c r="AG53" s="483"/>
      <c r="AH53" s="4">
        <f t="shared" si="0"/>
        <v>18993594</v>
      </c>
    </row>
    <row r="54" spans="1:34" ht="15" x14ac:dyDescent="0.25">
      <c r="A54" s="475">
        <v>1994</v>
      </c>
      <c r="B54" s="476">
        <v>4847701</v>
      </c>
      <c r="C54" s="477"/>
      <c r="D54" s="476">
        <v>72285</v>
      </c>
      <c r="E54" s="477"/>
      <c r="F54" s="476">
        <v>2822728</v>
      </c>
      <c r="G54" s="477"/>
      <c r="H54" s="476">
        <v>2895013</v>
      </c>
      <c r="I54" s="477"/>
      <c r="J54" s="476">
        <v>1123720</v>
      </c>
      <c r="K54" s="477"/>
      <c r="L54" s="476">
        <v>1176332</v>
      </c>
      <c r="M54" s="477"/>
      <c r="N54" s="476">
        <v>6613217</v>
      </c>
      <c r="O54" s="477"/>
      <c r="P54" s="476">
        <v>7789549</v>
      </c>
      <c r="Q54" s="477"/>
      <c r="R54" s="476">
        <v>8913269</v>
      </c>
      <c r="S54" s="477"/>
      <c r="T54" s="476">
        <v>685362</v>
      </c>
      <c r="U54" s="477"/>
      <c r="V54" s="476">
        <v>3207</v>
      </c>
      <c r="W54" s="477"/>
      <c r="X54" s="476">
        <v>688569</v>
      </c>
      <c r="Y54" s="477"/>
      <c r="Z54" s="476">
        <v>3064561</v>
      </c>
      <c r="AA54" s="477"/>
      <c r="AB54" s="476">
        <v>837985</v>
      </c>
      <c r="AC54" s="477"/>
      <c r="AD54" s="476">
        <v>3902546</v>
      </c>
      <c r="AE54" s="477"/>
      <c r="AF54" s="476">
        <v>21247098</v>
      </c>
      <c r="AG54" s="477"/>
      <c r="AH54" s="4">
        <f t="shared" si="0"/>
        <v>19438016</v>
      </c>
    </row>
    <row r="55" spans="1:34" ht="15" x14ac:dyDescent="0.25">
      <c r="A55" s="475">
        <v>1995</v>
      </c>
      <c r="B55" s="476">
        <v>4850318</v>
      </c>
      <c r="C55" s="477"/>
      <c r="D55" s="476">
        <v>77664</v>
      </c>
      <c r="E55" s="477"/>
      <c r="F55" s="476">
        <v>2953413</v>
      </c>
      <c r="G55" s="477"/>
      <c r="H55" s="476">
        <v>3031077</v>
      </c>
      <c r="I55" s="477"/>
      <c r="J55" s="476">
        <v>1220168</v>
      </c>
      <c r="K55" s="477"/>
      <c r="L55" s="476">
        <v>1258063</v>
      </c>
      <c r="M55" s="477"/>
      <c r="N55" s="476">
        <v>6905817</v>
      </c>
      <c r="O55" s="477"/>
      <c r="P55" s="476">
        <v>8163880</v>
      </c>
      <c r="Q55" s="477"/>
      <c r="R55" s="476">
        <v>9384048</v>
      </c>
      <c r="S55" s="477"/>
      <c r="T55" s="476">
        <v>700335</v>
      </c>
      <c r="U55" s="477"/>
      <c r="V55" s="476">
        <v>4585</v>
      </c>
      <c r="W55" s="477"/>
      <c r="X55" s="476">
        <v>704920</v>
      </c>
      <c r="Y55" s="477"/>
      <c r="Z55" s="476">
        <v>3287571</v>
      </c>
      <c r="AA55" s="477"/>
      <c r="AB55" s="476">
        <v>948954</v>
      </c>
      <c r="AC55" s="477"/>
      <c r="AD55" s="476">
        <v>4236526</v>
      </c>
      <c r="AE55" s="477"/>
      <c r="AF55" s="476">
        <v>22206889</v>
      </c>
      <c r="AG55" s="477"/>
      <c r="AH55" s="4">
        <f t="shared" si="0"/>
        <v>20286386</v>
      </c>
    </row>
    <row r="56" spans="1:34" ht="15" x14ac:dyDescent="0.25">
      <c r="A56" s="481">
        <v>1996</v>
      </c>
      <c r="B56" s="482">
        <v>5241414</v>
      </c>
      <c r="C56" s="483"/>
      <c r="D56" s="482">
        <v>82455</v>
      </c>
      <c r="E56" s="483"/>
      <c r="F56" s="482">
        <v>3075789</v>
      </c>
      <c r="G56" s="483"/>
      <c r="H56" s="482">
        <v>3158244</v>
      </c>
      <c r="I56" s="483"/>
      <c r="J56" s="482">
        <v>1249662</v>
      </c>
      <c r="K56" s="483"/>
      <c r="L56" s="482">
        <v>1288876</v>
      </c>
      <c r="M56" s="483"/>
      <c r="N56" s="482">
        <v>7146470</v>
      </c>
      <c r="O56" s="483"/>
      <c r="P56" s="482">
        <v>8435346</v>
      </c>
      <c r="Q56" s="483"/>
      <c r="R56" s="482">
        <v>9685008</v>
      </c>
      <c r="S56" s="483"/>
      <c r="T56" s="482">
        <v>711446</v>
      </c>
      <c r="U56" s="483"/>
      <c r="V56" s="482">
        <v>6067</v>
      </c>
      <c r="W56" s="483"/>
      <c r="X56" s="482">
        <v>717513</v>
      </c>
      <c r="Y56" s="483"/>
      <c r="Z56" s="482">
        <v>2823724</v>
      </c>
      <c r="AA56" s="483"/>
      <c r="AB56" s="482">
        <v>983177</v>
      </c>
      <c r="AC56" s="483"/>
      <c r="AD56" s="482">
        <v>3806901</v>
      </c>
      <c r="AE56" s="483"/>
      <c r="AF56" s="482">
        <v>22609080</v>
      </c>
      <c r="AG56" s="483"/>
      <c r="AH56" s="4">
        <f t="shared" si="0"/>
        <v>20647972</v>
      </c>
    </row>
    <row r="57" spans="1:34" ht="15" x14ac:dyDescent="0.25">
      <c r="A57" s="475">
        <v>1997</v>
      </c>
      <c r="B57" s="476">
        <v>4983772</v>
      </c>
      <c r="C57" s="477"/>
      <c r="D57" s="476">
        <v>86915</v>
      </c>
      <c r="E57" s="477"/>
      <c r="F57" s="476">
        <v>3127997</v>
      </c>
      <c r="G57" s="477"/>
      <c r="H57" s="476">
        <v>3214912</v>
      </c>
      <c r="I57" s="477"/>
      <c r="J57" s="476">
        <v>1203179</v>
      </c>
      <c r="K57" s="477"/>
      <c r="L57" s="476">
        <v>1281620</v>
      </c>
      <c r="M57" s="477"/>
      <c r="N57" s="476">
        <v>7229259</v>
      </c>
      <c r="O57" s="477"/>
      <c r="P57" s="476">
        <v>8510879</v>
      </c>
      <c r="Q57" s="477"/>
      <c r="R57" s="476">
        <v>9714058</v>
      </c>
      <c r="S57" s="477"/>
      <c r="T57" s="476">
        <v>751470</v>
      </c>
      <c r="U57" s="477"/>
      <c r="V57" s="476">
        <v>8328</v>
      </c>
      <c r="W57" s="477"/>
      <c r="X57" s="476">
        <v>759798</v>
      </c>
      <c r="Y57" s="477"/>
      <c r="Z57" s="476">
        <v>3039227</v>
      </c>
      <c r="AA57" s="477"/>
      <c r="AB57" s="476">
        <v>1025575</v>
      </c>
      <c r="AC57" s="477"/>
      <c r="AD57" s="476">
        <v>4064803</v>
      </c>
      <c r="AE57" s="477"/>
      <c r="AF57" s="476">
        <v>22737343</v>
      </c>
      <c r="AG57" s="477"/>
      <c r="AH57" s="4">
        <f t="shared" si="0"/>
        <v>20782694</v>
      </c>
    </row>
    <row r="58" spans="1:34" ht="15" x14ac:dyDescent="0.25">
      <c r="A58" s="475">
        <v>1998</v>
      </c>
      <c r="B58" s="476">
        <v>4520276</v>
      </c>
      <c r="C58" s="477"/>
      <c r="D58" s="476">
        <v>87220</v>
      </c>
      <c r="E58" s="477"/>
      <c r="F58" s="476">
        <v>2912271</v>
      </c>
      <c r="G58" s="477"/>
      <c r="H58" s="476">
        <v>2999491</v>
      </c>
      <c r="I58" s="477"/>
      <c r="J58" s="476">
        <v>1172680</v>
      </c>
      <c r="K58" s="477"/>
      <c r="L58" s="476">
        <v>1354986</v>
      </c>
      <c r="M58" s="477"/>
      <c r="N58" s="476">
        <v>6965421</v>
      </c>
      <c r="O58" s="477"/>
      <c r="P58" s="476">
        <v>8320407</v>
      </c>
      <c r="Q58" s="477"/>
      <c r="R58" s="476">
        <v>9493087</v>
      </c>
      <c r="S58" s="477"/>
      <c r="T58" s="476">
        <v>635477</v>
      </c>
      <c r="U58" s="477"/>
      <c r="V58" s="476">
        <v>9341</v>
      </c>
      <c r="W58" s="477"/>
      <c r="X58" s="476">
        <v>644818</v>
      </c>
      <c r="Y58" s="477"/>
      <c r="Z58" s="476">
        <v>3543931</v>
      </c>
      <c r="AA58" s="477"/>
      <c r="AB58" s="476">
        <v>1044352</v>
      </c>
      <c r="AC58" s="477"/>
      <c r="AD58" s="476">
        <v>4588284</v>
      </c>
      <c r="AE58" s="477"/>
      <c r="AF58" s="476">
        <v>22245956</v>
      </c>
      <c r="AG58" s="477"/>
      <c r="AH58" s="4">
        <f t="shared" si="0"/>
        <v>20437799</v>
      </c>
    </row>
    <row r="59" spans="1:34" ht="15" x14ac:dyDescent="0.25">
      <c r="A59" s="481">
        <v>1999</v>
      </c>
      <c r="B59" s="482">
        <v>4725672</v>
      </c>
      <c r="C59" s="483"/>
      <c r="D59" s="482">
        <v>84037</v>
      </c>
      <c r="E59" s="483"/>
      <c r="F59" s="482">
        <v>2960621</v>
      </c>
      <c r="G59" s="483"/>
      <c r="H59" s="482">
        <v>3044658</v>
      </c>
      <c r="I59" s="483"/>
      <c r="J59" s="482">
        <v>1078989</v>
      </c>
      <c r="K59" s="483"/>
      <c r="L59" s="482">
        <v>1401374</v>
      </c>
      <c r="M59" s="483"/>
      <c r="N59" s="482">
        <v>6677985</v>
      </c>
      <c r="O59" s="483"/>
      <c r="P59" s="482">
        <v>8079359</v>
      </c>
      <c r="Q59" s="483"/>
      <c r="R59" s="482">
        <v>9158348</v>
      </c>
      <c r="S59" s="483"/>
      <c r="T59" s="482">
        <v>645319</v>
      </c>
      <c r="U59" s="483"/>
      <c r="V59" s="482">
        <v>11622</v>
      </c>
      <c r="W59" s="483"/>
      <c r="X59" s="482">
        <v>656941</v>
      </c>
      <c r="Y59" s="483"/>
      <c r="Z59" s="482">
        <v>3729175</v>
      </c>
      <c r="AA59" s="483"/>
      <c r="AB59" s="482">
        <v>1090356</v>
      </c>
      <c r="AC59" s="483"/>
      <c r="AD59" s="482">
        <v>4819531</v>
      </c>
      <c r="AE59" s="483"/>
      <c r="AF59" s="482">
        <v>22405150</v>
      </c>
      <c r="AG59" s="483"/>
      <c r="AH59" s="4">
        <f t="shared" si="0"/>
        <v>20680842</v>
      </c>
    </row>
    <row r="60" spans="1:34" ht="15" x14ac:dyDescent="0.25">
      <c r="A60" s="475">
        <v>2000</v>
      </c>
      <c r="B60" s="476">
        <v>4996179</v>
      </c>
      <c r="C60" s="477"/>
      <c r="D60" s="476">
        <v>84874</v>
      </c>
      <c r="E60" s="477"/>
      <c r="F60" s="476">
        <v>3097595</v>
      </c>
      <c r="G60" s="477"/>
      <c r="H60" s="476">
        <v>3182469</v>
      </c>
      <c r="I60" s="477"/>
      <c r="J60" s="476">
        <v>1150948</v>
      </c>
      <c r="K60" s="477"/>
      <c r="L60" s="476">
        <v>1385546</v>
      </c>
      <c r="M60" s="477"/>
      <c r="N60" s="476">
        <v>6756694</v>
      </c>
      <c r="O60" s="477"/>
      <c r="P60" s="476">
        <v>8142240</v>
      </c>
      <c r="Q60" s="477"/>
      <c r="R60" s="476">
        <v>9293188</v>
      </c>
      <c r="S60" s="477"/>
      <c r="T60" s="476">
        <v>642210</v>
      </c>
      <c r="U60" s="477"/>
      <c r="V60" s="476">
        <v>12752</v>
      </c>
      <c r="W60" s="477"/>
      <c r="X60" s="476">
        <v>654962</v>
      </c>
      <c r="Y60" s="477"/>
      <c r="Z60" s="476">
        <v>4092729</v>
      </c>
      <c r="AA60" s="477"/>
      <c r="AB60" s="476">
        <v>1113595</v>
      </c>
      <c r="AC60" s="477"/>
      <c r="AD60" s="476">
        <v>5206324</v>
      </c>
      <c r="AE60" s="477"/>
      <c r="AF60" s="476">
        <v>23333122</v>
      </c>
      <c r="AG60" s="477"/>
      <c r="AH60" s="4">
        <f t="shared" si="0"/>
        <v>21539964</v>
      </c>
    </row>
    <row r="61" spans="1:34" ht="15" x14ac:dyDescent="0.25">
      <c r="A61" s="475">
        <v>2001</v>
      </c>
      <c r="B61" s="476">
        <v>4771340</v>
      </c>
      <c r="C61" s="477"/>
      <c r="D61" s="476">
        <v>78655</v>
      </c>
      <c r="E61" s="477"/>
      <c r="F61" s="476">
        <v>2944057</v>
      </c>
      <c r="G61" s="477"/>
      <c r="H61" s="476">
        <v>3022712</v>
      </c>
      <c r="I61" s="477"/>
      <c r="J61" s="476">
        <v>1118552</v>
      </c>
      <c r="K61" s="477"/>
      <c r="L61" s="476">
        <v>1309636</v>
      </c>
      <c r="M61" s="477"/>
      <c r="N61" s="476">
        <v>6034583</v>
      </c>
      <c r="O61" s="477"/>
      <c r="P61" s="476">
        <v>7344219</v>
      </c>
      <c r="Q61" s="477"/>
      <c r="R61" s="476">
        <v>8462771</v>
      </c>
      <c r="S61" s="477"/>
      <c r="T61" s="476">
        <v>624964</v>
      </c>
      <c r="U61" s="477"/>
      <c r="V61" s="476">
        <v>14536</v>
      </c>
      <c r="W61" s="477"/>
      <c r="X61" s="476">
        <v>639500</v>
      </c>
      <c r="Y61" s="477"/>
      <c r="Z61" s="476">
        <v>4163930</v>
      </c>
      <c r="AA61" s="477"/>
      <c r="AB61" s="476">
        <v>1178371</v>
      </c>
      <c r="AC61" s="477"/>
      <c r="AD61" s="476">
        <v>5342301</v>
      </c>
      <c r="AE61" s="477"/>
      <c r="AF61" s="476">
        <v>22238624</v>
      </c>
      <c r="AG61" s="477"/>
      <c r="AH61" s="4">
        <f t="shared" si="0"/>
        <v>20495108</v>
      </c>
    </row>
    <row r="62" spans="1:34" ht="15" x14ac:dyDescent="0.25">
      <c r="A62" s="481">
        <v>2002</v>
      </c>
      <c r="B62" s="482">
        <v>4888818</v>
      </c>
      <c r="C62" s="483"/>
      <c r="D62" s="482">
        <v>73975</v>
      </c>
      <c r="E62" s="483"/>
      <c r="F62" s="482">
        <v>3070195</v>
      </c>
      <c r="G62" s="483"/>
      <c r="H62" s="482">
        <v>3144170</v>
      </c>
      <c r="I62" s="483"/>
      <c r="J62" s="482">
        <v>1113082</v>
      </c>
      <c r="K62" s="483"/>
      <c r="L62" s="482">
        <v>1240209</v>
      </c>
      <c r="M62" s="483"/>
      <c r="N62" s="482">
        <v>6266971</v>
      </c>
      <c r="O62" s="483"/>
      <c r="P62" s="482">
        <v>7507180</v>
      </c>
      <c r="Q62" s="483"/>
      <c r="R62" s="482">
        <v>8620262</v>
      </c>
      <c r="S62" s="483"/>
      <c r="T62" s="482">
        <v>666920</v>
      </c>
      <c r="U62" s="483"/>
      <c r="V62" s="482">
        <v>14950</v>
      </c>
      <c r="W62" s="483"/>
      <c r="X62" s="482">
        <v>681870</v>
      </c>
      <c r="Y62" s="483"/>
      <c r="Z62" s="482">
        <v>4258467</v>
      </c>
      <c r="AA62" s="483"/>
      <c r="AB62" s="482">
        <v>1413431</v>
      </c>
      <c r="AC62" s="483"/>
      <c r="AD62" s="482">
        <v>5671897</v>
      </c>
      <c r="AE62" s="483"/>
      <c r="AF62" s="482">
        <v>23007017</v>
      </c>
      <c r="AG62" s="483"/>
      <c r="AH62" s="4">
        <f t="shared" si="0"/>
        <v>21227015</v>
      </c>
    </row>
    <row r="63" spans="1:34" ht="15" x14ac:dyDescent="0.25">
      <c r="A63" s="475">
        <v>2003</v>
      </c>
      <c r="B63" s="476">
        <v>5079351</v>
      </c>
      <c r="C63" s="477"/>
      <c r="D63" s="476">
        <v>58453</v>
      </c>
      <c r="E63" s="477"/>
      <c r="F63" s="476">
        <v>3121040</v>
      </c>
      <c r="G63" s="477"/>
      <c r="H63" s="476">
        <v>3179493</v>
      </c>
      <c r="I63" s="477"/>
      <c r="J63" s="476">
        <v>1122283</v>
      </c>
      <c r="K63" s="477"/>
      <c r="L63" s="476">
        <v>1143734</v>
      </c>
      <c r="M63" s="477"/>
      <c r="N63" s="476">
        <v>6006662</v>
      </c>
      <c r="O63" s="477"/>
      <c r="P63" s="476">
        <v>7150396</v>
      </c>
      <c r="Q63" s="477"/>
      <c r="R63" s="476">
        <v>8272679</v>
      </c>
      <c r="S63" s="477"/>
      <c r="T63" s="476">
        <v>591492</v>
      </c>
      <c r="U63" s="477"/>
      <c r="V63" s="476">
        <v>18271</v>
      </c>
      <c r="W63" s="477"/>
      <c r="X63" s="476">
        <v>609763</v>
      </c>
      <c r="Y63" s="477"/>
      <c r="Z63" s="476">
        <v>3780314</v>
      </c>
      <c r="AA63" s="477"/>
      <c r="AB63" s="476">
        <v>1354901</v>
      </c>
      <c r="AC63" s="477"/>
      <c r="AD63" s="476">
        <v>5135215</v>
      </c>
      <c r="AE63" s="477"/>
      <c r="AF63" s="476">
        <v>22276501</v>
      </c>
      <c r="AG63" s="477"/>
      <c r="AH63" s="4">
        <f t="shared" si="0"/>
        <v>20562726</v>
      </c>
    </row>
    <row r="64" spans="1:34" ht="15" x14ac:dyDescent="0.25">
      <c r="A64" s="475">
        <v>2004</v>
      </c>
      <c r="B64" s="476">
        <v>4868797</v>
      </c>
      <c r="C64" s="477"/>
      <c r="D64" s="476">
        <v>72072</v>
      </c>
      <c r="E64" s="477"/>
      <c r="F64" s="476">
        <v>3056900</v>
      </c>
      <c r="G64" s="477"/>
      <c r="H64" s="476">
        <v>3128972</v>
      </c>
      <c r="I64" s="477"/>
      <c r="J64" s="476">
        <v>1097904</v>
      </c>
      <c r="K64" s="477"/>
      <c r="L64" s="476">
        <v>1190844</v>
      </c>
      <c r="M64" s="477"/>
      <c r="N64" s="476">
        <v>6051993</v>
      </c>
      <c r="O64" s="477"/>
      <c r="P64" s="476">
        <v>7242837</v>
      </c>
      <c r="Q64" s="477"/>
      <c r="R64" s="476">
        <v>8340741</v>
      </c>
      <c r="S64" s="477"/>
      <c r="T64" s="476">
        <v>566187</v>
      </c>
      <c r="U64" s="477"/>
      <c r="V64" s="476">
        <v>20514</v>
      </c>
      <c r="W64" s="477"/>
      <c r="X64" s="476">
        <v>586701</v>
      </c>
      <c r="Y64" s="477"/>
      <c r="Z64" s="476">
        <v>4141535</v>
      </c>
      <c r="AA64" s="477"/>
      <c r="AB64" s="476">
        <v>1322228</v>
      </c>
      <c r="AC64" s="477"/>
      <c r="AD64" s="476">
        <v>5463763</v>
      </c>
      <c r="AE64" s="477"/>
      <c r="AF64" s="476">
        <v>22388974</v>
      </c>
      <c r="AG64" s="477"/>
      <c r="AH64" s="4">
        <f t="shared" si="0"/>
        <v>20724883</v>
      </c>
    </row>
    <row r="65" spans="1:34" ht="15" x14ac:dyDescent="0.25">
      <c r="A65" s="481">
        <v>2005</v>
      </c>
      <c r="B65" s="482">
        <v>4826775</v>
      </c>
      <c r="C65" s="483"/>
      <c r="D65" s="482">
        <v>67957</v>
      </c>
      <c r="E65" s="483"/>
      <c r="F65" s="482">
        <v>2930963</v>
      </c>
      <c r="G65" s="483"/>
      <c r="H65" s="482">
        <v>2998920</v>
      </c>
      <c r="I65" s="483"/>
      <c r="J65" s="482">
        <v>1111517</v>
      </c>
      <c r="K65" s="483"/>
      <c r="L65" s="482">
        <v>1083607</v>
      </c>
      <c r="M65" s="483"/>
      <c r="N65" s="482">
        <v>5513723</v>
      </c>
      <c r="O65" s="483"/>
      <c r="P65" s="482">
        <v>6597330</v>
      </c>
      <c r="Q65" s="483"/>
      <c r="R65" s="482">
        <v>7708847</v>
      </c>
      <c r="S65" s="483"/>
      <c r="T65" s="482">
        <v>584026</v>
      </c>
      <c r="U65" s="483"/>
      <c r="V65" s="482">
        <v>22884</v>
      </c>
      <c r="W65" s="483"/>
      <c r="X65" s="482">
        <v>606910</v>
      </c>
      <c r="Y65" s="483"/>
      <c r="Z65" s="482">
        <v>4592271</v>
      </c>
      <c r="AA65" s="483"/>
      <c r="AB65" s="482">
        <v>1276874</v>
      </c>
      <c r="AC65" s="483"/>
      <c r="AD65" s="482">
        <v>5869145</v>
      </c>
      <c r="AE65" s="483"/>
      <c r="AF65" s="482">
        <v>22010597</v>
      </c>
      <c r="AG65" s="483"/>
      <c r="AH65" s="4">
        <f t="shared" si="0"/>
        <v>20315054</v>
      </c>
    </row>
    <row r="66" spans="1:34" ht="15" x14ac:dyDescent="0.25">
      <c r="A66" s="475">
        <v>2006</v>
      </c>
      <c r="B66" s="476">
        <v>4368466</v>
      </c>
      <c r="C66" s="477"/>
      <c r="D66" s="476">
        <v>67735</v>
      </c>
      <c r="E66" s="477"/>
      <c r="F66" s="476">
        <v>2764296</v>
      </c>
      <c r="G66" s="477"/>
      <c r="H66" s="476">
        <v>2832030</v>
      </c>
      <c r="I66" s="477"/>
      <c r="J66" s="476">
        <v>1141977</v>
      </c>
      <c r="K66" s="477"/>
      <c r="L66" s="476">
        <v>1114597</v>
      </c>
      <c r="M66" s="477"/>
      <c r="N66" s="476">
        <v>5397518</v>
      </c>
      <c r="O66" s="477"/>
      <c r="P66" s="476">
        <v>6512115</v>
      </c>
      <c r="Q66" s="477"/>
      <c r="R66" s="476">
        <v>7654092</v>
      </c>
      <c r="S66" s="477"/>
      <c r="T66" s="476">
        <v>584213</v>
      </c>
      <c r="U66" s="477"/>
      <c r="V66" s="476">
        <v>23739</v>
      </c>
      <c r="W66" s="477"/>
      <c r="X66" s="476">
        <v>607952</v>
      </c>
      <c r="Y66" s="477"/>
      <c r="Z66" s="476">
        <v>5091049</v>
      </c>
      <c r="AA66" s="477"/>
      <c r="AB66" s="476">
        <v>1131051</v>
      </c>
      <c r="AC66" s="477"/>
      <c r="AD66" s="476">
        <v>6222100</v>
      </c>
      <c r="AE66" s="477"/>
      <c r="AF66" s="476">
        <v>21684641</v>
      </c>
      <c r="AG66" s="477"/>
      <c r="AH66" s="4">
        <f t="shared" si="0"/>
        <v>19958451</v>
      </c>
    </row>
    <row r="67" spans="1:34" ht="15" x14ac:dyDescent="0.25">
      <c r="A67" s="475">
        <v>2007</v>
      </c>
      <c r="B67" s="476">
        <v>4722358</v>
      </c>
      <c r="C67" s="477"/>
      <c r="D67" s="476">
        <v>70074</v>
      </c>
      <c r="E67" s="477"/>
      <c r="F67" s="476">
        <v>2942830</v>
      </c>
      <c r="G67" s="477"/>
      <c r="H67" s="476">
        <v>3012904</v>
      </c>
      <c r="I67" s="477"/>
      <c r="J67" s="476">
        <v>1226386</v>
      </c>
      <c r="K67" s="477"/>
      <c r="L67" s="476">
        <v>1050439</v>
      </c>
      <c r="M67" s="477"/>
      <c r="N67" s="476">
        <v>5597624</v>
      </c>
      <c r="O67" s="477"/>
      <c r="P67" s="476">
        <v>6648063</v>
      </c>
      <c r="Q67" s="477"/>
      <c r="R67" s="476">
        <v>7874449</v>
      </c>
      <c r="S67" s="477"/>
      <c r="T67" s="476">
        <v>621364</v>
      </c>
      <c r="U67" s="477"/>
      <c r="V67" s="476">
        <v>24655</v>
      </c>
      <c r="W67" s="477"/>
      <c r="X67" s="476">
        <v>646020</v>
      </c>
      <c r="Y67" s="477"/>
      <c r="Z67" s="476">
        <v>5611600</v>
      </c>
      <c r="AA67" s="477"/>
      <c r="AB67" s="476">
        <v>1229808</v>
      </c>
      <c r="AC67" s="477"/>
      <c r="AD67" s="476">
        <v>6841408</v>
      </c>
      <c r="AE67" s="477"/>
      <c r="AF67" s="476">
        <v>23097140</v>
      </c>
      <c r="AG67" s="477"/>
      <c r="AH67" s="4">
        <f>AF67-J67-T67</f>
        <v>21249390</v>
      </c>
    </row>
    <row r="68" spans="1:34" ht="15" x14ac:dyDescent="0.25">
      <c r="A68" s="481">
        <v>2008</v>
      </c>
      <c r="B68" s="482">
        <v>4892277</v>
      </c>
      <c r="C68" s="485" t="s">
        <v>650</v>
      </c>
      <c r="D68" s="482">
        <v>66216</v>
      </c>
      <c r="E68" s="483"/>
      <c r="F68" s="482">
        <v>3086314</v>
      </c>
      <c r="G68" s="485" t="s">
        <v>650</v>
      </c>
      <c r="H68" s="482">
        <v>3152529</v>
      </c>
      <c r="I68" s="485" t="s">
        <v>650</v>
      </c>
      <c r="J68" s="482">
        <v>1219703</v>
      </c>
      <c r="K68" s="485" t="s">
        <v>650</v>
      </c>
      <c r="L68" s="482">
        <v>954785</v>
      </c>
      <c r="M68" s="483"/>
      <c r="N68" s="482">
        <v>5706445</v>
      </c>
      <c r="O68" s="485" t="s">
        <v>650</v>
      </c>
      <c r="P68" s="482">
        <v>6661230</v>
      </c>
      <c r="Q68" s="485" t="s">
        <v>650</v>
      </c>
      <c r="R68" s="482">
        <v>7880934</v>
      </c>
      <c r="S68" s="485" t="s">
        <v>650</v>
      </c>
      <c r="T68" s="482">
        <v>647956</v>
      </c>
      <c r="U68" s="485" t="s">
        <v>650</v>
      </c>
      <c r="V68" s="482">
        <v>25982</v>
      </c>
      <c r="W68" s="485" t="s">
        <v>650</v>
      </c>
      <c r="X68" s="482">
        <v>673938</v>
      </c>
      <c r="Y68" s="485" t="s">
        <v>650</v>
      </c>
      <c r="Z68" s="482">
        <v>5520491</v>
      </c>
      <c r="AA68" s="483"/>
      <c r="AB68" s="482">
        <v>1147887</v>
      </c>
      <c r="AC68" s="483"/>
      <c r="AD68" s="482">
        <v>6668379</v>
      </c>
      <c r="AE68" s="483"/>
      <c r="AF68" s="482">
        <v>23268056</v>
      </c>
      <c r="AG68" s="485" t="s">
        <v>650</v>
      </c>
      <c r="AH68" s="4">
        <f t="shared" si="0"/>
        <v>21400397</v>
      </c>
    </row>
    <row r="69" spans="1:34" x14ac:dyDescent="0.2">
      <c r="A69" s="475">
        <v>2009</v>
      </c>
      <c r="B69" s="476">
        <v>4778478</v>
      </c>
      <c r="C69" s="479" t="s">
        <v>650</v>
      </c>
      <c r="D69" s="476">
        <v>75555</v>
      </c>
      <c r="E69" s="479" t="s">
        <v>650</v>
      </c>
      <c r="F69" s="476">
        <v>3043279</v>
      </c>
      <c r="G69" s="479" t="s">
        <v>650</v>
      </c>
      <c r="H69" s="476">
        <v>3118833</v>
      </c>
      <c r="I69" s="479" t="s">
        <v>650</v>
      </c>
      <c r="J69" s="476">
        <v>1275238</v>
      </c>
      <c r="K69" s="479" t="s">
        <v>650</v>
      </c>
      <c r="L69" s="476">
        <v>989769</v>
      </c>
      <c r="M69" s="479" t="s">
        <v>650</v>
      </c>
      <c r="N69" s="476">
        <v>5177424</v>
      </c>
      <c r="O69" s="479" t="s">
        <v>650</v>
      </c>
      <c r="P69" s="476">
        <v>6167193</v>
      </c>
      <c r="Q69" s="479" t="s">
        <v>650</v>
      </c>
      <c r="R69" s="476">
        <v>7442431</v>
      </c>
      <c r="S69" s="479" t="s">
        <v>650</v>
      </c>
      <c r="T69" s="476">
        <v>598216</v>
      </c>
      <c r="U69" s="479" t="s">
        <v>650</v>
      </c>
      <c r="V69" s="476">
        <v>29150</v>
      </c>
      <c r="W69" s="479" t="s">
        <v>650</v>
      </c>
      <c r="X69" s="476">
        <v>627366</v>
      </c>
      <c r="Y69" s="479" t="s">
        <v>650</v>
      </c>
      <c r="Z69" s="476">
        <v>5750589</v>
      </c>
      <c r="AA69" s="479" t="s">
        <v>650</v>
      </c>
      <c r="AB69" s="476">
        <v>1121944</v>
      </c>
      <c r="AC69" s="479" t="s">
        <v>650</v>
      </c>
      <c r="AD69" s="476">
        <v>6872533</v>
      </c>
      <c r="AE69" s="479" t="s">
        <v>650</v>
      </c>
      <c r="AF69" s="476">
        <v>22839642</v>
      </c>
      <c r="AG69" s="479" t="s">
        <v>650</v>
      </c>
      <c r="AH69" s="4">
        <f t="shared" si="0"/>
        <v>20966188</v>
      </c>
    </row>
    <row r="70" spans="1:34" ht="15" x14ac:dyDescent="0.25">
      <c r="A70" s="475" t="s">
        <v>819</v>
      </c>
      <c r="B70" s="476">
        <v>4952231</v>
      </c>
      <c r="C70" s="477"/>
      <c r="D70" s="476">
        <v>75379</v>
      </c>
      <c r="E70" s="477"/>
      <c r="F70" s="476">
        <v>3130587</v>
      </c>
      <c r="G70" s="477"/>
      <c r="H70" s="476">
        <v>3205966</v>
      </c>
      <c r="I70" s="477"/>
      <c r="J70" s="476">
        <v>1332184</v>
      </c>
      <c r="K70" s="477"/>
      <c r="L70" s="476">
        <v>1007263</v>
      </c>
      <c r="M70" s="477"/>
      <c r="N70" s="476">
        <v>5592759</v>
      </c>
      <c r="O70" s="477"/>
      <c r="P70" s="476">
        <v>6600022</v>
      </c>
      <c r="Q70" s="477"/>
      <c r="R70" s="476">
        <v>7932205</v>
      </c>
      <c r="S70" s="477"/>
      <c r="T70" s="476">
        <v>632107</v>
      </c>
      <c r="U70" s="477"/>
      <c r="V70" s="476">
        <v>32850</v>
      </c>
      <c r="W70" s="477"/>
      <c r="X70" s="476">
        <v>664957</v>
      </c>
      <c r="Y70" s="477"/>
      <c r="Z70" s="476">
        <v>6211588</v>
      </c>
      <c r="AA70" s="477"/>
      <c r="AB70" s="476">
        <v>1166115</v>
      </c>
      <c r="AC70" s="477"/>
      <c r="AD70" s="476">
        <v>7377703</v>
      </c>
      <c r="AE70" s="477"/>
      <c r="AF70" s="476">
        <v>24133062</v>
      </c>
      <c r="AG70" s="477"/>
      <c r="AH70" s="4">
        <f t="shared" si="0"/>
        <v>22168771</v>
      </c>
    </row>
    <row r="71" spans="1:34" x14ac:dyDescent="0.2">
      <c r="A71" s="862" t="s">
        <v>39</v>
      </c>
      <c r="B71" s="863"/>
      <c r="C71" s="863"/>
      <c r="D71" s="863"/>
      <c r="E71" s="863"/>
      <c r="F71" s="863"/>
      <c r="G71" s="863"/>
      <c r="H71" s="863"/>
      <c r="I71" s="863"/>
      <c r="J71" s="863"/>
      <c r="K71" s="863"/>
      <c r="L71" s="863"/>
      <c r="M71" s="863"/>
      <c r="N71" s="863"/>
      <c r="O71" s="863"/>
      <c r="P71" s="863"/>
      <c r="Q71" s="863" t="s">
        <v>40</v>
      </c>
      <c r="R71" s="863"/>
      <c r="S71" s="863"/>
      <c r="T71" s="863"/>
      <c r="U71" s="863"/>
      <c r="V71" s="863"/>
      <c r="W71" s="863"/>
      <c r="X71" s="863"/>
      <c r="Y71" s="863"/>
      <c r="Z71" s="863"/>
      <c r="AA71" s="863"/>
      <c r="AB71" s="863"/>
      <c r="AC71" s="863"/>
      <c r="AD71" s="863"/>
      <c r="AE71" s="863"/>
      <c r="AF71" s="863"/>
      <c r="AG71" s="864"/>
    </row>
    <row r="72" spans="1:34" x14ac:dyDescent="0.2">
      <c r="A72" s="865" t="s">
        <v>619</v>
      </c>
      <c r="B72" s="866"/>
      <c r="C72" s="866"/>
      <c r="D72" s="866"/>
      <c r="E72" s="866"/>
      <c r="F72" s="866"/>
      <c r="G72" s="866"/>
      <c r="H72" s="866"/>
      <c r="I72" s="866"/>
      <c r="J72" s="866"/>
      <c r="K72" s="866"/>
      <c r="L72" s="866"/>
      <c r="M72" s="866"/>
      <c r="N72" s="866"/>
      <c r="O72" s="866"/>
      <c r="P72" s="866"/>
      <c r="Q72" s="851"/>
      <c r="R72" s="851"/>
      <c r="S72" s="851"/>
      <c r="T72" s="851"/>
      <c r="U72" s="851"/>
      <c r="V72" s="851"/>
      <c r="W72" s="851"/>
      <c r="X72" s="851"/>
      <c r="Y72" s="851"/>
      <c r="Z72" s="851"/>
      <c r="AA72" s="851"/>
      <c r="AB72" s="851"/>
      <c r="AC72" s="851"/>
      <c r="AD72" s="851"/>
      <c r="AE72" s="851"/>
      <c r="AF72" s="851"/>
      <c r="AG72" s="861"/>
    </row>
    <row r="73" spans="1:34" x14ac:dyDescent="0.2">
      <c r="A73" s="865" t="s">
        <v>620</v>
      </c>
      <c r="B73" s="866"/>
      <c r="C73" s="866"/>
      <c r="D73" s="866"/>
      <c r="E73" s="866"/>
      <c r="F73" s="866"/>
      <c r="G73" s="866"/>
      <c r="H73" s="866"/>
      <c r="I73" s="866"/>
      <c r="J73" s="866"/>
      <c r="K73" s="866"/>
      <c r="L73" s="866"/>
      <c r="M73" s="866"/>
      <c r="N73" s="866"/>
      <c r="O73" s="866"/>
      <c r="P73" s="866"/>
      <c r="Q73" s="851"/>
      <c r="R73" s="851"/>
      <c r="S73" s="851"/>
      <c r="T73" s="851"/>
      <c r="U73" s="851"/>
      <c r="V73" s="851"/>
      <c r="W73" s="851"/>
      <c r="X73" s="851"/>
      <c r="Y73" s="851"/>
      <c r="Z73" s="851"/>
      <c r="AA73" s="851"/>
      <c r="AB73" s="851"/>
      <c r="AC73" s="851"/>
      <c r="AD73" s="851"/>
      <c r="AE73" s="851"/>
      <c r="AF73" s="851"/>
      <c r="AG73" s="861"/>
    </row>
    <row r="74" spans="1:34" x14ac:dyDescent="0.2">
      <c r="A74" s="865" t="s">
        <v>621</v>
      </c>
      <c r="B74" s="866"/>
      <c r="C74" s="866"/>
      <c r="D74" s="866"/>
      <c r="E74" s="866"/>
      <c r="F74" s="866"/>
      <c r="G74" s="866"/>
      <c r="H74" s="866"/>
      <c r="I74" s="866"/>
      <c r="J74" s="866"/>
      <c r="K74" s="866"/>
      <c r="L74" s="866"/>
      <c r="M74" s="866"/>
      <c r="N74" s="866"/>
      <c r="O74" s="866"/>
      <c r="P74" s="866"/>
      <c r="Q74" s="851"/>
      <c r="R74" s="851"/>
      <c r="S74" s="851"/>
      <c r="T74" s="851"/>
      <c r="U74" s="851"/>
      <c r="V74" s="851"/>
      <c r="W74" s="851"/>
      <c r="X74" s="851"/>
      <c r="Y74" s="851"/>
      <c r="Z74" s="851"/>
      <c r="AA74" s="851"/>
      <c r="AB74" s="851"/>
      <c r="AC74" s="851"/>
      <c r="AD74" s="851"/>
      <c r="AE74" s="851"/>
      <c r="AF74" s="851"/>
      <c r="AG74" s="861"/>
    </row>
    <row r="75" spans="1:34" x14ac:dyDescent="0.2">
      <c r="A75" s="850" t="s">
        <v>41</v>
      </c>
      <c r="B75" s="851"/>
      <c r="C75" s="851"/>
      <c r="D75" s="851"/>
      <c r="E75" s="851"/>
      <c r="F75" s="851"/>
      <c r="G75" s="851"/>
      <c r="H75" s="851"/>
      <c r="I75" s="851"/>
      <c r="J75" s="851"/>
      <c r="K75" s="851"/>
      <c r="L75" s="851"/>
      <c r="M75" s="851"/>
      <c r="N75" s="851"/>
      <c r="O75" s="851"/>
      <c r="P75" s="851"/>
      <c r="Q75" s="860" t="s">
        <v>42</v>
      </c>
      <c r="R75" s="860"/>
      <c r="S75" s="860"/>
      <c r="T75" s="860"/>
      <c r="U75" s="860"/>
      <c r="V75" s="860"/>
      <c r="W75" s="860"/>
      <c r="X75" s="860"/>
      <c r="Y75" s="860"/>
      <c r="Z75" s="860"/>
      <c r="AA75" s="860"/>
      <c r="AB75" s="860"/>
      <c r="AC75" s="860"/>
      <c r="AD75" s="860"/>
      <c r="AE75" s="860"/>
      <c r="AF75" s="860"/>
      <c r="AG75" s="861"/>
    </row>
    <row r="76" spans="1:34" x14ac:dyDescent="0.2">
      <c r="A76" s="850" t="s">
        <v>43</v>
      </c>
      <c r="B76" s="851"/>
      <c r="C76" s="851"/>
      <c r="D76" s="851"/>
      <c r="E76" s="851"/>
      <c r="F76" s="851"/>
      <c r="G76" s="851"/>
      <c r="H76" s="851"/>
      <c r="I76" s="851"/>
      <c r="J76" s="851"/>
      <c r="K76" s="851"/>
      <c r="L76" s="851"/>
      <c r="M76" s="851"/>
      <c r="N76" s="851"/>
      <c r="O76" s="851"/>
      <c r="P76" s="851"/>
      <c r="Q76" s="860" t="s">
        <v>44</v>
      </c>
      <c r="R76" s="860"/>
      <c r="S76" s="860"/>
      <c r="T76" s="860"/>
      <c r="U76" s="860"/>
      <c r="V76" s="860"/>
      <c r="W76" s="860"/>
      <c r="X76" s="860"/>
      <c r="Y76" s="860"/>
      <c r="Z76" s="860"/>
      <c r="AA76" s="860"/>
      <c r="AB76" s="860"/>
      <c r="AC76" s="860"/>
      <c r="AD76" s="860"/>
      <c r="AE76" s="860"/>
      <c r="AF76" s="860"/>
      <c r="AG76" s="861"/>
    </row>
    <row r="77" spans="1:34" x14ac:dyDescent="0.2">
      <c r="A77" s="850"/>
      <c r="B77" s="851"/>
      <c r="C77" s="851"/>
      <c r="D77" s="851"/>
      <c r="E77" s="851"/>
      <c r="F77" s="851"/>
      <c r="G77" s="851"/>
      <c r="H77" s="851"/>
      <c r="I77" s="851"/>
      <c r="J77" s="851"/>
      <c r="K77" s="851"/>
      <c r="L77" s="851"/>
      <c r="M77" s="851"/>
      <c r="N77" s="851"/>
      <c r="O77" s="851"/>
      <c r="P77" s="851"/>
      <c r="Q77" s="844" t="s">
        <v>622</v>
      </c>
      <c r="R77" s="844"/>
      <c r="S77" s="844"/>
      <c r="T77" s="844"/>
      <c r="U77" s="844"/>
      <c r="V77" s="844"/>
      <c r="W77" s="844"/>
      <c r="X77" s="844"/>
      <c r="Y77" s="844"/>
      <c r="Z77" s="844"/>
      <c r="AA77" s="844"/>
      <c r="AB77" s="844"/>
      <c r="AC77" s="844"/>
      <c r="AD77" s="844"/>
      <c r="AE77" s="844"/>
      <c r="AF77" s="844"/>
      <c r="AG77" s="845"/>
    </row>
    <row r="78" spans="1:34" x14ac:dyDescent="0.2">
      <c r="A78" s="850"/>
      <c r="B78" s="851"/>
      <c r="C78" s="851"/>
      <c r="D78" s="851"/>
      <c r="E78" s="851"/>
      <c r="F78" s="851"/>
      <c r="G78" s="851"/>
      <c r="H78" s="851"/>
      <c r="I78" s="851"/>
      <c r="J78" s="851"/>
      <c r="K78" s="851"/>
      <c r="L78" s="851"/>
      <c r="M78" s="851"/>
      <c r="N78" s="851"/>
      <c r="O78" s="851"/>
      <c r="P78" s="851"/>
      <c r="Q78" s="844" t="s">
        <v>623</v>
      </c>
      <c r="R78" s="844"/>
      <c r="S78" s="844"/>
      <c r="T78" s="844"/>
      <c r="U78" s="844"/>
      <c r="V78" s="844"/>
      <c r="W78" s="844"/>
      <c r="X78" s="844"/>
      <c r="Y78" s="844"/>
      <c r="Z78" s="844"/>
      <c r="AA78" s="844"/>
      <c r="AB78" s="844"/>
      <c r="AC78" s="844"/>
      <c r="AD78" s="844"/>
      <c r="AE78" s="844"/>
      <c r="AF78" s="844"/>
      <c r="AG78" s="845"/>
    </row>
    <row r="79" spans="1:34" x14ac:dyDescent="0.2">
      <c r="A79" s="850" t="s">
        <v>45</v>
      </c>
      <c r="B79" s="851"/>
      <c r="C79" s="851"/>
      <c r="D79" s="851"/>
      <c r="E79" s="851"/>
      <c r="F79" s="851"/>
      <c r="G79" s="851"/>
      <c r="H79" s="851"/>
      <c r="I79" s="851"/>
      <c r="J79" s="851"/>
      <c r="K79" s="851"/>
      <c r="L79" s="851"/>
      <c r="M79" s="851"/>
      <c r="N79" s="851"/>
      <c r="O79" s="851"/>
      <c r="P79" s="851"/>
      <c r="Q79" s="844" t="s">
        <v>486</v>
      </c>
      <c r="R79" s="844"/>
      <c r="S79" s="844"/>
      <c r="T79" s="844"/>
      <c r="U79" s="844"/>
      <c r="V79" s="844"/>
      <c r="W79" s="844"/>
      <c r="X79" s="844"/>
      <c r="Y79" s="844"/>
      <c r="Z79" s="844"/>
      <c r="AA79" s="844"/>
      <c r="AB79" s="844"/>
      <c r="AC79" s="844"/>
      <c r="AD79" s="844"/>
      <c r="AE79" s="844"/>
      <c r="AF79" s="844"/>
      <c r="AG79" s="845"/>
    </row>
    <row r="80" spans="1:34" x14ac:dyDescent="0.2">
      <c r="A80" s="850" t="s">
        <v>46</v>
      </c>
      <c r="B80" s="851"/>
      <c r="C80" s="851"/>
      <c r="D80" s="851"/>
      <c r="E80" s="851"/>
      <c r="F80" s="851"/>
      <c r="G80" s="851"/>
      <c r="H80" s="851"/>
      <c r="I80" s="851"/>
      <c r="J80" s="851"/>
      <c r="K80" s="851"/>
      <c r="L80" s="851"/>
      <c r="M80" s="851"/>
      <c r="N80" s="851"/>
      <c r="O80" s="851"/>
      <c r="P80" s="851"/>
      <c r="Q80" s="844" t="s">
        <v>47</v>
      </c>
      <c r="R80" s="844"/>
      <c r="S80" s="844"/>
      <c r="T80" s="844"/>
      <c r="U80" s="844"/>
      <c r="V80" s="844"/>
      <c r="W80" s="844"/>
      <c r="X80" s="844"/>
      <c r="Y80" s="844"/>
      <c r="Z80" s="844"/>
      <c r="AA80" s="844"/>
      <c r="AB80" s="844"/>
      <c r="AC80" s="844"/>
      <c r="AD80" s="844"/>
      <c r="AE80" s="844"/>
      <c r="AF80" s="844"/>
      <c r="AG80" s="845"/>
    </row>
    <row r="81" spans="1:33" x14ac:dyDescent="0.2">
      <c r="A81" s="850"/>
      <c r="B81" s="851"/>
      <c r="C81" s="851"/>
      <c r="D81" s="851"/>
      <c r="E81" s="851"/>
      <c r="F81" s="851"/>
      <c r="G81" s="851"/>
      <c r="H81" s="851"/>
      <c r="I81" s="851"/>
      <c r="J81" s="851"/>
      <c r="K81" s="851"/>
      <c r="L81" s="851"/>
      <c r="M81" s="851"/>
      <c r="N81" s="851"/>
      <c r="O81" s="851"/>
      <c r="P81" s="851"/>
      <c r="Q81" s="844" t="s">
        <v>48</v>
      </c>
      <c r="R81" s="844"/>
      <c r="S81" s="844"/>
      <c r="T81" s="844"/>
      <c r="U81" s="844"/>
      <c r="V81" s="844"/>
      <c r="W81" s="844"/>
      <c r="X81" s="844"/>
      <c r="Y81" s="844"/>
      <c r="Z81" s="844"/>
      <c r="AA81" s="844"/>
      <c r="AB81" s="844"/>
      <c r="AC81" s="844"/>
      <c r="AD81" s="844"/>
      <c r="AE81" s="844"/>
      <c r="AF81" s="844"/>
      <c r="AG81" s="845"/>
    </row>
    <row r="82" spans="1:33" x14ac:dyDescent="0.2">
      <c r="A82" s="850"/>
      <c r="B82" s="851"/>
      <c r="C82" s="851"/>
      <c r="D82" s="851"/>
      <c r="E82" s="851"/>
      <c r="F82" s="851"/>
      <c r="G82" s="851"/>
      <c r="H82" s="851"/>
      <c r="I82" s="851"/>
      <c r="J82" s="851"/>
      <c r="K82" s="851"/>
      <c r="L82" s="851"/>
      <c r="M82" s="851"/>
      <c r="N82" s="851"/>
      <c r="O82" s="851"/>
      <c r="P82" s="851"/>
      <c r="Q82" s="844" t="s">
        <v>49</v>
      </c>
      <c r="R82" s="844"/>
      <c r="S82" s="844"/>
      <c r="T82" s="844"/>
      <c r="U82" s="844"/>
      <c r="V82" s="844"/>
      <c r="W82" s="844"/>
      <c r="X82" s="844"/>
      <c r="Y82" s="844"/>
      <c r="Z82" s="844"/>
      <c r="AA82" s="844"/>
      <c r="AB82" s="844"/>
      <c r="AC82" s="844"/>
      <c r="AD82" s="844"/>
      <c r="AE82" s="844"/>
      <c r="AF82" s="844"/>
      <c r="AG82" s="845"/>
    </row>
    <row r="83" spans="1:33" x14ac:dyDescent="0.2">
      <c r="A83" s="850"/>
      <c r="B83" s="851"/>
      <c r="C83" s="851"/>
      <c r="D83" s="851"/>
      <c r="E83" s="851"/>
      <c r="F83" s="851"/>
      <c r="G83" s="851"/>
      <c r="H83" s="851"/>
      <c r="I83" s="851"/>
      <c r="J83" s="851"/>
      <c r="K83" s="851"/>
      <c r="L83" s="851"/>
      <c r="M83" s="851"/>
      <c r="N83" s="851"/>
      <c r="O83" s="851"/>
      <c r="P83" s="851"/>
      <c r="Q83" s="844" t="s">
        <v>50</v>
      </c>
      <c r="R83" s="844"/>
      <c r="S83" s="844"/>
      <c r="T83" s="844"/>
      <c r="U83" s="844"/>
      <c r="V83" s="844"/>
      <c r="W83" s="844"/>
      <c r="X83" s="844"/>
      <c r="Y83" s="844"/>
      <c r="Z83" s="844"/>
      <c r="AA83" s="844"/>
      <c r="AB83" s="844"/>
      <c r="AC83" s="844"/>
      <c r="AD83" s="844"/>
      <c r="AE83" s="844"/>
      <c r="AF83" s="844"/>
      <c r="AG83" s="845"/>
    </row>
    <row r="84" spans="1:33" x14ac:dyDescent="0.2">
      <c r="A84" s="850"/>
      <c r="B84" s="851"/>
      <c r="C84" s="851"/>
      <c r="D84" s="851"/>
      <c r="E84" s="851"/>
      <c r="F84" s="851"/>
      <c r="G84" s="851"/>
      <c r="H84" s="851"/>
      <c r="I84" s="851"/>
      <c r="J84" s="851"/>
      <c r="K84" s="851"/>
      <c r="L84" s="851"/>
      <c r="M84" s="851"/>
      <c r="N84" s="851"/>
      <c r="O84" s="851"/>
      <c r="P84" s="851"/>
      <c r="Q84" s="844" t="s">
        <v>51</v>
      </c>
      <c r="R84" s="844"/>
      <c r="S84" s="844"/>
      <c r="T84" s="844"/>
      <c r="U84" s="844"/>
      <c r="V84" s="844"/>
      <c r="W84" s="844"/>
      <c r="X84" s="844"/>
      <c r="Y84" s="844"/>
      <c r="Z84" s="844"/>
      <c r="AA84" s="844"/>
      <c r="AB84" s="844"/>
      <c r="AC84" s="844"/>
      <c r="AD84" s="844"/>
      <c r="AE84" s="844"/>
      <c r="AF84" s="844"/>
      <c r="AG84" s="845"/>
    </row>
    <row r="85" spans="1:33" x14ac:dyDescent="0.2">
      <c r="A85" s="850"/>
      <c r="B85" s="851"/>
      <c r="C85" s="851"/>
      <c r="D85" s="851"/>
      <c r="E85" s="851"/>
      <c r="F85" s="851"/>
      <c r="G85" s="851"/>
      <c r="H85" s="851"/>
      <c r="I85" s="851"/>
      <c r="J85" s="851"/>
      <c r="K85" s="851"/>
      <c r="L85" s="851"/>
      <c r="M85" s="851"/>
      <c r="N85" s="851"/>
      <c r="O85" s="851"/>
      <c r="P85" s="851"/>
      <c r="Q85" s="844" t="s">
        <v>624</v>
      </c>
      <c r="R85" s="844"/>
      <c r="S85" s="844"/>
      <c r="T85" s="844"/>
      <c r="U85" s="844"/>
      <c r="V85" s="844"/>
      <c r="W85" s="844"/>
      <c r="X85" s="844"/>
      <c r="Y85" s="844"/>
      <c r="Z85" s="844"/>
      <c r="AA85" s="844"/>
      <c r="AB85" s="844"/>
      <c r="AC85" s="844"/>
      <c r="AD85" s="844"/>
      <c r="AE85" s="844"/>
      <c r="AF85" s="844"/>
      <c r="AG85" s="845"/>
    </row>
    <row r="86" spans="1:33" ht="15" x14ac:dyDescent="0.2">
      <c r="A86" s="850" t="s">
        <v>52</v>
      </c>
      <c r="B86" s="851"/>
      <c r="C86" s="851"/>
      <c r="D86" s="851"/>
      <c r="E86" s="851"/>
      <c r="F86" s="851"/>
      <c r="G86" s="851"/>
      <c r="H86" s="851"/>
      <c r="I86" s="851"/>
      <c r="J86" s="851"/>
      <c r="K86" s="851"/>
      <c r="L86" s="851"/>
      <c r="M86" s="851"/>
      <c r="N86" s="851"/>
      <c r="O86" s="851"/>
      <c r="P86" s="851"/>
      <c r="Q86" s="858" t="s">
        <v>820</v>
      </c>
      <c r="R86" s="858"/>
      <c r="S86" s="858"/>
      <c r="T86" s="858"/>
      <c r="U86" s="858"/>
      <c r="V86" s="858"/>
      <c r="W86" s="858"/>
      <c r="X86" s="858"/>
      <c r="Y86" s="858"/>
      <c r="Z86" s="858"/>
      <c r="AA86" s="858"/>
      <c r="AB86" s="858"/>
      <c r="AC86" s="858"/>
      <c r="AD86" s="858"/>
      <c r="AE86" s="858"/>
      <c r="AF86" s="858"/>
      <c r="AG86" s="859"/>
    </row>
    <row r="87" spans="1:33" x14ac:dyDescent="0.2">
      <c r="A87" s="850" t="s">
        <v>53</v>
      </c>
      <c r="B87" s="851"/>
      <c r="C87" s="851"/>
      <c r="D87" s="851"/>
      <c r="E87" s="851"/>
      <c r="F87" s="851"/>
      <c r="G87" s="851"/>
      <c r="H87" s="851"/>
      <c r="I87" s="851"/>
      <c r="J87" s="851"/>
      <c r="K87" s="851"/>
      <c r="L87" s="851"/>
      <c r="M87" s="851"/>
      <c r="N87" s="851"/>
      <c r="O87" s="851"/>
      <c r="P87" s="851"/>
      <c r="Q87" s="844" t="s">
        <v>54</v>
      </c>
      <c r="R87" s="844"/>
      <c r="S87" s="844"/>
      <c r="T87" s="844"/>
      <c r="U87" s="844"/>
      <c r="V87" s="844"/>
      <c r="W87" s="844"/>
      <c r="X87" s="844"/>
      <c r="Y87" s="844"/>
      <c r="Z87" s="844"/>
      <c r="AA87" s="844"/>
      <c r="AB87" s="844"/>
      <c r="AC87" s="844"/>
      <c r="AD87" s="844"/>
      <c r="AE87" s="844"/>
      <c r="AF87" s="844"/>
      <c r="AG87" s="845"/>
    </row>
    <row r="88" spans="1:33" x14ac:dyDescent="0.2">
      <c r="A88" s="850"/>
      <c r="B88" s="851"/>
      <c r="C88" s="851"/>
      <c r="D88" s="851"/>
      <c r="E88" s="851"/>
      <c r="F88" s="851"/>
      <c r="G88" s="851"/>
      <c r="H88" s="851"/>
      <c r="I88" s="851"/>
      <c r="J88" s="851"/>
      <c r="K88" s="851"/>
      <c r="L88" s="851"/>
      <c r="M88" s="851"/>
      <c r="N88" s="851"/>
      <c r="O88" s="851"/>
      <c r="P88" s="851"/>
      <c r="Q88" s="848" t="s">
        <v>821</v>
      </c>
      <c r="R88" s="848"/>
      <c r="S88" s="848"/>
      <c r="T88" s="848"/>
      <c r="U88" s="848"/>
      <c r="V88" s="848"/>
      <c r="W88" s="848"/>
      <c r="X88" s="848"/>
      <c r="Y88" s="848"/>
      <c r="Z88" s="848"/>
      <c r="AA88" s="848"/>
      <c r="AB88" s="848"/>
      <c r="AC88" s="848"/>
      <c r="AD88" s="848"/>
      <c r="AE88" s="848"/>
      <c r="AF88" s="848"/>
      <c r="AG88" s="849"/>
    </row>
    <row r="89" spans="1:33" x14ac:dyDescent="0.2">
      <c r="A89" s="850"/>
      <c r="B89" s="851"/>
      <c r="C89" s="851"/>
      <c r="D89" s="851"/>
      <c r="E89" s="851"/>
      <c r="F89" s="851"/>
      <c r="G89" s="851"/>
      <c r="H89" s="851"/>
      <c r="I89" s="851"/>
      <c r="J89" s="851"/>
      <c r="K89" s="851"/>
      <c r="L89" s="851"/>
      <c r="M89" s="851"/>
      <c r="N89" s="851"/>
      <c r="O89" s="851"/>
      <c r="P89" s="851"/>
      <c r="Q89" s="844" t="s">
        <v>822</v>
      </c>
      <c r="R89" s="844"/>
      <c r="S89" s="844"/>
      <c r="T89" s="844"/>
      <c r="U89" s="844"/>
      <c r="V89" s="844"/>
      <c r="W89" s="844"/>
      <c r="X89" s="844"/>
      <c r="Y89" s="844"/>
      <c r="Z89" s="844"/>
      <c r="AA89" s="844"/>
      <c r="AB89" s="844"/>
      <c r="AC89" s="844"/>
      <c r="AD89" s="844"/>
      <c r="AE89" s="844"/>
      <c r="AF89" s="844"/>
      <c r="AG89" s="845"/>
    </row>
    <row r="90" spans="1:33" x14ac:dyDescent="0.2">
      <c r="A90" s="850"/>
      <c r="B90" s="851"/>
      <c r="C90" s="851"/>
      <c r="D90" s="851"/>
      <c r="E90" s="851"/>
      <c r="F90" s="851"/>
      <c r="G90" s="851"/>
      <c r="H90" s="851"/>
      <c r="I90" s="851"/>
      <c r="J90" s="851"/>
      <c r="K90" s="851"/>
      <c r="L90" s="851"/>
      <c r="M90" s="851"/>
      <c r="N90" s="851"/>
      <c r="O90" s="851"/>
      <c r="P90" s="851"/>
      <c r="Q90" s="844" t="s">
        <v>823</v>
      </c>
      <c r="R90" s="844"/>
      <c r="S90" s="844"/>
      <c r="T90" s="844"/>
      <c r="U90" s="844"/>
      <c r="V90" s="844"/>
      <c r="W90" s="844"/>
      <c r="X90" s="844"/>
      <c r="Y90" s="844"/>
      <c r="Z90" s="844"/>
      <c r="AA90" s="844"/>
      <c r="AB90" s="844"/>
      <c r="AC90" s="844"/>
      <c r="AD90" s="844"/>
      <c r="AE90" s="844"/>
      <c r="AF90" s="844"/>
      <c r="AG90" s="845"/>
    </row>
    <row r="91" spans="1:33" x14ac:dyDescent="0.2">
      <c r="A91" s="850"/>
      <c r="B91" s="851"/>
      <c r="C91" s="851"/>
      <c r="D91" s="851"/>
      <c r="E91" s="851"/>
      <c r="F91" s="851"/>
      <c r="G91" s="851"/>
      <c r="H91" s="851"/>
      <c r="I91" s="851"/>
      <c r="J91" s="851"/>
      <c r="K91" s="851"/>
      <c r="L91" s="851"/>
      <c r="M91" s="851"/>
      <c r="N91" s="851"/>
      <c r="O91" s="851"/>
      <c r="P91" s="851"/>
      <c r="Q91" s="844" t="s">
        <v>824</v>
      </c>
      <c r="R91" s="844"/>
      <c r="S91" s="844"/>
      <c r="T91" s="844"/>
      <c r="U91" s="844"/>
      <c r="V91" s="844"/>
      <c r="W91" s="844"/>
      <c r="X91" s="844"/>
      <c r="Y91" s="844"/>
      <c r="Z91" s="844"/>
      <c r="AA91" s="844"/>
      <c r="AB91" s="844"/>
      <c r="AC91" s="844"/>
      <c r="AD91" s="844"/>
      <c r="AE91" s="844"/>
      <c r="AF91" s="844"/>
      <c r="AG91" s="845"/>
    </row>
    <row r="92" spans="1:33" x14ac:dyDescent="0.2">
      <c r="A92" s="850"/>
      <c r="B92" s="851"/>
      <c r="C92" s="851"/>
      <c r="D92" s="851"/>
      <c r="E92" s="851"/>
      <c r="F92" s="851"/>
      <c r="G92" s="851"/>
      <c r="H92" s="851"/>
      <c r="I92" s="851"/>
      <c r="J92" s="851"/>
      <c r="K92" s="851"/>
      <c r="L92" s="851"/>
      <c r="M92" s="851"/>
      <c r="N92" s="851"/>
      <c r="O92" s="851"/>
      <c r="P92" s="851"/>
      <c r="Q92" s="844" t="s">
        <v>825</v>
      </c>
      <c r="R92" s="844"/>
      <c r="S92" s="844"/>
      <c r="T92" s="844"/>
      <c r="U92" s="844"/>
      <c r="V92" s="844"/>
      <c r="W92" s="844"/>
      <c r="X92" s="844"/>
      <c r="Y92" s="844"/>
      <c r="Z92" s="844"/>
      <c r="AA92" s="844"/>
      <c r="AB92" s="844"/>
      <c r="AC92" s="844"/>
      <c r="AD92" s="844"/>
      <c r="AE92" s="844"/>
      <c r="AF92" s="844"/>
      <c r="AG92" s="845"/>
    </row>
    <row r="93" spans="1:33" x14ac:dyDescent="0.2">
      <c r="A93" s="850"/>
      <c r="B93" s="851"/>
      <c r="C93" s="851"/>
      <c r="D93" s="851"/>
      <c r="E93" s="851"/>
      <c r="F93" s="851"/>
      <c r="G93" s="851"/>
      <c r="H93" s="851"/>
      <c r="I93" s="851"/>
      <c r="J93" s="851"/>
      <c r="K93" s="851"/>
      <c r="L93" s="851"/>
      <c r="M93" s="851"/>
      <c r="N93" s="851"/>
      <c r="O93" s="851"/>
      <c r="P93" s="851"/>
      <c r="Q93" s="844" t="s">
        <v>826</v>
      </c>
      <c r="R93" s="844"/>
      <c r="S93" s="844"/>
      <c r="T93" s="844"/>
      <c r="U93" s="844"/>
      <c r="V93" s="844"/>
      <c r="W93" s="844"/>
      <c r="X93" s="844"/>
      <c r="Y93" s="844"/>
      <c r="Z93" s="844"/>
      <c r="AA93" s="844"/>
      <c r="AB93" s="844"/>
      <c r="AC93" s="844"/>
      <c r="AD93" s="844"/>
      <c r="AE93" s="844"/>
      <c r="AF93" s="844"/>
      <c r="AG93" s="845"/>
    </row>
    <row r="94" spans="1:33" x14ac:dyDescent="0.2">
      <c r="A94" s="850"/>
      <c r="B94" s="851"/>
      <c r="C94" s="851"/>
      <c r="D94" s="851"/>
      <c r="E94" s="851"/>
      <c r="F94" s="851"/>
      <c r="G94" s="851"/>
      <c r="H94" s="851"/>
      <c r="I94" s="851"/>
      <c r="J94" s="851"/>
      <c r="K94" s="851"/>
      <c r="L94" s="851"/>
      <c r="M94" s="851"/>
      <c r="N94" s="851"/>
      <c r="O94" s="851"/>
      <c r="P94" s="851"/>
      <c r="Q94" s="844" t="s">
        <v>827</v>
      </c>
      <c r="R94" s="844"/>
      <c r="S94" s="844"/>
      <c r="T94" s="844"/>
      <c r="U94" s="844"/>
      <c r="V94" s="844"/>
      <c r="W94" s="844"/>
      <c r="X94" s="844"/>
      <c r="Y94" s="844"/>
      <c r="Z94" s="844"/>
      <c r="AA94" s="844"/>
      <c r="AB94" s="844"/>
      <c r="AC94" s="844"/>
      <c r="AD94" s="844"/>
      <c r="AE94" s="844"/>
      <c r="AF94" s="844"/>
      <c r="AG94" s="845"/>
    </row>
    <row r="95" spans="1:33" x14ac:dyDescent="0.2">
      <c r="A95" s="850"/>
      <c r="B95" s="851"/>
      <c r="C95" s="851"/>
      <c r="D95" s="851"/>
      <c r="E95" s="851"/>
      <c r="F95" s="851"/>
      <c r="G95" s="851"/>
      <c r="H95" s="851"/>
      <c r="I95" s="851"/>
      <c r="J95" s="851"/>
      <c r="K95" s="851"/>
      <c r="L95" s="851"/>
      <c r="M95" s="851"/>
      <c r="N95" s="851"/>
      <c r="O95" s="851"/>
      <c r="P95" s="851"/>
      <c r="Q95" s="844" t="s">
        <v>828</v>
      </c>
      <c r="R95" s="844"/>
      <c r="S95" s="844"/>
      <c r="T95" s="844"/>
      <c r="U95" s="844"/>
      <c r="V95" s="844"/>
      <c r="W95" s="844"/>
      <c r="X95" s="844"/>
      <c r="Y95" s="844"/>
      <c r="Z95" s="844"/>
      <c r="AA95" s="844"/>
      <c r="AB95" s="844"/>
      <c r="AC95" s="844"/>
      <c r="AD95" s="844"/>
      <c r="AE95" s="844"/>
      <c r="AF95" s="844"/>
      <c r="AG95" s="845"/>
    </row>
    <row r="96" spans="1:33" x14ac:dyDescent="0.2">
      <c r="A96" s="850"/>
      <c r="B96" s="851"/>
      <c r="C96" s="851"/>
      <c r="D96" s="851"/>
      <c r="E96" s="851"/>
      <c r="F96" s="851"/>
      <c r="G96" s="851"/>
      <c r="H96" s="851"/>
      <c r="I96" s="851"/>
      <c r="J96" s="851"/>
      <c r="K96" s="851"/>
      <c r="L96" s="851"/>
      <c r="M96" s="851"/>
      <c r="N96" s="851"/>
      <c r="O96" s="851"/>
      <c r="P96" s="851"/>
      <c r="Q96" s="846" t="s">
        <v>829</v>
      </c>
      <c r="R96" s="846"/>
      <c r="S96" s="846"/>
      <c r="T96" s="846"/>
      <c r="U96" s="846"/>
      <c r="V96" s="846"/>
      <c r="W96" s="846"/>
      <c r="X96" s="846"/>
      <c r="Y96" s="846"/>
      <c r="Z96" s="846"/>
      <c r="AA96" s="846"/>
      <c r="AB96" s="846"/>
      <c r="AC96" s="846"/>
      <c r="AD96" s="846"/>
      <c r="AE96" s="846"/>
      <c r="AF96" s="846"/>
      <c r="AG96" s="847"/>
    </row>
    <row r="97" spans="1:33" x14ac:dyDescent="0.2">
      <c r="A97" s="850"/>
      <c r="B97" s="851"/>
      <c r="C97" s="851"/>
      <c r="D97" s="851"/>
      <c r="E97" s="851"/>
      <c r="F97" s="851"/>
      <c r="G97" s="851"/>
      <c r="H97" s="851"/>
      <c r="I97" s="851"/>
      <c r="J97" s="851"/>
      <c r="K97" s="851"/>
      <c r="L97" s="851"/>
      <c r="M97" s="851"/>
      <c r="N97" s="851"/>
      <c r="O97" s="851"/>
      <c r="P97" s="851"/>
      <c r="Q97" s="848" t="s">
        <v>830</v>
      </c>
      <c r="R97" s="848"/>
      <c r="S97" s="848"/>
      <c r="T97" s="848"/>
      <c r="U97" s="848"/>
      <c r="V97" s="848"/>
      <c r="W97" s="848"/>
      <c r="X97" s="848"/>
      <c r="Y97" s="848"/>
      <c r="Z97" s="848"/>
      <c r="AA97" s="848"/>
      <c r="AB97" s="848"/>
      <c r="AC97" s="848"/>
      <c r="AD97" s="848"/>
      <c r="AE97" s="848"/>
      <c r="AF97" s="848"/>
      <c r="AG97" s="849"/>
    </row>
    <row r="98" spans="1:33" x14ac:dyDescent="0.2">
      <c r="A98" s="850" t="s">
        <v>831</v>
      </c>
      <c r="B98" s="851"/>
      <c r="C98" s="851"/>
      <c r="D98" s="851"/>
      <c r="E98" s="851"/>
      <c r="F98" s="851"/>
      <c r="G98" s="851"/>
      <c r="H98" s="851"/>
      <c r="I98" s="851"/>
      <c r="J98" s="851"/>
      <c r="K98" s="851"/>
      <c r="L98" s="851"/>
      <c r="M98" s="851"/>
      <c r="N98" s="851"/>
      <c r="O98" s="851"/>
      <c r="P98" s="851"/>
      <c r="Q98" s="852"/>
      <c r="R98" s="852"/>
      <c r="S98" s="852"/>
      <c r="T98" s="852"/>
      <c r="U98" s="852"/>
      <c r="V98" s="852"/>
      <c r="W98" s="852"/>
      <c r="X98" s="852"/>
      <c r="Y98" s="852"/>
      <c r="Z98" s="852"/>
      <c r="AA98" s="852"/>
      <c r="AB98" s="852"/>
      <c r="AC98" s="852"/>
      <c r="AD98" s="852"/>
      <c r="AE98" s="852"/>
      <c r="AF98" s="852"/>
      <c r="AG98" s="853"/>
    </row>
    <row r="99" spans="1:33" x14ac:dyDescent="0.2">
      <c r="A99" s="856" t="s">
        <v>485</v>
      </c>
      <c r="B99" s="857"/>
      <c r="C99" s="857"/>
      <c r="D99" s="857"/>
      <c r="E99" s="857"/>
      <c r="F99" s="857"/>
      <c r="G99" s="857"/>
      <c r="H99" s="857"/>
      <c r="I99" s="857"/>
      <c r="J99" s="857"/>
      <c r="K99" s="857"/>
      <c r="L99" s="857"/>
      <c r="M99" s="857"/>
      <c r="N99" s="857"/>
      <c r="O99" s="857"/>
      <c r="P99" s="857"/>
      <c r="Q99" s="854"/>
      <c r="R99" s="854"/>
      <c r="S99" s="854"/>
      <c r="T99" s="854"/>
      <c r="U99" s="854"/>
      <c r="V99" s="854"/>
      <c r="W99" s="854"/>
      <c r="X99" s="854"/>
      <c r="Y99" s="854"/>
      <c r="Z99" s="854"/>
      <c r="AA99" s="854"/>
      <c r="AB99" s="854"/>
      <c r="AC99" s="854"/>
      <c r="AD99" s="854"/>
      <c r="AE99" s="854"/>
      <c r="AF99" s="854"/>
      <c r="AG99" s="855"/>
    </row>
  </sheetData>
  <mergeCells count="74">
    <mergeCell ref="T3:Y5"/>
    <mergeCell ref="Z3:AE5"/>
    <mergeCell ref="X6:Y8"/>
    <mergeCell ref="Z6:AA6"/>
    <mergeCell ref="T8:U8"/>
    <mergeCell ref="V8:W8"/>
    <mergeCell ref="T7:U7"/>
    <mergeCell ref="V7:W7"/>
    <mergeCell ref="V6:W6"/>
    <mergeCell ref="A1:AG1"/>
    <mergeCell ref="A2:AG2"/>
    <mergeCell ref="A3:A8"/>
    <mergeCell ref="B3:C3"/>
    <mergeCell ref="D3:I5"/>
    <mergeCell ref="J3:S5"/>
    <mergeCell ref="Z7:AA7"/>
    <mergeCell ref="T6:U6"/>
    <mergeCell ref="AB6:AC8"/>
    <mergeCell ref="AD6:AE8"/>
    <mergeCell ref="AF3:AG8"/>
    <mergeCell ref="B4:C4"/>
    <mergeCell ref="B5:C5"/>
    <mergeCell ref="B6:C6"/>
    <mergeCell ref="Z8:AA8"/>
    <mergeCell ref="R6:S8"/>
    <mergeCell ref="N8:O8"/>
    <mergeCell ref="P8:Q8"/>
    <mergeCell ref="B7:C7"/>
    <mergeCell ref="J7:K7"/>
    <mergeCell ref="H6:I8"/>
    <mergeCell ref="D6:E8"/>
    <mergeCell ref="F6:G8"/>
    <mergeCell ref="B8:C8"/>
    <mergeCell ref="J8:K8"/>
    <mergeCell ref="L8:M8"/>
    <mergeCell ref="L6:Q7"/>
    <mergeCell ref="J6:K6"/>
    <mergeCell ref="A75:P75"/>
    <mergeCell ref="Q75:AG75"/>
    <mergeCell ref="A71:P71"/>
    <mergeCell ref="Q71:AG74"/>
    <mergeCell ref="A72:P72"/>
    <mergeCell ref="A73:P73"/>
    <mergeCell ref="A74:P74"/>
    <mergeCell ref="A76:P78"/>
    <mergeCell ref="Q76:AG76"/>
    <mergeCell ref="Q77:AG77"/>
    <mergeCell ref="Q78:AG78"/>
    <mergeCell ref="A79:P79"/>
    <mergeCell ref="Q79:AG79"/>
    <mergeCell ref="A98:P98"/>
    <mergeCell ref="Q98:AG99"/>
    <mergeCell ref="A99:P99"/>
    <mergeCell ref="Q97:AG97"/>
    <mergeCell ref="A80:P85"/>
    <mergeCell ref="Q80:AG80"/>
    <mergeCell ref="Q81:AG81"/>
    <mergeCell ref="Q82:AG82"/>
    <mergeCell ref="Q83:AG83"/>
    <mergeCell ref="Q84:AG84"/>
    <mergeCell ref="Q85:AG85"/>
    <mergeCell ref="Q91:AG91"/>
    <mergeCell ref="Q92:AG92"/>
    <mergeCell ref="A86:P86"/>
    <mergeCell ref="Q86:AG86"/>
    <mergeCell ref="A87:P97"/>
    <mergeCell ref="Q94:AG94"/>
    <mergeCell ref="Q95:AG95"/>
    <mergeCell ref="Q96:AG96"/>
    <mergeCell ref="Q87:AG87"/>
    <mergeCell ref="Q88:AG88"/>
    <mergeCell ref="Q89:AG89"/>
    <mergeCell ref="Q90:AG90"/>
    <mergeCell ref="Q93:AG93"/>
  </mergeCells>
  <hyperlinks>
    <hyperlink ref="Q86" r:id="rId1" display="http://www.eia.gov/naturalga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4"/>
  <sheetViews>
    <sheetView showGridLines="0" topLeftCell="A43" workbookViewId="0">
      <selection activeCell="L30" sqref="L30:L70"/>
    </sheetView>
  </sheetViews>
  <sheetFormatPr defaultRowHeight="15" x14ac:dyDescent="0.25"/>
  <cols>
    <col min="1" max="1" width="6.85546875" style="490" customWidth="1"/>
    <col min="2" max="2" width="9.5703125" style="490" customWidth="1"/>
    <col min="3" max="3" width="2.85546875" style="490" customWidth="1"/>
    <col min="4" max="4" width="11.28515625" style="490" customWidth="1"/>
    <col min="5" max="5" width="4.140625" style="490" customWidth="1"/>
    <col min="6" max="6" width="11.7109375" style="490" customWidth="1"/>
    <col min="7" max="7" width="3" style="490" customWidth="1"/>
    <col min="8" max="8" width="11.5703125" style="490" customWidth="1"/>
    <col min="9" max="9" width="3" style="490" customWidth="1"/>
    <col min="10" max="10" width="14.140625" style="490" customWidth="1"/>
    <col min="11" max="11" width="4.7109375" style="490" customWidth="1"/>
    <col min="12" max="12" width="9.7109375" style="490" customWidth="1"/>
    <col min="13" max="13" width="2.7109375" style="490" customWidth="1"/>
    <col min="14" max="14" width="7.140625" style="490" customWidth="1"/>
    <col min="15" max="15" width="3.140625" style="490" customWidth="1"/>
    <col min="16" max="16" width="6.85546875" style="490" customWidth="1"/>
    <col min="17" max="17" width="3" style="490" customWidth="1"/>
    <col min="18" max="18" width="9.7109375" style="490" customWidth="1"/>
    <col min="19" max="19" width="2.7109375" style="490" customWidth="1"/>
    <col min="20" max="16384" width="9.140625" style="490"/>
  </cols>
  <sheetData>
    <row r="1" spans="1:19" ht="15.75" customHeight="1" x14ac:dyDescent="0.25">
      <c r="A1" s="879" t="s">
        <v>832</v>
      </c>
      <c r="B1" s="880"/>
      <c r="C1" s="880"/>
      <c r="D1" s="880"/>
      <c r="E1" s="880"/>
      <c r="F1" s="880"/>
      <c r="G1" s="880"/>
      <c r="H1" s="880"/>
      <c r="I1" s="880"/>
      <c r="J1" s="880"/>
      <c r="K1" s="880"/>
      <c r="L1" s="880"/>
      <c r="M1" s="880"/>
      <c r="N1" s="880"/>
      <c r="O1" s="880"/>
      <c r="P1" s="880"/>
      <c r="Q1" s="880"/>
      <c r="R1" s="880"/>
      <c r="S1" s="881"/>
    </row>
    <row r="2" spans="1:19" x14ac:dyDescent="0.25">
      <c r="A2" s="882" t="s">
        <v>833</v>
      </c>
      <c r="B2" s="883"/>
      <c r="C2" s="883"/>
      <c r="D2" s="883"/>
      <c r="E2" s="883"/>
      <c r="F2" s="883"/>
      <c r="G2" s="883"/>
      <c r="H2" s="883"/>
      <c r="I2" s="883"/>
      <c r="J2" s="883"/>
      <c r="K2" s="883"/>
      <c r="L2" s="883"/>
      <c r="M2" s="883"/>
      <c r="N2" s="883"/>
      <c r="O2" s="883"/>
      <c r="P2" s="883"/>
      <c r="Q2" s="883"/>
      <c r="R2" s="883"/>
      <c r="S2" s="884"/>
    </row>
    <row r="3" spans="1:19" x14ac:dyDescent="0.25">
      <c r="A3" s="885" t="s">
        <v>310</v>
      </c>
      <c r="B3" s="871" t="s">
        <v>834</v>
      </c>
      <c r="C3" s="875"/>
      <c r="D3" s="875"/>
      <c r="E3" s="875"/>
      <c r="F3" s="875"/>
      <c r="G3" s="875"/>
      <c r="H3" s="875"/>
      <c r="I3" s="875"/>
      <c r="J3" s="875"/>
      <c r="K3" s="875"/>
      <c r="L3" s="875"/>
      <c r="M3" s="872"/>
      <c r="N3" s="877"/>
      <c r="O3" s="878"/>
      <c r="P3" s="877"/>
      <c r="Q3" s="878"/>
      <c r="R3" s="871" t="s">
        <v>835</v>
      </c>
      <c r="S3" s="872"/>
    </row>
    <row r="4" spans="1:19" x14ac:dyDescent="0.25">
      <c r="A4" s="886"/>
      <c r="B4" s="869"/>
      <c r="C4" s="888"/>
      <c r="D4" s="888"/>
      <c r="E4" s="888"/>
      <c r="F4" s="888"/>
      <c r="G4" s="888"/>
      <c r="H4" s="888"/>
      <c r="I4" s="888"/>
      <c r="J4" s="888"/>
      <c r="K4" s="888"/>
      <c r="L4" s="888"/>
      <c r="M4" s="870"/>
      <c r="N4" s="889"/>
      <c r="O4" s="890"/>
      <c r="P4" s="869" t="s">
        <v>836</v>
      </c>
      <c r="Q4" s="870"/>
      <c r="R4" s="869"/>
      <c r="S4" s="870"/>
    </row>
    <row r="5" spans="1:19" x14ac:dyDescent="0.25">
      <c r="A5" s="886"/>
      <c r="B5" s="873"/>
      <c r="C5" s="876"/>
      <c r="D5" s="876"/>
      <c r="E5" s="876"/>
      <c r="F5" s="876"/>
      <c r="G5" s="876"/>
      <c r="H5" s="876"/>
      <c r="I5" s="876"/>
      <c r="J5" s="876"/>
      <c r="K5" s="876"/>
      <c r="L5" s="876"/>
      <c r="M5" s="874"/>
      <c r="N5" s="869" t="s">
        <v>662</v>
      </c>
      <c r="O5" s="870"/>
      <c r="P5" s="869" t="s">
        <v>837</v>
      </c>
      <c r="Q5" s="870"/>
      <c r="R5" s="869"/>
      <c r="S5" s="870"/>
    </row>
    <row r="6" spans="1:19" x14ac:dyDescent="0.25">
      <c r="A6" s="886"/>
      <c r="B6" s="871" t="s">
        <v>838</v>
      </c>
      <c r="C6" s="875"/>
      <c r="D6" s="875"/>
      <c r="E6" s="875"/>
      <c r="F6" s="875"/>
      <c r="G6" s="875"/>
      <c r="H6" s="875"/>
      <c r="I6" s="872"/>
      <c r="J6" s="871" t="s">
        <v>839</v>
      </c>
      <c r="K6" s="872"/>
      <c r="L6" s="877"/>
      <c r="M6" s="878"/>
      <c r="N6" s="869" t="s">
        <v>840</v>
      </c>
      <c r="O6" s="870"/>
      <c r="P6" s="869" t="s">
        <v>386</v>
      </c>
      <c r="Q6" s="870"/>
      <c r="R6" s="869"/>
      <c r="S6" s="870"/>
    </row>
    <row r="7" spans="1:19" x14ac:dyDescent="0.25">
      <c r="A7" s="886"/>
      <c r="B7" s="873"/>
      <c r="C7" s="876"/>
      <c r="D7" s="876"/>
      <c r="E7" s="876"/>
      <c r="F7" s="876"/>
      <c r="G7" s="876"/>
      <c r="H7" s="876"/>
      <c r="I7" s="874"/>
      <c r="J7" s="873"/>
      <c r="K7" s="874"/>
      <c r="L7" s="869" t="s">
        <v>740</v>
      </c>
      <c r="M7" s="870"/>
      <c r="N7" s="869" t="s">
        <v>841</v>
      </c>
      <c r="O7" s="870"/>
      <c r="P7" s="869" t="s">
        <v>842</v>
      </c>
      <c r="Q7" s="870"/>
      <c r="R7" s="869"/>
      <c r="S7" s="870"/>
    </row>
    <row r="8" spans="1:19" x14ac:dyDescent="0.25">
      <c r="A8" s="887"/>
      <c r="B8" s="867" t="s">
        <v>843</v>
      </c>
      <c r="C8" s="868"/>
      <c r="D8" s="867" t="s">
        <v>844</v>
      </c>
      <c r="E8" s="868"/>
      <c r="F8" s="867" t="s">
        <v>845</v>
      </c>
      <c r="G8" s="868"/>
      <c r="H8" s="867" t="s">
        <v>740</v>
      </c>
      <c r="I8" s="868"/>
      <c r="J8" s="867" t="s">
        <v>846</v>
      </c>
      <c r="K8" s="868"/>
      <c r="L8" s="873" t="s">
        <v>847</v>
      </c>
      <c r="M8" s="874"/>
      <c r="N8" s="873"/>
      <c r="O8" s="874"/>
      <c r="P8" s="873"/>
      <c r="Q8" s="874"/>
      <c r="R8" s="873"/>
      <c r="S8" s="874"/>
    </row>
    <row r="9" spans="1:19" x14ac:dyDescent="0.25">
      <c r="A9" s="475">
        <v>1949</v>
      </c>
      <c r="B9" s="476">
        <v>1727246</v>
      </c>
      <c r="C9" s="477"/>
      <c r="D9" s="480" t="s">
        <v>325</v>
      </c>
      <c r="E9" s="477"/>
      <c r="F9" s="476">
        <v>6152263</v>
      </c>
      <c r="G9" s="479" t="s">
        <v>650</v>
      </c>
      <c r="H9" s="476">
        <v>7879509</v>
      </c>
      <c r="I9" s="479" t="s">
        <v>650</v>
      </c>
      <c r="J9" s="480" t="s">
        <v>325</v>
      </c>
      <c r="K9" s="477"/>
      <c r="L9" s="476">
        <v>7879509</v>
      </c>
      <c r="M9" s="479" t="s">
        <v>650</v>
      </c>
      <c r="N9" s="476">
        <v>22114</v>
      </c>
      <c r="O9" s="477"/>
      <c r="P9" s="476">
        <v>88392</v>
      </c>
      <c r="Q9" s="477"/>
      <c r="R9" s="476">
        <v>7990015</v>
      </c>
      <c r="S9" s="479" t="s">
        <v>650</v>
      </c>
    </row>
    <row r="10" spans="1:19" x14ac:dyDescent="0.25">
      <c r="A10" s="475">
        <v>1950</v>
      </c>
      <c r="B10" s="476">
        <v>1563933</v>
      </c>
      <c r="C10" s="477"/>
      <c r="D10" s="476">
        <v>129940</v>
      </c>
      <c r="E10" s="477"/>
      <c r="F10" s="476">
        <v>6689534</v>
      </c>
      <c r="G10" s="479" t="s">
        <v>650</v>
      </c>
      <c r="H10" s="476">
        <v>8383407</v>
      </c>
      <c r="I10" s="479" t="s">
        <v>650</v>
      </c>
      <c r="J10" s="480" t="s">
        <v>325</v>
      </c>
      <c r="K10" s="477"/>
      <c r="L10" s="476">
        <v>8383407</v>
      </c>
      <c r="M10" s="479" t="s">
        <v>650</v>
      </c>
      <c r="N10" s="476">
        <v>23178</v>
      </c>
      <c r="O10" s="477"/>
      <c r="P10" s="476">
        <v>85888</v>
      </c>
      <c r="Q10" s="477"/>
      <c r="R10" s="476">
        <v>8492473</v>
      </c>
      <c r="S10" s="479" t="s">
        <v>650</v>
      </c>
    </row>
    <row r="11" spans="1:19" x14ac:dyDescent="0.25">
      <c r="A11" s="481">
        <v>1951</v>
      </c>
      <c r="B11" s="482">
        <v>1378693</v>
      </c>
      <c r="C11" s="483"/>
      <c r="D11" s="482">
        <v>199233</v>
      </c>
      <c r="E11" s="483"/>
      <c r="F11" s="482">
        <v>7355557</v>
      </c>
      <c r="G11" s="485" t="s">
        <v>650</v>
      </c>
      <c r="H11" s="482">
        <v>8933484</v>
      </c>
      <c r="I11" s="485" t="s">
        <v>650</v>
      </c>
      <c r="J11" s="486" t="s">
        <v>325</v>
      </c>
      <c r="K11" s="483"/>
      <c r="L11" s="482">
        <v>8933484</v>
      </c>
      <c r="M11" s="485" t="s">
        <v>650</v>
      </c>
      <c r="N11" s="482">
        <v>24093</v>
      </c>
      <c r="O11" s="483"/>
      <c r="P11" s="482">
        <v>84316</v>
      </c>
      <c r="Q11" s="483"/>
      <c r="R11" s="482">
        <v>9041892</v>
      </c>
      <c r="S11" s="485" t="s">
        <v>650</v>
      </c>
    </row>
    <row r="12" spans="1:19" x14ac:dyDescent="0.25">
      <c r="A12" s="475">
        <v>1952</v>
      </c>
      <c r="B12" s="476">
        <v>984040</v>
      </c>
      <c r="C12" s="477"/>
      <c r="D12" s="476">
        <v>214459</v>
      </c>
      <c r="E12" s="477"/>
      <c r="F12" s="476">
        <v>7708392</v>
      </c>
      <c r="G12" s="479" t="s">
        <v>650</v>
      </c>
      <c r="H12" s="476">
        <v>8906891</v>
      </c>
      <c r="I12" s="479" t="s">
        <v>650</v>
      </c>
      <c r="J12" s="480" t="s">
        <v>325</v>
      </c>
      <c r="K12" s="477"/>
      <c r="L12" s="476">
        <v>8906891</v>
      </c>
      <c r="M12" s="479" t="s">
        <v>650</v>
      </c>
      <c r="N12" s="476">
        <v>21823</v>
      </c>
      <c r="O12" s="477"/>
      <c r="P12" s="476">
        <v>74038</v>
      </c>
      <c r="Q12" s="477"/>
      <c r="R12" s="476">
        <v>9002752</v>
      </c>
      <c r="S12" s="479" t="s">
        <v>650</v>
      </c>
    </row>
    <row r="13" spans="1:19" x14ac:dyDescent="0.25">
      <c r="A13" s="475">
        <v>1953</v>
      </c>
      <c r="B13" s="476">
        <v>732992</v>
      </c>
      <c r="C13" s="477"/>
      <c r="D13" s="476">
        <v>238375</v>
      </c>
      <c r="E13" s="477"/>
      <c r="F13" s="476">
        <v>8058689</v>
      </c>
      <c r="G13" s="479" t="s">
        <v>650</v>
      </c>
      <c r="H13" s="476">
        <v>9030055</v>
      </c>
      <c r="I13" s="479" t="s">
        <v>650</v>
      </c>
      <c r="J13" s="480" t="s">
        <v>325</v>
      </c>
      <c r="K13" s="477"/>
      <c r="L13" s="476">
        <v>9030055</v>
      </c>
      <c r="M13" s="479" t="s">
        <v>650</v>
      </c>
      <c r="N13" s="476">
        <v>21932</v>
      </c>
      <c r="O13" s="477"/>
      <c r="P13" s="476">
        <v>71034</v>
      </c>
      <c r="Q13" s="477"/>
      <c r="R13" s="476">
        <v>9123022</v>
      </c>
      <c r="S13" s="479" t="s">
        <v>650</v>
      </c>
    </row>
    <row r="14" spans="1:19" x14ac:dyDescent="0.25">
      <c r="A14" s="481">
        <v>1954</v>
      </c>
      <c r="B14" s="482">
        <v>461404</v>
      </c>
      <c r="C14" s="483"/>
      <c r="D14" s="482">
        <v>238687</v>
      </c>
      <c r="E14" s="483"/>
      <c r="F14" s="482">
        <v>8122461</v>
      </c>
      <c r="G14" s="485" t="s">
        <v>650</v>
      </c>
      <c r="H14" s="482">
        <v>8822551</v>
      </c>
      <c r="I14" s="485" t="s">
        <v>650</v>
      </c>
      <c r="J14" s="486" t="s">
        <v>325</v>
      </c>
      <c r="K14" s="483"/>
      <c r="L14" s="482">
        <v>8822551</v>
      </c>
      <c r="M14" s="485" t="s">
        <v>650</v>
      </c>
      <c r="N14" s="482">
        <v>20048</v>
      </c>
      <c r="O14" s="483"/>
      <c r="P14" s="482">
        <v>60017</v>
      </c>
      <c r="Q14" s="483"/>
      <c r="R14" s="482">
        <v>8902617</v>
      </c>
      <c r="S14" s="485" t="s">
        <v>650</v>
      </c>
    </row>
    <row r="15" spans="1:19" x14ac:dyDescent="0.25">
      <c r="A15" s="475">
        <v>1955</v>
      </c>
      <c r="B15" s="476">
        <v>421262</v>
      </c>
      <c r="C15" s="477"/>
      <c r="D15" s="476">
        <v>253830</v>
      </c>
      <c r="E15" s="477"/>
      <c r="F15" s="476">
        <v>8799335</v>
      </c>
      <c r="G15" s="479" t="s">
        <v>650</v>
      </c>
      <c r="H15" s="476">
        <v>9474426</v>
      </c>
      <c r="I15" s="479" t="s">
        <v>650</v>
      </c>
      <c r="J15" s="480" t="s">
        <v>325</v>
      </c>
      <c r="K15" s="477"/>
      <c r="L15" s="476">
        <v>9474426</v>
      </c>
      <c r="M15" s="479" t="s">
        <v>650</v>
      </c>
      <c r="N15" s="476">
        <v>19877</v>
      </c>
      <c r="O15" s="477"/>
      <c r="P15" s="476">
        <v>55901</v>
      </c>
      <c r="Q15" s="477"/>
      <c r="R15" s="476">
        <v>9550205</v>
      </c>
      <c r="S15" s="479" t="s">
        <v>650</v>
      </c>
    </row>
    <row r="16" spans="1:19" x14ac:dyDescent="0.25">
      <c r="A16" s="475">
        <v>1956</v>
      </c>
      <c r="B16" s="476">
        <v>339821</v>
      </c>
      <c r="C16" s="477"/>
      <c r="D16" s="476">
        <v>306331</v>
      </c>
      <c r="E16" s="477"/>
      <c r="F16" s="476">
        <v>9144169</v>
      </c>
      <c r="G16" s="479" t="s">
        <v>650</v>
      </c>
      <c r="H16" s="476">
        <v>9790320</v>
      </c>
      <c r="I16" s="479" t="s">
        <v>650</v>
      </c>
      <c r="J16" s="480" t="s">
        <v>325</v>
      </c>
      <c r="K16" s="477"/>
      <c r="L16" s="476">
        <v>9790320</v>
      </c>
      <c r="M16" s="479" t="s">
        <v>650</v>
      </c>
      <c r="N16" s="476">
        <v>18537</v>
      </c>
      <c r="O16" s="477"/>
      <c r="P16" s="476">
        <v>50506</v>
      </c>
      <c r="Q16" s="477"/>
      <c r="R16" s="476">
        <v>9859364</v>
      </c>
      <c r="S16" s="479" t="s">
        <v>650</v>
      </c>
    </row>
    <row r="17" spans="1:19" x14ac:dyDescent="0.25">
      <c r="A17" s="481">
        <v>1957</v>
      </c>
      <c r="B17" s="482">
        <v>241264</v>
      </c>
      <c r="C17" s="483"/>
      <c r="D17" s="482">
        <v>309708</v>
      </c>
      <c r="E17" s="483"/>
      <c r="F17" s="482">
        <v>9285722</v>
      </c>
      <c r="G17" s="485" t="s">
        <v>650</v>
      </c>
      <c r="H17" s="482">
        <v>9836694</v>
      </c>
      <c r="I17" s="485" t="s">
        <v>650</v>
      </c>
      <c r="J17" s="486" t="s">
        <v>325</v>
      </c>
      <c r="K17" s="483"/>
      <c r="L17" s="482">
        <v>9836694</v>
      </c>
      <c r="M17" s="485" t="s">
        <v>650</v>
      </c>
      <c r="N17" s="482">
        <v>16187</v>
      </c>
      <c r="O17" s="483"/>
      <c r="P17" s="482">
        <v>43388</v>
      </c>
      <c r="Q17" s="483"/>
      <c r="R17" s="482">
        <v>9896269</v>
      </c>
      <c r="S17" s="485" t="s">
        <v>650</v>
      </c>
    </row>
    <row r="18" spans="1:19" x14ac:dyDescent="0.25">
      <c r="A18" s="475">
        <v>1958</v>
      </c>
      <c r="B18" s="476">
        <v>115156</v>
      </c>
      <c r="C18" s="477"/>
      <c r="D18" s="476">
        <v>323149</v>
      </c>
      <c r="E18" s="477"/>
      <c r="F18" s="476">
        <v>9513700</v>
      </c>
      <c r="G18" s="479" t="s">
        <v>650</v>
      </c>
      <c r="H18" s="476">
        <v>9952005</v>
      </c>
      <c r="I18" s="479" t="s">
        <v>650</v>
      </c>
      <c r="J18" s="480" t="s">
        <v>325</v>
      </c>
      <c r="K18" s="477"/>
      <c r="L18" s="476">
        <v>9952005</v>
      </c>
      <c r="M18" s="479" t="s">
        <v>650</v>
      </c>
      <c r="N18" s="476">
        <v>14517</v>
      </c>
      <c r="O18" s="477"/>
      <c r="P18" s="476">
        <v>37579</v>
      </c>
      <c r="Q18" s="477"/>
      <c r="R18" s="476">
        <v>10004101</v>
      </c>
      <c r="S18" s="479" t="s">
        <v>650</v>
      </c>
    </row>
    <row r="19" spans="1:19" x14ac:dyDescent="0.25">
      <c r="A19" s="475">
        <v>1959</v>
      </c>
      <c r="B19" s="476">
        <v>87830</v>
      </c>
      <c r="C19" s="477"/>
      <c r="D19" s="476">
        <v>361575</v>
      </c>
      <c r="E19" s="477"/>
      <c r="F19" s="476">
        <v>9848209</v>
      </c>
      <c r="G19" s="479" t="s">
        <v>650</v>
      </c>
      <c r="H19" s="476">
        <v>10297614</v>
      </c>
      <c r="I19" s="479" t="s">
        <v>650</v>
      </c>
      <c r="J19" s="480" t="s">
        <v>325</v>
      </c>
      <c r="K19" s="477"/>
      <c r="L19" s="476">
        <v>10297614</v>
      </c>
      <c r="M19" s="479" t="s">
        <v>650</v>
      </c>
      <c r="N19" s="476">
        <v>14418</v>
      </c>
      <c r="O19" s="477"/>
      <c r="P19" s="476">
        <v>36498</v>
      </c>
      <c r="Q19" s="477"/>
      <c r="R19" s="476">
        <v>10348530</v>
      </c>
      <c r="S19" s="479" t="s">
        <v>650</v>
      </c>
    </row>
    <row r="20" spans="1:19" x14ac:dyDescent="0.25">
      <c r="A20" s="481">
        <v>1960</v>
      </c>
      <c r="B20" s="482">
        <v>74959</v>
      </c>
      <c r="C20" s="483"/>
      <c r="D20" s="482">
        <v>359223</v>
      </c>
      <c r="E20" s="483"/>
      <c r="F20" s="482">
        <v>10125414</v>
      </c>
      <c r="G20" s="485" t="s">
        <v>650</v>
      </c>
      <c r="H20" s="482">
        <v>10559596</v>
      </c>
      <c r="I20" s="485" t="s">
        <v>650</v>
      </c>
      <c r="J20" s="486" t="s">
        <v>325</v>
      </c>
      <c r="K20" s="483"/>
      <c r="L20" s="482">
        <v>10559596</v>
      </c>
      <c r="M20" s="485" t="s">
        <v>650</v>
      </c>
      <c r="N20" s="482">
        <v>10460</v>
      </c>
      <c r="O20" s="483"/>
      <c r="P20" s="482">
        <v>25887</v>
      </c>
      <c r="Q20" s="485" t="s">
        <v>650</v>
      </c>
      <c r="R20" s="482">
        <v>10595943</v>
      </c>
      <c r="S20" s="485" t="s">
        <v>650</v>
      </c>
    </row>
    <row r="21" spans="1:19" x14ac:dyDescent="0.25">
      <c r="A21" s="475">
        <v>1961</v>
      </c>
      <c r="B21" s="476">
        <v>18927</v>
      </c>
      <c r="C21" s="477"/>
      <c r="D21" s="476">
        <v>390823</v>
      </c>
      <c r="E21" s="477"/>
      <c r="F21" s="476">
        <v>10323982</v>
      </c>
      <c r="G21" s="479" t="s">
        <v>650</v>
      </c>
      <c r="H21" s="476">
        <v>10733732</v>
      </c>
      <c r="I21" s="479" t="s">
        <v>650</v>
      </c>
      <c r="J21" s="480" t="s">
        <v>325</v>
      </c>
      <c r="K21" s="477"/>
      <c r="L21" s="476">
        <v>10733732</v>
      </c>
      <c r="M21" s="479" t="s">
        <v>650</v>
      </c>
      <c r="N21" s="476">
        <v>10316</v>
      </c>
      <c r="O21" s="477"/>
      <c r="P21" s="476">
        <v>25078</v>
      </c>
      <c r="Q21" s="479" t="s">
        <v>650</v>
      </c>
      <c r="R21" s="476">
        <v>10769126</v>
      </c>
      <c r="S21" s="479" t="s">
        <v>650</v>
      </c>
    </row>
    <row r="22" spans="1:19" x14ac:dyDescent="0.25">
      <c r="A22" s="475">
        <v>1962</v>
      </c>
      <c r="B22" s="476">
        <v>16874</v>
      </c>
      <c r="C22" s="477"/>
      <c r="D22" s="476">
        <v>395883</v>
      </c>
      <c r="E22" s="477"/>
      <c r="F22" s="476">
        <v>10772132</v>
      </c>
      <c r="G22" s="479" t="s">
        <v>650</v>
      </c>
      <c r="H22" s="476">
        <v>11184889</v>
      </c>
      <c r="I22" s="479" t="s">
        <v>650</v>
      </c>
      <c r="J22" s="480" t="s">
        <v>325</v>
      </c>
      <c r="K22" s="477"/>
      <c r="L22" s="476">
        <v>11184889</v>
      </c>
      <c r="M22" s="479" t="s">
        <v>650</v>
      </c>
      <c r="N22" s="476">
        <v>10167</v>
      </c>
      <c r="O22" s="477"/>
      <c r="P22" s="476">
        <v>24426</v>
      </c>
      <c r="Q22" s="479" t="s">
        <v>650</v>
      </c>
      <c r="R22" s="476">
        <v>11219481</v>
      </c>
      <c r="S22" s="479" t="s">
        <v>650</v>
      </c>
    </row>
    <row r="23" spans="1:19" x14ac:dyDescent="0.25">
      <c r="A23" s="481">
        <v>1963</v>
      </c>
      <c r="B23" s="482">
        <v>16421</v>
      </c>
      <c r="C23" s="483"/>
      <c r="D23" s="482">
        <v>436920</v>
      </c>
      <c r="E23" s="483"/>
      <c r="F23" s="482">
        <v>11166687</v>
      </c>
      <c r="G23" s="485" t="s">
        <v>650</v>
      </c>
      <c r="H23" s="482">
        <v>11620029</v>
      </c>
      <c r="I23" s="485" t="s">
        <v>650</v>
      </c>
      <c r="J23" s="486" t="s">
        <v>325</v>
      </c>
      <c r="K23" s="483"/>
      <c r="L23" s="482">
        <v>11620029</v>
      </c>
      <c r="M23" s="485" t="s">
        <v>650</v>
      </c>
      <c r="N23" s="482">
        <v>9955</v>
      </c>
      <c r="O23" s="483"/>
      <c r="P23" s="482">
        <v>23772</v>
      </c>
      <c r="Q23" s="485" t="s">
        <v>650</v>
      </c>
      <c r="R23" s="482">
        <v>11653755</v>
      </c>
      <c r="S23" s="485" t="s">
        <v>650</v>
      </c>
    </row>
    <row r="24" spans="1:19" x14ac:dyDescent="0.25">
      <c r="A24" s="475">
        <v>1964</v>
      </c>
      <c r="B24" s="476">
        <v>17403</v>
      </c>
      <c r="C24" s="477"/>
      <c r="D24" s="476">
        <v>449508</v>
      </c>
      <c r="E24" s="477"/>
      <c r="F24" s="476">
        <v>11496327</v>
      </c>
      <c r="G24" s="479" t="s">
        <v>650</v>
      </c>
      <c r="H24" s="476">
        <v>11963238</v>
      </c>
      <c r="I24" s="479" t="s">
        <v>650</v>
      </c>
      <c r="J24" s="480" t="s">
        <v>325</v>
      </c>
      <c r="K24" s="477"/>
      <c r="L24" s="476">
        <v>11963238</v>
      </c>
      <c r="M24" s="479" t="s">
        <v>650</v>
      </c>
      <c r="N24" s="476">
        <v>10011</v>
      </c>
      <c r="O24" s="477"/>
      <c r="P24" s="476">
        <v>23758</v>
      </c>
      <c r="Q24" s="479" t="s">
        <v>650</v>
      </c>
      <c r="R24" s="476">
        <v>11997007</v>
      </c>
      <c r="S24" s="479" t="s">
        <v>650</v>
      </c>
    </row>
    <row r="25" spans="1:19" x14ac:dyDescent="0.25">
      <c r="A25" s="475">
        <v>1965</v>
      </c>
      <c r="B25" s="476">
        <v>15972</v>
      </c>
      <c r="C25" s="477"/>
      <c r="D25" s="476">
        <v>516541</v>
      </c>
      <c r="E25" s="477"/>
      <c r="F25" s="476">
        <v>11866194</v>
      </c>
      <c r="G25" s="479" t="s">
        <v>650</v>
      </c>
      <c r="H25" s="476">
        <v>12398707</v>
      </c>
      <c r="I25" s="479" t="s">
        <v>650</v>
      </c>
      <c r="J25" s="480" t="s">
        <v>325</v>
      </c>
      <c r="K25" s="477"/>
      <c r="L25" s="476">
        <v>12398707</v>
      </c>
      <c r="M25" s="479" t="s">
        <v>650</v>
      </c>
      <c r="N25" s="476">
        <v>9974</v>
      </c>
      <c r="O25" s="477"/>
      <c r="P25" s="476">
        <v>23776</v>
      </c>
      <c r="Q25" s="479" t="s">
        <v>650</v>
      </c>
      <c r="R25" s="476">
        <v>12432456</v>
      </c>
      <c r="S25" s="479" t="s">
        <v>650</v>
      </c>
    </row>
    <row r="26" spans="1:19" x14ac:dyDescent="0.25">
      <c r="A26" s="481">
        <v>1966</v>
      </c>
      <c r="B26" s="482">
        <v>14754</v>
      </c>
      <c r="C26" s="483"/>
      <c r="D26" s="482">
        <v>553020</v>
      </c>
      <c r="E26" s="483"/>
      <c r="F26" s="482">
        <v>12499749</v>
      </c>
      <c r="G26" s="485" t="s">
        <v>650</v>
      </c>
      <c r="H26" s="482">
        <v>13067522</v>
      </c>
      <c r="I26" s="485" t="s">
        <v>650</v>
      </c>
      <c r="J26" s="486" t="s">
        <v>325</v>
      </c>
      <c r="K26" s="483"/>
      <c r="L26" s="482">
        <v>13067522</v>
      </c>
      <c r="M26" s="485" t="s">
        <v>650</v>
      </c>
      <c r="N26" s="482">
        <v>9642</v>
      </c>
      <c r="O26" s="483"/>
      <c r="P26" s="482">
        <v>23070</v>
      </c>
      <c r="Q26" s="485" t="s">
        <v>650</v>
      </c>
      <c r="R26" s="482">
        <v>13100235</v>
      </c>
      <c r="S26" s="485" t="s">
        <v>650</v>
      </c>
    </row>
    <row r="27" spans="1:19" x14ac:dyDescent="0.25">
      <c r="A27" s="475">
        <v>1967</v>
      </c>
      <c r="B27" s="476">
        <v>11227</v>
      </c>
      <c r="C27" s="477"/>
      <c r="D27" s="476">
        <v>594176</v>
      </c>
      <c r="E27" s="477"/>
      <c r="F27" s="476">
        <v>13112791</v>
      </c>
      <c r="G27" s="479" t="s">
        <v>650</v>
      </c>
      <c r="H27" s="476">
        <v>13718194</v>
      </c>
      <c r="I27" s="479" t="s">
        <v>650</v>
      </c>
      <c r="J27" s="480" t="s">
        <v>325</v>
      </c>
      <c r="K27" s="477"/>
      <c r="L27" s="476">
        <v>13718194</v>
      </c>
      <c r="M27" s="479" t="s">
        <v>650</v>
      </c>
      <c r="N27" s="476">
        <v>10010</v>
      </c>
      <c r="O27" s="477"/>
      <c r="P27" s="476">
        <v>23872</v>
      </c>
      <c r="Q27" s="479" t="s">
        <v>650</v>
      </c>
      <c r="R27" s="476">
        <v>13752076</v>
      </c>
      <c r="S27" s="479" t="s">
        <v>650</v>
      </c>
    </row>
    <row r="28" spans="1:19" x14ac:dyDescent="0.25">
      <c r="A28" s="475">
        <v>1968</v>
      </c>
      <c r="B28" s="476">
        <v>10014</v>
      </c>
      <c r="C28" s="477"/>
      <c r="D28" s="476">
        <v>609285</v>
      </c>
      <c r="E28" s="477"/>
      <c r="F28" s="476">
        <v>14211926</v>
      </c>
      <c r="G28" s="479" t="s">
        <v>650</v>
      </c>
      <c r="H28" s="476">
        <v>14831225</v>
      </c>
      <c r="I28" s="479" t="s">
        <v>650</v>
      </c>
      <c r="J28" s="480" t="s">
        <v>325</v>
      </c>
      <c r="K28" s="477"/>
      <c r="L28" s="476">
        <v>14831225</v>
      </c>
      <c r="M28" s="479" t="s">
        <v>650</v>
      </c>
      <c r="N28" s="476">
        <v>10215</v>
      </c>
      <c r="O28" s="477"/>
      <c r="P28" s="476">
        <v>24335</v>
      </c>
      <c r="Q28" s="479" t="s">
        <v>650</v>
      </c>
      <c r="R28" s="476">
        <v>14865775</v>
      </c>
      <c r="S28" s="479" t="s">
        <v>650</v>
      </c>
    </row>
    <row r="29" spans="1:19" x14ac:dyDescent="0.25">
      <c r="A29" s="481">
        <v>1969</v>
      </c>
      <c r="B29" s="482">
        <v>7426</v>
      </c>
      <c r="C29" s="483"/>
      <c r="D29" s="482">
        <v>650522</v>
      </c>
      <c r="E29" s="483"/>
      <c r="F29" s="482">
        <v>14813302</v>
      </c>
      <c r="G29" s="485" t="s">
        <v>650</v>
      </c>
      <c r="H29" s="482">
        <v>15471249</v>
      </c>
      <c r="I29" s="485" t="s">
        <v>650</v>
      </c>
      <c r="J29" s="486" t="s">
        <v>325</v>
      </c>
      <c r="K29" s="483"/>
      <c r="L29" s="482">
        <v>15471249</v>
      </c>
      <c r="M29" s="485" t="s">
        <v>650</v>
      </c>
      <c r="N29" s="482">
        <v>10420</v>
      </c>
      <c r="O29" s="483"/>
      <c r="P29" s="482">
        <v>24836</v>
      </c>
      <c r="Q29" s="485" t="s">
        <v>650</v>
      </c>
      <c r="R29" s="482">
        <v>15506506</v>
      </c>
      <c r="S29" s="485" t="s">
        <v>650</v>
      </c>
    </row>
    <row r="30" spans="1:19" x14ac:dyDescent="0.25">
      <c r="A30" s="475">
        <v>1970</v>
      </c>
      <c r="B30" s="476">
        <v>6849</v>
      </c>
      <c r="C30" s="477"/>
      <c r="D30" s="476">
        <v>744553</v>
      </c>
      <c r="E30" s="477"/>
      <c r="F30" s="476">
        <v>15310488</v>
      </c>
      <c r="G30" s="479" t="s">
        <v>650</v>
      </c>
      <c r="H30" s="476">
        <v>16061890</v>
      </c>
      <c r="I30" s="479" t="s">
        <v>650</v>
      </c>
      <c r="J30" s="480" t="s">
        <v>325</v>
      </c>
      <c r="K30" s="477"/>
      <c r="L30" s="476">
        <v>16061890</v>
      </c>
      <c r="M30" s="479" t="s">
        <v>650</v>
      </c>
      <c r="N30" s="476">
        <v>10627</v>
      </c>
      <c r="O30" s="477"/>
      <c r="P30" s="476">
        <v>25731</v>
      </c>
      <c r="Q30" s="479" t="s">
        <v>650</v>
      </c>
      <c r="R30" s="476">
        <v>16098249</v>
      </c>
      <c r="S30" s="479" t="s">
        <v>650</v>
      </c>
    </row>
    <row r="31" spans="1:19" x14ac:dyDescent="0.25">
      <c r="A31" s="475">
        <v>1971</v>
      </c>
      <c r="B31" s="476">
        <v>4693</v>
      </c>
      <c r="C31" s="477"/>
      <c r="D31" s="476">
        <v>765612</v>
      </c>
      <c r="E31" s="477"/>
      <c r="F31" s="476">
        <v>15924030</v>
      </c>
      <c r="G31" s="479" t="s">
        <v>650</v>
      </c>
      <c r="H31" s="476">
        <v>16694335</v>
      </c>
      <c r="I31" s="479" t="s">
        <v>650</v>
      </c>
      <c r="J31" s="480" t="s">
        <v>325</v>
      </c>
      <c r="K31" s="477"/>
      <c r="L31" s="476">
        <v>16694335</v>
      </c>
      <c r="M31" s="479" t="s">
        <v>650</v>
      </c>
      <c r="N31" s="476">
        <v>10462</v>
      </c>
      <c r="O31" s="477"/>
      <c r="P31" s="476">
        <v>25256</v>
      </c>
      <c r="Q31" s="479" t="s">
        <v>650</v>
      </c>
      <c r="R31" s="476">
        <v>16730053</v>
      </c>
      <c r="S31" s="479" t="s">
        <v>650</v>
      </c>
    </row>
    <row r="32" spans="1:19" x14ac:dyDescent="0.25">
      <c r="A32" s="481">
        <v>1972</v>
      </c>
      <c r="B32" s="482">
        <v>3676</v>
      </c>
      <c r="C32" s="483"/>
      <c r="D32" s="482">
        <v>786842</v>
      </c>
      <c r="E32" s="483"/>
      <c r="F32" s="482">
        <v>16891617</v>
      </c>
      <c r="G32" s="485" t="s">
        <v>650</v>
      </c>
      <c r="H32" s="482">
        <v>17682135</v>
      </c>
      <c r="I32" s="485" t="s">
        <v>650</v>
      </c>
      <c r="J32" s="486" t="s">
        <v>325</v>
      </c>
      <c r="K32" s="483"/>
      <c r="L32" s="482">
        <v>17682135</v>
      </c>
      <c r="M32" s="485" t="s">
        <v>650</v>
      </c>
      <c r="N32" s="482">
        <v>10371</v>
      </c>
      <c r="O32" s="483"/>
      <c r="P32" s="482">
        <v>24785</v>
      </c>
      <c r="Q32" s="485" t="s">
        <v>650</v>
      </c>
      <c r="R32" s="482">
        <v>17717291</v>
      </c>
      <c r="S32" s="485" t="s">
        <v>650</v>
      </c>
    </row>
    <row r="33" spans="1:19" x14ac:dyDescent="0.25">
      <c r="A33" s="475">
        <v>1973</v>
      </c>
      <c r="B33" s="476">
        <v>2620</v>
      </c>
      <c r="C33" s="477"/>
      <c r="D33" s="476">
        <v>742741</v>
      </c>
      <c r="E33" s="477"/>
      <c r="F33" s="476">
        <v>17831864</v>
      </c>
      <c r="G33" s="479" t="s">
        <v>650</v>
      </c>
      <c r="H33" s="476">
        <v>18577224</v>
      </c>
      <c r="I33" s="479" t="s">
        <v>650</v>
      </c>
      <c r="J33" s="480" t="s">
        <v>325</v>
      </c>
      <c r="K33" s="477"/>
      <c r="L33" s="476">
        <v>18577224</v>
      </c>
      <c r="M33" s="479" t="s">
        <v>650</v>
      </c>
      <c r="N33" s="476">
        <v>10532</v>
      </c>
      <c r="O33" s="477"/>
      <c r="P33" s="476">
        <v>25024</v>
      </c>
      <c r="Q33" s="479" t="s">
        <v>650</v>
      </c>
      <c r="R33" s="476">
        <v>18612780</v>
      </c>
      <c r="S33" s="479" t="s">
        <v>650</v>
      </c>
    </row>
    <row r="34" spans="1:19" x14ac:dyDescent="0.25">
      <c r="A34" s="475">
        <v>1974</v>
      </c>
      <c r="B34" s="476">
        <v>1794</v>
      </c>
      <c r="C34" s="477"/>
      <c r="D34" s="476">
        <v>684843</v>
      </c>
      <c r="E34" s="477"/>
      <c r="F34" s="476">
        <v>17400538</v>
      </c>
      <c r="G34" s="479" t="s">
        <v>650</v>
      </c>
      <c r="H34" s="476">
        <v>18087175</v>
      </c>
      <c r="I34" s="479" t="s">
        <v>650</v>
      </c>
      <c r="J34" s="480" t="s">
        <v>325</v>
      </c>
      <c r="K34" s="477"/>
      <c r="L34" s="476">
        <v>18087175</v>
      </c>
      <c r="M34" s="479" t="s">
        <v>650</v>
      </c>
      <c r="N34" s="476">
        <v>9721</v>
      </c>
      <c r="O34" s="477"/>
      <c r="P34" s="476">
        <v>23524</v>
      </c>
      <c r="Q34" s="479" t="s">
        <v>650</v>
      </c>
      <c r="R34" s="476">
        <v>18120419</v>
      </c>
      <c r="S34" s="479" t="s">
        <v>650</v>
      </c>
    </row>
    <row r="35" spans="1:19" x14ac:dyDescent="0.25">
      <c r="A35" s="481">
        <v>1975</v>
      </c>
      <c r="B35" s="486">
        <v>538</v>
      </c>
      <c r="C35" s="483"/>
      <c r="D35" s="482">
        <v>594622</v>
      </c>
      <c r="E35" s="483"/>
      <c r="F35" s="482">
        <v>17615332</v>
      </c>
      <c r="G35" s="485" t="s">
        <v>650</v>
      </c>
      <c r="H35" s="482">
        <v>18210492</v>
      </c>
      <c r="I35" s="485" t="s">
        <v>650</v>
      </c>
      <c r="J35" s="486" t="s">
        <v>325</v>
      </c>
      <c r="K35" s="483"/>
      <c r="L35" s="482">
        <v>18210492</v>
      </c>
      <c r="M35" s="485" t="s">
        <v>650</v>
      </c>
      <c r="N35" s="482">
        <v>10149</v>
      </c>
      <c r="O35" s="483"/>
      <c r="P35" s="482">
        <v>24362</v>
      </c>
      <c r="Q35" s="485" t="s">
        <v>650</v>
      </c>
      <c r="R35" s="482">
        <v>18245003</v>
      </c>
      <c r="S35" s="485" t="s">
        <v>650</v>
      </c>
    </row>
    <row r="36" spans="1:19" x14ac:dyDescent="0.25">
      <c r="A36" s="475">
        <v>1976</v>
      </c>
      <c r="B36" s="480">
        <v>270</v>
      </c>
      <c r="C36" s="477"/>
      <c r="D36" s="476">
        <v>558741</v>
      </c>
      <c r="E36" s="477"/>
      <c r="F36" s="476">
        <v>18507664</v>
      </c>
      <c r="G36" s="479" t="s">
        <v>650</v>
      </c>
      <c r="H36" s="476">
        <v>19066676</v>
      </c>
      <c r="I36" s="479" t="s">
        <v>650</v>
      </c>
      <c r="J36" s="480" t="s">
        <v>325</v>
      </c>
      <c r="K36" s="477"/>
      <c r="L36" s="476">
        <v>19066676</v>
      </c>
      <c r="M36" s="479" t="s">
        <v>650</v>
      </c>
      <c r="N36" s="476">
        <v>10059</v>
      </c>
      <c r="O36" s="477"/>
      <c r="P36" s="476">
        <v>24063</v>
      </c>
      <c r="Q36" s="479" t="s">
        <v>650</v>
      </c>
      <c r="R36" s="476">
        <v>19100798</v>
      </c>
      <c r="S36" s="479" t="s">
        <v>650</v>
      </c>
    </row>
    <row r="37" spans="1:19" x14ac:dyDescent="0.25">
      <c r="A37" s="475">
        <v>1977</v>
      </c>
      <c r="B37" s="480">
        <v>201</v>
      </c>
      <c r="C37" s="477"/>
      <c r="D37" s="476">
        <v>542790</v>
      </c>
      <c r="E37" s="477"/>
      <c r="F37" s="476">
        <v>19243224</v>
      </c>
      <c r="G37" s="479" t="s">
        <v>650</v>
      </c>
      <c r="H37" s="476">
        <v>19786215</v>
      </c>
      <c r="I37" s="479" t="s">
        <v>650</v>
      </c>
      <c r="J37" s="480" t="s">
        <v>325</v>
      </c>
      <c r="K37" s="477"/>
      <c r="L37" s="476">
        <v>19786215</v>
      </c>
      <c r="M37" s="479" t="s">
        <v>650</v>
      </c>
      <c r="N37" s="476">
        <v>10429</v>
      </c>
      <c r="O37" s="477"/>
      <c r="P37" s="476">
        <v>24947</v>
      </c>
      <c r="Q37" s="479" t="s">
        <v>650</v>
      </c>
      <c r="R37" s="476">
        <v>19821590</v>
      </c>
      <c r="S37" s="479" t="s">
        <v>650</v>
      </c>
    </row>
    <row r="38" spans="1:19" x14ac:dyDescent="0.25">
      <c r="A38" s="481">
        <v>1978</v>
      </c>
      <c r="B38" s="484"/>
      <c r="C38" s="485" t="s">
        <v>302</v>
      </c>
      <c r="D38" s="482">
        <v>538938</v>
      </c>
      <c r="E38" s="483"/>
      <c r="F38" s="482">
        <v>20043823</v>
      </c>
      <c r="G38" s="485" t="s">
        <v>650</v>
      </c>
      <c r="H38" s="482">
        <v>20582761</v>
      </c>
      <c r="I38" s="485" t="s">
        <v>650</v>
      </c>
      <c r="J38" s="486" t="s">
        <v>325</v>
      </c>
      <c r="K38" s="483"/>
      <c r="L38" s="482">
        <v>20582761</v>
      </c>
      <c r="M38" s="485" t="s">
        <v>650</v>
      </c>
      <c r="N38" s="482">
        <v>10027</v>
      </c>
      <c r="O38" s="483"/>
      <c r="P38" s="482">
        <v>24275</v>
      </c>
      <c r="Q38" s="485" t="s">
        <v>650</v>
      </c>
      <c r="R38" s="482">
        <v>20617064</v>
      </c>
      <c r="S38" s="485" t="s">
        <v>650</v>
      </c>
    </row>
    <row r="39" spans="1:19" x14ac:dyDescent="0.25">
      <c r="A39" s="475">
        <v>1979</v>
      </c>
      <c r="B39" s="487"/>
      <c r="C39" s="479" t="s">
        <v>302</v>
      </c>
      <c r="D39" s="476">
        <v>611781</v>
      </c>
      <c r="E39" s="477"/>
      <c r="F39" s="476">
        <v>19825471</v>
      </c>
      <c r="G39" s="479" t="s">
        <v>650</v>
      </c>
      <c r="H39" s="476">
        <v>20437252</v>
      </c>
      <c r="I39" s="479" t="s">
        <v>650</v>
      </c>
      <c r="J39" s="480" t="s">
        <v>325</v>
      </c>
      <c r="K39" s="477"/>
      <c r="L39" s="476">
        <v>20437252</v>
      </c>
      <c r="M39" s="479" t="s">
        <v>650</v>
      </c>
      <c r="N39" s="476">
        <v>10117</v>
      </c>
      <c r="O39" s="477"/>
      <c r="P39" s="476">
        <v>24162</v>
      </c>
      <c r="Q39" s="479" t="s">
        <v>650</v>
      </c>
      <c r="R39" s="476">
        <v>20471532</v>
      </c>
      <c r="S39" s="479" t="s">
        <v>650</v>
      </c>
    </row>
    <row r="40" spans="1:19" x14ac:dyDescent="0.25">
      <c r="A40" s="475">
        <v>1980</v>
      </c>
      <c r="B40" s="487"/>
      <c r="C40" s="479" t="s">
        <v>302</v>
      </c>
      <c r="D40" s="476">
        <v>649853</v>
      </c>
      <c r="E40" s="477"/>
      <c r="F40" s="476">
        <v>19009245</v>
      </c>
      <c r="G40" s="479" t="s">
        <v>650</v>
      </c>
      <c r="H40" s="476">
        <v>19659098</v>
      </c>
      <c r="I40" s="479" t="s">
        <v>650</v>
      </c>
      <c r="J40" s="480" t="s">
        <v>325</v>
      </c>
      <c r="K40" s="477"/>
      <c r="L40" s="476">
        <v>19659098</v>
      </c>
      <c r="M40" s="479" t="s">
        <v>650</v>
      </c>
      <c r="N40" s="476">
        <v>11069</v>
      </c>
      <c r="O40" s="477"/>
      <c r="P40" s="476">
        <v>26523</v>
      </c>
      <c r="Q40" s="479" t="s">
        <v>650</v>
      </c>
      <c r="R40" s="476">
        <v>19696690</v>
      </c>
      <c r="S40" s="479" t="s">
        <v>650</v>
      </c>
    </row>
    <row r="41" spans="1:19" x14ac:dyDescent="0.25">
      <c r="A41" s="481">
        <v>1981</v>
      </c>
      <c r="B41" s="484"/>
      <c r="C41" s="485" t="s">
        <v>302</v>
      </c>
      <c r="D41" s="482">
        <v>658383</v>
      </c>
      <c r="E41" s="483"/>
      <c r="F41" s="482">
        <v>18812664</v>
      </c>
      <c r="G41" s="485" t="s">
        <v>650</v>
      </c>
      <c r="H41" s="482">
        <v>19471047</v>
      </c>
      <c r="I41" s="485" t="s">
        <v>650</v>
      </c>
      <c r="J41" s="482">
        <v>6723</v>
      </c>
      <c r="K41" s="485" t="s">
        <v>650</v>
      </c>
      <c r="L41" s="482">
        <v>19477771</v>
      </c>
      <c r="M41" s="485" t="s">
        <v>650</v>
      </c>
      <c r="N41" s="482">
        <v>10871</v>
      </c>
      <c r="O41" s="483"/>
      <c r="P41" s="482">
        <v>25372</v>
      </c>
      <c r="Q41" s="485" t="s">
        <v>650</v>
      </c>
      <c r="R41" s="482">
        <v>19514013</v>
      </c>
      <c r="S41" s="485" t="s">
        <v>650</v>
      </c>
    </row>
    <row r="42" spans="1:19" x14ac:dyDescent="0.25">
      <c r="A42" s="475">
        <v>1982</v>
      </c>
      <c r="B42" s="487"/>
      <c r="C42" s="479" t="s">
        <v>302</v>
      </c>
      <c r="D42" s="476">
        <v>611918</v>
      </c>
      <c r="E42" s="477"/>
      <c r="F42" s="476">
        <v>18421966</v>
      </c>
      <c r="G42" s="479" t="s">
        <v>650</v>
      </c>
      <c r="H42" s="476">
        <v>19033884</v>
      </c>
      <c r="I42" s="479" t="s">
        <v>650</v>
      </c>
      <c r="J42" s="476">
        <v>18285</v>
      </c>
      <c r="K42" s="479" t="s">
        <v>650</v>
      </c>
      <c r="L42" s="476">
        <v>19052169</v>
      </c>
      <c r="M42" s="479" t="s">
        <v>650</v>
      </c>
      <c r="N42" s="476">
        <v>11002</v>
      </c>
      <c r="O42" s="477"/>
      <c r="P42" s="476">
        <v>26057</v>
      </c>
      <c r="Q42" s="479" t="s">
        <v>650</v>
      </c>
      <c r="R42" s="476">
        <v>19089228</v>
      </c>
      <c r="S42" s="479" t="s">
        <v>650</v>
      </c>
    </row>
    <row r="43" spans="1:19" x14ac:dyDescent="0.25">
      <c r="A43" s="475">
        <v>1983</v>
      </c>
      <c r="B43" s="487"/>
      <c r="C43" s="479" t="s">
        <v>302</v>
      </c>
      <c r="D43" s="476">
        <v>505233</v>
      </c>
      <c r="E43" s="477"/>
      <c r="F43" s="476">
        <v>18595150</v>
      </c>
      <c r="G43" s="479" t="s">
        <v>650</v>
      </c>
      <c r="H43" s="476">
        <v>19100384</v>
      </c>
      <c r="I43" s="479" t="s">
        <v>650</v>
      </c>
      <c r="J43" s="476">
        <v>33720</v>
      </c>
      <c r="K43" s="479" t="s">
        <v>650</v>
      </c>
      <c r="L43" s="476">
        <v>19134104</v>
      </c>
      <c r="M43" s="479" t="s">
        <v>650</v>
      </c>
      <c r="N43" s="476">
        <v>12675</v>
      </c>
      <c r="O43" s="477"/>
      <c r="P43" s="476">
        <v>29835</v>
      </c>
      <c r="Q43" s="479" t="s">
        <v>650</v>
      </c>
      <c r="R43" s="476">
        <v>19176615</v>
      </c>
      <c r="S43" s="479" t="s">
        <v>650</v>
      </c>
    </row>
    <row r="44" spans="1:19" x14ac:dyDescent="0.25">
      <c r="A44" s="481">
        <v>1984</v>
      </c>
      <c r="B44" s="484"/>
      <c r="C44" s="485" t="s">
        <v>302</v>
      </c>
      <c r="D44" s="482">
        <v>544617</v>
      </c>
      <c r="E44" s="483"/>
      <c r="F44" s="482">
        <v>19022704</v>
      </c>
      <c r="G44" s="485" t="s">
        <v>650</v>
      </c>
      <c r="H44" s="482">
        <v>19567321</v>
      </c>
      <c r="I44" s="485" t="s">
        <v>650</v>
      </c>
      <c r="J44" s="482">
        <v>41265</v>
      </c>
      <c r="K44" s="485" t="s">
        <v>650</v>
      </c>
      <c r="L44" s="482">
        <v>19608586</v>
      </c>
      <c r="M44" s="485" t="s">
        <v>650</v>
      </c>
      <c r="N44" s="482">
        <v>14293</v>
      </c>
      <c r="O44" s="483"/>
      <c r="P44" s="482">
        <v>32687</v>
      </c>
      <c r="Q44" s="485" t="s">
        <v>650</v>
      </c>
      <c r="R44" s="482">
        <v>19655566</v>
      </c>
      <c r="S44" s="485" t="s">
        <v>650</v>
      </c>
    </row>
    <row r="45" spans="1:19" x14ac:dyDescent="0.25">
      <c r="A45" s="475">
        <v>1985</v>
      </c>
      <c r="B45" s="487"/>
      <c r="C45" s="479" t="s">
        <v>302</v>
      </c>
      <c r="D45" s="476">
        <v>519383</v>
      </c>
      <c r="E45" s="477"/>
      <c r="F45" s="476">
        <v>19472345</v>
      </c>
      <c r="G45" s="479" t="s">
        <v>650</v>
      </c>
      <c r="H45" s="476">
        <v>19991728</v>
      </c>
      <c r="I45" s="479" t="s">
        <v>650</v>
      </c>
      <c r="J45" s="476">
        <v>49738</v>
      </c>
      <c r="K45" s="479" t="s">
        <v>650</v>
      </c>
      <c r="L45" s="476">
        <v>20041466</v>
      </c>
      <c r="M45" s="479" t="s">
        <v>650</v>
      </c>
      <c r="N45" s="476">
        <v>14148</v>
      </c>
      <c r="O45" s="477"/>
      <c r="P45" s="476">
        <v>32299</v>
      </c>
      <c r="Q45" s="479" t="s">
        <v>650</v>
      </c>
      <c r="R45" s="476">
        <v>20087913</v>
      </c>
      <c r="S45" s="479" t="s">
        <v>650</v>
      </c>
    </row>
    <row r="46" spans="1:19" x14ac:dyDescent="0.25">
      <c r="A46" s="475">
        <v>1986</v>
      </c>
      <c r="B46" s="487"/>
      <c r="C46" s="479" t="s">
        <v>302</v>
      </c>
      <c r="D46" s="476">
        <v>499107</v>
      </c>
      <c r="E46" s="477"/>
      <c r="F46" s="476">
        <v>20183380</v>
      </c>
      <c r="G46" s="479" t="s">
        <v>650</v>
      </c>
      <c r="H46" s="476">
        <v>20682487</v>
      </c>
      <c r="I46" s="479" t="s">
        <v>650</v>
      </c>
      <c r="J46" s="476">
        <v>57437</v>
      </c>
      <c r="K46" s="479" t="s">
        <v>650</v>
      </c>
      <c r="L46" s="476">
        <v>20739924</v>
      </c>
      <c r="M46" s="479" t="s">
        <v>650</v>
      </c>
      <c r="N46" s="476">
        <v>15057</v>
      </c>
      <c r="O46" s="477"/>
      <c r="P46" s="476">
        <v>33803</v>
      </c>
      <c r="Q46" s="479" t="s">
        <v>650</v>
      </c>
      <c r="R46" s="476">
        <v>20788785</v>
      </c>
      <c r="S46" s="479" t="s">
        <v>650</v>
      </c>
    </row>
    <row r="47" spans="1:19" x14ac:dyDescent="0.25">
      <c r="A47" s="481">
        <v>1987</v>
      </c>
      <c r="B47" s="484"/>
      <c r="C47" s="485" t="s">
        <v>302</v>
      </c>
      <c r="D47" s="482">
        <v>535264</v>
      </c>
      <c r="E47" s="483"/>
      <c r="F47" s="482">
        <v>20817438</v>
      </c>
      <c r="G47" s="485" t="s">
        <v>650</v>
      </c>
      <c r="H47" s="482">
        <v>21352702</v>
      </c>
      <c r="I47" s="485" t="s">
        <v>650</v>
      </c>
      <c r="J47" s="482">
        <v>66071</v>
      </c>
      <c r="K47" s="485" t="s">
        <v>650</v>
      </c>
      <c r="L47" s="482">
        <v>21418773</v>
      </c>
      <c r="M47" s="485" t="s">
        <v>650</v>
      </c>
      <c r="N47" s="482">
        <v>15567</v>
      </c>
      <c r="O47" s="483"/>
      <c r="P47" s="482">
        <v>34540</v>
      </c>
      <c r="Q47" s="485" t="s">
        <v>650</v>
      </c>
      <c r="R47" s="482">
        <v>21468880</v>
      </c>
      <c r="S47" s="485" t="s">
        <v>650</v>
      </c>
    </row>
    <row r="48" spans="1:19" x14ac:dyDescent="0.25">
      <c r="A48" s="475">
        <v>1988</v>
      </c>
      <c r="B48" s="487"/>
      <c r="C48" s="479" t="s">
        <v>302</v>
      </c>
      <c r="D48" s="476">
        <v>631715</v>
      </c>
      <c r="E48" s="477"/>
      <c r="F48" s="476">
        <v>21567762</v>
      </c>
      <c r="G48" s="479" t="s">
        <v>650</v>
      </c>
      <c r="H48" s="476">
        <v>22199477</v>
      </c>
      <c r="I48" s="479" t="s">
        <v>650</v>
      </c>
      <c r="J48" s="476">
        <v>67125</v>
      </c>
      <c r="K48" s="479" t="s">
        <v>650</v>
      </c>
      <c r="L48" s="476">
        <v>22266602</v>
      </c>
      <c r="M48" s="479" t="s">
        <v>650</v>
      </c>
      <c r="N48" s="476">
        <v>15930</v>
      </c>
      <c r="O48" s="477"/>
      <c r="P48" s="476">
        <v>35189</v>
      </c>
      <c r="Q48" s="479" t="s">
        <v>650</v>
      </c>
      <c r="R48" s="476">
        <v>22317722</v>
      </c>
      <c r="S48" s="479" t="s">
        <v>650</v>
      </c>
    </row>
    <row r="49" spans="1:19" x14ac:dyDescent="0.25">
      <c r="A49" s="475">
        <v>1989</v>
      </c>
      <c r="B49" s="487"/>
      <c r="C49" s="479" t="s">
        <v>302</v>
      </c>
      <c r="D49" s="476">
        <v>648817</v>
      </c>
      <c r="E49" s="477"/>
      <c r="F49" s="476">
        <v>21707208</v>
      </c>
      <c r="G49" s="479" t="s">
        <v>650</v>
      </c>
      <c r="H49" s="476">
        <v>22356024</v>
      </c>
      <c r="I49" s="479" t="s">
        <v>650</v>
      </c>
      <c r="J49" s="476">
        <v>68091</v>
      </c>
      <c r="K49" s="479" t="s">
        <v>650</v>
      </c>
      <c r="L49" s="476">
        <v>22424115</v>
      </c>
      <c r="M49" s="479" t="s">
        <v>650</v>
      </c>
      <c r="N49" s="476">
        <v>16276</v>
      </c>
      <c r="O49" s="477"/>
      <c r="P49" s="476">
        <v>37555</v>
      </c>
      <c r="Q49" s="479" t="s">
        <v>650</v>
      </c>
      <c r="R49" s="476">
        <v>22477945</v>
      </c>
      <c r="S49" s="479" t="s">
        <v>650</v>
      </c>
    </row>
    <row r="50" spans="1:19" x14ac:dyDescent="0.25">
      <c r="A50" s="481">
        <v>1990</v>
      </c>
      <c r="B50" s="484"/>
      <c r="C50" s="485" t="s">
        <v>302</v>
      </c>
      <c r="D50" s="482">
        <v>679889</v>
      </c>
      <c r="E50" s="483"/>
      <c r="F50" s="482">
        <v>21625901</v>
      </c>
      <c r="G50" s="485" t="s">
        <v>650</v>
      </c>
      <c r="H50" s="482">
        <v>22305790</v>
      </c>
      <c r="I50" s="485" t="s">
        <v>650</v>
      </c>
      <c r="J50" s="482">
        <v>60421</v>
      </c>
      <c r="K50" s="485" t="s">
        <v>650</v>
      </c>
      <c r="L50" s="482">
        <v>22366211</v>
      </c>
      <c r="M50" s="485" t="s">
        <v>650</v>
      </c>
      <c r="N50" s="482">
        <v>16211</v>
      </c>
      <c r="O50" s="483"/>
      <c r="P50" s="482">
        <v>37203</v>
      </c>
      <c r="Q50" s="485" t="s">
        <v>650</v>
      </c>
      <c r="R50" s="482">
        <v>22419624</v>
      </c>
      <c r="S50" s="485" t="s">
        <v>650</v>
      </c>
    </row>
    <row r="51" spans="1:19" x14ac:dyDescent="0.25">
      <c r="A51" s="475">
        <v>1991</v>
      </c>
      <c r="B51" s="487"/>
      <c r="C51" s="479" t="s">
        <v>302</v>
      </c>
      <c r="D51" s="476">
        <v>620324</v>
      </c>
      <c r="E51" s="477"/>
      <c r="F51" s="476">
        <v>21374408</v>
      </c>
      <c r="G51" s="479" t="s">
        <v>650</v>
      </c>
      <c r="H51" s="476">
        <v>21994732</v>
      </c>
      <c r="I51" s="479" t="s">
        <v>650</v>
      </c>
      <c r="J51" s="476">
        <v>70095</v>
      </c>
      <c r="K51" s="479" t="s">
        <v>650</v>
      </c>
      <c r="L51" s="476">
        <v>22064827</v>
      </c>
      <c r="M51" s="479" t="s">
        <v>650</v>
      </c>
      <c r="N51" s="476">
        <v>16236</v>
      </c>
      <c r="O51" s="477"/>
      <c r="P51" s="476">
        <v>36924</v>
      </c>
      <c r="Q51" s="479" t="s">
        <v>650</v>
      </c>
      <c r="R51" s="476">
        <v>22117987</v>
      </c>
      <c r="S51" s="479" t="s">
        <v>650</v>
      </c>
    </row>
    <row r="52" spans="1:19" x14ac:dyDescent="0.25">
      <c r="A52" s="475">
        <v>1992</v>
      </c>
      <c r="B52" s="487"/>
      <c r="C52" s="479" t="s">
        <v>302</v>
      </c>
      <c r="D52" s="476">
        <v>608106</v>
      </c>
      <c r="E52" s="477"/>
      <c r="F52" s="476">
        <v>21674902</v>
      </c>
      <c r="G52" s="479" t="s">
        <v>650</v>
      </c>
      <c r="H52" s="476">
        <v>22283009</v>
      </c>
      <c r="I52" s="479" t="s">
        <v>650</v>
      </c>
      <c r="J52" s="476">
        <v>79746</v>
      </c>
      <c r="K52" s="479" t="s">
        <v>650</v>
      </c>
      <c r="L52" s="476">
        <v>22362755</v>
      </c>
      <c r="M52" s="479" t="s">
        <v>650</v>
      </c>
      <c r="N52" s="476">
        <v>16056</v>
      </c>
      <c r="O52" s="477"/>
      <c r="P52" s="476">
        <v>36262</v>
      </c>
      <c r="Q52" s="479" t="s">
        <v>650</v>
      </c>
      <c r="R52" s="476">
        <v>22415073</v>
      </c>
      <c r="S52" s="479" t="s">
        <v>650</v>
      </c>
    </row>
    <row r="53" spans="1:19" x14ac:dyDescent="0.25">
      <c r="A53" s="481">
        <v>1993</v>
      </c>
      <c r="B53" s="484"/>
      <c r="C53" s="485" t="s">
        <v>302</v>
      </c>
      <c r="D53" s="482">
        <v>644729</v>
      </c>
      <c r="E53" s="483"/>
      <c r="F53" s="482">
        <v>21976713</v>
      </c>
      <c r="G53" s="485" t="s">
        <v>650</v>
      </c>
      <c r="H53" s="482">
        <v>22621441</v>
      </c>
      <c r="I53" s="485" t="s">
        <v>650</v>
      </c>
      <c r="J53" s="482">
        <v>93660</v>
      </c>
      <c r="K53" s="485" t="s">
        <v>650</v>
      </c>
      <c r="L53" s="482">
        <v>22715102</v>
      </c>
      <c r="M53" s="485" t="s">
        <v>650</v>
      </c>
      <c r="N53" s="482">
        <v>16278</v>
      </c>
      <c r="O53" s="483"/>
      <c r="P53" s="482">
        <v>36820</v>
      </c>
      <c r="Q53" s="485" t="s">
        <v>650</v>
      </c>
      <c r="R53" s="482">
        <v>22768200</v>
      </c>
      <c r="S53" s="485" t="s">
        <v>650</v>
      </c>
    </row>
    <row r="54" spans="1:19" x14ac:dyDescent="0.25">
      <c r="A54" s="475">
        <v>1994</v>
      </c>
      <c r="B54" s="487"/>
      <c r="C54" s="479" t="s">
        <v>302</v>
      </c>
      <c r="D54" s="476">
        <v>708538</v>
      </c>
      <c r="E54" s="477"/>
      <c r="F54" s="476">
        <v>22497345</v>
      </c>
      <c r="G54" s="479" t="s">
        <v>650</v>
      </c>
      <c r="H54" s="476">
        <v>23205882</v>
      </c>
      <c r="I54" s="479" t="s">
        <v>650</v>
      </c>
      <c r="J54" s="476">
        <v>104840</v>
      </c>
      <c r="K54" s="479" t="s">
        <v>650</v>
      </c>
      <c r="L54" s="476">
        <v>23310722</v>
      </c>
      <c r="M54" s="479" t="s">
        <v>650</v>
      </c>
      <c r="N54" s="476">
        <v>17040</v>
      </c>
      <c r="O54" s="477"/>
      <c r="P54" s="476">
        <v>38098</v>
      </c>
      <c r="Q54" s="479" t="s">
        <v>650</v>
      </c>
      <c r="R54" s="476">
        <v>23365861</v>
      </c>
      <c r="S54" s="479" t="s">
        <v>650</v>
      </c>
    </row>
    <row r="55" spans="1:19" x14ac:dyDescent="0.25">
      <c r="A55" s="475">
        <v>1995</v>
      </c>
      <c r="B55" s="487"/>
      <c r="C55" s="479" t="s">
        <v>302</v>
      </c>
      <c r="D55" s="476">
        <v>723953</v>
      </c>
      <c r="E55" s="477"/>
      <c r="F55" s="476">
        <v>22954616</v>
      </c>
      <c r="G55" s="479" t="s">
        <v>650</v>
      </c>
      <c r="H55" s="476">
        <v>23678569</v>
      </c>
      <c r="I55" s="479" t="s">
        <v>650</v>
      </c>
      <c r="J55" s="476">
        <v>112490</v>
      </c>
      <c r="K55" s="479" t="s">
        <v>650</v>
      </c>
      <c r="L55" s="476">
        <v>23791058</v>
      </c>
      <c r="M55" s="479" t="s">
        <v>650</v>
      </c>
      <c r="N55" s="476">
        <v>16973</v>
      </c>
      <c r="O55" s="477"/>
      <c r="P55" s="476">
        <v>38296</v>
      </c>
      <c r="Q55" s="479" t="s">
        <v>650</v>
      </c>
      <c r="R55" s="476">
        <v>23846327</v>
      </c>
      <c r="S55" s="479" t="s">
        <v>650</v>
      </c>
    </row>
    <row r="56" spans="1:19" x14ac:dyDescent="0.25">
      <c r="A56" s="481">
        <v>1996</v>
      </c>
      <c r="B56" s="484"/>
      <c r="C56" s="485" t="s">
        <v>302</v>
      </c>
      <c r="D56" s="482">
        <v>736886</v>
      </c>
      <c r="E56" s="483"/>
      <c r="F56" s="482">
        <v>23565068</v>
      </c>
      <c r="G56" s="485" t="s">
        <v>650</v>
      </c>
      <c r="H56" s="482">
        <v>24301954</v>
      </c>
      <c r="I56" s="485" t="s">
        <v>650</v>
      </c>
      <c r="J56" s="482">
        <v>80661</v>
      </c>
      <c r="K56" s="485" t="s">
        <v>650</v>
      </c>
      <c r="L56" s="482">
        <v>24382614</v>
      </c>
      <c r="M56" s="485" t="s">
        <v>650</v>
      </c>
      <c r="N56" s="482">
        <v>16797</v>
      </c>
      <c r="O56" s="483"/>
      <c r="P56" s="482">
        <v>37946</v>
      </c>
      <c r="Q56" s="485" t="s">
        <v>650</v>
      </c>
      <c r="R56" s="482">
        <v>24437357</v>
      </c>
      <c r="S56" s="485" t="s">
        <v>650</v>
      </c>
    </row>
    <row r="57" spans="1:19" x14ac:dyDescent="0.25">
      <c r="A57" s="475">
        <v>1997</v>
      </c>
      <c r="B57" s="487"/>
      <c r="C57" s="479" t="s">
        <v>302</v>
      </c>
      <c r="D57" s="476">
        <v>780313</v>
      </c>
      <c r="E57" s="477"/>
      <c r="F57" s="476">
        <v>23812891</v>
      </c>
      <c r="G57" s="479" t="s">
        <v>650</v>
      </c>
      <c r="H57" s="476">
        <v>24593204</v>
      </c>
      <c r="I57" s="479" t="s">
        <v>650</v>
      </c>
      <c r="J57" s="476">
        <v>101966</v>
      </c>
      <c r="K57" s="479" t="s">
        <v>650</v>
      </c>
      <c r="L57" s="476">
        <v>24695170</v>
      </c>
      <c r="M57" s="479" t="s">
        <v>650</v>
      </c>
      <c r="N57" s="476">
        <v>16744</v>
      </c>
      <c r="O57" s="477"/>
      <c r="P57" s="476">
        <v>37681</v>
      </c>
      <c r="Q57" s="479" t="s">
        <v>650</v>
      </c>
      <c r="R57" s="476">
        <v>24749594</v>
      </c>
      <c r="S57" s="479" t="s">
        <v>650</v>
      </c>
    </row>
    <row r="58" spans="1:19" x14ac:dyDescent="0.25">
      <c r="A58" s="475">
        <v>1998</v>
      </c>
      <c r="B58" s="487"/>
      <c r="C58" s="479" t="s">
        <v>302</v>
      </c>
      <c r="D58" s="476">
        <v>666097</v>
      </c>
      <c r="E58" s="477"/>
      <c r="F58" s="476">
        <v>24422167</v>
      </c>
      <c r="G58" s="479" t="s">
        <v>650</v>
      </c>
      <c r="H58" s="476">
        <v>25088264</v>
      </c>
      <c r="I58" s="479" t="s">
        <v>650</v>
      </c>
      <c r="J58" s="476">
        <v>112843</v>
      </c>
      <c r="K58" s="479" t="s">
        <v>650</v>
      </c>
      <c r="L58" s="476">
        <v>25201107</v>
      </c>
      <c r="M58" s="479" t="s">
        <v>650</v>
      </c>
      <c r="N58" s="476">
        <v>16929</v>
      </c>
      <c r="O58" s="477"/>
      <c r="P58" s="476">
        <v>38133</v>
      </c>
      <c r="Q58" s="479" t="s">
        <v>650</v>
      </c>
      <c r="R58" s="476">
        <v>25256169</v>
      </c>
      <c r="S58" s="479" t="s">
        <v>650</v>
      </c>
    </row>
    <row r="59" spans="1:19" x14ac:dyDescent="0.25">
      <c r="A59" s="481">
        <v>1999</v>
      </c>
      <c r="B59" s="484"/>
      <c r="C59" s="485" t="s">
        <v>302</v>
      </c>
      <c r="D59" s="482">
        <v>675335</v>
      </c>
      <c r="E59" s="483"/>
      <c r="F59" s="482">
        <v>25098194</v>
      </c>
      <c r="G59" s="485" t="s">
        <v>650</v>
      </c>
      <c r="H59" s="482">
        <v>25773529</v>
      </c>
      <c r="I59" s="485" t="s">
        <v>650</v>
      </c>
      <c r="J59" s="482">
        <v>117795</v>
      </c>
      <c r="K59" s="485" t="s">
        <v>650</v>
      </c>
      <c r="L59" s="482">
        <v>25891325</v>
      </c>
      <c r="M59" s="485" t="s">
        <v>650</v>
      </c>
      <c r="N59" s="482">
        <v>17491</v>
      </c>
      <c r="O59" s="483"/>
      <c r="P59" s="482">
        <v>39738</v>
      </c>
      <c r="Q59" s="485" t="s">
        <v>650</v>
      </c>
      <c r="R59" s="482">
        <v>25948553</v>
      </c>
      <c r="S59" s="485" t="s">
        <v>650</v>
      </c>
    </row>
    <row r="60" spans="1:19" x14ac:dyDescent="0.25">
      <c r="A60" s="475">
        <v>2000</v>
      </c>
      <c r="B60" s="487"/>
      <c r="C60" s="479" t="s">
        <v>302</v>
      </c>
      <c r="D60" s="476">
        <v>671991</v>
      </c>
      <c r="E60" s="477"/>
      <c r="F60" s="476">
        <v>25681648</v>
      </c>
      <c r="G60" s="479" t="s">
        <v>650</v>
      </c>
      <c r="H60" s="476">
        <v>26353639</v>
      </c>
      <c r="I60" s="479" t="s">
        <v>650</v>
      </c>
      <c r="J60" s="476">
        <v>134887</v>
      </c>
      <c r="K60" s="479" t="s">
        <v>650</v>
      </c>
      <c r="L60" s="476">
        <v>26488526</v>
      </c>
      <c r="M60" s="479" t="s">
        <v>650</v>
      </c>
      <c r="N60" s="476">
        <v>18363</v>
      </c>
      <c r="O60" s="477"/>
      <c r="P60" s="476">
        <v>41507</v>
      </c>
      <c r="Q60" s="479" t="s">
        <v>650</v>
      </c>
      <c r="R60" s="476">
        <v>26548396</v>
      </c>
      <c r="S60" s="479" t="s">
        <v>650</v>
      </c>
    </row>
    <row r="61" spans="1:19" x14ac:dyDescent="0.25">
      <c r="A61" s="475">
        <v>2001</v>
      </c>
      <c r="B61" s="487"/>
      <c r="C61" s="479" t="s">
        <v>302</v>
      </c>
      <c r="D61" s="476">
        <v>658046</v>
      </c>
      <c r="E61" s="477"/>
      <c r="F61" s="476">
        <v>25412351</v>
      </c>
      <c r="G61" s="479" t="s">
        <v>650</v>
      </c>
      <c r="H61" s="476">
        <v>26070397</v>
      </c>
      <c r="I61" s="479" t="s">
        <v>650</v>
      </c>
      <c r="J61" s="476">
        <v>142125</v>
      </c>
      <c r="K61" s="479" t="s">
        <v>650</v>
      </c>
      <c r="L61" s="476">
        <v>26212522</v>
      </c>
      <c r="M61" s="479" t="s">
        <v>650</v>
      </c>
      <c r="N61" s="476">
        <v>19531</v>
      </c>
      <c r="O61" s="477"/>
      <c r="P61" s="476">
        <v>43228</v>
      </c>
      <c r="Q61" s="479" t="s">
        <v>650</v>
      </c>
      <c r="R61" s="476">
        <v>26275281</v>
      </c>
      <c r="S61" s="479" t="s">
        <v>650</v>
      </c>
    </row>
    <row r="62" spans="1:19" x14ac:dyDescent="0.25">
      <c r="A62" s="481">
        <v>2002</v>
      </c>
      <c r="B62" s="484"/>
      <c r="C62" s="485" t="s">
        <v>302</v>
      </c>
      <c r="D62" s="482">
        <v>701644</v>
      </c>
      <c r="E62" s="483"/>
      <c r="F62" s="482">
        <v>25912704</v>
      </c>
      <c r="G62" s="485" t="s">
        <v>650</v>
      </c>
      <c r="H62" s="482">
        <v>26614348</v>
      </c>
      <c r="I62" s="485" t="s">
        <v>650</v>
      </c>
      <c r="J62" s="482">
        <v>169650</v>
      </c>
      <c r="K62" s="485" t="s">
        <v>650</v>
      </c>
      <c r="L62" s="482">
        <v>26783999</v>
      </c>
      <c r="M62" s="485" t="s">
        <v>650</v>
      </c>
      <c r="N62" s="482">
        <v>18825</v>
      </c>
      <c r="O62" s="483"/>
      <c r="P62" s="482">
        <v>41699</v>
      </c>
      <c r="Q62" s="485" t="s">
        <v>650</v>
      </c>
      <c r="R62" s="482">
        <v>26844522</v>
      </c>
      <c r="S62" s="485" t="s">
        <v>650</v>
      </c>
    </row>
    <row r="63" spans="1:19" x14ac:dyDescent="0.25">
      <c r="A63" s="475">
        <v>2003</v>
      </c>
      <c r="B63" s="487"/>
      <c r="C63" s="479" t="s">
        <v>302</v>
      </c>
      <c r="D63" s="476">
        <v>627446</v>
      </c>
      <c r="E63" s="477"/>
      <c r="F63" s="476">
        <v>26062607</v>
      </c>
      <c r="G63" s="479" t="s">
        <v>650</v>
      </c>
      <c r="H63" s="476">
        <v>26690053</v>
      </c>
      <c r="I63" s="479" t="s">
        <v>650</v>
      </c>
      <c r="J63" s="476">
        <v>229813</v>
      </c>
      <c r="K63" s="479" t="s">
        <v>650</v>
      </c>
      <c r="L63" s="476">
        <v>26919866</v>
      </c>
      <c r="M63" s="479" t="s">
        <v>650</v>
      </c>
      <c r="N63" s="476">
        <v>23235</v>
      </c>
      <c r="O63" s="477"/>
      <c r="P63" s="476">
        <v>50953</v>
      </c>
      <c r="Q63" s="479" t="s">
        <v>650</v>
      </c>
      <c r="R63" s="476">
        <v>26994054</v>
      </c>
      <c r="S63" s="479" t="s">
        <v>650</v>
      </c>
    </row>
    <row r="64" spans="1:19" x14ac:dyDescent="0.25">
      <c r="A64" s="475">
        <v>2004</v>
      </c>
      <c r="B64" s="487"/>
      <c r="C64" s="479" t="s">
        <v>302</v>
      </c>
      <c r="D64" s="476">
        <v>601955</v>
      </c>
      <c r="E64" s="477"/>
      <c r="F64" s="476">
        <v>26924961</v>
      </c>
      <c r="G64" s="479" t="s">
        <v>650</v>
      </c>
      <c r="H64" s="476">
        <v>27526916</v>
      </c>
      <c r="I64" s="479" t="s">
        <v>650</v>
      </c>
      <c r="J64" s="476">
        <v>289720</v>
      </c>
      <c r="K64" s="479" t="s">
        <v>650</v>
      </c>
      <c r="L64" s="476">
        <v>27816636</v>
      </c>
      <c r="M64" s="479" t="s">
        <v>650</v>
      </c>
      <c r="N64" s="476">
        <v>24647</v>
      </c>
      <c r="O64" s="477"/>
      <c r="P64" s="476">
        <v>54184</v>
      </c>
      <c r="Q64" s="479" t="s">
        <v>650</v>
      </c>
      <c r="R64" s="476">
        <v>27895467</v>
      </c>
      <c r="S64" s="479" t="s">
        <v>650</v>
      </c>
    </row>
    <row r="65" spans="1:20" x14ac:dyDescent="0.25">
      <c r="A65" s="481">
        <v>2005</v>
      </c>
      <c r="B65" s="484"/>
      <c r="C65" s="485" t="s">
        <v>302</v>
      </c>
      <c r="D65" s="482">
        <v>623903</v>
      </c>
      <c r="E65" s="483"/>
      <c r="F65" s="482">
        <v>27308807</v>
      </c>
      <c r="G65" s="485" t="s">
        <v>650</v>
      </c>
      <c r="H65" s="482">
        <v>27932710</v>
      </c>
      <c r="I65" s="485" t="s">
        <v>650</v>
      </c>
      <c r="J65" s="482">
        <v>339015</v>
      </c>
      <c r="K65" s="485" t="s">
        <v>650</v>
      </c>
      <c r="L65" s="482">
        <v>28271726</v>
      </c>
      <c r="M65" s="485" t="s">
        <v>650</v>
      </c>
      <c r="N65" s="482">
        <v>25612</v>
      </c>
      <c r="O65" s="483"/>
      <c r="P65" s="482">
        <v>55661</v>
      </c>
      <c r="Q65" s="485" t="s">
        <v>650</v>
      </c>
      <c r="R65" s="482">
        <v>28352998</v>
      </c>
      <c r="S65" s="485" t="s">
        <v>650</v>
      </c>
    </row>
    <row r="66" spans="1:20" x14ac:dyDescent="0.25">
      <c r="A66" s="475">
        <v>2006</v>
      </c>
      <c r="B66" s="487"/>
      <c r="C66" s="479" t="s">
        <v>302</v>
      </c>
      <c r="D66" s="476">
        <v>624975</v>
      </c>
      <c r="E66" s="477"/>
      <c r="F66" s="476">
        <v>27650867</v>
      </c>
      <c r="G66" s="479" t="s">
        <v>650</v>
      </c>
      <c r="H66" s="476">
        <v>28275842</v>
      </c>
      <c r="I66" s="479" t="s">
        <v>650</v>
      </c>
      <c r="J66" s="476">
        <v>474951</v>
      </c>
      <c r="K66" s="479" t="s">
        <v>650</v>
      </c>
      <c r="L66" s="476">
        <v>28750793</v>
      </c>
      <c r="M66" s="479" t="s">
        <v>650</v>
      </c>
      <c r="N66" s="476">
        <v>25104</v>
      </c>
      <c r="O66" s="477"/>
      <c r="P66" s="476">
        <v>53943</v>
      </c>
      <c r="Q66" s="479" t="s">
        <v>650</v>
      </c>
      <c r="R66" s="476">
        <v>28829840</v>
      </c>
      <c r="S66" s="479" t="s">
        <v>650</v>
      </c>
    </row>
    <row r="67" spans="1:20" x14ac:dyDescent="0.25">
      <c r="A67" s="475">
        <v>2007</v>
      </c>
      <c r="B67" s="487"/>
      <c r="C67" s="479" t="s">
        <v>302</v>
      </c>
      <c r="D67" s="476">
        <v>665401</v>
      </c>
      <c r="E67" s="477"/>
      <c r="F67" s="476">
        <v>27763173</v>
      </c>
      <c r="G67" s="479" t="s">
        <v>650</v>
      </c>
      <c r="H67" s="476">
        <v>28428573</v>
      </c>
      <c r="I67" s="479" t="s">
        <v>650</v>
      </c>
      <c r="J67" s="476">
        <v>602490</v>
      </c>
      <c r="K67" s="479" t="s">
        <v>650</v>
      </c>
      <c r="L67" s="476">
        <v>29031063</v>
      </c>
      <c r="M67" s="479" t="s">
        <v>650</v>
      </c>
      <c r="N67" s="476">
        <v>27885</v>
      </c>
      <c r="O67" s="477"/>
      <c r="P67" s="476">
        <v>59770</v>
      </c>
      <c r="Q67" s="479" t="s">
        <v>650</v>
      </c>
      <c r="R67" s="476">
        <v>29118718</v>
      </c>
      <c r="S67" s="479" t="s">
        <v>650</v>
      </c>
    </row>
    <row r="68" spans="1:20" x14ac:dyDescent="0.25">
      <c r="A68" s="481">
        <v>2008</v>
      </c>
      <c r="B68" s="484"/>
      <c r="C68" s="485" t="s">
        <v>302</v>
      </c>
      <c r="D68" s="482">
        <v>692134</v>
      </c>
      <c r="E68" s="485" t="s">
        <v>650</v>
      </c>
      <c r="F68" s="482">
        <v>26407101</v>
      </c>
      <c r="G68" s="485" t="s">
        <v>650</v>
      </c>
      <c r="H68" s="482">
        <v>27099235</v>
      </c>
      <c r="I68" s="485" t="s">
        <v>650</v>
      </c>
      <c r="J68" s="482">
        <v>826138</v>
      </c>
      <c r="K68" s="485" t="s">
        <v>650</v>
      </c>
      <c r="L68" s="482">
        <v>27925373</v>
      </c>
      <c r="M68" s="485" t="s">
        <v>650</v>
      </c>
      <c r="N68" s="482">
        <v>26271</v>
      </c>
      <c r="O68" s="483"/>
      <c r="P68" s="482">
        <v>56189</v>
      </c>
      <c r="Q68" s="485" t="s">
        <v>650</v>
      </c>
      <c r="R68" s="482">
        <v>28007833</v>
      </c>
      <c r="S68" s="485" t="s">
        <v>650</v>
      </c>
    </row>
    <row r="69" spans="1:20" x14ac:dyDescent="0.25">
      <c r="A69" s="475">
        <v>2009</v>
      </c>
      <c r="B69" s="487"/>
      <c r="C69" s="479" t="s">
        <v>302</v>
      </c>
      <c r="D69" s="476">
        <v>643051</v>
      </c>
      <c r="E69" s="479" t="s">
        <v>650</v>
      </c>
      <c r="F69" s="476">
        <v>25338745</v>
      </c>
      <c r="G69" s="479" t="s">
        <v>650</v>
      </c>
      <c r="H69" s="476">
        <v>25981796</v>
      </c>
      <c r="I69" s="479" t="s">
        <v>650</v>
      </c>
      <c r="J69" s="476">
        <v>934253</v>
      </c>
      <c r="K69" s="479" t="s">
        <v>650</v>
      </c>
      <c r="L69" s="476">
        <v>26916048</v>
      </c>
      <c r="M69" s="479" t="s">
        <v>650</v>
      </c>
      <c r="N69" s="476">
        <v>26547</v>
      </c>
      <c r="O69" s="479" t="s">
        <v>650</v>
      </c>
      <c r="P69" s="476">
        <v>55819</v>
      </c>
      <c r="Q69" s="479" t="s">
        <v>650</v>
      </c>
      <c r="R69" s="476">
        <v>26998415</v>
      </c>
      <c r="S69" s="479" t="s">
        <v>650</v>
      </c>
    </row>
    <row r="70" spans="1:20" x14ac:dyDescent="0.25">
      <c r="A70" s="475" t="s">
        <v>819</v>
      </c>
      <c r="B70" s="487"/>
      <c r="C70" s="479" t="s">
        <v>302</v>
      </c>
      <c r="D70" s="476">
        <v>681581</v>
      </c>
      <c r="E70" s="477"/>
      <c r="F70" s="476">
        <v>25645620</v>
      </c>
      <c r="G70" s="477"/>
      <c r="H70" s="476">
        <v>26327201</v>
      </c>
      <c r="I70" s="477"/>
      <c r="J70" s="476">
        <v>1097993</v>
      </c>
      <c r="K70" s="477"/>
      <c r="L70" s="476">
        <v>27425194</v>
      </c>
      <c r="M70" s="477"/>
      <c r="N70" s="476">
        <v>26408</v>
      </c>
      <c r="O70" s="477"/>
      <c r="P70" s="476">
        <v>55280</v>
      </c>
      <c r="Q70" s="477"/>
      <c r="R70" s="476">
        <v>27506882</v>
      </c>
      <c r="S70" s="477"/>
      <c r="T70" s="490">
        <f>R70/R69</f>
        <v>1.0188332166906835</v>
      </c>
    </row>
    <row r="71" spans="1:20" x14ac:dyDescent="0.25">
      <c r="A71" s="862" t="s">
        <v>848</v>
      </c>
      <c r="B71" s="863"/>
      <c r="C71" s="863"/>
      <c r="D71" s="863"/>
      <c r="E71" s="863"/>
      <c r="F71" s="863"/>
      <c r="G71" s="863"/>
      <c r="H71" s="863"/>
      <c r="I71" s="863"/>
      <c r="J71" s="863" t="s">
        <v>849</v>
      </c>
      <c r="K71" s="863"/>
      <c r="L71" s="863"/>
      <c r="M71" s="863"/>
      <c r="N71" s="863"/>
      <c r="O71" s="863"/>
      <c r="P71" s="863"/>
      <c r="Q71" s="863"/>
      <c r="R71" s="863"/>
      <c r="S71" s="864"/>
    </row>
    <row r="72" spans="1:20" x14ac:dyDescent="0.25">
      <c r="A72" s="850"/>
      <c r="B72" s="851"/>
      <c r="C72" s="851"/>
      <c r="D72" s="851"/>
      <c r="E72" s="851"/>
      <c r="F72" s="851"/>
      <c r="G72" s="851"/>
      <c r="H72" s="851"/>
      <c r="I72" s="851"/>
      <c r="J72" s="844" t="s">
        <v>850</v>
      </c>
      <c r="K72" s="844"/>
      <c r="L72" s="844"/>
      <c r="M72" s="844"/>
      <c r="N72" s="844"/>
      <c r="O72" s="844"/>
      <c r="P72" s="844"/>
      <c r="Q72" s="844"/>
      <c r="R72" s="844"/>
      <c r="S72" s="845"/>
    </row>
    <row r="73" spans="1:20" x14ac:dyDescent="0.25">
      <c r="A73" s="850" t="s">
        <v>851</v>
      </c>
      <c r="B73" s="851"/>
      <c r="C73" s="851"/>
      <c r="D73" s="851"/>
      <c r="E73" s="851"/>
      <c r="F73" s="851"/>
      <c r="G73" s="851"/>
      <c r="H73" s="851"/>
      <c r="I73" s="851"/>
      <c r="J73" s="860" t="s">
        <v>852</v>
      </c>
      <c r="K73" s="860"/>
      <c r="L73" s="860"/>
      <c r="M73" s="860"/>
      <c r="N73" s="860"/>
      <c r="O73" s="860"/>
      <c r="P73" s="860"/>
      <c r="Q73" s="860"/>
      <c r="R73" s="860"/>
      <c r="S73" s="861"/>
    </row>
    <row r="74" spans="1:20" x14ac:dyDescent="0.25">
      <c r="A74" s="850"/>
      <c r="B74" s="851"/>
      <c r="C74" s="851"/>
      <c r="D74" s="851"/>
      <c r="E74" s="851"/>
      <c r="F74" s="851"/>
      <c r="G74" s="851"/>
      <c r="H74" s="851"/>
      <c r="I74" s="851"/>
      <c r="J74" s="844" t="s">
        <v>853</v>
      </c>
      <c r="K74" s="844"/>
      <c r="L74" s="844"/>
      <c r="M74" s="844"/>
      <c r="N74" s="844"/>
      <c r="O74" s="844"/>
      <c r="P74" s="844"/>
      <c r="Q74" s="844"/>
      <c r="R74" s="844"/>
      <c r="S74" s="845"/>
    </row>
    <row r="75" spans="1:20" x14ac:dyDescent="0.25">
      <c r="A75" s="850"/>
      <c r="B75" s="851"/>
      <c r="C75" s="851"/>
      <c r="D75" s="851"/>
      <c r="E75" s="851"/>
      <c r="F75" s="851"/>
      <c r="G75" s="851"/>
      <c r="H75" s="851"/>
      <c r="I75" s="851"/>
      <c r="J75" s="844" t="s">
        <v>854</v>
      </c>
      <c r="K75" s="844"/>
      <c r="L75" s="844"/>
      <c r="M75" s="844"/>
      <c r="N75" s="844"/>
      <c r="O75" s="844"/>
      <c r="P75" s="844"/>
      <c r="Q75" s="844"/>
      <c r="R75" s="844"/>
      <c r="S75" s="845"/>
    </row>
    <row r="76" spans="1:20" x14ac:dyDescent="0.25">
      <c r="A76" s="850"/>
      <c r="B76" s="851"/>
      <c r="C76" s="851"/>
      <c r="D76" s="851"/>
      <c r="E76" s="851"/>
      <c r="F76" s="851"/>
      <c r="G76" s="851"/>
      <c r="H76" s="851"/>
      <c r="I76" s="851"/>
      <c r="J76" s="844" t="s">
        <v>623</v>
      </c>
      <c r="K76" s="844"/>
      <c r="L76" s="844"/>
      <c r="M76" s="844"/>
      <c r="N76" s="844"/>
      <c r="O76" s="844"/>
      <c r="P76" s="844"/>
      <c r="Q76" s="844"/>
      <c r="R76" s="844"/>
      <c r="S76" s="845"/>
    </row>
    <row r="77" spans="1:20" x14ac:dyDescent="0.25">
      <c r="A77" s="850" t="s">
        <v>855</v>
      </c>
      <c r="B77" s="851"/>
      <c r="C77" s="851"/>
      <c r="D77" s="851"/>
      <c r="E77" s="851"/>
      <c r="F77" s="851"/>
      <c r="G77" s="851"/>
      <c r="H77" s="851"/>
      <c r="I77" s="851"/>
      <c r="J77" s="860" t="s">
        <v>856</v>
      </c>
      <c r="K77" s="860"/>
      <c r="L77" s="860"/>
      <c r="M77" s="860"/>
      <c r="N77" s="860"/>
      <c r="O77" s="860"/>
      <c r="P77" s="860"/>
      <c r="Q77" s="860"/>
      <c r="R77" s="860"/>
      <c r="S77" s="861"/>
    </row>
    <row r="78" spans="1:20" x14ac:dyDescent="0.25">
      <c r="A78" s="865" t="s">
        <v>857</v>
      </c>
      <c r="B78" s="866"/>
      <c r="C78" s="866"/>
      <c r="D78" s="866"/>
      <c r="E78" s="866"/>
      <c r="F78" s="866"/>
      <c r="G78" s="866"/>
      <c r="H78" s="866"/>
      <c r="I78" s="866"/>
      <c r="J78" s="844" t="s">
        <v>858</v>
      </c>
      <c r="K78" s="844"/>
      <c r="L78" s="844"/>
      <c r="M78" s="844"/>
      <c r="N78" s="844"/>
      <c r="O78" s="844"/>
      <c r="P78" s="844"/>
      <c r="Q78" s="844"/>
      <c r="R78" s="844"/>
      <c r="S78" s="845"/>
    </row>
    <row r="79" spans="1:20" x14ac:dyDescent="0.25">
      <c r="A79" s="865" t="s">
        <v>859</v>
      </c>
      <c r="B79" s="866"/>
      <c r="C79" s="866"/>
      <c r="D79" s="866"/>
      <c r="E79" s="866"/>
      <c r="F79" s="866"/>
      <c r="G79" s="866"/>
      <c r="H79" s="866"/>
      <c r="I79" s="866"/>
      <c r="J79" s="844"/>
      <c r="K79" s="844"/>
      <c r="L79" s="844"/>
      <c r="M79" s="844"/>
      <c r="N79" s="844"/>
      <c r="O79" s="844"/>
      <c r="P79" s="844"/>
      <c r="Q79" s="844"/>
      <c r="R79" s="844"/>
      <c r="S79" s="845"/>
    </row>
    <row r="80" spans="1:20" x14ac:dyDescent="0.25">
      <c r="A80" s="850" t="s">
        <v>860</v>
      </c>
      <c r="B80" s="851"/>
      <c r="C80" s="851"/>
      <c r="D80" s="851"/>
      <c r="E80" s="851"/>
      <c r="F80" s="851"/>
      <c r="G80" s="851"/>
      <c r="H80" s="851"/>
      <c r="I80" s="851"/>
      <c r="J80" s="844" t="s">
        <v>861</v>
      </c>
      <c r="K80" s="844"/>
      <c r="L80" s="844"/>
      <c r="M80" s="844"/>
      <c r="N80" s="844"/>
      <c r="O80" s="844"/>
      <c r="P80" s="844"/>
      <c r="Q80" s="844"/>
      <c r="R80" s="844"/>
      <c r="S80" s="845"/>
    </row>
    <row r="81" spans="1:19" x14ac:dyDescent="0.25">
      <c r="A81" s="865" t="s">
        <v>862</v>
      </c>
      <c r="B81" s="866"/>
      <c r="C81" s="866"/>
      <c r="D81" s="866"/>
      <c r="E81" s="866"/>
      <c r="F81" s="866"/>
      <c r="G81" s="866"/>
      <c r="H81" s="866"/>
      <c r="I81" s="866"/>
      <c r="J81" s="844"/>
      <c r="K81" s="844"/>
      <c r="L81" s="844"/>
      <c r="M81" s="844"/>
      <c r="N81" s="844"/>
      <c r="O81" s="844"/>
      <c r="P81" s="844"/>
      <c r="Q81" s="844"/>
      <c r="R81" s="844"/>
      <c r="S81" s="845"/>
    </row>
    <row r="82" spans="1:19" x14ac:dyDescent="0.25">
      <c r="A82" s="865" t="s">
        <v>863</v>
      </c>
      <c r="B82" s="866"/>
      <c r="C82" s="866"/>
      <c r="D82" s="866"/>
      <c r="E82" s="866"/>
      <c r="F82" s="866"/>
      <c r="G82" s="866"/>
      <c r="H82" s="866"/>
      <c r="I82" s="866"/>
      <c r="J82" s="844"/>
      <c r="K82" s="844"/>
      <c r="L82" s="844"/>
      <c r="M82" s="844"/>
      <c r="N82" s="844"/>
      <c r="O82" s="844"/>
      <c r="P82" s="844"/>
      <c r="Q82" s="844"/>
      <c r="R82" s="844"/>
      <c r="S82" s="845"/>
    </row>
    <row r="83" spans="1:19" x14ac:dyDescent="0.25">
      <c r="A83" s="850" t="s">
        <v>864</v>
      </c>
      <c r="B83" s="851"/>
      <c r="C83" s="851"/>
      <c r="D83" s="851"/>
      <c r="E83" s="851"/>
      <c r="F83" s="851"/>
      <c r="G83" s="851"/>
      <c r="H83" s="851"/>
      <c r="I83" s="851"/>
      <c r="J83" s="844" t="s">
        <v>865</v>
      </c>
      <c r="K83" s="844"/>
      <c r="L83" s="844"/>
      <c r="M83" s="844"/>
      <c r="N83" s="844"/>
      <c r="O83" s="844"/>
      <c r="P83" s="844"/>
      <c r="Q83" s="844"/>
      <c r="R83" s="844"/>
      <c r="S83" s="845"/>
    </row>
    <row r="84" spans="1:19" x14ac:dyDescent="0.25">
      <c r="A84" s="891" t="s">
        <v>866</v>
      </c>
      <c r="B84" s="892"/>
      <c r="C84" s="892"/>
      <c r="D84" s="892"/>
      <c r="E84" s="892"/>
      <c r="F84" s="892"/>
      <c r="G84" s="892"/>
      <c r="H84" s="892"/>
      <c r="I84" s="892"/>
      <c r="J84" s="857" t="s">
        <v>867</v>
      </c>
      <c r="K84" s="857"/>
      <c r="L84" s="857"/>
      <c r="M84" s="857"/>
      <c r="N84" s="857"/>
      <c r="O84" s="857"/>
      <c r="P84" s="857"/>
      <c r="Q84" s="857"/>
      <c r="R84" s="857"/>
      <c r="S84" s="893"/>
    </row>
  </sheetData>
  <mergeCells count="49">
    <mergeCell ref="A84:I84"/>
    <mergeCell ref="J84:S84"/>
    <mergeCell ref="A80:I80"/>
    <mergeCell ref="J80:S82"/>
    <mergeCell ref="A81:I81"/>
    <mergeCell ref="A82:I82"/>
    <mergeCell ref="A83:I83"/>
    <mergeCell ref="J83:S83"/>
    <mergeCell ref="A77:I77"/>
    <mergeCell ref="J77:S77"/>
    <mergeCell ref="A78:I78"/>
    <mergeCell ref="J78:S78"/>
    <mergeCell ref="A79:I79"/>
    <mergeCell ref="J79:S79"/>
    <mergeCell ref="A71:I72"/>
    <mergeCell ref="J71:S71"/>
    <mergeCell ref="J72:S72"/>
    <mergeCell ref="A73:I76"/>
    <mergeCell ref="J73:S73"/>
    <mergeCell ref="J74:S74"/>
    <mergeCell ref="J75:S75"/>
    <mergeCell ref="J76:S76"/>
    <mergeCell ref="L7:M7"/>
    <mergeCell ref="N7:O7"/>
    <mergeCell ref="P7:Q7"/>
    <mergeCell ref="B8:C8"/>
    <mergeCell ref="D8:E8"/>
    <mergeCell ref="F8:G8"/>
    <mergeCell ref="H8:I8"/>
    <mergeCell ref="J8:K8"/>
    <mergeCell ref="L8:M8"/>
    <mergeCell ref="N8:O8"/>
    <mergeCell ref="P8:Q8"/>
    <mergeCell ref="A1:S1"/>
    <mergeCell ref="A2:S2"/>
    <mergeCell ref="A3:A8"/>
    <mergeCell ref="B3:M5"/>
    <mergeCell ref="N3:O3"/>
    <mergeCell ref="P3:Q3"/>
    <mergeCell ref="R3:S8"/>
    <mergeCell ref="N4:O4"/>
    <mergeCell ref="P4:Q4"/>
    <mergeCell ref="N5:O5"/>
    <mergeCell ref="P5:Q5"/>
    <mergeCell ref="B6:I7"/>
    <mergeCell ref="J6:K7"/>
    <mergeCell ref="L6:M6"/>
    <mergeCell ref="N6:O6"/>
    <mergeCell ref="P6:Q6"/>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21"/>
  <sheetViews>
    <sheetView workbookViewId="0">
      <selection activeCell="E33" sqref="E33"/>
    </sheetView>
  </sheetViews>
  <sheetFormatPr defaultRowHeight="12.75" x14ac:dyDescent="0.2"/>
  <cols>
    <col min="12" max="13" width="0" hidden="1" customWidth="1"/>
  </cols>
  <sheetData>
    <row r="3" spans="3:13" x14ac:dyDescent="0.2">
      <c r="C3" s="127" t="s">
        <v>666</v>
      </c>
    </row>
    <row r="5" spans="3:13" x14ac:dyDescent="0.2">
      <c r="C5" s="6" t="s">
        <v>667</v>
      </c>
    </row>
    <row r="6" spans="3:13" x14ac:dyDescent="0.2">
      <c r="C6" t="s">
        <v>668</v>
      </c>
      <c r="F6" s="128">
        <v>1985</v>
      </c>
      <c r="L6" t="s">
        <v>680</v>
      </c>
      <c r="M6">
        <f>F6-1948</f>
        <v>37</v>
      </c>
    </row>
    <row r="7" spans="3:13" x14ac:dyDescent="0.2">
      <c r="C7" t="s">
        <v>155</v>
      </c>
      <c r="F7" s="177">
        <v>1996</v>
      </c>
      <c r="L7" t="s">
        <v>681</v>
      </c>
      <c r="M7">
        <f>F7-1948</f>
        <v>48</v>
      </c>
    </row>
    <row r="9" spans="3:13" hidden="1" x14ac:dyDescent="0.2">
      <c r="C9" t="s">
        <v>669</v>
      </c>
      <c r="E9" s="8" t="s">
        <v>768</v>
      </c>
      <c r="F9" s="8"/>
    </row>
    <row r="10" spans="3:13" hidden="1" x14ac:dyDescent="0.2">
      <c r="C10" t="s">
        <v>670</v>
      </c>
      <c r="F10" s="128"/>
    </row>
    <row r="11" spans="3:13" hidden="1" x14ac:dyDescent="0.2">
      <c r="C11" t="s">
        <v>154</v>
      </c>
      <c r="F11" s="128" t="s">
        <v>671</v>
      </c>
    </row>
    <row r="12" spans="3:13" hidden="1" x14ac:dyDescent="0.2">
      <c r="C12" t="s">
        <v>672</v>
      </c>
      <c r="F12" s="128"/>
    </row>
    <row r="13" spans="3:13" hidden="1" x14ac:dyDescent="0.2">
      <c r="C13" t="s">
        <v>673</v>
      </c>
      <c r="F13" s="128"/>
    </row>
    <row r="14" spans="3:13" hidden="1" x14ac:dyDescent="0.2">
      <c r="C14" t="s">
        <v>674</v>
      </c>
      <c r="F14" s="128"/>
    </row>
    <row r="15" spans="3:13" hidden="1" x14ac:dyDescent="0.2">
      <c r="C15" t="s">
        <v>675</v>
      </c>
      <c r="F15" s="128"/>
    </row>
    <row r="16" spans="3:13" hidden="1" x14ac:dyDescent="0.2">
      <c r="C16" t="s">
        <v>676</v>
      </c>
      <c r="E16" t="s">
        <v>677</v>
      </c>
      <c r="F16" t="s">
        <v>663</v>
      </c>
    </row>
    <row r="20" spans="3:6" x14ac:dyDescent="0.2">
      <c r="C20" t="s">
        <v>678</v>
      </c>
      <c r="F20" s="128">
        <v>1985</v>
      </c>
    </row>
    <row r="21" spans="3:6" x14ac:dyDescent="0.2">
      <c r="C21" t="s">
        <v>679</v>
      </c>
      <c r="F21" s="128">
        <v>2003</v>
      </c>
    </row>
  </sheetData>
  <phoneticPr fontId="0"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showGridLines="0" workbookViewId="0">
      <selection activeCell="R30" sqref="R30:R31"/>
    </sheetView>
  </sheetViews>
  <sheetFormatPr defaultRowHeight="12.75" x14ac:dyDescent="0.2"/>
  <cols>
    <col min="1" max="1" width="7.140625" style="582" customWidth="1"/>
    <col min="2" max="2" width="9.42578125" style="582" customWidth="1"/>
    <col min="3" max="3" width="2.85546875" style="582" customWidth="1"/>
    <col min="4" max="4" width="10.7109375" style="582" customWidth="1"/>
    <col min="5" max="5" width="4.28515625" style="582" customWidth="1"/>
    <col min="6" max="6" width="11.28515625" style="582" customWidth="1"/>
    <col min="7" max="7" width="3.5703125" style="582" customWidth="1"/>
    <col min="8" max="8" width="11.28515625" style="582" customWidth="1"/>
    <col min="9" max="9" width="3.5703125" style="582" customWidth="1"/>
    <col min="10" max="10" width="18.42578125" style="582" customWidth="1"/>
    <col min="11" max="11" width="7" style="582" customWidth="1"/>
    <col min="12" max="12" width="13.28515625" style="582" customWidth="1"/>
    <col min="13" max="13" width="3.85546875" style="582" customWidth="1"/>
    <col min="14" max="14" width="9.7109375" style="582" customWidth="1"/>
    <col min="15" max="15" width="4.28515625" style="582" customWidth="1"/>
    <col min="16" max="16" width="9.28515625" style="582" customWidth="1"/>
    <col min="17" max="17" width="3.85546875" style="582" customWidth="1"/>
    <col min="18" max="18" width="13.28515625" style="582" customWidth="1"/>
    <col min="19" max="19" width="3.85546875" style="582" customWidth="1"/>
    <col min="20" max="16384" width="9.140625" style="582"/>
  </cols>
  <sheetData>
    <row r="1" spans="1:19" ht="15.75" customHeight="1" x14ac:dyDescent="0.25">
      <c r="A1" s="894" t="s">
        <v>1006</v>
      </c>
      <c r="B1" s="895"/>
      <c r="C1" s="895"/>
      <c r="D1" s="895"/>
      <c r="E1" s="895"/>
      <c r="F1" s="895"/>
      <c r="G1" s="895"/>
      <c r="H1" s="895"/>
      <c r="I1" s="895"/>
      <c r="J1" s="895"/>
      <c r="K1" s="895"/>
      <c r="L1" s="895"/>
      <c r="M1" s="895"/>
      <c r="N1" s="895"/>
      <c r="O1" s="895"/>
      <c r="P1" s="895"/>
      <c r="Q1" s="895"/>
      <c r="R1" s="895"/>
      <c r="S1" s="896"/>
    </row>
    <row r="2" spans="1:19" ht="12.75" customHeight="1" x14ac:dyDescent="0.2">
      <c r="A2" s="897" t="s">
        <v>833</v>
      </c>
      <c r="B2" s="898"/>
      <c r="C2" s="898"/>
      <c r="D2" s="898"/>
      <c r="E2" s="898"/>
      <c r="F2" s="898"/>
      <c r="G2" s="898"/>
      <c r="H2" s="898"/>
      <c r="I2" s="898"/>
      <c r="J2" s="898"/>
      <c r="K2" s="898"/>
      <c r="L2" s="898"/>
      <c r="M2" s="898"/>
      <c r="N2" s="898"/>
      <c r="O2" s="898"/>
      <c r="P2" s="898"/>
      <c r="Q2" s="898"/>
      <c r="R2" s="898"/>
      <c r="S2" s="899"/>
    </row>
    <row r="3" spans="1:19" x14ac:dyDescent="0.2">
      <c r="A3" s="900" t="s">
        <v>310</v>
      </c>
      <c r="B3" s="903" t="s">
        <v>1007</v>
      </c>
      <c r="C3" s="904"/>
      <c r="D3" s="904"/>
      <c r="E3" s="904"/>
      <c r="F3" s="904"/>
      <c r="G3" s="904"/>
      <c r="H3" s="904"/>
      <c r="I3" s="904"/>
      <c r="J3" s="904"/>
      <c r="K3" s="904"/>
      <c r="L3" s="904"/>
      <c r="M3" s="905"/>
      <c r="N3" s="912"/>
      <c r="O3" s="913"/>
      <c r="P3" s="912"/>
      <c r="Q3" s="913"/>
      <c r="R3" s="903" t="s">
        <v>835</v>
      </c>
      <c r="S3" s="905"/>
    </row>
    <row r="4" spans="1:19" x14ac:dyDescent="0.2">
      <c r="A4" s="901"/>
      <c r="B4" s="906"/>
      <c r="C4" s="907"/>
      <c r="D4" s="907"/>
      <c r="E4" s="907"/>
      <c r="F4" s="907"/>
      <c r="G4" s="907"/>
      <c r="H4" s="907"/>
      <c r="I4" s="907"/>
      <c r="J4" s="907"/>
      <c r="K4" s="907"/>
      <c r="L4" s="907"/>
      <c r="M4" s="908"/>
      <c r="N4" s="914"/>
      <c r="O4" s="915"/>
      <c r="P4" s="906" t="s">
        <v>836</v>
      </c>
      <c r="Q4" s="908"/>
      <c r="R4" s="906"/>
      <c r="S4" s="908"/>
    </row>
    <row r="5" spans="1:19" x14ac:dyDescent="0.2">
      <c r="A5" s="901"/>
      <c r="B5" s="909"/>
      <c r="C5" s="910"/>
      <c r="D5" s="910"/>
      <c r="E5" s="910"/>
      <c r="F5" s="910"/>
      <c r="G5" s="910"/>
      <c r="H5" s="910"/>
      <c r="I5" s="910"/>
      <c r="J5" s="910"/>
      <c r="K5" s="910"/>
      <c r="L5" s="910"/>
      <c r="M5" s="911"/>
      <c r="N5" s="906" t="s">
        <v>662</v>
      </c>
      <c r="O5" s="908"/>
      <c r="P5" s="906" t="s">
        <v>837</v>
      </c>
      <c r="Q5" s="908"/>
      <c r="R5" s="906"/>
      <c r="S5" s="908"/>
    </row>
    <row r="6" spans="1:19" x14ac:dyDescent="0.2">
      <c r="A6" s="901"/>
      <c r="B6" s="903" t="s">
        <v>838</v>
      </c>
      <c r="C6" s="904"/>
      <c r="D6" s="904"/>
      <c r="E6" s="904"/>
      <c r="F6" s="904"/>
      <c r="G6" s="904"/>
      <c r="H6" s="904"/>
      <c r="I6" s="905"/>
      <c r="J6" s="903" t="s">
        <v>1008</v>
      </c>
      <c r="K6" s="905"/>
      <c r="L6" s="912"/>
      <c r="M6" s="913"/>
      <c r="N6" s="906" t="s">
        <v>840</v>
      </c>
      <c r="O6" s="908"/>
      <c r="P6" s="906" t="s">
        <v>386</v>
      </c>
      <c r="Q6" s="908"/>
      <c r="R6" s="906"/>
      <c r="S6" s="908"/>
    </row>
    <row r="7" spans="1:19" x14ac:dyDescent="0.2">
      <c r="A7" s="901"/>
      <c r="B7" s="909"/>
      <c r="C7" s="910"/>
      <c r="D7" s="910"/>
      <c r="E7" s="910"/>
      <c r="F7" s="910"/>
      <c r="G7" s="910"/>
      <c r="H7" s="910"/>
      <c r="I7" s="911"/>
      <c r="J7" s="909"/>
      <c r="K7" s="911"/>
      <c r="L7" s="906" t="s">
        <v>740</v>
      </c>
      <c r="M7" s="908"/>
      <c r="N7" s="906" t="s">
        <v>1009</v>
      </c>
      <c r="O7" s="908"/>
      <c r="P7" s="906" t="s">
        <v>1010</v>
      </c>
      <c r="Q7" s="908"/>
      <c r="R7" s="906"/>
      <c r="S7" s="908"/>
    </row>
    <row r="8" spans="1:19" x14ac:dyDescent="0.2">
      <c r="A8" s="902"/>
      <c r="B8" s="923" t="s">
        <v>843</v>
      </c>
      <c r="C8" s="924"/>
      <c r="D8" s="923" t="s">
        <v>1011</v>
      </c>
      <c r="E8" s="924"/>
      <c r="F8" s="923" t="s">
        <v>1012</v>
      </c>
      <c r="G8" s="924"/>
      <c r="H8" s="923" t="s">
        <v>740</v>
      </c>
      <c r="I8" s="924"/>
      <c r="J8" s="923" t="s">
        <v>1013</v>
      </c>
      <c r="K8" s="924"/>
      <c r="L8" s="909" t="s">
        <v>847</v>
      </c>
      <c r="M8" s="911"/>
      <c r="N8" s="909"/>
      <c r="O8" s="911"/>
      <c r="P8" s="909"/>
      <c r="Q8" s="911"/>
      <c r="R8" s="909"/>
      <c r="S8" s="911"/>
    </row>
    <row r="9" spans="1:19" x14ac:dyDescent="0.2">
      <c r="A9" s="583">
        <v>1949</v>
      </c>
      <c r="B9" s="584">
        <v>1727246</v>
      </c>
      <c r="C9" s="585"/>
      <c r="D9" s="586" t="s">
        <v>325</v>
      </c>
      <c r="E9" s="585"/>
      <c r="F9" s="584">
        <v>6152263</v>
      </c>
      <c r="G9" s="585"/>
      <c r="H9" s="584">
        <v>7879509</v>
      </c>
      <c r="I9" s="585"/>
      <c r="J9" s="586" t="s">
        <v>325</v>
      </c>
      <c r="K9" s="585"/>
      <c r="L9" s="584">
        <v>7879509</v>
      </c>
      <c r="M9" s="585"/>
      <c r="N9" s="584">
        <v>22114</v>
      </c>
      <c r="O9" s="585"/>
      <c r="P9" s="584">
        <v>88392</v>
      </c>
      <c r="Q9" s="585"/>
      <c r="R9" s="584">
        <v>7990015</v>
      </c>
      <c r="S9" s="585"/>
    </row>
    <row r="10" spans="1:19" x14ac:dyDescent="0.2">
      <c r="A10" s="583">
        <v>1950</v>
      </c>
      <c r="B10" s="584">
        <v>1563933</v>
      </c>
      <c r="C10" s="585"/>
      <c r="D10" s="584">
        <v>129940</v>
      </c>
      <c r="E10" s="585"/>
      <c r="F10" s="584">
        <v>6689534</v>
      </c>
      <c r="G10" s="585"/>
      <c r="H10" s="584">
        <v>8383407</v>
      </c>
      <c r="I10" s="585"/>
      <c r="J10" s="586" t="s">
        <v>325</v>
      </c>
      <c r="K10" s="585"/>
      <c r="L10" s="584">
        <v>8383407</v>
      </c>
      <c r="M10" s="585"/>
      <c r="N10" s="584">
        <v>23178</v>
      </c>
      <c r="O10" s="585"/>
      <c r="P10" s="584">
        <v>85888</v>
      </c>
      <c r="Q10" s="585"/>
      <c r="R10" s="584">
        <v>8492473</v>
      </c>
      <c r="S10" s="585"/>
    </row>
    <row r="11" spans="1:19" x14ac:dyDescent="0.2">
      <c r="A11" s="587">
        <v>1951</v>
      </c>
      <c r="B11" s="588">
        <v>1378693</v>
      </c>
      <c r="C11" s="589"/>
      <c r="D11" s="588">
        <v>199233</v>
      </c>
      <c r="E11" s="589"/>
      <c r="F11" s="588">
        <v>7355557</v>
      </c>
      <c r="G11" s="589"/>
      <c r="H11" s="588">
        <v>8933484</v>
      </c>
      <c r="I11" s="589"/>
      <c r="J11" s="590" t="s">
        <v>325</v>
      </c>
      <c r="K11" s="589"/>
      <c r="L11" s="588">
        <v>8933484</v>
      </c>
      <c r="M11" s="589"/>
      <c r="N11" s="588">
        <v>24093</v>
      </c>
      <c r="O11" s="589"/>
      <c r="P11" s="588">
        <v>84316</v>
      </c>
      <c r="Q11" s="589"/>
      <c r="R11" s="588">
        <v>9041892</v>
      </c>
      <c r="S11" s="589"/>
    </row>
    <row r="12" spans="1:19" x14ac:dyDescent="0.2">
      <c r="A12" s="583">
        <v>1952</v>
      </c>
      <c r="B12" s="584">
        <v>984040</v>
      </c>
      <c r="C12" s="585"/>
      <c r="D12" s="584">
        <v>214459</v>
      </c>
      <c r="E12" s="585"/>
      <c r="F12" s="584">
        <v>7708392</v>
      </c>
      <c r="G12" s="585"/>
      <c r="H12" s="584">
        <v>8906891</v>
      </c>
      <c r="I12" s="585"/>
      <c r="J12" s="586" t="s">
        <v>325</v>
      </c>
      <c r="K12" s="585"/>
      <c r="L12" s="584">
        <v>8906891</v>
      </c>
      <c r="M12" s="585"/>
      <c r="N12" s="584">
        <v>21823</v>
      </c>
      <c r="O12" s="585"/>
      <c r="P12" s="584">
        <v>74038</v>
      </c>
      <c r="Q12" s="585"/>
      <c r="R12" s="584">
        <v>9002752</v>
      </c>
      <c r="S12" s="585"/>
    </row>
    <row r="13" spans="1:19" x14ac:dyDescent="0.2">
      <c r="A13" s="583">
        <v>1953</v>
      </c>
      <c r="B13" s="584">
        <v>732992</v>
      </c>
      <c r="C13" s="585"/>
      <c r="D13" s="584">
        <v>238375</v>
      </c>
      <c r="E13" s="585"/>
      <c r="F13" s="584">
        <v>8058689</v>
      </c>
      <c r="G13" s="585"/>
      <c r="H13" s="584">
        <v>9030055</v>
      </c>
      <c r="I13" s="585"/>
      <c r="J13" s="586" t="s">
        <v>325</v>
      </c>
      <c r="K13" s="585"/>
      <c r="L13" s="584">
        <v>9030055</v>
      </c>
      <c r="M13" s="585"/>
      <c r="N13" s="584">
        <v>21932</v>
      </c>
      <c r="O13" s="585"/>
      <c r="P13" s="584">
        <v>71034</v>
      </c>
      <c r="Q13" s="585"/>
      <c r="R13" s="584">
        <v>9123022</v>
      </c>
      <c r="S13" s="585"/>
    </row>
    <row r="14" spans="1:19" x14ac:dyDescent="0.2">
      <c r="A14" s="587">
        <v>1954</v>
      </c>
      <c r="B14" s="588">
        <v>461404</v>
      </c>
      <c r="C14" s="589"/>
      <c r="D14" s="588">
        <v>238687</v>
      </c>
      <c r="E14" s="589"/>
      <c r="F14" s="588">
        <v>8122461</v>
      </c>
      <c r="G14" s="589"/>
      <c r="H14" s="588">
        <v>8822551</v>
      </c>
      <c r="I14" s="589"/>
      <c r="J14" s="590" t="s">
        <v>325</v>
      </c>
      <c r="K14" s="589"/>
      <c r="L14" s="588">
        <v>8822551</v>
      </c>
      <c r="M14" s="589"/>
      <c r="N14" s="588">
        <v>20048</v>
      </c>
      <c r="O14" s="589"/>
      <c r="P14" s="588">
        <v>60017</v>
      </c>
      <c r="Q14" s="589"/>
      <c r="R14" s="588">
        <v>8902617</v>
      </c>
      <c r="S14" s="589"/>
    </row>
    <row r="15" spans="1:19" x14ac:dyDescent="0.2">
      <c r="A15" s="583">
        <v>1955</v>
      </c>
      <c r="B15" s="584">
        <v>421262</v>
      </c>
      <c r="C15" s="585"/>
      <c r="D15" s="584">
        <v>253830</v>
      </c>
      <c r="E15" s="585"/>
      <c r="F15" s="584">
        <v>8799335</v>
      </c>
      <c r="G15" s="585"/>
      <c r="H15" s="584">
        <v>9474426</v>
      </c>
      <c r="I15" s="585"/>
      <c r="J15" s="586" t="s">
        <v>325</v>
      </c>
      <c r="K15" s="585"/>
      <c r="L15" s="584">
        <v>9474426</v>
      </c>
      <c r="M15" s="585"/>
      <c r="N15" s="584">
        <v>19877</v>
      </c>
      <c r="O15" s="585"/>
      <c r="P15" s="584">
        <v>55901</v>
      </c>
      <c r="Q15" s="585"/>
      <c r="R15" s="584">
        <v>9550205</v>
      </c>
      <c r="S15" s="585"/>
    </row>
    <row r="16" spans="1:19" x14ac:dyDescent="0.2">
      <c r="A16" s="583">
        <v>1956</v>
      </c>
      <c r="B16" s="584">
        <v>339821</v>
      </c>
      <c r="C16" s="585"/>
      <c r="D16" s="584">
        <v>306331</v>
      </c>
      <c r="E16" s="585"/>
      <c r="F16" s="584">
        <v>9144169</v>
      </c>
      <c r="G16" s="585"/>
      <c r="H16" s="584">
        <v>9790320</v>
      </c>
      <c r="I16" s="585"/>
      <c r="J16" s="586" t="s">
        <v>325</v>
      </c>
      <c r="K16" s="585"/>
      <c r="L16" s="584">
        <v>9790320</v>
      </c>
      <c r="M16" s="585"/>
      <c r="N16" s="584">
        <v>18537</v>
      </c>
      <c r="O16" s="585"/>
      <c r="P16" s="584">
        <v>50506</v>
      </c>
      <c r="Q16" s="585"/>
      <c r="R16" s="584">
        <v>9859364</v>
      </c>
      <c r="S16" s="585"/>
    </row>
    <row r="17" spans="1:19" x14ac:dyDescent="0.2">
      <c r="A17" s="587">
        <v>1957</v>
      </c>
      <c r="B17" s="588">
        <v>241264</v>
      </c>
      <c r="C17" s="589"/>
      <c r="D17" s="588">
        <v>309708</v>
      </c>
      <c r="E17" s="589"/>
      <c r="F17" s="588">
        <v>9285722</v>
      </c>
      <c r="G17" s="589"/>
      <c r="H17" s="588">
        <v>9836694</v>
      </c>
      <c r="I17" s="589"/>
      <c r="J17" s="590" t="s">
        <v>325</v>
      </c>
      <c r="K17" s="589"/>
      <c r="L17" s="588">
        <v>9836694</v>
      </c>
      <c r="M17" s="589"/>
      <c r="N17" s="588">
        <v>16187</v>
      </c>
      <c r="O17" s="589"/>
      <c r="P17" s="588">
        <v>43388</v>
      </c>
      <c r="Q17" s="589"/>
      <c r="R17" s="588">
        <v>9896269</v>
      </c>
      <c r="S17" s="589"/>
    </row>
    <row r="18" spans="1:19" x14ac:dyDescent="0.2">
      <c r="A18" s="583">
        <v>1958</v>
      </c>
      <c r="B18" s="584">
        <v>115156</v>
      </c>
      <c r="C18" s="585"/>
      <c r="D18" s="584">
        <v>323149</v>
      </c>
      <c r="E18" s="585"/>
      <c r="F18" s="584">
        <v>9513700</v>
      </c>
      <c r="G18" s="585"/>
      <c r="H18" s="584">
        <v>9952005</v>
      </c>
      <c r="I18" s="585"/>
      <c r="J18" s="586" t="s">
        <v>325</v>
      </c>
      <c r="K18" s="585"/>
      <c r="L18" s="584">
        <v>9952005</v>
      </c>
      <c r="M18" s="585"/>
      <c r="N18" s="584">
        <v>14517</v>
      </c>
      <c r="O18" s="585"/>
      <c r="P18" s="584">
        <v>37579</v>
      </c>
      <c r="Q18" s="585"/>
      <c r="R18" s="584">
        <v>10004101</v>
      </c>
      <c r="S18" s="585"/>
    </row>
    <row r="19" spans="1:19" x14ac:dyDescent="0.2">
      <c r="A19" s="583">
        <v>1959</v>
      </c>
      <c r="B19" s="584">
        <v>87830</v>
      </c>
      <c r="C19" s="585"/>
      <c r="D19" s="584">
        <v>361575</v>
      </c>
      <c r="E19" s="585"/>
      <c r="F19" s="584">
        <v>9848209</v>
      </c>
      <c r="G19" s="585"/>
      <c r="H19" s="584">
        <v>10297614</v>
      </c>
      <c r="I19" s="585"/>
      <c r="J19" s="586" t="s">
        <v>325</v>
      </c>
      <c r="K19" s="585"/>
      <c r="L19" s="584">
        <v>10297614</v>
      </c>
      <c r="M19" s="585"/>
      <c r="N19" s="584">
        <v>14418</v>
      </c>
      <c r="O19" s="585"/>
      <c r="P19" s="584">
        <v>36498</v>
      </c>
      <c r="Q19" s="585"/>
      <c r="R19" s="584">
        <v>10348530</v>
      </c>
      <c r="S19" s="585"/>
    </row>
    <row r="20" spans="1:19" x14ac:dyDescent="0.2">
      <c r="A20" s="587">
        <v>1960</v>
      </c>
      <c r="B20" s="588">
        <v>74959</v>
      </c>
      <c r="C20" s="589"/>
      <c r="D20" s="588">
        <v>359223</v>
      </c>
      <c r="E20" s="589"/>
      <c r="F20" s="588">
        <v>10125414</v>
      </c>
      <c r="G20" s="589"/>
      <c r="H20" s="588">
        <v>10559596</v>
      </c>
      <c r="I20" s="589"/>
      <c r="J20" s="590" t="s">
        <v>325</v>
      </c>
      <c r="K20" s="589"/>
      <c r="L20" s="588">
        <v>10559596</v>
      </c>
      <c r="M20" s="589"/>
      <c r="N20" s="588">
        <v>10460</v>
      </c>
      <c r="O20" s="589"/>
      <c r="P20" s="588">
        <v>25887</v>
      </c>
      <c r="Q20" s="589"/>
      <c r="R20" s="588">
        <v>10595943</v>
      </c>
      <c r="S20" s="589"/>
    </row>
    <row r="21" spans="1:19" x14ac:dyDescent="0.2">
      <c r="A21" s="583">
        <v>1961</v>
      </c>
      <c r="B21" s="584">
        <v>18927</v>
      </c>
      <c r="C21" s="585"/>
      <c r="D21" s="584">
        <v>390823</v>
      </c>
      <c r="E21" s="585"/>
      <c r="F21" s="584">
        <v>10323982</v>
      </c>
      <c r="G21" s="585"/>
      <c r="H21" s="584">
        <v>10733732</v>
      </c>
      <c r="I21" s="585"/>
      <c r="J21" s="586" t="s">
        <v>325</v>
      </c>
      <c r="K21" s="585"/>
      <c r="L21" s="584">
        <v>10733732</v>
      </c>
      <c r="M21" s="585"/>
      <c r="N21" s="584">
        <v>10316</v>
      </c>
      <c r="O21" s="585"/>
      <c r="P21" s="584">
        <v>25078</v>
      </c>
      <c r="Q21" s="585"/>
      <c r="R21" s="584">
        <v>10769126</v>
      </c>
      <c r="S21" s="585"/>
    </row>
    <row r="22" spans="1:19" x14ac:dyDescent="0.2">
      <c r="A22" s="583">
        <v>1962</v>
      </c>
      <c r="B22" s="584">
        <v>16874</v>
      </c>
      <c r="C22" s="585"/>
      <c r="D22" s="584">
        <v>395883</v>
      </c>
      <c r="E22" s="585"/>
      <c r="F22" s="584">
        <v>10772132</v>
      </c>
      <c r="G22" s="585"/>
      <c r="H22" s="584">
        <v>11184889</v>
      </c>
      <c r="I22" s="585"/>
      <c r="J22" s="586" t="s">
        <v>325</v>
      </c>
      <c r="K22" s="585"/>
      <c r="L22" s="584">
        <v>11184889</v>
      </c>
      <c r="M22" s="585"/>
      <c r="N22" s="584">
        <v>10167</v>
      </c>
      <c r="O22" s="585"/>
      <c r="P22" s="584">
        <v>24426</v>
      </c>
      <c r="Q22" s="585"/>
      <c r="R22" s="584">
        <v>11219481</v>
      </c>
      <c r="S22" s="585"/>
    </row>
    <row r="23" spans="1:19" x14ac:dyDescent="0.2">
      <c r="A23" s="587">
        <v>1963</v>
      </c>
      <c r="B23" s="588">
        <v>16421</v>
      </c>
      <c r="C23" s="589"/>
      <c r="D23" s="588">
        <v>436920</v>
      </c>
      <c r="E23" s="589"/>
      <c r="F23" s="588">
        <v>11166687</v>
      </c>
      <c r="G23" s="589"/>
      <c r="H23" s="588">
        <v>11620029</v>
      </c>
      <c r="I23" s="589"/>
      <c r="J23" s="590" t="s">
        <v>325</v>
      </c>
      <c r="K23" s="589"/>
      <c r="L23" s="588">
        <v>11620029</v>
      </c>
      <c r="M23" s="589"/>
      <c r="N23" s="588">
        <v>9955</v>
      </c>
      <c r="O23" s="589"/>
      <c r="P23" s="588">
        <v>23772</v>
      </c>
      <c r="Q23" s="589"/>
      <c r="R23" s="588">
        <v>11653755</v>
      </c>
      <c r="S23" s="589"/>
    </row>
    <row r="24" spans="1:19" x14ac:dyDescent="0.2">
      <c r="A24" s="583">
        <v>1964</v>
      </c>
      <c r="B24" s="584">
        <v>17403</v>
      </c>
      <c r="C24" s="585"/>
      <c r="D24" s="584">
        <v>449508</v>
      </c>
      <c r="E24" s="585"/>
      <c r="F24" s="584">
        <v>11496327</v>
      </c>
      <c r="G24" s="585"/>
      <c r="H24" s="584">
        <v>11963238</v>
      </c>
      <c r="I24" s="585"/>
      <c r="J24" s="586" t="s">
        <v>325</v>
      </c>
      <c r="K24" s="585"/>
      <c r="L24" s="584">
        <v>11963238</v>
      </c>
      <c r="M24" s="585"/>
      <c r="N24" s="584">
        <v>10011</v>
      </c>
      <c r="O24" s="585"/>
      <c r="P24" s="584">
        <v>23758</v>
      </c>
      <c r="Q24" s="585"/>
      <c r="R24" s="584">
        <v>11997007</v>
      </c>
      <c r="S24" s="585"/>
    </row>
    <row r="25" spans="1:19" x14ac:dyDescent="0.2">
      <c r="A25" s="583">
        <v>1965</v>
      </c>
      <c r="B25" s="584">
        <v>15972</v>
      </c>
      <c r="C25" s="585"/>
      <c r="D25" s="584">
        <v>516541</v>
      </c>
      <c r="E25" s="585"/>
      <c r="F25" s="584">
        <v>11866194</v>
      </c>
      <c r="G25" s="585"/>
      <c r="H25" s="584">
        <v>12398707</v>
      </c>
      <c r="I25" s="585"/>
      <c r="J25" s="586" t="s">
        <v>325</v>
      </c>
      <c r="K25" s="585"/>
      <c r="L25" s="584">
        <v>12398707</v>
      </c>
      <c r="M25" s="585"/>
      <c r="N25" s="584">
        <v>9974</v>
      </c>
      <c r="O25" s="585"/>
      <c r="P25" s="584">
        <v>23776</v>
      </c>
      <c r="Q25" s="585"/>
      <c r="R25" s="584">
        <v>12432456</v>
      </c>
      <c r="S25" s="585"/>
    </row>
    <row r="26" spans="1:19" x14ac:dyDescent="0.2">
      <c r="A26" s="587">
        <v>1966</v>
      </c>
      <c r="B26" s="588">
        <v>14754</v>
      </c>
      <c r="C26" s="589"/>
      <c r="D26" s="588">
        <v>553020</v>
      </c>
      <c r="E26" s="589"/>
      <c r="F26" s="588">
        <v>12499749</v>
      </c>
      <c r="G26" s="589"/>
      <c r="H26" s="588">
        <v>13067522</v>
      </c>
      <c r="I26" s="589"/>
      <c r="J26" s="590" t="s">
        <v>325</v>
      </c>
      <c r="K26" s="589"/>
      <c r="L26" s="588">
        <v>13067522</v>
      </c>
      <c r="M26" s="589"/>
      <c r="N26" s="588">
        <v>9642</v>
      </c>
      <c r="O26" s="589"/>
      <c r="P26" s="588">
        <v>23070</v>
      </c>
      <c r="Q26" s="589"/>
      <c r="R26" s="588">
        <v>13100235</v>
      </c>
      <c r="S26" s="589"/>
    </row>
    <row r="27" spans="1:19" x14ac:dyDescent="0.2">
      <c r="A27" s="583">
        <v>1967</v>
      </c>
      <c r="B27" s="584">
        <v>11227</v>
      </c>
      <c r="C27" s="585"/>
      <c r="D27" s="584">
        <v>594176</v>
      </c>
      <c r="E27" s="585"/>
      <c r="F27" s="584">
        <v>13112791</v>
      </c>
      <c r="G27" s="585"/>
      <c r="H27" s="584">
        <v>13718194</v>
      </c>
      <c r="I27" s="585"/>
      <c r="J27" s="586" t="s">
        <v>325</v>
      </c>
      <c r="K27" s="585"/>
      <c r="L27" s="584">
        <v>13718194</v>
      </c>
      <c r="M27" s="585"/>
      <c r="N27" s="584">
        <v>10010</v>
      </c>
      <c r="O27" s="585"/>
      <c r="P27" s="584">
        <v>23872</v>
      </c>
      <c r="Q27" s="585"/>
      <c r="R27" s="584">
        <v>13752076</v>
      </c>
      <c r="S27" s="585"/>
    </row>
    <row r="28" spans="1:19" x14ac:dyDescent="0.2">
      <c r="A28" s="583">
        <v>1968</v>
      </c>
      <c r="B28" s="584">
        <v>10014</v>
      </c>
      <c r="C28" s="585"/>
      <c r="D28" s="584">
        <v>609285</v>
      </c>
      <c r="E28" s="585"/>
      <c r="F28" s="584">
        <v>14211926</v>
      </c>
      <c r="G28" s="585"/>
      <c r="H28" s="584">
        <v>14831225</v>
      </c>
      <c r="I28" s="585"/>
      <c r="J28" s="586" t="s">
        <v>325</v>
      </c>
      <c r="K28" s="585"/>
      <c r="L28" s="584">
        <v>14831225</v>
      </c>
      <c r="M28" s="585"/>
      <c r="N28" s="584">
        <v>10215</v>
      </c>
      <c r="O28" s="585"/>
      <c r="P28" s="584">
        <v>24335</v>
      </c>
      <c r="Q28" s="585"/>
      <c r="R28" s="584">
        <v>14865775</v>
      </c>
      <c r="S28" s="585"/>
    </row>
    <row r="29" spans="1:19" x14ac:dyDescent="0.2">
      <c r="A29" s="587">
        <v>1969</v>
      </c>
      <c r="B29" s="588">
        <v>7426</v>
      </c>
      <c r="C29" s="589"/>
      <c r="D29" s="588">
        <v>650522</v>
      </c>
      <c r="E29" s="589"/>
      <c r="F29" s="588">
        <v>14813302</v>
      </c>
      <c r="G29" s="589"/>
      <c r="H29" s="588">
        <v>15471249</v>
      </c>
      <c r="I29" s="589"/>
      <c r="J29" s="590" t="s">
        <v>325</v>
      </c>
      <c r="K29" s="589"/>
      <c r="L29" s="588">
        <v>15471249</v>
      </c>
      <c r="M29" s="589"/>
      <c r="N29" s="588">
        <v>10420</v>
      </c>
      <c r="O29" s="589"/>
      <c r="P29" s="588">
        <v>24836</v>
      </c>
      <c r="Q29" s="589"/>
      <c r="R29" s="588">
        <v>15506506</v>
      </c>
      <c r="S29" s="589"/>
    </row>
    <row r="30" spans="1:19" x14ac:dyDescent="0.2">
      <c r="A30" s="583">
        <v>1970</v>
      </c>
      <c r="B30" s="584">
        <v>6849</v>
      </c>
      <c r="C30" s="585"/>
      <c r="D30" s="584">
        <v>744553</v>
      </c>
      <c r="E30" s="585"/>
      <c r="F30" s="584">
        <v>15310488</v>
      </c>
      <c r="G30" s="585"/>
      <c r="H30" s="584">
        <v>16061890</v>
      </c>
      <c r="I30" s="585"/>
      <c r="J30" s="586" t="s">
        <v>325</v>
      </c>
      <c r="K30" s="585"/>
      <c r="L30" s="584">
        <v>16061890</v>
      </c>
      <c r="M30" s="585"/>
      <c r="N30" s="584">
        <v>10627</v>
      </c>
      <c r="O30" s="585"/>
      <c r="P30" s="584">
        <v>25731</v>
      </c>
      <c r="Q30" s="585"/>
      <c r="R30" s="584">
        <v>16098249</v>
      </c>
      <c r="S30" s="585"/>
    </row>
    <row r="31" spans="1:19" x14ac:dyDescent="0.2">
      <c r="A31" s="583">
        <v>1971</v>
      </c>
      <c r="B31" s="584">
        <v>4693</v>
      </c>
      <c r="C31" s="585"/>
      <c r="D31" s="584">
        <v>765612</v>
      </c>
      <c r="E31" s="585"/>
      <c r="F31" s="584">
        <v>15924030</v>
      </c>
      <c r="G31" s="585"/>
      <c r="H31" s="584">
        <v>16694335</v>
      </c>
      <c r="I31" s="585"/>
      <c r="J31" s="586" t="s">
        <v>325</v>
      </c>
      <c r="K31" s="585"/>
      <c r="L31" s="584">
        <v>16694335</v>
      </c>
      <c r="M31" s="585"/>
      <c r="N31" s="584">
        <v>10462</v>
      </c>
      <c r="O31" s="585"/>
      <c r="P31" s="584">
        <v>25256</v>
      </c>
      <c r="Q31" s="585"/>
      <c r="R31" s="584">
        <v>16730053</v>
      </c>
      <c r="S31" s="585"/>
    </row>
    <row r="32" spans="1:19" x14ac:dyDescent="0.2">
      <c r="A32" s="587">
        <v>1972</v>
      </c>
      <c r="B32" s="588">
        <v>3676</v>
      </c>
      <c r="C32" s="589"/>
      <c r="D32" s="588">
        <v>786842</v>
      </c>
      <c r="E32" s="589"/>
      <c r="F32" s="588">
        <v>16891617</v>
      </c>
      <c r="G32" s="589"/>
      <c r="H32" s="588">
        <v>17682135</v>
      </c>
      <c r="I32" s="589"/>
      <c r="J32" s="590" t="s">
        <v>325</v>
      </c>
      <c r="K32" s="589"/>
      <c r="L32" s="588">
        <v>17682135</v>
      </c>
      <c r="M32" s="589"/>
      <c r="N32" s="588">
        <v>10371</v>
      </c>
      <c r="O32" s="589"/>
      <c r="P32" s="588">
        <v>24785</v>
      </c>
      <c r="Q32" s="589"/>
      <c r="R32" s="588">
        <v>17717291</v>
      </c>
      <c r="S32" s="589"/>
    </row>
    <row r="33" spans="1:19" x14ac:dyDescent="0.2">
      <c r="A33" s="583">
        <v>1973</v>
      </c>
      <c r="B33" s="584">
        <v>2620</v>
      </c>
      <c r="C33" s="585"/>
      <c r="D33" s="584">
        <v>742741</v>
      </c>
      <c r="E33" s="585"/>
      <c r="F33" s="584">
        <v>17831864</v>
      </c>
      <c r="G33" s="585"/>
      <c r="H33" s="584">
        <v>18577224</v>
      </c>
      <c r="I33" s="585"/>
      <c r="J33" s="586" t="s">
        <v>325</v>
      </c>
      <c r="K33" s="585"/>
      <c r="L33" s="584">
        <v>18577224</v>
      </c>
      <c r="M33" s="585"/>
      <c r="N33" s="584">
        <v>10532</v>
      </c>
      <c r="O33" s="585"/>
      <c r="P33" s="584">
        <v>25024</v>
      </c>
      <c r="Q33" s="585"/>
      <c r="R33" s="584">
        <v>18612780</v>
      </c>
      <c r="S33" s="585"/>
    </row>
    <row r="34" spans="1:19" x14ac:dyDescent="0.2">
      <c r="A34" s="583">
        <v>1974</v>
      </c>
      <c r="B34" s="584">
        <v>1794</v>
      </c>
      <c r="C34" s="585"/>
      <c r="D34" s="584">
        <v>684843</v>
      </c>
      <c r="E34" s="585"/>
      <c r="F34" s="584">
        <v>17400538</v>
      </c>
      <c r="G34" s="585"/>
      <c r="H34" s="584">
        <v>18087175</v>
      </c>
      <c r="I34" s="585"/>
      <c r="J34" s="586" t="s">
        <v>325</v>
      </c>
      <c r="K34" s="585"/>
      <c r="L34" s="584">
        <v>18087175</v>
      </c>
      <c r="M34" s="585"/>
      <c r="N34" s="584">
        <v>9721</v>
      </c>
      <c r="O34" s="585"/>
      <c r="P34" s="584">
        <v>23524</v>
      </c>
      <c r="Q34" s="585"/>
      <c r="R34" s="584">
        <v>18120419</v>
      </c>
      <c r="S34" s="585"/>
    </row>
    <row r="35" spans="1:19" x14ac:dyDescent="0.2">
      <c r="A35" s="587">
        <v>1975</v>
      </c>
      <c r="B35" s="590">
        <v>538</v>
      </c>
      <c r="C35" s="589"/>
      <c r="D35" s="588">
        <v>594622</v>
      </c>
      <c r="E35" s="589"/>
      <c r="F35" s="588">
        <v>17615332</v>
      </c>
      <c r="G35" s="589"/>
      <c r="H35" s="588">
        <v>18210492</v>
      </c>
      <c r="I35" s="589"/>
      <c r="J35" s="590" t="s">
        <v>325</v>
      </c>
      <c r="K35" s="589"/>
      <c r="L35" s="588">
        <v>18210492</v>
      </c>
      <c r="M35" s="589"/>
      <c r="N35" s="588">
        <v>10149</v>
      </c>
      <c r="O35" s="589"/>
      <c r="P35" s="588">
        <v>24362</v>
      </c>
      <c r="Q35" s="589"/>
      <c r="R35" s="588">
        <v>18245003</v>
      </c>
      <c r="S35" s="589"/>
    </row>
    <row r="36" spans="1:19" x14ac:dyDescent="0.2">
      <c r="A36" s="583">
        <v>1976</v>
      </c>
      <c r="B36" s="586">
        <v>270</v>
      </c>
      <c r="C36" s="585"/>
      <c r="D36" s="584">
        <v>558741</v>
      </c>
      <c r="E36" s="585"/>
      <c r="F36" s="584">
        <v>18507664</v>
      </c>
      <c r="G36" s="585"/>
      <c r="H36" s="584">
        <v>19066676</v>
      </c>
      <c r="I36" s="585"/>
      <c r="J36" s="586" t="s">
        <v>325</v>
      </c>
      <c r="K36" s="585"/>
      <c r="L36" s="584">
        <v>19066676</v>
      </c>
      <c r="M36" s="585"/>
      <c r="N36" s="584">
        <v>10059</v>
      </c>
      <c r="O36" s="585"/>
      <c r="P36" s="584">
        <v>24063</v>
      </c>
      <c r="Q36" s="585"/>
      <c r="R36" s="584">
        <v>19100798</v>
      </c>
      <c r="S36" s="585"/>
    </row>
    <row r="37" spans="1:19" x14ac:dyDescent="0.2">
      <c r="A37" s="583">
        <v>1977</v>
      </c>
      <c r="B37" s="586">
        <v>201</v>
      </c>
      <c r="C37" s="585"/>
      <c r="D37" s="584">
        <v>542790</v>
      </c>
      <c r="E37" s="585"/>
      <c r="F37" s="584">
        <v>19243224</v>
      </c>
      <c r="G37" s="585"/>
      <c r="H37" s="584">
        <v>19786215</v>
      </c>
      <c r="I37" s="585"/>
      <c r="J37" s="586" t="s">
        <v>325</v>
      </c>
      <c r="K37" s="585"/>
      <c r="L37" s="584">
        <v>19786215</v>
      </c>
      <c r="M37" s="585"/>
      <c r="N37" s="584">
        <v>10429</v>
      </c>
      <c r="O37" s="585"/>
      <c r="P37" s="584">
        <v>24947</v>
      </c>
      <c r="Q37" s="585"/>
      <c r="R37" s="584">
        <v>19821590</v>
      </c>
      <c r="S37" s="585"/>
    </row>
    <row r="38" spans="1:19" x14ac:dyDescent="0.2">
      <c r="A38" s="587">
        <v>1978</v>
      </c>
      <c r="B38" s="591"/>
      <c r="C38" s="592" t="s">
        <v>302</v>
      </c>
      <c r="D38" s="588">
        <v>538938</v>
      </c>
      <c r="E38" s="589"/>
      <c r="F38" s="588">
        <v>20043823</v>
      </c>
      <c r="G38" s="589"/>
      <c r="H38" s="588">
        <v>20582761</v>
      </c>
      <c r="I38" s="589"/>
      <c r="J38" s="590" t="s">
        <v>325</v>
      </c>
      <c r="K38" s="589"/>
      <c r="L38" s="588">
        <v>20582761</v>
      </c>
      <c r="M38" s="589"/>
      <c r="N38" s="588">
        <v>10027</v>
      </c>
      <c r="O38" s="589"/>
      <c r="P38" s="588">
        <v>24275</v>
      </c>
      <c r="Q38" s="589"/>
      <c r="R38" s="588">
        <v>20617064</v>
      </c>
      <c r="S38" s="589"/>
    </row>
    <row r="39" spans="1:19" x14ac:dyDescent="0.2">
      <c r="A39" s="583">
        <v>1979</v>
      </c>
      <c r="B39" s="593"/>
      <c r="C39" s="594" t="s">
        <v>302</v>
      </c>
      <c r="D39" s="584">
        <v>611781</v>
      </c>
      <c r="E39" s="585"/>
      <c r="F39" s="584">
        <v>19825471</v>
      </c>
      <c r="G39" s="585"/>
      <c r="H39" s="584">
        <v>20437252</v>
      </c>
      <c r="I39" s="585"/>
      <c r="J39" s="586" t="s">
        <v>325</v>
      </c>
      <c r="K39" s="585"/>
      <c r="L39" s="584">
        <v>20437252</v>
      </c>
      <c r="M39" s="585"/>
      <c r="N39" s="584">
        <v>10117</v>
      </c>
      <c r="O39" s="585"/>
      <c r="P39" s="584">
        <v>24162</v>
      </c>
      <c r="Q39" s="585"/>
      <c r="R39" s="584">
        <v>20471532</v>
      </c>
      <c r="S39" s="585"/>
    </row>
    <row r="40" spans="1:19" x14ac:dyDescent="0.2">
      <c r="A40" s="583">
        <v>1980</v>
      </c>
      <c r="B40" s="593"/>
      <c r="C40" s="594" t="s">
        <v>302</v>
      </c>
      <c r="D40" s="584">
        <v>649853</v>
      </c>
      <c r="E40" s="585"/>
      <c r="F40" s="584">
        <v>19009245</v>
      </c>
      <c r="G40" s="585"/>
      <c r="H40" s="584">
        <v>19659098</v>
      </c>
      <c r="I40" s="585"/>
      <c r="J40" s="586" t="s">
        <v>325</v>
      </c>
      <c r="K40" s="585"/>
      <c r="L40" s="584">
        <v>19659098</v>
      </c>
      <c r="M40" s="585"/>
      <c r="N40" s="584">
        <v>11069</v>
      </c>
      <c r="O40" s="585"/>
      <c r="P40" s="584">
        <v>26523</v>
      </c>
      <c r="Q40" s="585"/>
      <c r="R40" s="584">
        <v>19696690</v>
      </c>
      <c r="S40" s="585"/>
    </row>
    <row r="41" spans="1:19" x14ac:dyDescent="0.2">
      <c r="A41" s="587">
        <v>1981</v>
      </c>
      <c r="B41" s="591"/>
      <c r="C41" s="592" t="s">
        <v>302</v>
      </c>
      <c r="D41" s="588">
        <v>658383</v>
      </c>
      <c r="E41" s="589"/>
      <c r="F41" s="588">
        <v>18812664</v>
      </c>
      <c r="G41" s="589"/>
      <c r="H41" s="588">
        <v>19471047</v>
      </c>
      <c r="I41" s="589"/>
      <c r="J41" s="588">
        <v>6723</v>
      </c>
      <c r="K41" s="589"/>
      <c r="L41" s="588">
        <v>19477771</v>
      </c>
      <c r="M41" s="589"/>
      <c r="N41" s="588">
        <v>10871</v>
      </c>
      <c r="O41" s="589"/>
      <c r="P41" s="588">
        <v>25372</v>
      </c>
      <c r="Q41" s="589"/>
      <c r="R41" s="588">
        <v>19514013</v>
      </c>
      <c r="S41" s="589"/>
    </row>
    <row r="42" spans="1:19" x14ac:dyDescent="0.2">
      <c r="A42" s="583">
        <v>1982</v>
      </c>
      <c r="B42" s="593"/>
      <c r="C42" s="594" t="s">
        <v>302</v>
      </c>
      <c r="D42" s="584">
        <v>611918</v>
      </c>
      <c r="E42" s="585"/>
      <c r="F42" s="584">
        <v>18421966</v>
      </c>
      <c r="G42" s="585"/>
      <c r="H42" s="584">
        <v>19033884</v>
      </c>
      <c r="I42" s="585"/>
      <c r="J42" s="584">
        <v>18285</v>
      </c>
      <c r="K42" s="585"/>
      <c r="L42" s="584">
        <v>19052169</v>
      </c>
      <c r="M42" s="585"/>
      <c r="N42" s="584">
        <v>11002</v>
      </c>
      <c r="O42" s="585"/>
      <c r="P42" s="584">
        <v>26057</v>
      </c>
      <c r="Q42" s="585"/>
      <c r="R42" s="584">
        <v>19089228</v>
      </c>
      <c r="S42" s="585"/>
    </row>
    <row r="43" spans="1:19" x14ac:dyDescent="0.2">
      <c r="A43" s="583">
        <v>1983</v>
      </c>
      <c r="B43" s="593"/>
      <c r="C43" s="594" t="s">
        <v>302</v>
      </c>
      <c r="D43" s="584">
        <v>505233</v>
      </c>
      <c r="E43" s="585"/>
      <c r="F43" s="584">
        <v>18595150</v>
      </c>
      <c r="G43" s="585"/>
      <c r="H43" s="584">
        <v>19100384</v>
      </c>
      <c r="I43" s="585"/>
      <c r="J43" s="584">
        <v>33720</v>
      </c>
      <c r="K43" s="585"/>
      <c r="L43" s="584">
        <v>19134104</v>
      </c>
      <c r="M43" s="585"/>
      <c r="N43" s="584">
        <v>12675</v>
      </c>
      <c r="O43" s="585"/>
      <c r="P43" s="584">
        <v>29835</v>
      </c>
      <c r="Q43" s="585"/>
      <c r="R43" s="584">
        <v>19176615</v>
      </c>
      <c r="S43" s="585"/>
    </row>
    <row r="44" spans="1:19" x14ac:dyDescent="0.2">
      <c r="A44" s="587">
        <v>1984</v>
      </c>
      <c r="B44" s="591"/>
      <c r="C44" s="592" t="s">
        <v>302</v>
      </c>
      <c r="D44" s="588">
        <v>544617</v>
      </c>
      <c r="E44" s="589"/>
      <c r="F44" s="588">
        <v>19022704</v>
      </c>
      <c r="G44" s="589"/>
      <c r="H44" s="588">
        <v>19567321</v>
      </c>
      <c r="I44" s="589"/>
      <c r="J44" s="588">
        <v>41265</v>
      </c>
      <c r="K44" s="589"/>
      <c r="L44" s="588">
        <v>19608586</v>
      </c>
      <c r="M44" s="589"/>
      <c r="N44" s="588">
        <v>14293</v>
      </c>
      <c r="O44" s="589"/>
      <c r="P44" s="588">
        <v>32687</v>
      </c>
      <c r="Q44" s="589"/>
      <c r="R44" s="588">
        <v>19655566</v>
      </c>
      <c r="S44" s="589"/>
    </row>
    <row r="45" spans="1:19" x14ac:dyDescent="0.2">
      <c r="A45" s="583">
        <v>1985</v>
      </c>
      <c r="B45" s="593"/>
      <c r="C45" s="594" t="s">
        <v>302</v>
      </c>
      <c r="D45" s="584">
        <v>519383</v>
      </c>
      <c r="E45" s="585"/>
      <c r="F45" s="584">
        <v>19472345</v>
      </c>
      <c r="G45" s="585"/>
      <c r="H45" s="584">
        <v>19991728</v>
      </c>
      <c r="I45" s="585"/>
      <c r="J45" s="584">
        <v>49738</v>
      </c>
      <c r="K45" s="585"/>
      <c r="L45" s="584">
        <v>20041466</v>
      </c>
      <c r="M45" s="585"/>
      <c r="N45" s="584">
        <v>14148</v>
      </c>
      <c r="O45" s="585"/>
      <c r="P45" s="584">
        <v>32299</v>
      </c>
      <c r="Q45" s="585"/>
      <c r="R45" s="584">
        <v>20087913</v>
      </c>
      <c r="S45" s="585"/>
    </row>
    <row r="46" spans="1:19" x14ac:dyDescent="0.2">
      <c r="A46" s="583">
        <v>1986</v>
      </c>
      <c r="B46" s="593"/>
      <c r="C46" s="594" t="s">
        <v>302</v>
      </c>
      <c r="D46" s="584">
        <v>499107</v>
      </c>
      <c r="E46" s="585"/>
      <c r="F46" s="584">
        <v>20183380</v>
      </c>
      <c r="G46" s="585"/>
      <c r="H46" s="584">
        <v>20682487</v>
      </c>
      <c r="I46" s="585"/>
      <c r="J46" s="584">
        <v>57437</v>
      </c>
      <c r="K46" s="585"/>
      <c r="L46" s="584">
        <v>20739924</v>
      </c>
      <c r="M46" s="585"/>
      <c r="N46" s="584">
        <v>15057</v>
      </c>
      <c r="O46" s="585"/>
      <c r="P46" s="584">
        <v>33803</v>
      </c>
      <c r="Q46" s="585"/>
      <c r="R46" s="584">
        <v>20788785</v>
      </c>
      <c r="S46" s="585"/>
    </row>
    <row r="47" spans="1:19" x14ac:dyDescent="0.2">
      <c r="A47" s="587">
        <v>1987</v>
      </c>
      <c r="B47" s="591"/>
      <c r="C47" s="592" t="s">
        <v>302</v>
      </c>
      <c r="D47" s="588">
        <v>535264</v>
      </c>
      <c r="E47" s="589"/>
      <c r="F47" s="588">
        <v>20817438</v>
      </c>
      <c r="G47" s="589"/>
      <c r="H47" s="588">
        <v>21352702</v>
      </c>
      <c r="I47" s="589"/>
      <c r="J47" s="588">
        <v>66071</v>
      </c>
      <c r="K47" s="589"/>
      <c r="L47" s="588">
        <v>21418773</v>
      </c>
      <c r="M47" s="589"/>
      <c r="N47" s="588">
        <v>15567</v>
      </c>
      <c r="O47" s="589"/>
      <c r="P47" s="588">
        <v>34540</v>
      </c>
      <c r="Q47" s="589"/>
      <c r="R47" s="588">
        <v>21468880</v>
      </c>
      <c r="S47" s="589"/>
    </row>
    <row r="48" spans="1:19" x14ac:dyDescent="0.2">
      <c r="A48" s="583">
        <v>1988</v>
      </c>
      <c r="B48" s="593"/>
      <c r="C48" s="594" t="s">
        <v>302</v>
      </c>
      <c r="D48" s="584">
        <v>631715</v>
      </c>
      <c r="E48" s="585"/>
      <c r="F48" s="584">
        <v>21567762</v>
      </c>
      <c r="G48" s="585"/>
      <c r="H48" s="584">
        <v>22199477</v>
      </c>
      <c r="I48" s="585"/>
      <c r="J48" s="584">
        <v>67125</v>
      </c>
      <c r="K48" s="585"/>
      <c r="L48" s="584">
        <v>22266602</v>
      </c>
      <c r="M48" s="585"/>
      <c r="N48" s="584">
        <v>15930</v>
      </c>
      <c r="O48" s="585"/>
      <c r="P48" s="584">
        <v>35189</v>
      </c>
      <c r="Q48" s="585"/>
      <c r="R48" s="584">
        <v>22317722</v>
      </c>
      <c r="S48" s="585"/>
    </row>
    <row r="49" spans="1:19" x14ac:dyDescent="0.2">
      <c r="A49" s="583">
        <v>1989</v>
      </c>
      <c r="B49" s="593"/>
      <c r="C49" s="594" t="s">
        <v>302</v>
      </c>
      <c r="D49" s="584">
        <v>648817</v>
      </c>
      <c r="E49" s="585"/>
      <c r="F49" s="584">
        <v>21707208</v>
      </c>
      <c r="G49" s="585"/>
      <c r="H49" s="584">
        <v>22356024</v>
      </c>
      <c r="I49" s="585"/>
      <c r="J49" s="584">
        <v>68091</v>
      </c>
      <c r="K49" s="585"/>
      <c r="L49" s="584">
        <v>22424115</v>
      </c>
      <c r="M49" s="585"/>
      <c r="N49" s="584">
        <v>16276</v>
      </c>
      <c r="O49" s="585"/>
      <c r="P49" s="584">
        <v>37555</v>
      </c>
      <c r="Q49" s="585"/>
      <c r="R49" s="584">
        <v>22477945</v>
      </c>
      <c r="S49" s="585"/>
    </row>
    <row r="50" spans="1:19" x14ac:dyDescent="0.2">
      <c r="A50" s="587">
        <v>1990</v>
      </c>
      <c r="B50" s="591"/>
      <c r="C50" s="592" t="s">
        <v>302</v>
      </c>
      <c r="D50" s="588">
        <v>679889</v>
      </c>
      <c r="E50" s="589"/>
      <c r="F50" s="588">
        <v>21625901</v>
      </c>
      <c r="G50" s="589"/>
      <c r="H50" s="588">
        <v>22305790</v>
      </c>
      <c r="I50" s="589"/>
      <c r="J50" s="588">
        <v>60421</v>
      </c>
      <c r="K50" s="589"/>
      <c r="L50" s="588">
        <v>22366211</v>
      </c>
      <c r="M50" s="589"/>
      <c r="N50" s="588">
        <v>16211</v>
      </c>
      <c r="O50" s="589"/>
      <c r="P50" s="588">
        <v>37203</v>
      </c>
      <c r="Q50" s="589"/>
      <c r="R50" s="588">
        <v>22419624</v>
      </c>
      <c r="S50" s="589"/>
    </row>
    <row r="51" spans="1:19" x14ac:dyDescent="0.2">
      <c r="A51" s="583">
        <v>1991</v>
      </c>
      <c r="B51" s="593"/>
      <c r="C51" s="594" t="s">
        <v>302</v>
      </c>
      <c r="D51" s="584">
        <v>620324</v>
      </c>
      <c r="E51" s="585"/>
      <c r="F51" s="584">
        <v>21374408</v>
      </c>
      <c r="G51" s="585"/>
      <c r="H51" s="584">
        <v>21994732</v>
      </c>
      <c r="I51" s="585"/>
      <c r="J51" s="584">
        <v>70095</v>
      </c>
      <c r="K51" s="585"/>
      <c r="L51" s="584">
        <v>22064827</v>
      </c>
      <c r="M51" s="585"/>
      <c r="N51" s="584">
        <v>16236</v>
      </c>
      <c r="O51" s="585"/>
      <c r="P51" s="584">
        <v>36924</v>
      </c>
      <c r="Q51" s="585"/>
      <c r="R51" s="584">
        <v>22117987</v>
      </c>
      <c r="S51" s="585"/>
    </row>
    <row r="52" spans="1:19" x14ac:dyDescent="0.2">
      <c r="A52" s="583">
        <v>1992</v>
      </c>
      <c r="B52" s="593"/>
      <c r="C52" s="594" t="s">
        <v>302</v>
      </c>
      <c r="D52" s="584">
        <v>608106</v>
      </c>
      <c r="E52" s="585"/>
      <c r="F52" s="584">
        <v>21674902</v>
      </c>
      <c r="G52" s="585"/>
      <c r="H52" s="584">
        <v>22283009</v>
      </c>
      <c r="I52" s="585"/>
      <c r="J52" s="584">
        <v>79746</v>
      </c>
      <c r="K52" s="585"/>
      <c r="L52" s="584">
        <v>22362755</v>
      </c>
      <c r="M52" s="585"/>
      <c r="N52" s="584">
        <v>16056</v>
      </c>
      <c r="O52" s="585"/>
      <c r="P52" s="584">
        <v>36262</v>
      </c>
      <c r="Q52" s="585"/>
      <c r="R52" s="584">
        <v>22415073</v>
      </c>
      <c r="S52" s="585"/>
    </row>
    <row r="53" spans="1:19" x14ac:dyDescent="0.2">
      <c r="A53" s="587">
        <v>1993</v>
      </c>
      <c r="B53" s="591"/>
      <c r="C53" s="592" t="s">
        <v>302</v>
      </c>
      <c r="D53" s="588">
        <v>644729</v>
      </c>
      <c r="E53" s="589"/>
      <c r="F53" s="588">
        <v>21976713</v>
      </c>
      <c r="G53" s="589"/>
      <c r="H53" s="588">
        <v>22621441</v>
      </c>
      <c r="I53" s="589"/>
      <c r="J53" s="588">
        <v>93660</v>
      </c>
      <c r="K53" s="589"/>
      <c r="L53" s="588">
        <v>22715102</v>
      </c>
      <c r="M53" s="589"/>
      <c r="N53" s="588">
        <v>16278</v>
      </c>
      <c r="O53" s="589"/>
      <c r="P53" s="588">
        <v>36820</v>
      </c>
      <c r="Q53" s="589"/>
      <c r="R53" s="588">
        <v>22768200</v>
      </c>
      <c r="S53" s="589"/>
    </row>
    <row r="54" spans="1:19" x14ac:dyDescent="0.2">
      <c r="A54" s="583">
        <v>1994</v>
      </c>
      <c r="B54" s="593"/>
      <c r="C54" s="594" t="s">
        <v>302</v>
      </c>
      <c r="D54" s="584">
        <v>708538</v>
      </c>
      <c r="E54" s="585"/>
      <c r="F54" s="584">
        <v>22497345</v>
      </c>
      <c r="G54" s="585"/>
      <c r="H54" s="584">
        <v>23205882</v>
      </c>
      <c r="I54" s="585"/>
      <c r="J54" s="584">
        <v>104840</v>
      </c>
      <c r="K54" s="585"/>
      <c r="L54" s="584">
        <v>23310722</v>
      </c>
      <c r="M54" s="585"/>
      <c r="N54" s="584">
        <v>17040</v>
      </c>
      <c r="O54" s="585"/>
      <c r="P54" s="584">
        <v>38098</v>
      </c>
      <c r="Q54" s="585"/>
      <c r="R54" s="584">
        <v>23365861</v>
      </c>
      <c r="S54" s="585"/>
    </row>
    <row r="55" spans="1:19" x14ac:dyDescent="0.2">
      <c r="A55" s="583">
        <v>1995</v>
      </c>
      <c r="B55" s="593"/>
      <c r="C55" s="594" t="s">
        <v>302</v>
      </c>
      <c r="D55" s="584">
        <v>723953</v>
      </c>
      <c r="E55" s="585"/>
      <c r="F55" s="584">
        <v>22954616</v>
      </c>
      <c r="G55" s="585"/>
      <c r="H55" s="584">
        <v>23678569</v>
      </c>
      <c r="I55" s="585"/>
      <c r="J55" s="584">
        <v>112490</v>
      </c>
      <c r="K55" s="585"/>
      <c r="L55" s="584">
        <v>23791058</v>
      </c>
      <c r="M55" s="585"/>
      <c r="N55" s="584">
        <v>16973</v>
      </c>
      <c r="O55" s="585"/>
      <c r="P55" s="584">
        <v>38296</v>
      </c>
      <c r="Q55" s="585"/>
      <c r="R55" s="584">
        <v>23846327</v>
      </c>
      <c r="S55" s="585"/>
    </row>
    <row r="56" spans="1:19" x14ac:dyDescent="0.2">
      <c r="A56" s="587">
        <v>1996</v>
      </c>
      <c r="B56" s="591"/>
      <c r="C56" s="592" t="s">
        <v>302</v>
      </c>
      <c r="D56" s="588">
        <v>736886</v>
      </c>
      <c r="E56" s="589"/>
      <c r="F56" s="588">
        <v>23565068</v>
      </c>
      <c r="G56" s="589"/>
      <c r="H56" s="588">
        <v>24301954</v>
      </c>
      <c r="I56" s="589"/>
      <c r="J56" s="588">
        <v>80661</v>
      </c>
      <c r="K56" s="589"/>
      <c r="L56" s="588">
        <v>24382614</v>
      </c>
      <c r="M56" s="589"/>
      <c r="N56" s="588">
        <v>16797</v>
      </c>
      <c r="O56" s="589"/>
      <c r="P56" s="588">
        <v>37946</v>
      </c>
      <c r="Q56" s="589"/>
      <c r="R56" s="588">
        <v>24437357</v>
      </c>
      <c r="S56" s="589"/>
    </row>
    <row r="57" spans="1:19" x14ac:dyDescent="0.2">
      <c r="A57" s="583">
        <v>1997</v>
      </c>
      <c r="B57" s="593"/>
      <c r="C57" s="594" t="s">
        <v>302</v>
      </c>
      <c r="D57" s="584">
        <v>780313</v>
      </c>
      <c r="E57" s="585"/>
      <c r="F57" s="584">
        <v>23812891</v>
      </c>
      <c r="G57" s="585"/>
      <c r="H57" s="584">
        <v>24593204</v>
      </c>
      <c r="I57" s="585"/>
      <c r="J57" s="584">
        <v>101966</v>
      </c>
      <c r="K57" s="585"/>
      <c r="L57" s="584">
        <v>24695170</v>
      </c>
      <c r="M57" s="585"/>
      <c r="N57" s="584">
        <v>16744</v>
      </c>
      <c r="O57" s="585"/>
      <c r="P57" s="584">
        <v>37681</v>
      </c>
      <c r="Q57" s="585"/>
      <c r="R57" s="584">
        <v>24749594</v>
      </c>
      <c r="S57" s="585"/>
    </row>
    <row r="58" spans="1:19" x14ac:dyDescent="0.2">
      <c r="A58" s="583">
        <v>1998</v>
      </c>
      <c r="B58" s="593"/>
      <c r="C58" s="594" t="s">
        <v>302</v>
      </c>
      <c r="D58" s="584">
        <v>666097</v>
      </c>
      <c r="E58" s="585"/>
      <c r="F58" s="584">
        <v>24422167</v>
      </c>
      <c r="G58" s="585"/>
      <c r="H58" s="584">
        <v>25088264</v>
      </c>
      <c r="I58" s="585"/>
      <c r="J58" s="584">
        <v>112843</v>
      </c>
      <c r="K58" s="585"/>
      <c r="L58" s="584">
        <v>25201107</v>
      </c>
      <c r="M58" s="585"/>
      <c r="N58" s="584">
        <v>16929</v>
      </c>
      <c r="O58" s="585"/>
      <c r="P58" s="584">
        <v>38133</v>
      </c>
      <c r="Q58" s="585"/>
      <c r="R58" s="584">
        <v>25256169</v>
      </c>
      <c r="S58" s="585"/>
    </row>
    <row r="59" spans="1:19" x14ac:dyDescent="0.2">
      <c r="A59" s="587">
        <v>1999</v>
      </c>
      <c r="B59" s="591"/>
      <c r="C59" s="592" t="s">
        <v>302</v>
      </c>
      <c r="D59" s="588">
        <v>675335</v>
      </c>
      <c r="E59" s="589"/>
      <c r="F59" s="588">
        <v>25098194</v>
      </c>
      <c r="G59" s="589"/>
      <c r="H59" s="588">
        <v>25773529</v>
      </c>
      <c r="I59" s="589"/>
      <c r="J59" s="588">
        <v>117795</v>
      </c>
      <c r="K59" s="589"/>
      <c r="L59" s="588">
        <v>25891325</v>
      </c>
      <c r="M59" s="589"/>
      <c r="N59" s="588">
        <v>17491</v>
      </c>
      <c r="O59" s="589"/>
      <c r="P59" s="588">
        <v>39738</v>
      </c>
      <c r="Q59" s="589"/>
      <c r="R59" s="588">
        <v>25948553</v>
      </c>
      <c r="S59" s="589"/>
    </row>
    <row r="60" spans="1:19" x14ac:dyDescent="0.2">
      <c r="A60" s="583">
        <v>2000</v>
      </c>
      <c r="B60" s="593"/>
      <c r="C60" s="594" t="s">
        <v>302</v>
      </c>
      <c r="D60" s="584">
        <v>671991</v>
      </c>
      <c r="E60" s="585"/>
      <c r="F60" s="584">
        <v>25681648</v>
      </c>
      <c r="G60" s="585"/>
      <c r="H60" s="584">
        <v>26353639</v>
      </c>
      <c r="I60" s="585"/>
      <c r="J60" s="584">
        <v>134887</v>
      </c>
      <c r="K60" s="585"/>
      <c r="L60" s="584">
        <v>26488526</v>
      </c>
      <c r="M60" s="585"/>
      <c r="N60" s="584">
        <v>18363</v>
      </c>
      <c r="O60" s="585"/>
      <c r="P60" s="584">
        <v>41507</v>
      </c>
      <c r="Q60" s="585"/>
      <c r="R60" s="584">
        <v>26548396</v>
      </c>
      <c r="S60" s="585"/>
    </row>
    <row r="61" spans="1:19" x14ac:dyDescent="0.2">
      <c r="A61" s="583">
        <v>2001</v>
      </c>
      <c r="B61" s="593"/>
      <c r="C61" s="594" t="s">
        <v>302</v>
      </c>
      <c r="D61" s="584">
        <v>658046</v>
      </c>
      <c r="E61" s="585"/>
      <c r="F61" s="584">
        <v>25412351</v>
      </c>
      <c r="G61" s="585"/>
      <c r="H61" s="584">
        <v>26070397</v>
      </c>
      <c r="I61" s="585"/>
      <c r="J61" s="584">
        <v>142125</v>
      </c>
      <c r="K61" s="585"/>
      <c r="L61" s="584">
        <v>26212522</v>
      </c>
      <c r="M61" s="585"/>
      <c r="N61" s="584">
        <v>19531</v>
      </c>
      <c r="O61" s="585"/>
      <c r="P61" s="584">
        <v>43228</v>
      </c>
      <c r="Q61" s="585"/>
      <c r="R61" s="584">
        <v>26275281</v>
      </c>
      <c r="S61" s="585"/>
    </row>
    <row r="62" spans="1:19" x14ac:dyDescent="0.2">
      <c r="A62" s="587">
        <v>2002</v>
      </c>
      <c r="B62" s="591"/>
      <c r="C62" s="592" t="s">
        <v>302</v>
      </c>
      <c r="D62" s="588">
        <v>698916</v>
      </c>
      <c r="E62" s="592" t="s">
        <v>650</v>
      </c>
      <c r="F62" s="588">
        <v>25912704</v>
      </c>
      <c r="G62" s="589"/>
      <c r="H62" s="588">
        <v>26611620</v>
      </c>
      <c r="I62" s="592" t="s">
        <v>650</v>
      </c>
      <c r="J62" s="588">
        <v>169650</v>
      </c>
      <c r="K62" s="589"/>
      <c r="L62" s="588">
        <v>26781271</v>
      </c>
      <c r="M62" s="592" t="s">
        <v>650</v>
      </c>
      <c r="N62" s="588">
        <v>18825</v>
      </c>
      <c r="O62" s="589"/>
      <c r="P62" s="588">
        <v>41699</v>
      </c>
      <c r="Q62" s="589"/>
      <c r="R62" s="588">
        <v>26841794</v>
      </c>
      <c r="S62" s="592" t="s">
        <v>650</v>
      </c>
    </row>
    <row r="63" spans="1:19" x14ac:dyDescent="0.2">
      <c r="A63" s="583">
        <v>2003</v>
      </c>
      <c r="B63" s="593"/>
      <c r="C63" s="594" t="s">
        <v>302</v>
      </c>
      <c r="D63" s="584">
        <v>627446</v>
      </c>
      <c r="E63" s="585"/>
      <c r="F63" s="584">
        <v>26062607</v>
      </c>
      <c r="G63" s="585"/>
      <c r="H63" s="584">
        <v>26690053</v>
      </c>
      <c r="I63" s="585"/>
      <c r="J63" s="584">
        <v>229813</v>
      </c>
      <c r="K63" s="585"/>
      <c r="L63" s="584">
        <v>26919866</v>
      </c>
      <c r="M63" s="585"/>
      <c r="N63" s="584">
        <v>23235</v>
      </c>
      <c r="O63" s="585"/>
      <c r="P63" s="584">
        <v>50953</v>
      </c>
      <c r="Q63" s="585"/>
      <c r="R63" s="584">
        <v>26994054</v>
      </c>
      <c r="S63" s="585"/>
    </row>
    <row r="64" spans="1:19" x14ac:dyDescent="0.2">
      <c r="A64" s="583">
        <v>2004</v>
      </c>
      <c r="B64" s="593"/>
      <c r="C64" s="594" t="s">
        <v>302</v>
      </c>
      <c r="D64" s="584">
        <v>601955</v>
      </c>
      <c r="E64" s="585"/>
      <c r="F64" s="584">
        <v>26924961</v>
      </c>
      <c r="G64" s="585"/>
      <c r="H64" s="584">
        <v>27526916</v>
      </c>
      <c r="I64" s="585"/>
      <c r="J64" s="584">
        <v>289720</v>
      </c>
      <c r="K64" s="585"/>
      <c r="L64" s="584">
        <v>27816636</v>
      </c>
      <c r="M64" s="585"/>
      <c r="N64" s="584">
        <v>24647</v>
      </c>
      <c r="O64" s="585"/>
      <c r="P64" s="584">
        <v>54184</v>
      </c>
      <c r="Q64" s="585"/>
      <c r="R64" s="584">
        <v>27895467</v>
      </c>
      <c r="S64" s="585"/>
    </row>
    <row r="65" spans="1:19" x14ac:dyDescent="0.2">
      <c r="A65" s="587">
        <v>2005</v>
      </c>
      <c r="B65" s="591"/>
      <c r="C65" s="592" t="s">
        <v>302</v>
      </c>
      <c r="D65" s="588">
        <v>623903</v>
      </c>
      <c r="E65" s="589"/>
      <c r="F65" s="588">
        <v>27308807</v>
      </c>
      <c r="G65" s="589"/>
      <c r="H65" s="588">
        <v>27932710</v>
      </c>
      <c r="I65" s="589"/>
      <c r="J65" s="588">
        <v>339015</v>
      </c>
      <c r="K65" s="589"/>
      <c r="L65" s="588">
        <v>28271725</v>
      </c>
      <c r="M65" s="592" t="s">
        <v>650</v>
      </c>
      <c r="N65" s="588">
        <v>25612</v>
      </c>
      <c r="O65" s="589"/>
      <c r="P65" s="588">
        <v>55661</v>
      </c>
      <c r="Q65" s="589"/>
      <c r="R65" s="588">
        <v>28352997</v>
      </c>
      <c r="S65" s="592" t="s">
        <v>650</v>
      </c>
    </row>
    <row r="66" spans="1:19" x14ac:dyDescent="0.2">
      <c r="A66" s="583">
        <v>2006</v>
      </c>
      <c r="B66" s="593"/>
      <c r="C66" s="594" t="s">
        <v>302</v>
      </c>
      <c r="D66" s="584">
        <v>624975</v>
      </c>
      <c r="E66" s="585"/>
      <c r="F66" s="584">
        <v>27650867</v>
      </c>
      <c r="G66" s="585"/>
      <c r="H66" s="584">
        <v>28275842</v>
      </c>
      <c r="I66" s="585"/>
      <c r="J66" s="584">
        <v>474951</v>
      </c>
      <c r="K66" s="585"/>
      <c r="L66" s="584">
        <v>28750793</v>
      </c>
      <c r="M66" s="585"/>
      <c r="N66" s="584">
        <v>25104</v>
      </c>
      <c r="O66" s="585"/>
      <c r="P66" s="584">
        <v>53943</v>
      </c>
      <c r="Q66" s="585"/>
      <c r="R66" s="584">
        <v>28829840</v>
      </c>
      <c r="S66" s="585"/>
    </row>
    <row r="67" spans="1:19" x14ac:dyDescent="0.2">
      <c r="A67" s="583">
        <v>2007</v>
      </c>
      <c r="B67" s="593"/>
      <c r="C67" s="594" t="s">
        <v>302</v>
      </c>
      <c r="D67" s="584">
        <v>663462</v>
      </c>
      <c r="E67" s="594" t="s">
        <v>650</v>
      </c>
      <c r="F67" s="584">
        <v>27763173</v>
      </c>
      <c r="G67" s="585"/>
      <c r="H67" s="584">
        <v>28426635</v>
      </c>
      <c r="I67" s="594" t="s">
        <v>650</v>
      </c>
      <c r="J67" s="584">
        <v>602490</v>
      </c>
      <c r="K67" s="585"/>
      <c r="L67" s="584">
        <v>29029125</v>
      </c>
      <c r="M67" s="594" t="s">
        <v>650</v>
      </c>
      <c r="N67" s="584">
        <v>27885</v>
      </c>
      <c r="O67" s="585"/>
      <c r="P67" s="584">
        <v>59770</v>
      </c>
      <c r="Q67" s="585"/>
      <c r="R67" s="584">
        <v>29116780</v>
      </c>
      <c r="S67" s="594" t="s">
        <v>650</v>
      </c>
    </row>
    <row r="68" spans="1:19" x14ac:dyDescent="0.2">
      <c r="A68" s="587">
        <v>2008</v>
      </c>
      <c r="B68" s="591"/>
      <c r="C68" s="592" t="s">
        <v>302</v>
      </c>
      <c r="D68" s="588">
        <v>692134</v>
      </c>
      <c r="E68" s="589"/>
      <c r="F68" s="588">
        <v>26407101</v>
      </c>
      <c r="G68" s="589"/>
      <c r="H68" s="588">
        <v>27099235</v>
      </c>
      <c r="I68" s="589"/>
      <c r="J68" s="588">
        <v>826138</v>
      </c>
      <c r="K68" s="589"/>
      <c r="L68" s="588">
        <v>27925373</v>
      </c>
      <c r="M68" s="589"/>
      <c r="N68" s="588">
        <v>26271</v>
      </c>
      <c r="O68" s="589"/>
      <c r="P68" s="588">
        <v>56189</v>
      </c>
      <c r="Q68" s="589"/>
      <c r="R68" s="588">
        <v>28007833</v>
      </c>
      <c r="S68" s="589"/>
    </row>
    <row r="69" spans="1:19" x14ac:dyDescent="0.2">
      <c r="A69" s="583">
        <v>2009</v>
      </c>
      <c r="B69" s="593"/>
      <c r="C69" s="594" t="s">
        <v>302</v>
      </c>
      <c r="D69" s="584">
        <v>714872</v>
      </c>
      <c r="E69" s="594" t="s">
        <v>650</v>
      </c>
      <c r="F69" s="584">
        <v>25338745</v>
      </c>
      <c r="G69" s="585"/>
      <c r="H69" s="584">
        <v>26053617</v>
      </c>
      <c r="I69" s="594" t="s">
        <v>650</v>
      </c>
      <c r="J69" s="584">
        <v>935396</v>
      </c>
      <c r="K69" s="594" t="s">
        <v>650</v>
      </c>
      <c r="L69" s="584">
        <v>26989013</v>
      </c>
      <c r="M69" s="594" t="s">
        <v>650</v>
      </c>
      <c r="N69" s="584">
        <v>26547</v>
      </c>
      <c r="O69" s="585"/>
      <c r="P69" s="584">
        <v>55819</v>
      </c>
      <c r="Q69" s="585"/>
      <c r="R69" s="584">
        <v>27071379</v>
      </c>
      <c r="S69" s="594" t="s">
        <v>650</v>
      </c>
    </row>
    <row r="70" spans="1:19" x14ac:dyDescent="0.2">
      <c r="A70" s="583">
        <v>2010</v>
      </c>
      <c r="B70" s="593"/>
      <c r="C70" s="594" t="s">
        <v>302</v>
      </c>
      <c r="D70" s="584">
        <v>715605</v>
      </c>
      <c r="E70" s="594" t="s">
        <v>650</v>
      </c>
      <c r="F70" s="584">
        <v>25594727</v>
      </c>
      <c r="G70" s="594" t="s">
        <v>650</v>
      </c>
      <c r="H70" s="584">
        <v>26310332</v>
      </c>
      <c r="I70" s="594" t="s">
        <v>650</v>
      </c>
      <c r="J70" s="584">
        <v>1073917</v>
      </c>
      <c r="K70" s="594" t="s">
        <v>650</v>
      </c>
      <c r="L70" s="584">
        <v>27384249</v>
      </c>
      <c r="M70" s="594" t="s">
        <v>650</v>
      </c>
      <c r="N70" s="584">
        <v>26315</v>
      </c>
      <c r="O70" s="594" t="s">
        <v>650</v>
      </c>
      <c r="P70" s="584">
        <v>55085</v>
      </c>
      <c r="Q70" s="594" t="s">
        <v>650</v>
      </c>
      <c r="R70" s="584">
        <v>27465649</v>
      </c>
      <c r="S70" s="594" t="s">
        <v>650</v>
      </c>
    </row>
    <row r="71" spans="1:19" x14ac:dyDescent="0.2">
      <c r="A71" s="587" t="s">
        <v>1014</v>
      </c>
      <c r="B71" s="591"/>
      <c r="C71" s="592" t="s">
        <v>302</v>
      </c>
      <c r="D71" s="588">
        <v>734923</v>
      </c>
      <c r="E71" s="589"/>
      <c r="F71" s="588">
        <v>25109805</v>
      </c>
      <c r="G71" s="589"/>
      <c r="H71" s="588">
        <v>25844729</v>
      </c>
      <c r="I71" s="589"/>
      <c r="J71" s="588">
        <v>1154109</v>
      </c>
      <c r="K71" s="589"/>
      <c r="L71" s="588">
        <v>26998837</v>
      </c>
      <c r="M71" s="589"/>
      <c r="N71" s="588">
        <v>25951</v>
      </c>
      <c r="O71" s="589"/>
      <c r="P71" s="588">
        <v>54362</v>
      </c>
      <c r="Q71" s="589"/>
      <c r="R71" s="588">
        <v>27079150</v>
      </c>
      <c r="S71" s="589"/>
    </row>
    <row r="72" spans="1:19" x14ac:dyDescent="0.2">
      <c r="A72" s="916" t="s">
        <v>1015</v>
      </c>
      <c r="B72" s="917"/>
      <c r="C72" s="917"/>
      <c r="D72" s="917"/>
      <c r="E72" s="917"/>
      <c r="F72" s="917"/>
      <c r="G72" s="917"/>
      <c r="H72" s="917"/>
      <c r="I72" s="917"/>
      <c r="J72" s="917" t="s">
        <v>1016</v>
      </c>
      <c r="K72" s="917"/>
      <c r="L72" s="917"/>
      <c r="M72" s="917"/>
      <c r="N72" s="917"/>
      <c r="O72" s="917"/>
      <c r="P72" s="917"/>
      <c r="Q72" s="917"/>
      <c r="R72" s="917"/>
      <c r="S72" s="920"/>
    </row>
    <row r="73" spans="1:19" x14ac:dyDescent="0.2">
      <c r="A73" s="918"/>
      <c r="B73" s="919"/>
      <c r="C73" s="919"/>
      <c r="D73" s="919"/>
      <c r="E73" s="919"/>
      <c r="F73" s="919"/>
      <c r="G73" s="919"/>
      <c r="H73" s="919"/>
      <c r="I73" s="919"/>
      <c r="J73" s="921" t="s">
        <v>853</v>
      </c>
      <c r="K73" s="921"/>
      <c r="L73" s="921"/>
      <c r="M73" s="921"/>
      <c r="N73" s="921"/>
      <c r="O73" s="921"/>
      <c r="P73" s="921"/>
      <c r="Q73" s="921"/>
      <c r="R73" s="921"/>
      <c r="S73" s="922"/>
    </row>
    <row r="74" spans="1:19" x14ac:dyDescent="0.2">
      <c r="A74" s="918"/>
      <c r="B74" s="919"/>
      <c r="C74" s="919"/>
      <c r="D74" s="919"/>
      <c r="E74" s="919"/>
      <c r="F74" s="919"/>
      <c r="G74" s="919"/>
      <c r="H74" s="919"/>
      <c r="I74" s="919"/>
      <c r="J74" s="921" t="s">
        <v>854</v>
      </c>
      <c r="K74" s="921"/>
      <c r="L74" s="921"/>
      <c r="M74" s="921"/>
      <c r="N74" s="921"/>
      <c r="O74" s="921"/>
      <c r="P74" s="921"/>
      <c r="Q74" s="921"/>
      <c r="R74" s="921"/>
      <c r="S74" s="922"/>
    </row>
    <row r="75" spans="1:19" x14ac:dyDescent="0.2">
      <c r="A75" s="918"/>
      <c r="B75" s="919"/>
      <c r="C75" s="919"/>
      <c r="D75" s="919"/>
      <c r="E75" s="919"/>
      <c r="F75" s="919"/>
      <c r="G75" s="919"/>
      <c r="H75" s="919"/>
      <c r="I75" s="919"/>
      <c r="J75" s="921" t="s">
        <v>623</v>
      </c>
      <c r="K75" s="921"/>
      <c r="L75" s="921"/>
      <c r="M75" s="921"/>
      <c r="N75" s="921"/>
      <c r="O75" s="921"/>
      <c r="P75" s="921"/>
      <c r="Q75" s="921"/>
      <c r="R75" s="921"/>
      <c r="S75" s="922"/>
    </row>
    <row r="76" spans="1:19" x14ac:dyDescent="0.2">
      <c r="A76" s="918" t="s">
        <v>1017</v>
      </c>
      <c r="B76" s="919"/>
      <c r="C76" s="919"/>
      <c r="D76" s="919"/>
      <c r="E76" s="919"/>
      <c r="F76" s="919"/>
      <c r="G76" s="919"/>
      <c r="H76" s="919"/>
      <c r="I76" s="919"/>
      <c r="J76" s="919" t="s">
        <v>1018</v>
      </c>
      <c r="K76" s="919"/>
      <c r="L76" s="919"/>
      <c r="M76" s="919"/>
      <c r="N76" s="919"/>
      <c r="O76" s="919"/>
      <c r="P76" s="919"/>
      <c r="Q76" s="919"/>
      <c r="R76" s="919"/>
      <c r="S76" s="925"/>
    </row>
    <row r="77" spans="1:19" x14ac:dyDescent="0.2">
      <c r="A77" s="918"/>
      <c r="B77" s="919"/>
      <c r="C77" s="919"/>
      <c r="D77" s="919"/>
      <c r="E77" s="919"/>
      <c r="F77" s="919"/>
      <c r="G77" s="919"/>
      <c r="H77" s="919"/>
      <c r="I77" s="919"/>
      <c r="J77" s="921" t="s">
        <v>858</v>
      </c>
      <c r="K77" s="921"/>
      <c r="L77" s="921"/>
      <c r="M77" s="921"/>
      <c r="N77" s="921"/>
      <c r="O77" s="921"/>
      <c r="P77" s="921"/>
      <c r="Q77" s="921"/>
      <c r="R77" s="921"/>
      <c r="S77" s="922"/>
    </row>
    <row r="78" spans="1:19" x14ac:dyDescent="0.2">
      <c r="A78" s="918" t="s">
        <v>1019</v>
      </c>
      <c r="B78" s="919"/>
      <c r="C78" s="919"/>
      <c r="D78" s="919"/>
      <c r="E78" s="919"/>
      <c r="F78" s="919"/>
      <c r="G78" s="919"/>
      <c r="H78" s="919"/>
      <c r="I78" s="919"/>
      <c r="J78" s="921" t="s">
        <v>861</v>
      </c>
      <c r="K78" s="921"/>
      <c r="L78" s="921"/>
      <c r="M78" s="921"/>
      <c r="N78" s="921"/>
      <c r="O78" s="921"/>
      <c r="P78" s="921"/>
      <c r="Q78" s="921"/>
      <c r="R78" s="921"/>
      <c r="S78" s="922"/>
    </row>
    <row r="79" spans="1:19" x14ac:dyDescent="0.2">
      <c r="A79" s="926" t="s">
        <v>857</v>
      </c>
      <c r="B79" s="921"/>
      <c r="C79" s="921"/>
      <c r="D79" s="921"/>
      <c r="E79" s="921"/>
      <c r="F79" s="921"/>
      <c r="G79" s="921"/>
      <c r="H79" s="921"/>
      <c r="I79" s="921"/>
      <c r="J79" s="921"/>
      <c r="K79" s="921"/>
      <c r="L79" s="921"/>
      <c r="M79" s="921"/>
      <c r="N79" s="921"/>
      <c r="O79" s="921"/>
      <c r="P79" s="921"/>
      <c r="Q79" s="921"/>
      <c r="R79" s="921"/>
      <c r="S79" s="922"/>
    </row>
    <row r="80" spans="1:19" x14ac:dyDescent="0.2">
      <c r="A80" s="926" t="s">
        <v>859</v>
      </c>
      <c r="B80" s="921"/>
      <c r="C80" s="921"/>
      <c r="D80" s="921"/>
      <c r="E80" s="921"/>
      <c r="F80" s="921"/>
      <c r="G80" s="921"/>
      <c r="H80" s="921"/>
      <c r="I80" s="921"/>
      <c r="J80" s="921"/>
      <c r="K80" s="921"/>
      <c r="L80" s="921"/>
      <c r="M80" s="921"/>
      <c r="N80" s="921"/>
      <c r="O80" s="921"/>
      <c r="P80" s="921"/>
      <c r="Q80" s="921"/>
      <c r="R80" s="921"/>
      <c r="S80" s="922"/>
    </row>
    <row r="81" spans="1:19" x14ac:dyDescent="0.2">
      <c r="A81" s="918" t="s">
        <v>1020</v>
      </c>
      <c r="B81" s="919"/>
      <c r="C81" s="919"/>
      <c r="D81" s="919"/>
      <c r="E81" s="919"/>
      <c r="F81" s="919"/>
      <c r="G81" s="919"/>
      <c r="H81" s="919"/>
      <c r="I81" s="919"/>
      <c r="J81" s="921" t="s">
        <v>865</v>
      </c>
      <c r="K81" s="921"/>
      <c r="L81" s="921"/>
      <c r="M81" s="921"/>
      <c r="N81" s="921"/>
      <c r="O81" s="921"/>
      <c r="P81" s="921"/>
      <c r="Q81" s="921"/>
      <c r="R81" s="921"/>
      <c r="S81" s="922"/>
    </row>
    <row r="82" spans="1:19" x14ac:dyDescent="0.2">
      <c r="A82" s="926" t="s">
        <v>862</v>
      </c>
      <c r="B82" s="921"/>
      <c r="C82" s="921"/>
      <c r="D82" s="921"/>
      <c r="E82" s="921"/>
      <c r="F82" s="921"/>
      <c r="G82" s="921"/>
      <c r="H82" s="921"/>
      <c r="I82" s="921"/>
      <c r="J82" s="921"/>
      <c r="K82" s="921"/>
      <c r="L82" s="921"/>
      <c r="M82" s="921"/>
      <c r="N82" s="921"/>
      <c r="O82" s="921"/>
      <c r="P82" s="921"/>
      <c r="Q82" s="921"/>
      <c r="R82" s="921"/>
      <c r="S82" s="922"/>
    </row>
    <row r="83" spans="1:19" x14ac:dyDescent="0.2">
      <c r="A83" s="926" t="s">
        <v>863</v>
      </c>
      <c r="B83" s="921"/>
      <c r="C83" s="921"/>
      <c r="D83" s="921"/>
      <c r="E83" s="921"/>
      <c r="F83" s="921"/>
      <c r="G83" s="921"/>
      <c r="H83" s="921"/>
      <c r="I83" s="921"/>
      <c r="J83" s="921"/>
      <c r="K83" s="921"/>
      <c r="L83" s="921"/>
      <c r="M83" s="921"/>
      <c r="N83" s="921"/>
      <c r="O83" s="921"/>
      <c r="P83" s="921"/>
      <c r="Q83" s="921"/>
      <c r="R83" s="921"/>
      <c r="S83" s="922"/>
    </row>
    <row r="84" spans="1:19" ht="12.75" customHeight="1" x14ac:dyDescent="0.2">
      <c r="A84" s="918" t="s">
        <v>1021</v>
      </c>
      <c r="B84" s="919"/>
      <c r="C84" s="919"/>
      <c r="D84" s="919"/>
      <c r="E84" s="919"/>
      <c r="F84" s="919"/>
      <c r="G84" s="919"/>
      <c r="H84" s="919"/>
      <c r="I84" s="919"/>
      <c r="J84" s="927" t="s">
        <v>1022</v>
      </c>
      <c r="K84" s="927"/>
      <c r="L84" s="927"/>
      <c r="M84" s="927"/>
      <c r="N84" s="927"/>
      <c r="O84" s="927"/>
      <c r="P84" s="927"/>
      <c r="Q84" s="927"/>
      <c r="R84" s="927"/>
      <c r="S84" s="928"/>
    </row>
    <row r="85" spans="1:19" x14ac:dyDescent="0.2">
      <c r="A85" s="918"/>
      <c r="B85" s="919"/>
      <c r="C85" s="919"/>
      <c r="D85" s="919"/>
      <c r="E85" s="919"/>
      <c r="F85" s="919"/>
      <c r="G85" s="919"/>
      <c r="H85" s="919"/>
      <c r="I85" s="919"/>
      <c r="J85" s="921" t="s">
        <v>1023</v>
      </c>
      <c r="K85" s="921"/>
      <c r="L85" s="921"/>
      <c r="M85" s="921"/>
      <c r="N85" s="921"/>
      <c r="O85" s="921"/>
      <c r="P85" s="921"/>
      <c r="Q85" s="921"/>
      <c r="R85" s="921"/>
      <c r="S85" s="922"/>
    </row>
    <row r="86" spans="1:19" x14ac:dyDescent="0.2">
      <c r="A86" s="918" t="s">
        <v>1024</v>
      </c>
      <c r="B86" s="919"/>
      <c r="C86" s="919"/>
      <c r="D86" s="919"/>
      <c r="E86" s="919"/>
      <c r="F86" s="919"/>
      <c r="G86" s="919"/>
      <c r="H86" s="919"/>
      <c r="I86" s="919"/>
      <c r="J86" s="921" t="s">
        <v>867</v>
      </c>
      <c r="K86" s="921"/>
      <c r="L86" s="921"/>
      <c r="M86" s="921"/>
      <c r="N86" s="921"/>
      <c r="O86" s="921"/>
      <c r="P86" s="921"/>
      <c r="Q86" s="921"/>
      <c r="R86" s="921"/>
      <c r="S86" s="922"/>
    </row>
    <row r="87" spans="1:19" x14ac:dyDescent="0.2">
      <c r="A87" s="918" t="s">
        <v>1025</v>
      </c>
      <c r="B87" s="919"/>
      <c r="C87" s="919"/>
      <c r="D87" s="919"/>
      <c r="E87" s="919"/>
      <c r="F87" s="919"/>
      <c r="G87" s="919"/>
      <c r="H87" s="919"/>
      <c r="I87" s="919"/>
      <c r="J87" s="929"/>
      <c r="K87" s="929"/>
      <c r="L87" s="929"/>
      <c r="M87" s="929"/>
      <c r="N87" s="929"/>
      <c r="O87" s="929"/>
      <c r="P87" s="929"/>
      <c r="Q87" s="929"/>
      <c r="R87" s="929"/>
      <c r="S87" s="930"/>
    </row>
    <row r="88" spans="1:19" x14ac:dyDescent="0.2">
      <c r="A88" s="933" t="s">
        <v>850</v>
      </c>
      <c r="B88" s="934"/>
      <c r="C88" s="934"/>
      <c r="D88" s="934"/>
      <c r="E88" s="934"/>
      <c r="F88" s="934"/>
      <c r="G88" s="934"/>
      <c r="H88" s="934"/>
      <c r="I88" s="934"/>
      <c r="J88" s="931"/>
      <c r="K88" s="931"/>
      <c r="L88" s="931"/>
      <c r="M88" s="931"/>
      <c r="N88" s="931"/>
      <c r="O88" s="931"/>
      <c r="P88" s="931"/>
      <c r="Q88" s="931"/>
      <c r="R88" s="931"/>
      <c r="S88" s="932"/>
    </row>
  </sheetData>
  <mergeCells count="51">
    <mergeCell ref="A86:I86"/>
    <mergeCell ref="J86:S86"/>
    <mergeCell ref="A87:I87"/>
    <mergeCell ref="J87:S88"/>
    <mergeCell ref="A88:I88"/>
    <mergeCell ref="A81:I81"/>
    <mergeCell ref="J81:S83"/>
    <mergeCell ref="A82:I82"/>
    <mergeCell ref="A83:I83"/>
    <mergeCell ref="A84:I85"/>
    <mergeCell ref="J84:S84"/>
    <mergeCell ref="J85:S85"/>
    <mergeCell ref="A76:I77"/>
    <mergeCell ref="J76:S76"/>
    <mergeCell ref="J77:S77"/>
    <mergeCell ref="A78:I78"/>
    <mergeCell ref="J78:S80"/>
    <mergeCell ref="A79:I79"/>
    <mergeCell ref="A80:I80"/>
    <mergeCell ref="B8:C8"/>
    <mergeCell ref="D8:E8"/>
    <mergeCell ref="F8:G8"/>
    <mergeCell ref="H8:I8"/>
    <mergeCell ref="J8:K8"/>
    <mergeCell ref="A72:I75"/>
    <mergeCell ref="J72:S72"/>
    <mergeCell ref="J73:S73"/>
    <mergeCell ref="J74:S74"/>
    <mergeCell ref="J75:S75"/>
    <mergeCell ref="L7:M7"/>
    <mergeCell ref="N7:O7"/>
    <mergeCell ref="P7:Q7"/>
    <mergeCell ref="N8:O8"/>
    <mergeCell ref="P8:Q8"/>
    <mergeCell ref="L8:M8"/>
    <mergeCell ref="A1:S1"/>
    <mergeCell ref="A2:S2"/>
    <mergeCell ref="A3:A8"/>
    <mergeCell ref="B3:M5"/>
    <mergeCell ref="N3:O3"/>
    <mergeCell ref="P3:Q3"/>
    <mergeCell ref="R3:S8"/>
    <mergeCell ref="N4:O4"/>
    <mergeCell ref="P4:Q4"/>
    <mergeCell ref="N5:O5"/>
    <mergeCell ref="P5:Q5"/>
    <mergeCell ref="B6:I7"/>
    <mergeCell ref="J6:K7"/>
    <mergeCell ref="L6:M6"/>
    <mergeCell ref="N6:O6"/>
    <mergeCell ref="P6:Q6"/>
  </mergeCells>
  <hyperlinks>
    <hyperlink ref="J84" r:id="rId1" location="consumption" display="http://www.eia.gov/totalenergy/data/monthly/ - consumption"/>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37"/>
  <sheetViews>
    <sheetView workbookViewId="0">
      <pane xSplit="2" ySplit="9" topLeftCell="C31" activePane="bottomRight" state="frozen"/>
      <selection pane="topRight" activeCell="C1" sqref="C1"/>
      <selection pane="bottomLeft" activeCell="A10" sqref="A10"/>
      <selection pane="bottomRight" activeCell="G31" sqref="G31"/>
    </sheetView>
  </sheetViews>
  <sheetFormatPr defaultRowHeight="12.75" x14ac:dyDescent="0.2"/>
  <cols>
    <col min="1" max="1" width="5.5703125" customWidth="1"/>
    <col min="2" max="2" width="6.85546875" customWidth="1"/>
    <col min="4" max="4" width="11" customWidth="1"/>
    <col min="5" max="10" width="10.5703125" customWidth="1"/>
    <col min="12" max="13" width="12" customWidth="1"/>
    <col min="14" max="14" width="12.42578125" customWidth="1"/>
    <col min="15" max="20" width="11.5703125" customWidth="1"/>
    <col min="22" max="23" width="10.7109375" customWidth="1"/>
    <col min="24" max="24" width="9.5703125" customWidth="1"/>
    <col min="25" max="25" width="9.85546875" customWidth="1"/>
    <col min="26" max="28" width="10.28515625" customWidth="1"/>
    <col min="30" max="31" width="11.7109375" customWidth="1"/>
    <col min="32" max="32" width="11.140625" customWidth="1"/>
    <col min="33" max="33" width="10.140625" customWidth="1"/>
    <col min="35" max="35" width="9.5703125" customWidth="1"/>
    <col min="36" max="36" width="9.28515625" customWidth="1"/>
    <col min="38" max="38" width="10.42578125" customWidth="1"/>
    <col min="39" max="39" width="10.28515625" customWidth="1"/>
    <col min="41" max="41" width="5.7109375" customWidth="1"/>
    <col min="45" max="45" width="6.42578125" customWidth="1"/>
    <col min="47" max="47" width="10.7109375" customWidth="1"/>
    <col min="51" max="51" width="11.140625" customWidth="1"/>
    <col min="54" max="54" width="9.5703125" customWidth="1"/>
    <col min="56" max="56" width="11.42578125" customWidth="1"/>
    <col min="61" max="61" width="11.7109375" customWidth="1"/>
    <col min="62" max="63" width="10.85546875" customWidth="1"/>
    <col min="64" max="64" width="7.140625" customWidth="1"/>
    <col min="65" max="65" width="12.85546875" customWidth="1"/>
    <col min="66" max="67" width="11" customWidth="1"/>
    <col min="69" max="69" width="11.140625" customWidth="1"/>
    <col min="70" max="70" width="8.42578125" customWidth="1"/>
    <col min="71" max="71" width="10.42578125" customWidth="1"/>
    <col min="73" max="73" width="12.140625" customWidth="1"/>
  </cols>
  <sheetData>
    <row r="1" spans="1:79" ht="15.75" x14ac:dyDescent="0.25">
      <c r="A1" s="133"/>
      <c r="B1" s="133"/>
      <c r="D1" s="137" t="s">
        <v>91</v>
      </c>
      <c r="AS1" s="134"/>
      <c r="BD1" s="175">
        <f>BD45</f>
        <v>0.44466736099892579</v>
      </c>
      <c r="BE1" s="175">
        <f t="shared" ref="BE1:BF1" si="0">BE45</f>
        <v>0.17401573442968779</v>
      </c>
      <c r="BF1" s="175">
        <f t="shared" si="0"/>
        <v>0.38131690457138656</v>
      </c>
      <c r="BI1" s="175">
        <f>BI45</f>
        <v>3.5786127684062009E-2</v>
      </c>
      <c r="BJ1" s="175">
        <f t="shared" ref="BJ1:BK1" si="1">BJ45</f>
        <v>-6.1506849238727485E-2</v>
      </c>
      <c r="BK1" s="175">
        <f t="shared" si="1"/>
        <v>-5.2376455400128365E-3</v>
      </c>
      <c r="BM1" s="129">
        <f>BD1*BI1</f>
        <v>1.5912922957642454E-2</v>
      </c>
      <c r="BN1" s="129">
        <f t="shared" ref="BN1:BO4" si="2">BE1*BJ1</f>
        <v>-1.0703159542733246E-2</v>
      </c>
      <c r="BO1" s="129">
        <f t="shared" si="2"/>
        <v>-1.9972027845598234E-3</v>
      </c>
      <c r="BP1" s="175">
        <f>SUM(BM1:BO1)</f>
        <v>3.2125606303493853E-3</v>
      </c>
      <c r="BQ1" s="175">
        <f>EXP(BP1)</f>
        <v>1.0032177264335886</v>
      </c>
    </row>
    <row r="2" spans="1:79" x14ac:dyDescent="0.2">
      <c r="A2" s="133"/>
      <c r="B2" s="133"/>
      <c r="H2" s="556"/>
      <c r="I2" s="556"/>
      <c r="AS2" s="134"/>
      <c r="BD2" s="175" t="e">
        <f>#REF!</f>
        <v>#REF!</v>
      </c>
      <c r="BE2" s="175" t="e">
        <f>#REF!</f>
        <v>#REF!</v>
      </c>
      <c r="BF2" s="175" t="e">
        <f>#REF!</f>
        <v>#REF!</v>
      </c>
      <c r="BI2" s="175" t="e">
        <f>#REF!</f>
        <v>#REF!</v>
      </c>
      <c r="BJ2" s="175" t="e">
        <f>#REF!</f>
        <v>#REF!</v>
      </c>
      <c r="BK2" s="175" t="e">
        <f>#REF!</f>
        <v>#REF!</v>
      </c>
      <c r="BM2" s="129" t="e">
        <f>BD2*BI2</f>
        <v>#REF!</v>
      </c>
      <c r="BN2" s="129" t="e">
        <f t="shared" si="2"/>
        <v>#REF!</v>
      </c>
      <c r="BO2" s="129" t="e">
        <f t="shared" si="2"/>
        <v>#REF!</v>
      </c>
      <c r="BP2" s="175" t="e">
        <f>SUM(BM2:BO2)</f>
        <v>#REF!</v>
      </c>
      <c r="BQ2" s="175" t="e">
        <f>EXP(BP2)</f>
        <v>#REF!</v>
      </c>
    </row>
    <row r="3" spans="1:79" x14ac:dyDescent="0.2">
      <c r="A3" s="133"/>
      <c r="B3" s="133"/>
      <c r="AS3" s="134"/>
      <c r="BD3" s="175" t="e">
        <f>#REF!</f>
        <v>#REF!</v>
      </c>
      <c r="BE3" s="175" t="e">
        <f>#REF!</f>
        <v>#REF!</v>
      </c>
      <c r="BF3" s="175" t="e">
        <f>#REF!</f>
        <v>#REF!</v>
      </c>
      <c r="BI3" s="175" t="e">
        <f>#REF!</f>
        <v>#REF!</v>
      </c>
      <c r="BJ3" s="175" t="e">
        <f>#REF!</f>
        <v>#REF!</v>
      </c>
      <c r="BK3" s="175" t="e">
        <f>#REF!</f>
        <v>#REF!</v>
      </c>
      <c r="BM3" s="129" t="e">
        <f t="shared" ref="BM3:BM4" si="3">BD3*BI3</f>
        <v>#REF!</v>
      </c>
      <c r="BN3" s="129" t="e">
        <f t="shared" si="2"/>
        <v>#REF!</v>
      </c>
      <c r="BO3" s="129" t="e">
        <f t="shared" si="2"/>
        <v>#REF!</v>
      </c>
      <c r="BP3" s="175" t="e">
        <f t="shared" ref="BP3:BP4" si="4">SUM(BM3:BO3)</f>
        <v>#REF!</v>
      </c>
      <c r="BQ3" s="175" t="e">
        <f t="shared" ref="BQ3:BQ4" si="5">EXP(BP3)</f>
        <v>#REF!</v>
      </c>
    </row>
    <row r="4" spans="1:79" x14ac:dyDescent="0.2">
      <c r="A4" s="133"/>
      <c r="B4" s="133"/>
      <c r="J4">
        <f>0.9*138700+0.1*125000</f>
        <v>137330</v>
      </c>
      <c r="AS4" s="134"/>
      <c r="BD4" s="175" t="e">
        <f>#REF!</f>
        <v>#REF!</v>
      </c>
      <c r="BE4" s="175" t="e">
        <f>#REF!</f>
        <v>#REF!</v>
      </c>
      <c r="BF4" s="175" t="e">
        <f>#REF!</f>
        <v>#REF!</v>
      </c>
      <c r="BI4" s="175" t="e">
        <f>#REF!</f>
        <v>#REF!</v>
      </c>
      <c r="BJ4" s="175" t="e">
        <f>#REF!</f>
        <v>#REF!</v>
      </c>
      <c r="BK4" s="175" t="e">
        <f>#REF!</f>
        <v>#REF!</v>
      </c>
      <c r="BM4" s="129" t="e">
        <f t="shared" si="3"/>
        <v>#REF!</v>
      </c>
      <c r="BN4" s="129" t="e">
        <f t="shared" si="2"/>
        <v>#REF!</v>
      </c>
      <c r="BO4" s="129" t="e">
        <f t="shared" si="2"/>
        <v>#REF!</v>
      </c>
      <c r="BP4" s="175" t="e">
        <f t="shared" si="4"/>
        <v>#REF!</v>
      </c>
      <c r="BQ4" s="175" t="e">
        <f t="shared" si="5"/>
        <v>#REF!</v>
      </c>
    </row>
    <row r="5" spans="1:79" x14ac:dyDescent="0.2">
      <c r="A5" s="133"/>
      <c r="B5" s="133"/>
      <c r="D5" s="6" t="s">
        <v>760</v>
      </c>
      <c r="L5" s="6" t="s">
        <v>722</v>
      </c>
      <c r="M5" s="6"/>
      <c r="V5" s="6" t="s">
        <v>682</v>
      </c>
      <c r="W5" s="6"/>
      <c r="AD5" s="6" t="s">
        <v>685</v>
      </c>
      <c r="AE5" s="6"/>
      <c r="AI5" s="6" t="s">
        <v>109</v>
      </c>
      <c r="AJ5" s="6"/>
      <c r="AS5" s="134"/>
      <c r="AU5" s="6" t="s">
        <v>694</v>
      </c>
      <c r="AY5" s="6" t="s">
        <v>695</v>
      </c>
      <c r="BD5" s="6" t="s">
        <v>696</v>
      </c>
      <c r="BE5" s="6"/>
      <c r="BF5" s="6"/>
      <c r="BI5" s="6" t="s">
        <v>698</v>
      </c>
      <c r="BM5" s="6" t="s">
        <v>699</v>
      </c>
      <c r="BQ5" s="6" t="s">
        <v>700</v>
      </c>
      <c r="BU5" s="6" t="s">
        <v>705</v>
      </c>
      <c r="BY5" s="6" t="s">
        <v>706</v>
      </c>
    </row>
    <row r="6" spans="1:79" x14ac:dyDescent="0.2">
      <c r="A6" s="133" t="s">
        <v>663</v>
      </c>
      <c r="B6" s="133"/>
      <c r="I6" s="279"/>
      <c r="AI6" s="149" t="s">
        <v>711</v>
      </c>
      <c r="AJ6" s="149" t="s">
        <v>712</v>
      </c>
      <c r="AK6" s="149" t="s">
        <v>713</v>
      </c>
      <c r="AL6" s="149" t="s">
        <v>714</v>
      </c>
      <c r="AM6" s="149" t="s">
        <v>715</v>
      </c>
      <c r="AN6" s="149" t="s">
        <v>716</v>
      </c>
      <c r="AO6" s="149"/>
      <c r="AP6" s="149" t="s">
        <v>720</v>
      </c>
      <c r="AS6" s="134"/>
      <c r="BD6" s="6" t="s">
        <v>697</v>
      </c>
      <c r="BE6" s="6"/>
      <c r="BF6" s="6"/>
    </row>
    <row r="7" spans="1:79" ht="53.45" customHeight="1" x14ac:dyDescent="0.2">
      <c r="A7" s="133"/>
      <c r="B7" s="133"/>
      <c r="D7" s="126" t="s">
        <v>314</v>
      </c>
      <c r="E7" s="126" t="s">
        <v>315</v>
      </c>
      <c r="F7" s="126" t="s">
        <v>551</v>
      </c>
      <c r="G7" s="126" t="s">
        <v>690</v>
      </c>
      <c r="H7" s="702" t="s">
        <v>1253</v>
      </c>
      <c r="I7" s="704" t="s">
        <v>1257</v>
      </c>
      <c r="K7" s="698"/>
      <c r="L7" s="126" t="str">
        <f>D7</f>
        <v>Urban Bus</v>
      </c>
      <c r="M7" s="126" t="str">
        <f>E7</f>
        <v>Intercity Bus</v>
      </c>
      <c r="N7" s="126" t="str">
        <f>F7</f>
        <v>School Bus</v>
      </c>
      <c r="O7" s="126" t="s">
        <v>690</v>
      </c>
      <c r="P7" s="702" t="s">
        <v>1252</v>
      </c>
      <c r="Q7" s="702" t="s">
        <v>1260</v>
      </c>
      <c r="R7" s="702" t="s">
        <v>1254</v>
      </c>
      <c r="S7" s="702" t="s">
        <v>1261</v>
      </c>
      <c r="T7" s="702" t="s">
        <v>1254</v>
      </c>
      <c r="U7" s="698"/>
      <c r="V7" s="126" t="str">
        <f>D7</f>
        <v>Urban Bus</v>
      </c>
      <c r="W7" s="126" t="str">
        <f>E7</f>
        <v>Intercity Bus</v>
      </c>
      <c r="X7" s="126" t="str">
        <f>F7</f>
        <v>School Bus</v>
      </c>
      <c r="Y7" s="126" t="str">
        <f>G7</f>
        <v xml:space="preserve">   Total</v>
      </c>
      <c r="Z7" s="702" t="s">
        <v>1252</v>
      </c>
      <c r="AA7" s="702" t="s">
        <v>1255</v>
      </c>
      <c r="AB7" s="702" t="s">
        <v>1256</v>
      </c>
      <c r="AC7" s="698"/>
      <c r="AD7" s="126" t="str">
        <f>D7</f>
        <v>Urban Bus</v>
      </c>
      <c r="AE7" s="126" t="str">
        <f>E7</f>
        <v>Intercity Bus</v>
      </c>
      <c r="AF7" s="126" t="str">
        <f>F7</f>
        <v>School Bus</v>
      </c>
      <c r="AG7" s="126" t="str">
        <f>G7</f>
        <v xml:space="preserve">   Total</v>
      </c>
      <c r="AH7" s="698"/>
      <c r="AI7" s="150" t="s">
        <v>665</v>
      </c>
      <c r="AJ7" s="150" t="s">
        <v>707</v>
      </c>
      <c r="AK7" s="306" t="s">
        <v>119</v>
      </c>
      <c r="AL7" s="306" t="s">
        <v>708</v>
      </c>
      <c r="AM7" s="150" t="s">
        <v>692</v>
      </c>
      <c r="AN7" s="150" t="s">
        <v>709</v>
      </c>
      <c r="AO7" s="150"/>
      <c r="AP7" s="150" t="s">
        <v>710</v>
      </c>
      <c r="AS7" s="134"/>
      <c r="AU7" s="126" t="str">
        <f>D7</f>
        <v>Urban Bus</v>
      </c>
      <c r="AV7" s="126" t="str">
        <f>E7</f>
        <v>Intercity Bus</v>
      </c>
      <c r="AW7" s="126" t="str">
        <f>F7</f>
        <v>School Bus</v>
      </c>
      <c r="AY7" s="126" t="str">
        <f>D7</f>
        <v>Urban Bus</v>
      </c>
      <c r="AZ7" s="126" t="str">
        <f>E7</f>
        <v>Intercity Bus</v>
      </c>
      <c r="BA7" s="126" t="str">
        <f>F7</f>
        <v>School Bus</v>
      </c>
      <c r="BB7" s="126" t="str">
        <f>G7</f>
        <v xml:space="preserve">   Total</v>
      </c>
      <c r="BC7" s="698"/>
      <c r="BD7" s="126" t="str">
        <f>D7</f>
        <v>Urban Bus</v>
      </c>
      <c r="BE7" s="126" t="str">
        <f>E7</f>
        <v>Intercity Bus</v>
      </c>
      <c r="BF7" s="126" t="str">
        <f>F7</f>
        <v>School Bus</v>
      </c>
      <c r="BG7" s="698"/>
      <c r="BH7" s="698"/>
      <c r="BI7" s="126" t="str">
        <f>D7</f>
        <v>Urban Bus</v>
      </c>
      <c r="BJ7" s="126" t="str">
        <f>E7</f>
        <v>Intercity Bus</v>
      </c>
      <c r="BK7" s="126" t="str">
        <f>F7</f>
        <v>School Bus</v>
      </c>
      <c r="BL7" s="698"/>
      <c r="BM7" s="126" t="str">
        <f>D7</f>
        <v>Urban Bus</v>
      </c>
      <c r="BN7" s="126" t="str">
        <f>E7</f>
        <v>Intercity Bus</v>
      </c>
      <c r="BO7" s="126" t="str">
        <f>F7</f>
        <v>School Bus</v>
      </c>
      <c r="BP7" s="698"/>
      <c r="BQ7" s="126" t="str">
        <f>D7</f>
        <v>Urban Bus</v>
      </c>
      <c r="BR7" s="126" t="str">
        <f>E7</f>
        <v>Intercity Bus</v>
      </c>
      <c r="BS7" s="126" t="str">
        <f>F7</f>
        <v>School Bus</v>
      </c>
      <c r="BT7" s="698"/>
      <c r="BU7" s="148" t="s">
        <v>701</v>
      </c>
      <c r="BV7" s="148" t="s">
        <v>702</v>
      </c>
      <c r="BW7" s="148" t="s">
        <v>702</v>
      </c>
      <c r="BY7" s="148" t="s">
        <v>701</v>
      </c>
      <c r="BZ7" s="148" t="s">
        <v>702</v>
      </c>
      <c r="CA7" s="148" t="s">
        <v>702</v>
      </c>
    </row>
    <row r="8" spans="1:79" ht="28.5" customHeight="1" x14ac:dyDescent="0.2">
      <c r="A8" s="133" t="s">
        <v>663</v>
      </c>
      <c r="B8" s="133"/>
      <c r="D8" s="135" t="s">
        <v>663</v>
      </c>
      <c r="E8" s="135" t="s">
        <v>663</v>
      </c>
      <c r="F8" s="135" t="s">
        <v>663</v>
      </c>
      <c r="G8" s="135" t="s">
        <v>691</v>
      </c>
      <c r="H8" s="703" t="s">
        <v>691</v>
      </c>
      <c r="I8" s="705"/>
      <c r="K8" s="698"/>
      <c r="L8" s="135"/>
      <c r="M8" s="135"/>
      <c r="N8" s="135"/>
      <c r="O8" s="135"/>
      <c r="P8" s="703"/>
      <c r="Q8" s="703"/>
      <c r="R8" s="703"/>
      <c r="S8" s="703"/>
      <c r="T8" s="703"/>
      <c r="U8" s="698"/>
      <c r="V8" s="135"/>
      <c r="W8" s="135"/>
      <c r="X8" s="135"/>
      <c r="Y8" s="135"/>
      <c r="Z8" s="703"/>
      <c r="AA8" s="703"/>
      <c r="AB8" s="703"/>
      <c r="AC8" s="698"/>
      <c r="AD8" s="135"/>
      <c r="AE8" s="135"/>
      <c r="AF8" s="135"/>
      <c r="AG8" s="135"/>
      <c r="AH8" s="698"/>
      <c r="AI8" s="151"/>
      <c r="AJ8" s="151"/>
      <c r="AK8" s="151"/>
      <c r="AL8" s="151"/>
      <c r="AM8" s="152" t="s">
        <v>718</v>
      </c>
      <c r="AN8" s="152" t="s">
        <v>719</v>
      </c>
      <c r="AO8" s="151"/>
      <c r="AP8" s="151"/>
      <c r="AS8" s="134"/>
      <c r="BU8" t="s">
        <v>703</v>
      </c>
      <c r="BV8" t="s">
        <v>703</v>
      </c>
      <c r="BW8" t="s">
        <v>704</v>
      </c>
      <c r="BY8" t="s">
        <v>703</v>
      </c>
      <c r="BZ8" t="s">
        <v>703</v>
      </c>
      <c r="CA8" t="s">
        <v>704</v>
      </c>
    </row>
    <row r="9" spans="1:79" ht="18.75" customHeight="1" thickBot="1" x14ac:dyDescent="0.25">
      <c r="A9" s="133"/>
      <c r="B9" s="133"/>
      <c r="D9" s="135" t="s">
        <v>761</v>
      </c>
      <c r="E9" s="135" t="s">
        <v>762</v>
      </c>
      <c r="F9" s="135" t="s">
        <v>762</v>
      </c>
      <c r="G9" s="135" t="s">
        <v>762</v>
      </c>
      <c r="H9" s="703" t="s">
        <v>762</v>
      </c>
      <c r="I9" s="704" t="s">
        <v>1258</v>
      </c>
      <c r="J9" s="704" t="s">
        <v>1259</v>
      </c>
      <c r="K9" s="698"/>
      <c r="L9" s="135" t="s">
        <v>688</v>
      </c>
      <c r="M9" s="135" t="s">
        <v>688</v>
      </c>
      <c r="N9" s="135" t="s">
        <v>687</v>
      </c>
      <c r="O9" s="135" t="s">
        <v>687</v>
      </c>
      <c r="P9" s="703"/>
      <c r="Q9" s="703"/>
      <c r="R9" s="703"/>
      <c r="S9" s="703"/>
      <c r="T9" s="703"/>
      <c r="U9" s="698"/>
      <c r="V9" s="135" t="s">
        <v>686</v>
      </c>
      <c r="W9" s="135" t="s">
        <v>686</v>
      </c>
      <c r="X9" s="135" t="s">
        <v>686</v>
      </c>
      <c r="Y9" s="135" t="s">
        <v>686</v>
      </c>
      <c r="Z9" s="703"/>
      <c r="AA9" s="703"/>
      <c r="AB9" s="703"/>
      <c r="AC9" s="698"/>
      <c r="AD9" s="135" t="s">
        <v>689</v>
      </c>
      <c r="AE9" s="135" t="s">
        <v>689</v>
      </c>
      <c r="AF9" s="135" t="s">
        <v>689</v>
      </c>
      <c r="AG9" s="135" t="s">
        <v>689</v>
      </c>
      <c r="AH9" s="698"/>
      <c r="AI9" s="153"/>
      <c r="AJ9" s="153"/>
      <c r="AK9" s="153"/>
      <c r="AL9" s="153"/>
      <c r="AM9" s="153"/>
      <c r="AN9" s="153"/>
      <c r="AO9" s="153"/>
      <c r="AP9" s="153"/>
      <c r="AS9" s="134"/>
      <c r="BU9" s="130"/>
      <c r="BV9" s="130"/>
      <c r="BW9" s="130"/>
      <c r="BY9" s="130"/>
      <c r="BZ9" s="130"/>
      <c r="CA9" s="130"/>
    </row>
    <row r="10" spans="1:79" x14ac:dyDescent="0.2">
      <c r="A10" s="133" t="s">
        <v>664</v>
      </c>
      <c r="B10" s="133">
        <v>1949</v>
      </c>
      <c r="F10" s="173"/>
      <c r="L10" s="4"/>
      <c r="M10" s="4">
        <f>'Passenger-based Activity'!E8</f>
        <v>0</v>
      </c>
      <c r="N10" s="172"/>
      <c r="O10" s="4">
        <f>L10+M10+N10</f>
        <v>0</v>
      </c>
      <c r="P10" s="4"/>
      <c r="Q10" s="4"/>
      <c r="R10" s="4"/>
      <c r="S10" s="4"/>
      <c r="T10" s="4"/>
      <c r="AI10" s="131"/>
      <c r="AJ10" s="131"/>
      <c r="AK10" s="131"/>
      <c r="AL10" s="131"/>
      <c r="AM10" s="131"/>
      <c r="AN10" s="131"/>
      <c r="AO10" s="131"/>
      <c r="AP10" s="131"/>
      <c r="AS10" s="134"/>
      <c r="BM10" s="129" t="e">
        <f t="shared" ref="BM10:BM68" si="6">L10/O10</f>
        <v>#DIV/0!</v>
      </c>
      <c r="BN10" s="129" t="e">
        <f>M10/O10</f>
        <v>#DIV/0!</v>
      </c>
      <c r="BO10" s="129" t="e">
        <f>N10/O10</f>
        <v>#DIV/0!</v>
      </c>
      <c r="BV10" s="129">
        <v>1</v>
      </c>
      <c r="BW10" s="129">
        <f t="shared" ref="BW10:BW72" si="7">BV10/BV$74</f>
        <v>0.91292740619464163</v>
      </c>
      <c r="BZ10" s="129">
        <v>1</v>
      </c>
      <c r="CA10" s="129">
        <f t="shared" ref="CA10:CA72" si="8">BZ10/BZ$74</f>
        <v>1.0562354499437476</v>
      </c>
    </row>
    <row r="11" spans="1:79" x14ac:dyDescent="0.2">
      <c r="A11" s="133" t="s">
        <v>664</v>
      </c>
      <c r="B11" s="133">
        <f t="shared" ref="B11:B72" si="9">B10+1</f>
        <v>1950</v>
      </c>
      <c r="F11" s="173"/>
      <c r="L11" s="4"/>
      <c r="M11" s="4">
        <f>'Passenger-based Activity'!E9</f>
        <v>0</v>
      </c>
      <c r="N11" s="172"/>
      <c r="O11" s="4">
        <f t="shared" ref="O11:O67" si="10">L11+M11+N11</f>
        <v>0</v>
      </c>
      <c r="P11" s="4"/>
      <c r="Q11" s="4"/>
      <c r="R11" s="4"/>
      <c r="S11" s="4"/>
      <c r="T11" s="4"/>
      <c r="AI11" s="131"/>
      <c r="AJ11" s="131"/>
      <c r="AK11" s="131"/>
      <c r="AL11" s="131"/>
      <c r="AM11" s="131"/>
      <c r="AN11" s="131"/>
      <c r="AO11" s="131"/>
      <c r="AP11" s="131"/>
      <c r="AS11" s="134"/>
      <c r="AU11" t="e">
        <f t="shared" ref="AU11:AU42" si="11">D11/G11</f>
        <v>#DIV/0!</v>
      </c>
      <c r="AV11" t="e">
        <f t="shared" ref="AV11:AV42" si="12">E11/G11</f>
        <v>#DIV/0!</v>
      </c>
      <c r="AW11" t="e">
        <f t="shared" ref="AW11:AW42" si="13">F11/G11</f>
        <v>#DIV/0!</v>
      </c>
      <c r="AY11" t="e">
        <f t="shared" ref="AY11:BA32" si="14">(AU11-AU10)/LN(AU11/AU10)</f>
        <v>#DIV/0!</v>
      </c>
      <c r="AZ11" t="e">
        <f t="shared" si="14"/>
        <v>#DIV/0!</v>
      </c>
      <c r="BA11" t="e">
        <f t="shared" si="14"/>
        <v>#DIV/0!</v>
      </c>
      <c r="BB11" t="e">
        <f>AY11+AZ11+BA11</f>
        <v>#DIV/0!</v>
      </c>
      <c r="BD11" t="e">
        <f t="shared" ref="BD11:BD72" si="15">AY11/BB11</f>
        <v>#DIV/0!</v>
      </c>
      <c r="BE11" t="e">
        <f t="shared" ref="BE11:BE72" si="16">AZ11/BB11</f>
        <v>#DIV/0!</v>
      </c>
      <c r="BF11" t="e">
        <f>BA11/BB11</f>
        <v>#DIV/0!</v>
      </c>
      <c r="BI11" t="e">
        <f t="shared" ref="BI11:BK32" si="17">LN(AD11/AD10)</f>
        <v>#DIV/0!</v>
      </c>
      <c r="BJ11" t="e">
        <f t="shared" si="17"/>
        <v>#DIV/0!</v>
      </c>
      <c r="BK11" t="e">
        <f t="shared" si="17"/>
        <v>#DIV/0!</v>
      </c>
      <c r="BM11" s="129" t="e">
        <f t="shared" si="6"/>
        <v>#DIV/0!</v>
      </c>
      <c r="BN11" s="129" t="e">
        <f t="shared" ref="BN11:BN68" si="18">M11/O11</f>
        <v>#DIV/0!</v>
      </c>
      <c r="BO11" s="129" t="e">
        <f t="shared" ref="BO11:BO68" si="19">N11/O11</f>
        <v>#DIV/0!</v>
      </c>
      <c r="BQ11" t="e">
        <f t="shared" ref="BQ11:BS32" si="20">LN(BM11/BM10)</f>
        <v>#DIV/0!</v>
      </c>
      <c r="BR11" t="e">
        <f t="shared" si="20"/>
        <v>#DIV/0!</v>
      </c>
      <c r="BS11" t="e">
        <f t="shared" si="20"/>
        <v>#DIV/0!</v>
      </c>
      <c r="BU11" s="129" t="e">
        <f>EXP(SUMPRODUCT($BD11:$BF11,BI11:BK11))</f>
        <v>#DIV/0!</v>
      </c>
      <c r="BV11" s="129">
        <f t="shared" ref="BV11:BV72" si="21">IF(ISERR(BU11),BV10,BU11*BV10)</f>
        <v>1</v>
      </c>
      <c r="BW11" s="129">
        <f t="shared" si="7"/>
        <v>0.91292740619464163</v>
      </c>
      <c r="BY11" s="129" t="e">
        <f>EXP(SUMPRODUCT($BD11:$BF11,BQ11:BS11))</f>
        <v>#DIV/0!</v>
      </c>
      <c r="BZ11" s="129">
        <f t="shared" ref="BZ11:BZ72" si="22">IF(ISERR(BY11),BZ10,BY11*BZ10)</f>
        <v>1</v>
      </c>
      <c r="CA11" s="129">
        <f t="shared" si="8"/>
        <v>1.0562354499437476</v>
      </c>
    </row>
    <row r="12" spans="1:79" x14ac:dyDescent="0.2">
      <c r="A12" s="133" t="s">
        <v>664</v>
      </c>
      <c r="B12" s="133">
        <f t="shared" si="9"/>
        <v>1951</v>
      </c>
      <c r="F12" s="173"/>
      <c r="L12" s="4"/>
      <c r="M12" s="4">
        <f>'Passenger-based Activity'!E10</f>
        <v>0</v>
      </c>
      <c r="N12" s="172"/>
      <c r="O12" s="4">
        <f t="shared" si="10"/>
        <v>0</v>
      </c>
      <c r="P12" s="4"/>
      <c r="Q12" s="4"/>
      <c r="R12" s="4"/>
      <c r="S12" s="4"/>
      <c r="T12" s="4"/>
      <c r="AI12" s="131"/>
      <c r="AJ12" s="131"/>
      <c r="AK12" s="131"/>
      <c r="AL12" s="131"/>
      <c r="AM12" s="131"/>
      <c r="AN12" s="131"/>
      <c r="AO12" s="131"/>
      <c r="AP12" s="131"/>
      <c r="AS12" s="134"/>
      <c r="AU12" t="e">
        <f t="shared" si="11"/>
        <v>#DIV/0!</v>
      </c>
      <c r="AV12" t="e">
        <f t="shared" si="12"/>
        <v>#DIV/0!</v>
      </c>
      <c r="AW12" t="e">
        <f t="shared" si="13"/>
        <v>#DIV/0!</v>
      </c>
      <c r="AY12" t="e">
        <f t="shared" si="14"/>
        <v>#DIV/0!</v>
      </c>
      <c r="AZ12" t="e">
        <f t="shared" si="14"/>
        <v>#DIV/0!</v>
      </c>
      <c r="BA12" t="e">
        <f t="shared" si="14"/>
        <v>#DIV/0!</v>
      </c>
      <c r="BB12" t="e">
        <f t="shared" ref="BB12:BB72" si="23">AY12+AZ12+BA12</f>
        <v>#DIV/0!</v>
      </c>
      <c r="BD12" t="e">
        <f t="shared" si="15"/>
        <v>#DIV/0!</v>
      </c>
      <c r="BE12" t="e">
        <f t="shared" si="16"/>
        <v>#DIV/0!</v>
      </c>
      <c r="BF12" t="e">
        <f t="shared" ref="BF12:BF72" si="24">BA12/BB12</f>
        <v>#DIV/0!</v>
      </c>
      <c r="BI12" t="e">
        <f t="shared" si="17"/>
        <v>#DIV/0!</v>
      </c>
      <c r="BJ12" t="e">
        <f t="shared" si="17"/>
        <v>#DIV/0!</v>
      </c>
      <c r="BK12" t="e">
        <f t="shared" si="17"/>
        <v>#DIV/0!</v>
      </c>
      <c r="BM12" s="129" t="e">
        <f t="shared" si="6"/>
        <v>#DIV/0!</v>
      </c>
      <c r="BN12" s="129" t="e">
        <f t="shared" si="18"/>
        <v>#DIV/0!</v>
      </c>
      <c r="BO12" s="129" t="e">
        <f t="shared" si="19"/>
        <v>#DIV/0!</v>
      </c>
      <c r="BQ12" t="e">
        <f t="shared" si="20"/>
        <v>#DIV/0!</v>
      </c>
      <c r="BR12" t="e">
        <f t="shared" si="20"/>
        <v>#DIV/0!</v>
      </c>
      <c r="BS12" t="e">
        <f t="shared" si="20"/>
        <v>#DIV/0!</v>
      </c>
      <c r="BU12" s="129" t="e">
        <f t="shared" ref="BU12:BU72" si="25">EXP(SUMPRODUCT($BD12:$BF12,BI12:BK12))</f>
        <v>#DIV/0!</v>
      </c>
      <c r="BV12" s="129">
        <f t="shared" si="21"/>
        <v>1</v>
      </c>
      <c r="BW12" s="129">
        <f t="shared" si="7"/>
        <v>0.91292740619464163</v>
      </c>
      <c r="BY12" s="129" t="e">
        <f t="shared" ref="BY12:BY72" si="26">EXP(SUMPRODUCT($BD12:$BF12,BQ12:BS12))</f>
        <v>#DIV/0!</v>
      </c>
      <c r="BZ12" s="129">
        <f t="shared" si="22"/>
        <v>1</v>
      </c>
      <c r="CA12" s="129">
        <f t="shared" si="8"/>
        <v>1.0562354499437476</v>
      </c>
    </row>
    <row r="13" spans="1:79" x14ac:dyDescent="0.2">
      <c r="A13" s="133" t="s">
        <v>664</v>
      </c>
      <c r="B13" s="133">
        <f t="shared" si="9"/>
        <v>1952</v>
      </c>
      <c r="F13" s="173"/>
      <c r="L13" s="4"/>
      <c r="M13" s="4">
        <f>'Passenger-based Activity'!E11</f>
        <v>0</v>
      </c>
      <c r="N13" s="172"/>
      <c r="O13" s="4">
        <f t="shared" si="10"/>
        <v>0</v>
      </c>
      <c r="P13" s="4"/>
      <c r="Q13" s="4"/>
      <c r="R13" s="4"/>
      <c r="S13" s="4"/>
      <c r="T13" s="4"/>
      <c r="AI13" s="131"/>
      <c r="AJ13" s="131"/>
      <c r="AK13" s="131"/>
      <c r="AL13" s="131"/>
      <c r="AM13" s="131"/>
      <c r="AN13" s="131"/>
      <c r="AO13" s="131"/>
      <c r="AP13" s="131"/>
      <c r="AS13" s="134"/>
      <c r="AU13" t="e">
        <f t="shared" si="11"/>
        <v>#DIV/0!</v>
      </c>
      <c r="AV13" t="e">
        <f t="shared" si="12"/>
        <v>#DIV/0!</v>
      </c>
      <c r="AW13" t="e">
        <f t="shared" si="13"/>
        <v>#DIV/0!</v>
      </c>
      <c r="AY13" t="e">
        <f t="shared" si="14"/>
        <v>#DIV/0!</v>
      </c>
      <c r="AZ13" t="e">
        <f t="shared" si="14"/>
        <v>#DIV/0!</v>
      </c>
      <c r="BA13" t="e">
        <f t="shared" si="14"/>
        <v>#DIV/0!</v>
      </c>
      <c r="BB13" t="e">
        <f t="shared" si="23"/>
        <v>#DIV/0!</v>
      </c>
      <c r="BD13" t="e">
        <f t="shared" si="15"/>
        <v>#DIV/0!</v>
      </c>
      <c r="BE13" t="e">
        <f t="shared" si="16"/>
        <v>#DIV/0!</v>
      </c>
      <c r="BF13" t="e">
        <f t="shared" si="24"/>
        <v>#DIV/0!</v>
      </c>
      <c r="BI13" t="e">
        <f t="shared" si="17"/>
        <v>#DIV/0!</v>
      </c>
      <c r="BJ13" t="e">
        <f t="shared" si="17"/>
        <v>#DIV/0!</v>
      </c>
      <c r="BK13" t="e">
        <f t="shared" si="17"/>
        <v>#DIV/0!</v>
      </c>
      <c r="BM13" s="129" t="e">
        <f t="shared" si="6"/>
        <v>#DIV/0!</v>
      </c>
      <c r="BN13" s="129" t="e">
        <f t="shared" si="18"/>
        <v>#DIV/0!</v>
      </c>
      <c r="BO13" s="129" t="e">
        <f t="shared" si="19"/>
        <v>#DIV/0!</v>
      </c>
      <c r="BQ13" t="e">
        <f t="shared" si="20"/>
        <v>#DIV/0!</v>
      </c>
      <c r="BR13" t="e">
        <f t="shared" si="20"/>
        <v>#DIV/0!</v>
      </c>
      <c r="BS13" t="e">
        <f t="shared" si="20"/>
        <v>#DIV/0!</v>
      </c>
      <c r="BU13" s="129" t="e">
        <f t="shared" si="25"/>
        <v>#DIV/0!</v>
      </c>
      <c r="BV13" s="129">
        <f t="shared" si="21"/>
        <v>1</v>
      </c>
      <c r="BW13" s="129">
        <f t="shared" si="7"/>
        <v>0.91292740619464163</v>
      </c>
      <c r="BY13" s="129" t="e">
        <f t="shared" si="26"/>
        <v>#DIV/0!</v>
      </c>
      <c r="BZ13" s="129">
        <f t="shared" si="22"/>
        <v>1</v>
      </c>
      <c r="CA13" s="129">
        <f t="shared" si="8"/>
        <v>1.0562354499437476</v>
      </c>
    </row>
    <row r="14" spans="1:79" x14ac:dyDescent="0.2">
      <c r="A14" s="133" t="s">
        <v>664</v>
      </c>
      <c r="B14" s="133">
        <f t="shared" si="9"/>
        <v>1953</v>
      </c>
      <c r="F14" s="173"/>
      <c r="L14" s="4"/>
      <c r="M14" s="4">
        <f>'Passenger-based Activity'!E12</f>
        <v>0</v>
      </c>
      <c r="N14" s="172"/>
      <c r="O14" s="4">
        <f t="shared" si="10"/>
        <v>0</v>
      </c>
      <c r="P14" s="4"/>
      <c r="Q14" s="4"/>
      <c r="R14" s="4"/>
      <c r="S14" s="4"/>
      <c r="T14" s="4"/>
      <c r="AI14" s="131"/>
      <c r="AJ14" s="131"/>
      <c r="AK14" s="131"/>
      <c r="AL14" s="131"/>
      <c r="AM14" s="131"/>
      <c r="AN14" s="131"/>
      <c r="AO14" s="131"/>
      <c r="AP14" s="131"/>
      <c r="AS14" s="134"/>
      <c r="AU14" t="e">
        <f t="shared" si="11"/>
        <v>#DIV/0!</v>
      </c>
      <c r="AV14" t="e">
        <f t="shared" si="12"/>
        <v>#DIV/0!</v>
      </c>
      <c r="AW14" t="e">
        <f t="shared" si="13"/>
        <v>#DIV/0!</v>
      </c>
      <c r="AY14" t="e">
        <f t="shared" si="14"/>
        <v>#DIV/0!</v>
      </c>
      <c r="AZ14" t="e">
        <f t="shared" si="14"/>
        <v>#DIV/0!</v>
      </c>
      <c r="BA14" t="e">
        <f t="shared" si="14"/>
        <v>#DIV/0!</v>
      </c>
      <c r="BB14" t="e">
        <f t="shared" si="23"/>
        <v>#DIV/0!</v>
      </c>
      <c r="BD14" t="e">
        <f t="shared" si="15"/>
        <v>#DIV/0!</v>
      </c>
      <c r="BE14" t="e">
        <f t="shared" si="16"/>
        <v>#DIV/0!</v>
      </c>
      <c r="BF14" t="e">
        <f t="shared" si="24"/>
        <v>#DIV/0!</v>
      </c>
      <c r="BI14" t="e">
        <f t="shared" si="17"/>
        <v>#DIV/0!</v>
      </c>
      <c r="BJ14" t="e">
        <f t="shared" si="17"/>
        <v>#DIV/0!</v>
      </c>
      <c r="BK14" t="e">
        <f t="shared" si="17"/>
        <v>#DIV/0!</v>
      </c>
      <c r="BM14" s="129" t="e">
        <f t="shared" si="6"/>
        <v>#DIV/0!</v>
      </c>
      <c r="BN14" s="129" t="e">
        <f t="shared" si="18"/>
        <v>#DIV/0!</v>
      </c>
      <c r="BO14" s="129" t="e">
        <f t="shared" si="19"/>
        <v>#DIV/0!</v>
      </c>
      <c r="BQ14" t="e">
        <f t="shared" si="20"/>
        <v>#DIV/0!</v>
      </c>
      <c r="BR14" t="e">
        <f t="shared" si="20"/>
        <v>#DIV/0!</v>
      </c>
      <c r="BS14" t="e">
        <f t="shared" si="20"/>
        <v>#DIV/0!</v>
      </c>
      <c r="BU14" s="129" t="e">
        <f t="shared" si="25"/>
        <v>#DIV/0!</v>
      </c>
      <c r="BV14" s="129">
        <f t="shared" si="21"/>
        <v>1</v>
      </c>
      <c r="BW14" s="129">
        <f t="shared" si="7"/>
        <v>0.91292740619464163</v>
      </c>
      <c r="BY14" s="129" t="e">
        <f t="shared" si="26"/>
        <v>#DIV/0!</v>
      </c>
      <c r="BZ14" s="129">
        <f t="shared" si="22"/>
        <v>1</v>
      </c>
      <c r="CA14" s="129">
        <f t="shared" si="8"/>
        <v>1.0562354499437476</v>
      </c>
    </row>
    <row r="15" spans="1:79" x14ac:dyDescent="0.2">
      <c r="A15" s="133" t="s">
        <v>664</v>
      </c>
      <c r="B15" s="133">
        <f t="shared" si="9"/>
        <v>1954</v>
      </c>
      <c r="F15" s="173"/>
      <c r="L15" s="4"/>
      <c r="M15" s="4">
        <f>'Passenger-based Activity'!E13</f>
        <v>0</v>
      </c>
      <c r="N15" s="172"/>
      <c r="O15" s="4">
        <f t="shared" si="10"/>
        <v>0</v>
      </c>
      <c r="P15" s="4"/>
      <c r="Q15" s="4"/>
      <c r="R15" s="4"/>
      <c r="S15" s="4"/>
      <c r="T15" s="4"/>
      <c r="AI15" s="131"/>
      <c r="AJ15" s="131"/>
      <c r="AK15" s="131"/>
      <c r="AL15" s="131"/>
      <c r="AM15" s="131"/>
      <c r="AN15" s="131"/>
      <c r="AO15" s="131"/>
      <c r="AP15" s="131"/>
      <c r="AS15" s="134"/>
      <c r="AU15" t="e">
        <f t="shared" si="11"/>
        <v>#DIV/0!</v>
      </c>
      <c r="AV15" t="e">
        <f t="shared" si="12"/>
        <v>#DIV/0!</v>
      </c>
      <c r="AW15" t="e">
        <f t="shared" si="13"/>
        <v>#DIV/0!</v>
      </c>
      <c r="AY15" t="e">
        <f t="shared" si="14"/>
        <v>#DIV/0!</v>
      </c>
      <c r="AZ15" t="e">
        <f t="shared" si="14"/>
        <v>#DIV/0!</v>
      </c>
      <c r="BA15" t="e">
        <f t="shared" si="14"/>
        <v>#DIV/0!</v>
      </c>
      <c r="BB15" t="e">
        <f t="shared" si="23"/>
        <v>#DIV/0!</v>
      </c>
      <c r="BD15" t="e">
        <f t="shared" si="15"/>
        <v>#DIV/0!</v>
      </c>
      <c r="BE15" t="e">
        <f t="shared" si="16"/>
        <v>#DIV/0!</v>
      </c>
      <c r="BF15" t="e">
        <f t="shared" si="24"/>
        <v>#DIV/0!</v>
      </c>
      <c r="BI15" t="e">
        <f t="shared" si="17"/>
        <v>#DIV/0!</v>
      </c>
      <c r="BJ15" t="e">
        <f t="shared" si="17"/>
        <v>#DIV/0!</v>
      </c>
      <c r="BK15" t="e">
        <f t="shared" si="17"/>
        <v>#DIV/0!</v>
      </c>
      <c r="BM15" s="129" t="e">
        <f t="shared" si="6"/>
        <v>#DIV/0!</v>
      </c>
      <c r="BN15" s="129" t="e">
        <f t="shared" si="18"/>
        <v>#DIV/0!</v>
      </c>
      <c r="BO15" s="129" t="e">
        <f t="shared" si="19"/>
        <v>#DIV/0!</v>
      </c>
      <c r="BQ15" t="e">
        <f t="shared" si="20"/>
        <v>#DIV/0!</v>
      </c>
      <c r="BR15" t="e">
        <f t="shared" si="20"/>
        <v>#DIV/0!</v>
      </c>
      <c r="BS15" t="e">
        <f t="shared" si="20"/>
        <v>#DIV/0!</v>
      </c>
      <c r="BU15" s="129" t="e">
        <f t="shared" si="25"/>
        <v>#DIV/0!</v>
      </c>
      <c r="BV15" s="129">
        <f t="shared" si="21"/>
        <v>1</v>
      </c>
      <c r="BW15" s="129">
        <f t="shared" si="7"/>
        <v>0.91292740619464163</v>
      </c>
      <c r="BY15" s="129" t="e">
        <f t="shared" si="26"/>
        <v>#DIV/0!</v>
      </c>
      <c r="BZ15" s="129">
        <f t="shared" si="22"/>
        <v>1</v>
      </c>
      <c r="CA15" s="129">
        <f t="shared" si="8"/>
        <v>1.0562354499437476</v>
      </c>
    </row>
    <row r="16" spans="1:79" x14ac:dyDescent="0.2">
      <c r="A16" s="133" t="s">
        <v>664</v>
      </c>
      <c r="B16" s="133">
        <f t="shared" si="9"/>
        <v>1955</v>
      </c>
      <c r="F16" s="173"/>
      <c r="L16" s="4"/>
      <c r="M16" s="4">
        <f>'Passenger-based Activity'!E14</f>
        <v>0</v>
      </c>
      <c r="N16" s="172"/>
      <c r="O16" s="4">
        <f t="shared" si="10"/>
        <v>0</v>
      </c>
      <c r="P16" s="4"/>
      <c r="Q16" s="4"/>
      <c r="R16" s="4"/>
      <c r="S16" s="4"/>
      <c r="T16" s="4"/>
      <c r="AI16" s="131"/>
      <c r="AJ16" s="131"/>
      <c r="AK16" s="131"/>
      <c r="AL16" s="131"/>
      <c r="AM16" s="131"/>
      <c r="AN16" s="131"/>
      <c r="AO16" s="131"/>
      <c r="AP16" s="131"/>
      <c r="AS16" s="134"/>
      <c r="AU16" t="e">
        <f t="shared" si="11"/>
        <v>#DIV/0!</v>
      </c>
      <c r="AV16" t="e">
        <f t="shared" si="12"/>
        <v>#DIV/0!</v>
      </c>
      <c r="AW16" t="e">
        <f t="shared" si="13"/>
        <v>#DIV/0!</v>
      </c>
      <c r="AY16" t="e">
        <f t="shared" si="14"/>
        <v>#DIV/0!</v>
      </c>
      <c r="AZ16" t="e">
        <f t="shared" si="14"/>
        <v>#DIV/0!</v>
      </c>
      <c r="BA16" t="e">
        <f t="shared" si="14"/>
        <v>#DIV/0!</v>
      </c>
      <c r="BB16" t="e">
        <f t="shared" si="23"/>
        <v>#DIV/0!</v>
      </c>
      <c r="BD16" t="e">
        <f t="shared" si="15"/>
        <v>#DIV/0!</v>
      </c>
      <c r="BE16" t="e">
        <f t="shared" si="16"/>
        <v>#DIV/0!</v>
      </c>
      <c r="BF16" t="e">
        <f t="shared" si="24"/>
        <v>#DIV/0!</v>
      </c>
      <c r="BI16" t="e">
        <f t="shared" si="17"/>
        <v>#DIV/0!</v>
      </c>
      <c r="BJ16" t="e">
        <f t="shared" si="17"/>
        <v>#DIV/0!</v>
      </c>
      <c r="BK16" t="e">
        <f t="shared" si="17"/>
        <v>#DIV/0!</v>
      </c>
      <c r="BM16" s="129" t="e">
        <f t="shared" si="6"/>
        <v>#DIV/0!</v>
      </c>
      <c r="BN16" s="129" t="e">
        <f t="shared" si="18"/>
        <v>#DIV/0!</v>
      </c>
      <c r="BO16" s="129" t="e">
        <f t="shared" si="19"/>
        <v>#DIV/0!</v>
      </c>
      <c r="BQ16" t="e">
        <f t="shared" si="20"/>
        <v>#DIV/0!</v>
      </c>
      <c r="BR16" t="e">
        <f t="shared" si="20"/>
        <v>#DIV/0!</v>
      </c>
      <c r="BS16" t="e">
        <f t="shared" si="20"/>
        <v>#DIV/0!</v>
      </c>
      <c r="BU16" s="129" t="e">
        <f t="shared" si="25"/>
        <v>#DIV/0!</v>
      </c>
      <c r="BV16" s="129">
        <f t="shared" si="21"/>
        <v>1</v>
      </c>
      <c r="BW16" s="129">
        <f t="shared" si="7"/>
        <v>0.91292740619464163</v>
      </c>
      <c r="BY16" s="129" t="e">
        <f t="shared" si="26"/>
        <v>#DIV/0!</v>
      </c>
      <c r="BZ16" s="129">
        <f t="shared" si="22"/>
        <v>1</v>
      </c>
      <c r="CA16" s="129">
        <f t="shared" si="8"/>
        <v>1.0562354499437476</v>
      </c>
    </row>
    <row r="17" spans="1:79" x14ac:dyDescent="0.2">
      <c r="A17" s="133" t="s">
        <v>664</v>
      </c>
      <c r="B17" s="133">
        <f t="shared" si="9"/>
        <v>1956</v>
      </c>
      <c r="F17" s="173"/>
      <c r="L17" s="4"/>
      <c r="M17" s="4">
        <f>'Passenger-based Activity'!E15</f>
        <v>0</v>
      </c>
      <c r="N17" s="172"/>
      <c r="O17" s="4">
        <f t="shared" si="10"/>
        <v>0</v>
      </c>
      <c r="P17" s="4"/>
      <c r="Q17" s="4"/>
      <c r="R17" s="4"/>
      <c r="S17" s="4"/>
      <c r="T17" s="4"/>
      <c r="AI17" s="131"/>
      <c r="AJ17" s="131"/>
      <c r="AK17" s="131"/>
      <c r="AL17" s="131"/>
      <c r="AM17" s="131"/>
      <c r="AN17" s="131"/>
      <c r="AO17" s="131"/>
      <c r="AP17" s="131"/>
      <c r="AS17" s="134"/>
      <c r="AU17" t="e">
        <f t="shared" si="11"/>
        <v>#DIV/0!</v>
      </c>
      <c r="AV17" t="e">
        <f t="shared" si="12"/>
        <v>#DIV/0!</v>
      </c>
      <c r="AW17" t="e">
        <f t="shared" si="13"/>
        <v>#DIV/0!</v>
      </c>
      <c r="AY17" t="e">
        <f t="shared" si="14"/>
        <v>#DIV/0!</v>
      </c>
      <c r="AZ17" t="e">
        <f t="shared" si="14"/>
        <v>#DIV/0!</v>
      </c>
      <c r="BA17" t="e">
        <f t="shared" si="14"/>
        <v>#DIV/0!</v>
      </c>
      <c r="BB17" t="e">
        <f t="shared" si="23"/>
        <v>#DIV/0!</v>
      </c>
      <c r="BD17" t="e">
        <f t="shared" si="15"/>
        <v>#DIV/0!</v>
      </c>
      <c r="BE17" t="e">
        <f t="shared" si="16"/>
        <v>#DIV/0!</v>
      </c>
      <c r="BF17" t="e">
        <f t="shared" si="24"/>
        <v>#DIV/0!</v>
      </c>
      <c r="BI17" t="e">
        <f t="shared" si="17"/>
        <v>#DIV/0!</v>
      </c>
      <c r="BJ17" t="e">
        <f t="shared" si="17"/>
        <v>#DIV/0!</v>
      </c>
      <c r="BK17" t="e">
        <f t="shared" si="17"/>
        <v>#DIV/0!</v>
      </c>
      <c r="BM17" s="129" t="e">
        <f t="shared" si="6"/>
        <v>#DIV/0!</v>
      </c>
      <c r="BN17" s="129" t="e">
        <f t="shared" si="18"/>
        <v>#DIV/0!</v>
      </c>
      <c r="BO17" s="129" t="e">
        <f t="shared" si="19"/>
        <v>#DIV/0!</v>
      </c>
      <c r="BQ17" t="e">
        <f t="shared" si="20"/>
        <v>#DIV/0!</v>
      </c>
      <c r="BR17" t="e">
        <f t="shared" si="20"/>
        <v>#DIV/0!</v>
      </c>
      <c r="BS17" t="e">
        <f t="shared" si="20"/>
        <v>#DIV/0!</v>
      </c>
      <c r="BU17" s="129" t="e">
        <f t="shared" si="25"/>
        <v>#DIV/0!</v>
      </c>
      <c r="BV17" s="129">
        <f t="shared" si="21"/>
        <v>1</v>
      </c>
      <c r="BW17" s="129">
        <f t="shared" si="7"/>
        <v>0.91292740619464163</v>
      </c>
      <c r="BY17" s="129" t="e">
        <f t="shared" si="26"/>
        <v>#DIV/0!</v>
      </c>
      <c r="BZ17" s="129">
        <f t="shared" si="22"/>
        <v>1</v>
      </c>
      <c r="CA17" s="129">
        <f t="shared" si="8"/>
        <v>1.0562354499437476</v>
      </c>
    </row>
    <row r="18" spans="1:79" x14ac:dyDescent="0.2">
      <c r="A18" s="133" t="s">
        <v>664</v>
      </c>
      <c r="B18" s="133">
        <f t="shared" si="9"/>
        <v>1957</v>
      </c>
      <c r="F18" s="173"/>
      <c r="L18" s="4"/>
      <c r="M18" s="4">
        <f>'Passenger-based Activity'!E16</f>
        <v>0</v>
      </c>
      <c r="N18" s="172"/>
      <c r="O18" s="4">
        <f t="shared" si="10"/>
        <v>0</v>
      </c>
      <c r="P18" s="4"/>
      <c r="Q18" s="4"/>
      <c r="R18" s="4"/>
      <c r="S18" s="4"/>
      <c r="T18" s="4"/>
      <c r="AI18" s="131"/>
      <c r="AJ18" s="131"/>
      <c r="AK18" s="131"/>
      <c r="AL18" s="131"/>
      <c r="AM18" s="131"/>
      <c r="AN18" s="131"/>
      <c r="AO18" s="131"/>
      <c r="AP18" s="131"/>
      <c r="AS18" s="134"/>
      <c r="AU18" t="e">
        <f t="shared" si="11"/>
        <v>#DIV/0!</v>
      </c>
      <c r="AV18" t="e">
        <f t="shared" si="12"/>
        <v>#DIV/0!</v>
      </c>
      <c r="AW18" t="e">
        <f t="shared" si="13"/>
        <v>#DIV/0!</v>
      </c>
      <c r="AY18" t="e">
        <f t="shared" si="14"/>
        <v>#DIV/0!</v>
      </c>
      <c r="AZ18" t="e">
        <f t="shared" si="14"/>
        <v>#DIV/0!</v>
      </c>
      <c r="BA18" t="e">
        <f t="shared" si="14"/>
        <v>#DIV/0!</v>
      </c>
      <c r="BB18" t="e">
        <f t="shared" si="23"/>
        <v>#DIV/0!</v>
      </c>
      <c r="BD18" t="e">
        <f t="shared" si="15"/>
        <v>#DIV/0!</v>
      </c>
      <c r="BE18" t="e">
        <f t="shared" si="16"/>
        <v>#DIV/0!</v>
      </c>
      <c r="BF18" t="e">
        <f t="shared" si="24"/>
        <v>#DIV/0!</v>
      </c>
      <c r="BI18" t="e">
        <f t="shared" si="17"/>
        <v>#DIV/0!</v>
      </c>
      <c r="BJ18" t="e">
        <f t="shared" si="17"/>
        <v>#DIV/0!</v>
      </c>
      <c r="BK18" t="e">
        <f t="shared" si="17"/>
        <v>#DIV/0!</v>
      </c>
      <c r="BM18" s="129" t="e">
        <f t="shared" si="6"/>
        <v>#DIV/0!</v>
      </c>
      <c r="BN18" s="129" t="e">
        <f t="shared" si="18"/>
        <v>#DIV/0!</v>
      </c>
      <c r="BO18" s="129" t="e">
        <f t="shared" si="19"/>
        <v>#DIV/0!</v>
      </c>
      <c r="BQ18" t="e">
        <f t="shared" si="20"/>
        <v>#DIV/0!</v>
      </c>
      <c r="BR18" t="e">
        <f t="shared" si="20"/>
        <v>#DIV/0!</v>
      </c>
      <c r="BS18" t="e">
        <f t="shared" si="20"/>
        <v>#DIV/0!</v>
      </c>
      <c r="BU18" s="129" t="e">
        <f t="shared" si="25"/>
        <v>#DIV/0!</v>
      </c>
      <c r="BV18" s="129">
        <f t="shared" si="21"/>
        <v>1</v>
      </c>
      <c r="BW18" s="129">
        <f t="shared" si="7"/>
        <v>0.91292740619464163</v>
      </c>
      <c r="BY18" s="129" t="e">
        <f t="shared" si="26"/>
        <v>#DIV/0!</v>
      </c>
      <c r="BZ18" s="129">
        <f t="shared" si="22"/>
        <v>1</v>
      </c>
      <c r="CA18" s="129">
        <f t="shared" si="8"/>
        <v>1.0562354499437476</v>
      </c>
    </row>
    <row r="19" spans="1:79" x14ac:dyDescent="0.2">
      <c r="A19" s="133" t="s">
        <v>664</v>
      </c>
      <c r="B19" s="133">
        <f t="shared" si="9"/>
        <v>1958</v>
      </c>
      <c r="F19" s="173"/>
      <c r="L19" s="4"/>
      <c r="M19" s="4">
        <f>'Passenger-based Activity'!E17</f>
        <v>0</v>
      </c>
      <c r="N19" s="172"/>
      <c r="O19" s="4">
        <f t="shared" si="10"/>
        <v>0</v>
      </c>
      <c r="P19" s="4"/>
      <c r="Q19" s="4"/>
      <c r="R19" s="4"/>
      <c r="S19" s="4"/>
      <c r="T19" s="4"/>
      <c r="AI19" s="131"/>
      <c r="AJ19" s="131"/>
      <c r="AK19" s="131"/>
      <c r="AL19" s="131"/>
      <c r="AM19" s="131"/>
      <c r="AN19" s="131"/>
      <c r="AO19" s="131"/>
      <c r="AP19" s="131"/>
      <c r="AS19" s="134"/>
      <c r="AU19" t="e">
        <f t="shared" si="11"/>
        <v>#DIV/0!</v>
      </c>
      <c r="AV19" t="e">
        <f t="shared" si="12"/>
        <v>#DIV/0!</v>
      </c>
      <c r="AW19" t="e">
        <f t="shared" si="13"/>
        <v>#DIV/0!</v>
      </c>
      <c r="AY19" t="e">
        <f t="shared" si="14"/>
        <v>#DIV/0!</v>
      </c>
      <c r="AZ19" t="e">
        <f t="shared" si="14"/>
        <v>#DIV/0!</v>
      </c>
      <c r="BA19" t="e">
        <f t="shared" si="14"/>
        <v>#DIV/0!</v>
      </c>
      <c r="BB19" t="e">
        <f t="shared" si="23"/>
        <v>#DIV/0!</v>
      </c>
      <c r="BD19" t="e">
        <f t="shared" si="15"/>
        <v>#DIV/0!</v>
      </c>
      <c r="BE19" t="e">
        <f t="shared" si="16"/>
        <v>#DIV/0!</v>
      </c>
      <c r="BF19" t="e">
        <f t="shared" si="24"/>
        <v>#DIV/0!</v>
      </c>
      <c r="BI19" t="e">
        <f t="shared" si="17"/>
        <v>#DIV/0!</v>
      </c>
      <c r="BJ19" t="e">
        <f t="shared" si="17"/>
        <v>#DIV/0!</v>
      </c>
      <c r="BK19" t="e">
        <f t="shared" si="17"/>
        <v>#DIV/0!</v>
      </c>
      <c r="BM19" s="129" t="e">
        <f t="shared" si="6"/>
        <v>#DIV/0!</v>
      </c>
      <c r="BN19" s="129" t="e">
        <f t="shared" si="18"/>
        <v>#DIV/0!</v>
      </c>
      <c r="BO19" s="129" t="e">
        <f t="shared" si="19"/>
        <v>#DIV/0!</v>
      </c>
      <c r="BQ19" t="e">
        <f t="shared" si="20"/>
        <v>#DIV/0!</v>
      </c>
      <c r="BR19" t="e">
        <f t="shared" si="20"/>
        <v>#DIV/0!</v>
      </c>
      <c r="BS19" t="e">
        <f t="shared" si="20"/>
        <v>#DIV/0!</v>
      </c>
      <c r="BU19" s="129" t="e">
        <f t="shared" si="25"/>
        <v>#DIV/0!</v>
      </c>
      <c r="BV19" s="129">
        <f t="shared" si="21"/>
        <v>1</v>
      </c>
      <c r="BW19" s="129">
        <f t="shared" si="7"/>
        <v>0.91292740619464163</v>
      </c>
      <c r="BY19" s="129" t="e">
        <f t="shared" si="26"/>
        <v>#DIV/0!</v>
      </c>
      <c r="BZ19" s="129">
        <f t="shared" si="22"/>
        <v>1</v>
      </c>
      <c r="CA19" s="129">
        <f t="shared" si="8"/>
        <v>1.0562354499437476</v>
      </c>
    </row>
    <row r="20" spans="1:79" x14ac:dyDescent="0.2">
      <c r="A20" s="133" t="s">
        <v>664</v>
      </c>
      <c r="B20" s="133">
        <f t="shared" si="9"/>
        <v>1959</v>
      </c>
      <c r="F20" s="173"/>
      <c r="L20" s="4"/>
      <c r="M20" s="4">
        <f>'Passenger-based Activity'!E18</f>
        <v>0</v>
      </c>
      <c r="N20" s="172"/>
      <c r="O20" s="4">
        <f t="shared" si="10"/>
        <v>0</v>
      </c>
      <c r="P20" s="4"/>
      <c r="Q20" s="4"/>
      <c r="R20" s="4"/>
      <c r="S20" s="4"/>
      <c r="T20" s="4"/>
      <c r="AI20" s="131"/>
      <c r="AJ20" s="131"/>
      <c r="AK20" s="131"/>
      <c r="AL20" s="131"/>
      <c r="AM20" s="131"/>
      <c r="AN20" s="131"/>
      <c r="AO20" s="131"/>
      <c r="AP20" s="131"/>
      <c r="AS20" s="134"/>
      <c r="AU20" t="e">
        <f t="shared" si="11"/>
        <v>#DIV/0!</v>
      </c>
      <c r="AV20" t="e">
        <f t="shared" si="12"/>
        <v>#DIV/0!</v>
      </c>
      <c r="AW20" t="e">
        <f t="shared" si="13"/>
        <v>#DIV/0!</v>
      </c>
      <c r="AY20" t="e">
        <f t="shared" si="14"/>
        <v>#DIV/0!</v>
      </c>
      <c r="AZ20" t="e">
        <f t="shared" si="14"/>
        <v>#DIV/0!</v>
      </c>
      <c r="BA20" t="e">
        <f t="shared" si="14"/>
        <v>#DIV/0!</v>
      </c>
      <c r="BB20" t="e">
        <f t="shared" si="23"/>
        <v>#DIV/0!</v>
      </c>
      <c r="BD20" t="e">
        <f t="shared" si="15"/>
        <v>#DIV/0!</v>
      </c>
      <c r="BE20" t="e">
        <f t="shared" si="16"/>
        <v>#DIV/0!</v>
      </c>
      <c r="BF20" t="e">
        <f t="shared" si="24"/>
        <v>#DIV/0!</v>
      </c>
      <c r="BI20" t="e">
        <f t="shared" si="17"/>
        <v>#DIV/0!</v>
      </c>
      <c r="BJ20" t="e">
        <f t="shared" si="17"/>
        <v>#DIV/0!</v>
      </c>
      <c r="BK20" t="e">
        <f t="shared" si="17"/>
        <v>#DIV/0!</v>
      </c>
      <c r="BM20" s="129" t="e">
        <f t="shared" si="6"/>
        <v>#DIV/0!</v>
      </c>
      <c r="BN20" s="129" t="e">
        <f t="shared" si="18"/>
        <v>#DIV/0!</v>
      </c>
      <c r="BO20" s="129" t="e">
        <f t="shared" si="19"/>
        <v>#DIV/0!</v>
      </c>
      <c r="BQ20" t="e">
        <f t="shared" si="20"/>
        <v>#DIV/0!</v>
      </c>
      <c r="BR20" t="e">
        <f t="shared" si="20"/>
        <v>#DIV/0!</v>
      </c>
      <c r="BS20" t="e">
        <f t="shared" si="20"/>
        <v>#DIV/0!</v>
      </c>
      <c r="BU20" s="129" t="e">
        <f t="shared" si="25"/>
        <v>#DIV/0!</v>
      </c>
      <c r="BV20" s="129">
        <f t="shared" si="21"/>
        <v>1</v>
      </c>
      <c r="BW20" s="129">
        <f t="shared" si="7"/>
        <v>0.91292740619464163</v>
      </c>
      <c r="BY20" s="129" t="e">
        <f t="shared" si="26"/>
        <v>#DIV/0!</v>
      </c>
      <c r="BZ20" s="129">
        <f t="shared" si="22"/>
        <v>1</v>
      </c>
      <c r="CA20" s="129">
        <f t="shared" si="8"/>
        <v>1.0562354499437476</v>
      </c>
    </row>
    <row r="21" spans="1:79" x14ac:dyDescent="0.2">
      <c r="A21" s="133" t="s">
        <v>664</v>
      </c>
      <c r="B21" s="133">
        <f t="shared" si="9"/>
        <v>1960</v>
      </c>
      <c r="F21" s="173"/>
      <c r="H21">
        <v>115</v>
      </c>
      <c r="L21" s="4"/>
      <c r="M21" s="4">
        <f>'Passenger-based Activity'!E19</f>
        <v>0</v>
      </c>
      <c r="N21" s="172"/>
      <c r="O21" s="4">
        <f t="shared" si="10"/>
        <v>0</v>
      </c>
      <c r="P21" s="4"/>
      <c r="Q21" s="4">
        <v>4346</v>
      </c>
      <c r="R21" s="4"/>
      <c r="S21" s="4"/>
      <c r="T21" s="4"/>
      <c r="AI21" s="131"/>
      <c r="AJ21" s="131"/>
      <c r="AK21" s="131"/>
      <c r="AL21" s="131"/>
      <c r="AM21" s="131"/>
      <c r="AN21" s="131"/>
      <c r="AO21" s="131"/>
      <c r="AP21" s="131"/>
      <c r="AS21" s="134"/>
      <c r="AU21" t="e">
        <f t="shared" si="11"/>
        <v>#DIV/0!</v>
      </c>
      <c r="AV21" t="e">
        <f t="shared" si="12"/>
        <v>#DIV/0!</v>
      </c>
      <c r="AW21" t="e">
        <f t="shared" si="13"/>
        <v>#DIV/0!</v>
      </c>
      <c r="AY21" t="e">
        <f t="shared" si="14"/>
        <v>#DIV/0!</v>
      </c>
      <c r="AZ21" t="e">
        <f t="shared" si="14"/>
        <v>#DIV/0!</v>
      </c>
      <c r="BA21" t="e">
        <f t="shared" si="14"/>
        <v>#DIV/0!</v>
      </c>
      <c r="BB21" t="e">
        <f t="shared" si="23"/>
        <v>#DIV/0!</v>
      </c>
      <c r="BD21" t="e">
        <f t="shared" si="15"/>
        <v>#DIV/0!</v>
      </c>
      <c r="BE21" t="e">
        <f t="shared" si="16"/>
        <v>#DIV/0!</v>
      </c>
      <c r="BF21" t="e">
        <f t="shared" si="24"/>
        <v>#DIV/0!</v>
      </c>
      <c r="BI21" t="e">
        <f t="shared" si="17"/>
        <v>#DIV/0!</v>
      </c>
      <c r="BJ21" t="e">
        <f t="shared" si="17"/>
        <v>#DIV/0!</v>
      </c>
      <c r="BK21" t="e">
        <f t="shared" si="17"/>
        <v>#DIV/0!</v>
      </c>
      <c r="BM21" s="129" t="e">
        <f t="shared" si="6"/>
        <v>#DIV/0!</v>
      </c>
      <c r="BN21" s="129" t="e">
        <f t="shared" si="18"/>
        <v>#DIV/0!</v>
      </c>
      <c r="BO21" s="129" t="e">
        <f t="shared" si="19"/>
        <v>#DIV/0!</v>
      </c>
      <c r="BQ21" t="e">
        <f t="shared" si="20"/>
        <v>#DIV/0!</v>
      </c>
      <c r="BR21" t="e">
        <f t="shared" si="20"/>
        <v>#DIV/0!</v>
      </c>
      <c r="BS21" t="e">
        <f t="shared" si="20"/>
        <v>#DIV/0!</v>
      </c>
      <c r="BU21" s="129" t="e">
        <f t="shared" si="25"/>
        <v>#DIV/0!</v>
      </c>
      <c r="BV21" s="129">
        <f t="shared" si="21"/>
        <v>1</v>
      </c>
      <c r="BW21" s="129">
        <f t="shared" si="7"/>
        <v>0.91292740619464163</v>
      </c>
      <c r="BY21" s="129" t="e">
        <f t="shared" si="26"/>
        <v>#DIV/0!</v>
      </c>
      <c r="BZ21" s="129">
        <f t="shared" si="22"/>
        <v>1</v>
      </c>
      <c r="CA21" s="129">
        <f t="shared" si="8"/>
        <v>1.0562354499437476</v>
      </c>
    </row>
    <row r="22" spans="1:79" x14ac:dyDescent="0.2">
      <c r="A22" s="133" t="s">
        <v>664</v>
      </c>
      <c r="B22" s="133">
        <f t="shared" si="9"/>
        <v>1961</v>
      </c>
      <c r="F22" s="173"/>
      <c r="L22" s="4"/>
      <c r="M22" s="4">
        <f>'Passenger-based Activity'!E20</f>
        <v>0</v>
      </c>
      <c r="N22" s="172"/>
      <c r="O22" s="4">
        <f t="shared" si="10"/>
        <v>0</v>
      </c>
      <c r="P22" s="4"/>
      <c r="Q22" s="4"/>
      <c r="R22" s="4"/>
      <c r="S22" s="4"/>
      <c r="T22" s="4"/>
      <c r="AI22" s="131"/>
      <c r="AJ22" s="131"/>
      <c r="AK22" s="131"/>
      <c r="AL22" s="131"/>
      <c r="AM22" s="131"/>
      <c r="AN22" s="131"/>
      <c r="AO22" s="131"/>
      <c r="AP22" s="131"/>
      <c r="AS22" s="134"/>
      <c r="AU22" t="e">
        <f t="shared" si="11"/>
        <v>#DIV/0!</v>
      </c>
      <c r="AV22" t="e">
        <f t="shared" si="12"/>
        <v>#DIV/0!</v>
      </c>
      <c r="AW22" t="e">
        <f t="shared" si="13"/>
        <v>#DIV/0!</v>
      </c>
      <c r="AY22" t="e">
        <f t="shared" si="14"/>
        <v>#DIV/0!</v>
      </c>
      <c r="AZ22" t="e">
        <f t="shared" si="14"/>
        <v>#DIV/0!</v>
      </c>
      <c r="BA22" t="e">
        <f t="shared" si="14"/>
        <v>#DIV/0!</v>
      </c>
      <c r="BB22" t="e">
        <f t="shared" si="23"/>
        <v>#DIV/0!</v>
      </c>
      <c r="BD22" t="e">
        <f t="shared" si="15"/>
        <v>#DIV/0!</v>
      </c>
      <c r="BE22" t="e">
        <f t="shared" si="16"/>
        <v>#DIV/0!</v>
      </c>
      <c r="BF22" t="e">
        <f t="shared" si="24"/>
        <v>#DIV/0!</v>
      </c>
      <c r="BI22" t="e">
        <f t="shared" si="17"/>
        <v>#DIV/0!</v>
      </c>
      <c r="BJ22" t="e">
        <f t="shared" si="17"/>
        <v>#DIV/0!</v>
      </c>
      <c r="BK22" t="e">
        <f t="shared" si="17"/>
        <v>#DIV/0!</v>
      </c>
      <c r="BM22" s="129" t="e">
        <f t="shared" si="6"/>
        <v>#DIV/0!</v>
      </c>
      <c r="BN22" s="129" t="e">
        <f t="shared" si="18"/>
        <v>#DIV/0!</v>
      </c>
      <c r="BO22" s="129" t="e">
        <f t="shared" si="19"/>
        <v>#DIV/0!</v>
      </c>
      <c r="BQ22" t="e">
        <f t="shared" si="20"/>
        <v>#DIV/0!</v>
      </c>
      <c r="BR22" t="e">
        <f t="shared" si="20"/>
        <v>#DIV/0!</v>
      </c>
      <c r="BS22" t="e">
        <f t="shared" si="20"/>
        <v>#DIV/0!</v>
      </c>
      <c r="BU22" s="129" t="e">
        <f t="shared" si="25"/>
        <v>#DIV/0!</v>
      </c>
      <c r="BV22" s="129">
        <f t="shared" si="21"/>
        <v>1</v>
      </c>
      <c r="BW22" s="129">
        <f t="shared" si="7"/>
        <v>0.91292740619464163</v>
      </c>
      <c r="BY22" s="129" t="e">
        <f t="shared" si="26"/>
        <v>#DIV/0!</v>
      </c>
      <c r="BZ22" s="129">
        <f t="shared" si="22"/>
        <v>1</v>
      </c>
      <c r="CA22" s="129">
        <f t="shared" si="8"/>
        <v>1.0562354499437476</v>
      </c>
    </row>
    <row r="23" spans="1:79" x14ac:dyDescent="0.2">
      <c r="A23" s="133" t="s">
        <v>664</v>
      </c>
      <c r="B23" s="133">
        <f t="shared" si="9"/>
        <v>1962</v>
      </c>
      <c r="F23" s="173"/>
      <c r="L23" s="4"/>
      <c r="M23" s="4">
        <f>'Passenger-based Activity'!E21</f>
        <v>0</v>
      </c>
      <c r="N23" s="172"/>
      <c r="O23" s="4">
        <f t="shared" si="10"/>
        <v>0</v>
      </c>
      <c r="P23" s="4"/>
      <c r="Q23" s="4"/>
      <c r="R23" s="4"/>
      <c r="S23" s="4"/>
      <c r="T23" s="4"/>
      <c r="AI23" s="131"/>
      <c r="AJ23" s="131"/>
      <c r="AK23" s="131"/>
      <c r="AL23" s="131"/>
      <c r="AM23" s="131"/>
      <c r="AN23" s="131"/>
      <c r="AO23" s="131"/>
      <c r="AP23" s="131"/>
      <c r="AS23" s="134"/>
      <c r="AU23" t="e">
        <f t="shared" si="11"/>
        <v>#DIV/0!</v>
      </c>
      <c r="AV23" t="e">
        <f t="shared" si="12"/>
        <v>#DIV/0!</v>
      </c>
      <c r="AW23" t="e">
        <f t="shared" si="13"/>
        <v>#DIV/0!</v>
      </c>
      <c r="AY23" t="e">
        <f t="shared" si="14"/>
        <v>#DIV/0!</v>
      </c>
      <c r="AZ23" t="e">
        <f t="shared" si="14"/>
        <v>#DIV/0!</v>
      </c>
      <c r="BA23" t="e">
        <f t="shared" si="14"/>
        <v>#DIV/0!</v>
      </c>
      <c r="BB23" t="e">
        <f t="shared" si="23"/>
        <v>#DIV/0!</v>
      </c>
      <c r="BD23" t="e">
        <f t="shared" si="15"/>
        <v>#DIV/0!</v>
      </c>
      <c r="BE23" t="e">
        <f t="shared" si="16"/>
        <v>#DIV/0!</v>
      </c>
      <c r="BF23" t="e">
        <f t="shared" si="24"/>
        <v>#DIV/0!</v>
      </c>
      <c r="BI23" t="e">
        <f t="shared" si="17"/>
        <v>#DIV/0!</v>
      </c>
      <c r="BJ23" t="e">
        <f t="shared" si="17"/>
        <v>#DIV/0!</v>
      </c>
      <c r="BK23" t="e">
        <f t="shared" si="17"/>
        <v>#DIV/0!</v>
      </c>
      <c r="BM23" s="129" t="e">
        <f t="shared" si="6"/>
        <v>#DIV/0!</v>
      </c>
      <c r="BN23" s="129" t="e">
        <f t="shared" si="18"/>
        <v>#DIV/0!</v>
      </c>
      <c r="BO23" s="129" t="e">
        <f t="shared" si="19"/>
        <v>#DIV/0!</v>
      </c>
      <c r="BQ23" t="e">
        <f t="shared" si="20"/>
        <v>#DIV/0!</v>
      </c>
      <c r="BR23" t="e">
        <f t="shared" si="20"/>
        <v>#DIV/0!</v>
      </c>
      <c r="BS23" t="e">
        <f t="shared" si="20"/>
        <v>#DIV/0!</v>
      </c>
      <c r="BU23" s="129" t="e">
        <f t="shared" si="25"/>
        <v>#DIV/0!</v>
      </c>
      <c r="BV23" s="129">
        <f t="shared" si="21"/>
        <v>1</v>
      </c>
      <c r="BW23" s="129">
        <f t="shared" si="7"/>
        <v>0.91292740619464163</v>
      </c>
      <c r="BY23" s="129" t="e">
        <f t="shared" si="26"/>
        <v>#DIV/0!</v>
      </c>
      <c r="BZ23" s="129">
        <f t="shared" si="22"/>
        <v>1</v>
      </c>
      <c r="CA23" s="129">
        <f t="shared" si="8"/>
        <v>1.0562354499437476</v>
      </c>
    </row>
    <row r="24" spans="1:79" x14ac:dyDescent="0.2">
      <c r="A24" s="133" t="s">
        <v>664</v>
      </c>
      <c r="B24" s="133">
        <f t="shared" si="9"/>
        <v>1963</v>
      </c>
      <c r="F24" s="173"/>
      <c r="L24" s="4"/>
      <c r="M24" s="4">
        <f>'Passenger-based Activity'!E22</f>
        <v>0</v>
      </c>
      <c r="N24" s="172"/>
      <c r="O24" s="4">
        <f t="shared" si="10"/>
        <v>0</v>
      </c>
      <c r="P24" s="4"/>
      <c r="Q24" s="4"/>
      <c r="R24" s="4"/>
      <c r="S24" s="4"/>
      <c r="T24" s="4"/>
      <c r="AI24" s="131"/>
      <c r="AJ24" s="131"/>
      <c r="AK24" s="131"/>
      <c r="AL24" s="131"/>
      <c r="AM24" s="131"/>
      <c r="AN24" s="131"/>
      <c r="AO24" s="131"/>
      <c r="AP24" s="131"/>
      <c r="AS24" s="134"/>
      <c r="AU24" t="e">
        <f t="shared" si="11"/>
        <v>#DIV/0!</v>
      </c>
      <c r="AV24" t="e">
        <f t="shared" si="12"/>
        <v>#DIV/0!</v>
      </c>
      <c r="AW24" t="e">
        <f t="shared" si="13"/>
        <v>#DIV/0!</v>
      </c>
      <c r="AY24" t="e">
        <f t="shared" si="14"/>
        <v>#DIV/0!</v>
      </c>
      <c r="AZ24" t="e">
        <f t="shared" si="14"/>
        <v>#DIV/0!</v>
      </c>
      <c r="BA24" t="e">
        <f t="shared" si="14"/>
        <v>#DIV/0!</v>
      </c>
      <c r="BB24" t="e">
        <f t="shared" si="23"/>
        <v>#DIV/0!</v>
      </c>
      <c r="BD24" t="e">
        <f t="shared" si="15"/>
        <v>#DIV/0!</v>
      </c>
      <c r="BE24" t="e">
        <f t="shared" si="16"/>
        <v>#DIV/0!</v>
      </c>
      <c r="BF24" t="e">
        <f t="shared" si="24"/>
        <v>#DIV/0!</v>
      </c>
      <c r="BI24" t="e">
        <f t="shared" si="17"/>
        <v>#DIV/0!</v>
      </c>
      <c r="BJ24" t="e">
        <f t="shared" si="17"/>
        <v>#DIV/0!</v>
      </c>
      <c r="BK24" t="e">
        <f t="shared" si="17"/>
        <v>#DIV/0!</v>
      </c>
      <c r="BM24" s="129" t="e">
        <f t="shared" si="6"/>
        <v>#DIV/0!</v>
      </c>
      <c r="BN24" s="129" t="e">
        <f t="shared" si="18"/>
        <v>#DIV/0!</v>
      </c>
      <c r="BO24" s="129" t="e">
        <f t="shared" si="19"/>
        <v>#DIV/0!</v>
      </c>
      <c r="BQ24" t="e">
        <f t="shared" si="20"/>
        <v>#DIV/0!</v>
      </c>
      <c r="BR24" t="e">
        <f t="shared" si="20"/>
        <v>#DIV/0!</v>
      </c>
      <c r="BS24" t="e">
        <f t="shared" si="20"/>
        <v>#DIV/0!</v>
      </c>
      <c r="BU24" s="129" t="e">
        <f t="shared" si="25"/>
        <v>#DIV/0!</v>
      </c>
      <c r="BV24" s="129">
        <f t="shared" si="21"/>
        <v>1</v>
      </c>
      <c r="BW24" s="129">
        <f t="shared" si="7"/>
        <v>0.91292740619464163</v>
      </c>
      <c r="BY24" s="129" t="e">
        <f t="shared" si="26"/>
        <v>#DIV/0!</v>
      </c>
      <c r="BZ24" s="129">
        <f t="shared" si="22"/>
        <v>1</v>
      </c>
      <c r="CA24" s="129">
        <f t="shared" si="8"/>
        <v>1.0562354499437476</v>
      </c>
    </row>
    <row r="25" spans="1:79" x14ac:dyDescent="0.2">
      <c r="A25" s="133" t="s">
        <v>664</v>
      </c>
      <c r="B25" s="133">
        <f t="shared" si="9"/>
        <v>1964</v>
      </c>
      <c r="F25" s="173"/>
      <c r="L25" s="4"/>
      <c r="M25" s="4">
        <f>'Passenger-based Activity'!E23</f>
        <v>0</v>
      </c>
      <c r="N25" s="172"/>
      <c r="O25" s="4">
        <f t="shared" si="10"/>
        <v>0</v>
      </c>
      <c r="P25" s="4"/>
      <c r="Q25" s="4"/>
      <c r="R25" s="4"/>
      <c r="S25" s="4"/>
      <c r="T25" s="4"/>
      <c r="AI25" s="131"/>
      <c r="AJ25" s="131"/>
      <c r="AK25" s="131"/>
      <c r="AL25" s="131"/>
      <c r="AM25" s="131"/>
      <c r="AN25" s="131"/>
      <c r="AO25" s="131"/>
      <c r="AP25" s="131"/>
      <c r="AS25" s="134"/>
      <c r="AU25" t="e">
        <f t="shared" si="11"/>
        <v>#DIV/0!</v>
      </c>
      <c r="AV25" t="e">
        <f t="shared" si="12"/>
        <v>#DIV/0!</v>
      </c>
      <c r="AW25" t="e">
        <f t="shared" si="13"/>
        <v>#DIV/0!</v>
      </c>
      <c r="AY25" t="e">
        <f t="shared" si="14"/>
        <v>#DIV/0!</v>
      </c>
      <c r="AZ25" t="e">
        <f t="shared" si="14"/>
        <v>#DIV/0!</v>
      </c>
      <c r="BA25" t="e">
        <f t="shared" si="14"/>
        <v>#DIV/0!</v>
      </c>
      <c r="BB25" t="e">
        <f t="shared" si="23"/>
        <v>#DIV/0!</v>
      </c>
      <c r="BD25" t="e">
        <f t="shared" si="15"/>
        <v>#DIV/0!</v>
      </c>
      <c r="BE25" t="e">
        <f t="shared" si="16"/>
        <v>#DIV/0!</v>
      </c>
      <c r="BF25" t="e">
        <f t="shared" si="24"/>
        <v>#DIV/0!</v>
      </c>
      <c r="BI25" t="e">
        <f t="shared" si="17"/>
        <v>#DIV/0!</v>
      </c>
      <c r="BJ25" t="e">
        <f t="shared" si="17"/>
        <v>#DIV/0!</v>
      </c>
      <c r="BK25" t="e">
        <f t="shared" si="17"/>
        <v>#DIV/0!</v>
      </c>
      <c r="BM25" s="129" t="e">
        <f t="shared" si="6"/>
        <v>#DIV/0!</v>
      </c>
      <c r="BN25" s="129" t="e">
        <f t="shared" si="18"/>
        <v>#DIV/0!</v>
      </c>
      <c r="BO25" s="129" t="e">
        <f t="shared" si="19"/>
        <v>#DIV/0!</v>
      </c>
      <c r="BQ25" t="e">
        <f t="shared" si="20"/>
        <v>#DIV/0!</v>
      </c>
      <c r="BR25" t="e">
        <f t="shared" si="20"/>
        <v>#DIV/0!</v>
      </c>
      <c r="BS25" t="e">
        <f t="shared" si="20"/>
        <v>#DIV/0!</v>
      </c>
      <c r="BU25" s="129" t="e">
        <f t="shared" si="25"/>
        <v>#DIV/0!</v>
      </c>
      <c r="BV25" s="129">
        <f t="shared" si="21"/>
        <v>1</v>
      </c>
      <c r="BW25" s="129">
        <f t="shared" si="7"/>
        <v>0.91292740619464163</v>
      </c>
      <c r="BY25" s="129" t="e">
        <f t="shared" si="26"/>
        <v>#DIV/0!</v>
      </c>
      <c r="BZ25" s="129">
        <f t="shared" si="22"/>
        <v>1</v>
      </c>
      <c r="CA25" s="129">
        <f t="shared" si="8"/>
        <v>1.0562354499437476</v>
      </c>
    </row>
    <row r="26" spans="1:79" x14ac:dyDescent="0.2">
      <c r="A26" s="133" t="s">
        <v>664</v>
      </c>
      <c r="B26" s="133">
        <f t="shared" si="9"/>
        <v>1965</v>
      </c>
      <c r="D26" s="125">
        <f>'Passenger-based Energy Use'!E23</f>
        <v>45.89058</v>
      </c>
      <c r="E26" s="125"/>
      <c r="F26" s="174"/>
      <c r="G26" s="125">
        <f t="shared" ref="G26:G72" si="27">D26+E26+F26</f>
        <v>45.89058</v>
      </c>
      <c r="H26" s="125">
        <v>121</v>
      </c>
      <c r="I26" s="125"/>
      <c r="J26" s="125"/>
      <c r="L26" s="4"/>
      <c r="M26" s="4">
        <f>'Passenger-based Activity'!E24</f>
        <v>0</v>
      </c>
      <c r="N26" s="172"/>
      <c r="O26" s="4">
        <f t="shared" si="10"/>
        <v>0</v>
      </c>
      <c r="P26" s="4"/>
      <c r="Q26" s="4">
        <v>4681</v>
      </c>
      <c r="R26" s="4"/>
      <c r="S26" s="4"/>
      <c r="T26" s="4"/>
      <c r="AI26" s="131"/>
      <c r="AJ26" s="131"/>
      <c r="AK26" s="131"/>
      <c r="AL26" s="131"/>
      <c r="AM26" s="131"/>
      <c r="AN26" s="131"/>
      <c r="AO26" s="131"/>
      <c r="AP26" s="131"/>
      <c r="AS26" s="134"/>
      <c r="AU26" s="129">
        <f t="shared" si="11"/>
        <v>1</v>
      </c>
      <c r="AV26" s="129">
        <f t="shared" si="12"/>
        <v>0</v>
      </c>
      <c r="AW26" s="129">
        <f t="shared" si="13"/>
        <v>0</v>
      </c>
      <c r="AY26" t="e">
        <f t="shared" si="14"/>
        <v>#DIV/0!</v>
      </c>
      <c r="AZ26" t="e">
        <f t="shared" si="14"/>
        <v>#DIV/0!</v>
      </c>
      <c r="BA26" t="e">
        <f t="shared" si="14"/>
        <v>#DIV/0!</v>
      </c>
      <c r="BB26" t="e">
        <f t="shared" si="23"/>
        <v>#DIV/0!</v>
      </c>
      <c r="BD26" t="e">
        <f t="shared" si="15"/>
        <v>#DIV/0!</v>
      </c>
      <c r="BE26" t="e">
        <f t="shared" si="16"/>
        <v>#DIV/0!</v>
      </c>
      <c r="BF26" t="e">
        <f t="shared" si="24"/>
        <v>#DIV/0!</v>
      </c>
      <c r="BI26" t="e">
        <f t="shared" si="17"/>
        <v>#DIV/0!</v>
      </c>
      <c r="BJ26" t="e">
        <f t="shared" si="17"/>
        <v>#DIV/0!</v>
      </c>
      <c r="BK26" t="e">
        <f t="shared" si="17"/>
        <v>#DIV/0!</v>
      </c>
      <c r="BM26" s="129" t="e">
        <f t="shared" si="6"/>
        <v>#DIV/0!</v>
      </c>
      <c r="BN26" s="129" t="e">
        <f t="shared" si="18"/>
        <v>#DIV/0!</v>
      </c>
      <c r="BO26" s="129" t="e">
        <f t="shared" si="19"/>
        <v>#DIV/0!</v>
      </c>
      <c r="BQ26" t="e">
        <f t="shared" si="20"/>
        <v>#DIV/0!</v>
      </c>
      <c r="BR26" t="e">
        <f t="shared" si="20"/>
        <v>#DIV/0!</v>
      </c>
      <c r="BS26" t="e">
        <f t="shared" si="20"/>
        <v>#DIV/0!</v>
      </c>
      <c r="BU26" s="129" t="e">
        <f t="shared" si="25"/>
        <v>#DIV/0!</v>
      </c>
      <c r="BV26" s="129">
        <f t="shared" si="21"/>
        <v>1</v>
      </c>
      <c r="BW26" s="129">
        <f t="shared" si="7"/>
        <v>0.91292740619464163</v>
      </c>
      <c r="BY26" s="129" t="e">
        <f t="shared" si="26"/>
        <v>#DIV/0!</v>
      </c>
      <c r="BZ26" s="129">
        <f t="shared" si="22"/>
        <v>1</v>
      </c>
      <c r="CA26" s="129">
        <f t="shared" si="8"/>
        <v>1.0562354499437476</v>
      </c>
    </row>
    <row r="27" spans="1:79" x14ac:dyDescent="0.2">
      <c r="A27" s="133" t="s">
        <v>664</v>
      </c>
      <c r="B27" s="133">
        <f t="shared" si="9"/>
        <v>1966</v>
      </c>
      <c r="D27" s="125">
        <f>'Passenger-based Energy Use'!E24</f>
        <v>45.007199999999997</v>
      </c>
      <c r="E27" s="125"/>
      <c r="F27" s="174"/>
      <c r="G27" s="125">
        <f t="shared" si="27"/>
        <v>45.007199999999997</v>
      </c>
      <c r="H27" s="125"/>
      <c r="I27" s="125"/>
      <c r="J27" s="125"/>
      <c r="L27" s="4"/>
      <c r="M27" s="4">
        <f>'Passenger-based Activity'!E25</f>
        <v>0</v>
      </c>
      <c r="N27" s="172"/>
      <c r="O27" s="4">
        <f t="shared" si="10"/>
        <v>0</v>
      </c>
      <c r="P27" s="4"/>
      <c r="Q27" s="4"/>
      <c r="R27" s="4"/>
      <c r="S27" s="4"/>
      <c r="T27" s="4"/>
      <c r="AI27" s="131"/>
      <c r="AJ27" s="131"/>
      <c r="AK27" s="131"/>
      <c r="AL27" s="131"/>
      <c r="AM27" s="131"/>
      <c r="AN27" s="131"/>
      <c r="AO27" s="131"/>
      <c r="AP27" s="131"/>
      <c r="AS27" s="134"/>
      <c r="AU27" s="129">
        <f t="shared" si="11"/>
        <v>1</v>
      </c>
      <c r="AV27" s="129">
        <f t="shared" si="12"/>
        <v>0</v>
      </c>
      <c r="AW27" s="129">
        <f t="shared" si="13"/>
        <v>0</v>
      </c>
      <c r="AY27" t="e">
        <f t="shared" si="14"/>
        <v>#DIV/0!</v>
      </c>
      <c r="AZ27" t="e">
        <f t="shared" si="14"/>
        <v>#DIV/0!</v>
      </c>
      <c r="BA27" t="e">
        <f t="shared" si="14"/>
        <v>#DIV/0!</v>
      </c>
      <c r="BB27" t="e">
        <f t="shared" si="23"/>
        <v>#DIV/0!</v>
      </c>
      <c r="BD27" t="e">
        <f t="shared" si="15"/>
        <v>#DIV/0!</v>
      </c>
      <c r="BE27" t="e">
        <f t="shared" si="16"/>
        <v>#DIV/0!</v>
      </c>
      <c r="BF27" t="e">
        <f t="shared" si="24"/>
        <v>#DIV/0!</v>
      </c>
      <c r="BI27" t="e">
        <f t="shared" si="17"/>
        <v>#DIV/0!</v>
      </c>
      <c r="BJ27" t="e">
        <f t="shared" si="17"/>
        <v>#DIV/0!</v>
      </c>
      <c r="BK27" t="e">
        <f t="shared" si="17"/>
        <v>#DIV/0!</v>
      </c>
      <c r="BM27" s="129" t="e">
        <f t="shared" si="6"/>
        <v>#DIV/0!</v>
      </c>
      <c r="BN27" s="129" t="e">
        <f t="shared" si="18"/>
        <v>#DIV/0!</v>
      </c>
      <c r="BO27" s="129" t="e">
        <f t="shared" si="19"/>
        <v>#DIV/0!</v>
      </c>
      <c r="BQ27" t="e">
        <f t="shared" si="20"/>
        <v>#DIV/0!</v>
      </c>
      <c r="BR27" t="e">
        <f t="shared" si="20"/>
        <v>#DIV/0!</v>
      </c>
      <c r="BS27" t="e">
        <f t="shared" si="20"/>
        <v>#DIV/0!</v>
      </c>
      <c r="BU27" s="129" t="e">
        <f t="shared" si="25"/>
        <v>#DIV/0!</v>
      </c>
      <c r="BV27" s="129">
        <f t="shared" si="21"/>
        <v>1</v>
      </c>
      <c r="BW27" s="129">
        <f t="shared" si="7"/>
        <v>0.91292740619464163</v>
      </c>
      <c r="BY27" s="129" t="e">
        <f t="shared" si="26"/>
        <v>#DIV/0!</v>
      </c>
      <c r="BZ27" s="129">
        <f t="shared" si="22"/>
        <v>1</v>
      </c>
      <c r="CA27" s="129">
        <f t="shared" si="8"/>
        <v>1.0562354499437476</v>
      </c>
    </row>
    <row r="28" spans="1:79" x14ac:dyDescent="0.2">
      <c r="A28" s="133" t="s">
        <v>664</v>
      </c>
      <c r="B28" s="133">
        <f t="shared" si="9"/>
        <v>1967</v>
      </c>
      <c r="D28" s="125">
        <f>'Passenger-based Energy Use'!E25</f>
        <v>44.715609999999998</v>
      </c>
      <c r="E28" s="125"/>
      <c r="F28" s="174"/>
      <c r="G28" s="125">
        <f t="shared" si="27"/>
        <v>44.715609999999998</v>
      </c>
      <c r="H28" s="125"/>
      <c r="I28" s="125"/>
      <c r="J28" s="125"/>
      <c r="L28" s="4"/>
      <c r="M28" s="4">
        <f>'Passenger-based Activity'!E26</f>
        <v>0</v>
      </c>
      <c r="N28" s="172"/>
      <c r="O28" s="4">
        <f t="shared" si="10"/>
        <v>0</v>
      </c>
      <c r="P28" s="4"/>
      <c r="Q28" s="4"/>
      <c r="R28" s="4"/>
      <c r="S28" s="4"/>
      <c r="T28" s="4"/>
      <c r="AI28" s="131"/>
      <c r="AJ28" s="131"/>
      <c r="AK28" s="131"/>
      <c r="AL28" s="131"/>
      <c r="AM28" s="131"/>
      <c r="AN28" s="131"/>
      <c r="AO28" s="131"/>
      <c r="AP28" s="131"/>
      <c r="AS28" s="134"/>
      <c r="AU28" s="129">
        <f t="shared" si="11"/>
        <v>1</v>
      </c>
      <c r="AV28" s="129">
        <f t="shared" si="12"/>
        <v>0</v>
      </c>
      <c r="AW28" s="129">
        <f t="shared" si="13"/>
        <v>0</v>
      </c>
      <c r="AY28" t="e">
        <f t="shared" si="14"/>
        <v>#DIV/0!</v>
      </c>
      <c r="AZ28" t="e">
        <f t="shared" si="14"/>
        <v>#DIV/0!</v>
      </c>
      <c r="BA28" t="e">
        <f t="shared" si="14"/>
        <v>#DIV/0!</v>
      </c>
      <c r="BB28" t="e">
        <f t="shared" si="23"/>
        <v>#DIV/0!</v>
      </c>
      <c r="BD28" t="e">
        <f t="shared" si="15"/>
        <v>#DIV/0!</v>
      </c>
      <c r="BE28" t="e">
        <f t="shared" si="16"/>
        <v>#DIV/0!</v>
      </c>
      <c r="BF28" t="e">
        <f t="shared" si="24"/>
        <v>#DIV/0!</v>
      </c>
      <c r="BI28" t="e">
        <f t="shared" si="17"/>
        <v>#DIV/0!</v>
      </c>
      <c r="BJ28" t="e">
        <f t="shared" si="17"/>
        <v>#DIV/0!</v>
      </c>
      <c r="BK28" t="e">
        <f t="shared" si="17"/>
        <v>#DIV/0!</v>
      </c>
      <c r="BM28" s="129" t="e">
        <f t="shared" si="6"/>
        <v>#DIV/0!</v>
      </c>
      <c r="BN28" s="129" t="e">
        <f t="shared" si="18"/>
        <v>#DIV/0!</v>
      </c>
      <c r="BO28" s="129" t="e">
        <f t="shared" si="19"/>
        <v>#DIV/0!</v>
      </c>
      <c r="BQ28" t="e">
        <f t="shared" si="20"/>
        <v>#DIV/0!</v>
      </c>
      <c r="BR28" t="e">
        <f t="shared" si="20"/>
        <v>#DIV/0!</v>
      </c>
      <c r="BS28" t="e">
        <f t="shared" si="20"/>
        <v>#DIV/0!</v>
      </c>
      <c r="BU28" s="129" t="e">
        <f t="shared" si="25"/>
        <v>#DIV/0!</v>
      </c>
      <c r="BV28" s="129">
        <f t="shared" si="21"/>
        <v>1</v>
      </c>
      <c r="BW28" s="129">
        <f t="shared" si="7"/>
        <v>0.91292740619464163</v>
      </c>
      <c r="BY28" s="129" t="e">
        <f t="shared" si="26"/>
        <v>#DIV/0!</v>
      </c>
      <c r="BZ28" s="129">
        <f t="shared" si="22"/>
        <v>1</v>
      </c>
      <c r="CA28" s="129">
        <f t="shared" si="8"/>
        <v>1.0562354499437476</v>
      </c>
    </row>
    <row r="29" spans="1:79" x14ac:dyDescent="0.2">
      <c r="A29" s="133" t="s">
        <v>664</v>
      </c>
      <c r="B29" s="133">
        <f t="shared" si="9"/>
        <v>1968</v>
      </c>
      <c r="D29" s="125">
        <f>'Passenger-based Energy Use'!E26</f>
        <v>43.744039999999998</v>
      </c>
      <c r="E29" s="125"/>
      <c r="F29" s="174"/>
      <c r="G29" s="125">
        <f t="shared" si="27"/>
        <v>43.744039999999998</v>
      </c>
      <c r="H29" s="125"/>
      <c r="I29" s="125"/>
      <c r="J29" s="125"/>
      <c r="L29" s="4"/>
      <c r="M29" s="4">
        <f>'Passenger-based Activity'!E27</f>
        <v>0</v>
      </c>
      <c r="N29" s="172"/>
      <c r="O29" s="4">
        <f t="shared" si="10"/>
        <v>0</v>
      </c>
      <c r="P29" s="4"/>
      <c r="Q29" s="4"/>
      <c r="R29" s="4"/>
      <c r="S29" s="4"/>
      <c r="T29" s="4"/>
      <c r="AI29" s="131"/>
      <c r="AJ29" s="131"/>
      <c r="AK29" s="131"/>
      <c r="AL29" s="131"/>
      <c r="AM29" s="131"/>
      <c r="AN29" s="131"/>
      <c r="AO29" s="131"/>
      <c r="AP29" s="131"/>
      <c r="AS29" s="134"/>
      <c r="AU29" s="129">
        <f t="shared" si="11"/>
        <v>1</v>
      </c>
      <c r="AV29" s="129">
        <f t="shared" si="12"/>
        <v>0</v>
      </c>
      <c r="AW29" s="129">
        <f t="shared" si="13"/>
        <v>0</v>
      </c>
      <c r="AY29" t="e">
        <f t="shared" si="14"/>
        <v>#DIV/0!</v>
      </c>
      <c r="AZ29" t="e">
        <f t="shared" si="14"/>
        <v>#DIV/0!</v>
      </c>
      <c r="BA29" t="e">
        <f t="shared" si="14"/>
        <v>#DIV/0!</v>
      </c>
      <c r="BB29" t="e">
        <f t="shared" si="23"/>
        <v>#DIV/0!</v>
      </c>
      <c r="BD29" t="e">
        <f t="shared" si="15"/>
        <v>#DIV/0!</v>
      </c>
      <c r="BE29" t="e">
        <f t="shared" si="16"/>
        <v>#DIV/0!</v>
      </c>
      <c r="BF29" t="e">
        <f t="shared" si="24"/>
        <v>#DIV/0!</v>
      </c>
      <c r="BI29" t="e">
        <f t="shared" si="17"/>
        <v>#DIV/0!</v>
      </c>
      <c r="BJ29" t="e">
        <f t="shared" si="17"/>
        <v>#DIV/0!</v>
      </c>
      <c r="BK29" t="e">
        <f t="shared" si="17"/>
        <v>#DIV/0!</v>
      </c>
      <c r="BM29" s="129" t="e">
        <f t="shared" si="6"/>
        <v>#DIV/0!</v>
      </c>
      <c r="BN29" s="129" t="e">
        <f t="shared" si="18"/>
        <v>#DIV/0!</v>
      </c>
      <c r="BO29" s="129" t="e">
        <f t="shared" si="19"/>
        <v>#DIV/0!</v>
      </c>
      <c r="BQ29" t="e">
        <f t="shared" si="20"/>
        <v>#DIV/0!</v>
      </c>
      <c r="BR29" t="e">
        <f t="shared" si="20"/>
        <v>#DIV/0!</v>
      </c>
      <c r="BS29" t="e">
        <f t="shared" si="20"/>
        <v>#DIV/0!</v>
      </c>
      <c r="BU29" s="129" t="e">
        <f t="shared" si="25"/>
        <v>#DIV/0!</v>
      </c>
      <c r="BV29" s="129">
        <f t="shared" si="21"/>
        <v>1</v>
      </c>
      <c r="BW29" s="129">
        <f t="shared" si="7"/>
        <v>0.91292740619464163</v>
      </c>
      <c r="BY29" s="129" t="e">
        <f t="shared" si="26"/>
        <v>#DIV/0!</v>
      </c>
      <c r="BZ29" s="129">
        <f t="shared" si="22"/>
        <v>1</v>
      </c>
      <c r="CA29" s="129">
        <f t="shared" si="8"/>
        <v>1.0562354499437476</v>
      </c>
    </row>
    <row r="30" spans="1:79" x14ac:dyDescent="0.2">
      <c r="A30" s="133" t="s">
        <v>664</v>
      </c>
      <c r="B30" s="133">
        <f t="shared" si="9"/>
        <v>1969</v>
      </c>
      <c r="D30" s="125">
        <f>'Passenger-based Energy Use'!E27</f>
        <v>42.976059999999997</v>
      </c>
      <c r="E30" s="125"/>
      <c r="F30" s="174"/>
      <c r="G30" s="125">
        <f t="shared" si="27"/>
        <v>42.976059999999997</v>
      </c>
      <c r="H30" s="125"/>
      <c r="I30" s="125"/>
      <c r="J30" s="125"/>
      <c r="L30" s="4"/>
      <c r="M30" s="4">
        <f>'Passenger-based Activity'!E28</f>
        <v>0</v>
      </c>
      <c r="N30" s="172"/>
      <c r="O30" s="4">
        <f t="shared" si="10"/>
        <v>0</v>
      </c>
      <c r="P30" s="4"/>
      <c r="Q30" s="4"/>
      <c r="R30" s="4"/>
      <c r="S30" s="4"/>
      <c r="T30" s="4"/>
      <c r="AI30" s="131"/>
      <c r="AJ30" s="131"/>
      <c r="AK30" s="131"/>
      <c r="AL30" s="131"/>
      <c r="AM30" s="131"/>
      <c r="AN30" s="131"/>
      <c r="AO30" s="131"/>
      <c r="AP30" s="131"/>
      <c r="AS30" s="134"/>
      <c r="AU30" s="129">
        <f t="shared" si="11"/>
        <v>1</v>
      </c>
      <c r="AV30" s="129">
        <f t="shared" si="12"/>
        <v>0</v>
      </c>
      <c r="AW30" s="129">
        <f t="shared" si="13"/>
        <v>0</v>
      </c>
      <c r="AY30" t="e">
        <f t="shared" si="14"/>
        <v>#DIV/0!</v>
      </c>
      <c r="AZ30" t="e">
        <f t="shared" si="14"/>
        <v>#DIV/0!</v>
      </c>
      <c r="BA30" t="e">
        <f t="shared" si="14"/>
        <v>#DIV/0!</v>
      </c>
      <c r="BB30" t="e">
        <f t="shared" si="23"/>
        <v>#DIV/0!</v>
      </c>
      <c r="BD30" t="e">
        <f t="shared" si="15"/>
        <v>#DIV/0!</v>
      </c>
      <c r="BE30" t="e">
        <f t="shared" si="16"/>
        <v>#DIV/0!</v>
      </c>
      <c r="BF30" t="e">
        <f t="shared" si="24"/>
        <v>#DIV/0!</v>
      </c>
      <c r="BI30" t="e">
        <f t="shared" si="17"/>
        <v>#DIV/0!</v>
      </c>
      <c r="BJ30" t="e">
        <f t="shared" si="17"/>
        <v>#DIV/0!</v>
      </c>
      <c r="BK30" t="e">
        <f t="shared" si="17"/>
        <v>#DIV/0!</v>
      </c>
      <c r="BM30" s="129" t="e">
        <f t="shared" si="6"/>
        <v>#DIV/0!</v>
      </c>
      <c r="BN30" s="129" t="e">
        <f t="shared" si="18"/>
        <v>#DIV/0!</v>
      </c>
      <c r="BO30" s="129" t="e">
        <f t="shared" si="19"/>
        <v>#DIV/0!</v>
      </c>
      <c r="BQ30" t="e">
        <f t="shared" si="20"/>
        <v>#DIV/0!</v>
      </c>
      <c r="BR30" t="e">
        <f t="shared" si="20"/>
        <v>#DIV/0!</v>
      </c>
      <c r="BS30" t="e">
        <f t="shared" si="20"/>
        <v>#DIV/0!</v>
      </c>
      <c r="BU30" s="129" t="e">
        <f t="shared" si="25"/>
        <v>#DIV/0!</v>
      </c>
      <c r="BV30" s="129">
        <f t="shared" si="21"/>
        <v>1</v>
      </c>
      <c r="BW30" s="129">
        <f t="shared" si="7"/>
        <v>0.91292740619464163</v>
      </c>
      <c r="BY30" s="129" t="e">
        <f t="shared" si="26"/>
        <v>#DIV/0!</v>
      </c>
      <c r="BZ30" s="129">
        <f t="shared" si="22"/>
        <v>1</v>
      </c>
      <c r="CA30" s="129">
        <f t="shared" si="8"/>
        <v>1.0562354499437476</v>
      </c>
    </row>
    <row r="31" spans="1:79" x14ac:dyDescent="0.2">
      <c r="A31" s="133" t="s">
        <v>664</v>
      </c>
      <c r="B31" s="133">
        <f t="shared" si="9"/>
        <v>1970</v>
      </c>
      <c r="D31" s="125">
        <f>'Passenger-based Energy Use'!E28</f>
        <v>42.182220000000001</v>
      </c>
      <c r="E31" s="125">
        <f>'Passenger-based Energy Use'!G28</f>
        <v>26.617190476190473</v>
      </c>
      <c r="F31" s="174">
        <f>'Passenger-based Energy Use'!H28</f>
        <v>41.182520399999994</v>
      </c>
      <c r="G31" s="125">
        <f t="shared" si="27"/>
        <v>109.98193087619046</v>
      </c>
      <c r="H31" s="125">
        <v>114</v>
      </c>
      <c r="I31" s="279">
        <v>299.88</v>
      </c>
      <c r="J31" s="125">
        <f>I31*J$4*0.000001</f>
        <v>41.182520399999994</v>
      </c>
      <c r="L31" s="4">
        <f>'Passenger-based Activity'!F29</f>
        <v>18210</v>
      </c>
      <c r="M31" s="4">
        <f>'Passenger-based Activity'!E29</f>
        <v>25300</v>
      </c>
      <c r="N31" s="4">
        <f>'Passenger-based Activity'!H29</f>
        <v>48300.000000000007</v>
      </c>
      <c r="O31" s="4">
        <f t="shared" si="10"/>
        <v>91810</v>
      </c>
      <c r="P31" s="4"/>
      <c r="Q31" s="4">
        <v>4544</v>
      </c>
      <c r="R31" s="4"/>
      <c r="S31" s="4"/>
      <c r="T31" s="4"/>
      <c r="V31" s="125">
        <f t="shared" ref="V31:V72" si="28">D31/L31*1000000</f>
        <v>2316.4316309719934</v>
      </c>
      <c r="W31" s="125">
        <f t="shared" ref="W31:W72" si="29">E31/M31*1000000</f>
        <v>1052.0628646715602</v>
      </c>
      <c r="X31" s="125">
        <f t="shared" ref="X31:X72" si="30">F31/N31*1000000</f>
        <v>852.64017391304321</v>
      </c>
      <c r="Y31" s="125">
        <f t="shared" ref="Y31:Y72" si="31">G31/O31*1000000</f>
        <v>1197.9297557585282</v>
      </c>
      <c r="Z31" s="125"/>
      <c r="AA31" s="125"/>
      <c r="AB31" s="125"/>
      <c r="AD31" s="129">
        <f t="shared" ref="AD31:AD72" si="32">V31/V$74</f>
        <v>0.67503413123947908</v>
      </c>
      <c r="AE31" s="129">
        <f t="shared" ref="AE31:AE72" si="33">W31/W$74</f>
        <v>1.0704646665645108</v>
      </c>
      <c r="AF31" s="129">
        <f t="shared" ref="AF31:AF72" si="34">X31/X$74</f>
        <v>1.1584189723320155</v>
      </c>
      <c r="AG31" s="129">
        <f t="shared" ref="AG31:AG72" si="35">Y31/Y$74</f>
        <v>0.964266289647976</v>
      </c>
      <c r="AI31" s="131">
        <f t="shared" ref="AI31:AI72" si="36">O31/O$74</f>
        <v>0.73882428680642187</v>
      </c>
      <c r="AJ31" s="131">
        <f t="shared" ref="AJ31:AJ72" si="37">AG31</f>
        <v>0.964266289647976</v>
      </c>
      <c r="AK31" s="131">
        <f t="shared" ref="AK31:AK72" si="38">CA31</f>
        <v>1.0562354499437476</v>
      </c>
      <c r="AL31" s="131">
        <f t="shared" ref="AL31:AL72" si="39">BW31</f>
        <v>0.91292740619464163</v>
      </c>
      <c r="AM31" s="131">
        <f t="shared" ref="AM31:AM72" si="40">AI31*AK31*AL31</f>
        <v>0.71242335374064025</v>
      </c>
      <c r="AN31" s="131">
        <f t="shared" ref="AN31:AN72" si="41">G31/G$74</f>
        <v>0.71242335374064036</v>
      </c>
      <c r="AO31" s="131"/>
      <c r="AP31" s="131">
        <f t="shared" ref="AP31:AP72" si="42">AK31*AL31</f>
        <v>0.96426628964797578</v>
      </c>
      <c r="AS31" s="134"/>
      <c r="AU31" s="129">
        <f t="shared" si="11"/>
        <v>0.3835377290064641</v>
      </c>
      <c r="AV31" s="129">
        <f t="shared" si="12"/>
        <v>0.24201421328158115</v>
      </c>
      <c r="AW31" s="129">
        <f t="shared" si="13"/>
        <v>0.37444805771195483</v>
      </c>
      <c r="AY31">
        <f t="shared" si="14"/>
        <v>0.64327575259678926</v>
      </c>
      <c r="AZ31" t="e">
        <f t="shared" si="14"/>
        <v>#DIV/0!</v>
      </c>
      <c r="BA31" t="e">
        <f t="shared" si="14"/>
        <v>#DIV/0!</v>
      </c>
      <c r="BB31" t="e">
        <f t="shared" si="23"/>
        <v>#DIV/0!</v>
      </c>
      <c r="BD31" t="e">
        <f t="shared" si="15"/>
        <v>#DIV/0!</v>
      </c>
      <c r="BE31" t="e">
        <f t="shared" si="16"/>
        <v>#DIV/0!</v>
      </c>
      <c r="BF31" t="e">
        <f t="shared" si="24"/>
        <v>#DIV/0!</v>
      </c>
      <c r="BI31" t="e">
        <f t="shared" si="17"/>
        <v>#DIV/0!</v>
      </c>
      <c r="BJ31" t="e">
        <f t="shared" si="17"/>
        <v>#DIV/0!</v>
      </c>
      <c r="BK31" t="e">
        <f t="shared" si="17"/>
        <v>#DIV/0!</v>
      </c>
      <c r="BM31" s="129">
        <f t="shared" si="6"/>
        <v>0.19834440692734998</v>
      </c>
      <c r="BN31" s="129">
        <f t="shared" si="18"/>
        <v>0.27556911011872343</v>
      </c>
      <c r="BO31" s="129">
        <f t="shared" si="19"/>
        <v>0.52608648295392668</v>
      </c>
      <c r="BQ31" t="e">
        <f t="shared" si="20"/>
        <v>#DIV/0!</v>
      </c>
      <c r="BR31" t="e">
        <f t="shared" si="20"/>
        <v>#DIV/0!</v>
      </c>
      <c r="BS31" t="e">
        <f t="shared" si="20"/>
        <v>#DIV/0!</v>
      </c>
      <c r="BT31" s="129" t="e">
        <f>#REF!</f>
        <v>#REF!</v>
      </c>
      <c r="BU31" s="129" t="e">
        <f t="shared" si="25"/>
        <v>#DIV/0!</v>
      </c>
      <c r="BV31" s="129">
        <f t="shared" si="21"/>
        <v>1</v>
      </c>
      <c r="BW31" s="129">
        <f t="shared" si="7"/>
        <v>0.91292740619464163</v>
      </c>
      <c r="BY31" s="129" t="e">
        <f t="shared" si="26"/>
        <v>#DIV/0!</v>
      </c>
      <c r="BZ31" s="129">
        <f t="shared" si="22"/>
        <v>1</v>
      </c>
      <c r="CA31" s="129">
        <f t="shared" si="8"/>
        <v>1.0562354499437476</v>
      </c>
    </row>
    <row r="32" spans="1:79" x14ac:dyDescent="0.2">
      <c r="A32" s="133" t="s">
        <v>664</v>
      </c>
      <c r="B32" s="133">
        <f t="shared" si="9"/>
        <v>1971</v>
      </c>
      <c r="D32" s="125">
        <f>'Passenger-based Energy Use'!E29</f>
        <v>39.29316</v>
      </c>
      <c r="E32" s="125">
        <f>'Passenger-based Energy Use'!G29</f>
        <v>27.108520325203251</v>
      </c>
      <c r="F32" s="174">
        <f>'Passenger-based Energy Use'!H29</f>
        <v>42.998589979581098</v>
      </c>
      <c r="G32" s="125">
        <f t="shared" si="27"/>
        <v>109.40027030478434</v>
      </c>
      <c r="H32" s="125"/>
      <c r="I32" s="279">
        <v>309.75</v>
      </c>
      <c r="J32" s="125">
        <f t="shared" ref="J32:J72" si="43">I32*J$4*0.000001</f>
        <v>42.537967500000001</v>
      </c>
      <c r="L32" s="4">
        <f>'Passenger-based Activity'!F30</f>
        <v>16810</v>
      </c>
      <c r="M32" s="4">
        <f>'Passenger-based Activity'!E30</f>
        <v>25500</v>
      </c>
      <c r="N32" s="4">
        <f>'Passenger-based Activity'!H30</f>
        <v>50876</v>
      </c>
      <c r="O32" s="4">
        <f t="shared" si="10"/>
        <v>93186</v>
      </c>
      <c r="P32" s="4"/>
      <c r="Q32" s="4"/>
      <c r="R32" s="4"/>
      <c r="S32" s="4"/>
      <c r="T32" s="4"/>
      <c r="V32" s="125">
        <f t="shared" si="28"/>
        <v>2337.4872099940512</v>
      </c>
      <c r="W32" s="125">
        <f t="shared" si="29"/>
        <v>1063.0792284393431</v>
      </c>
      <c r="X32" s="125">
        <f t="shared" si="30"/>
        <v>845.16451724941226</v>
      </c>
      <c r="Y32" s="125">
        <f t="shared" si="31"/>
        <v>1173.9989945354919</v>
      </c>
      <c r="Z32" s="125"/>
      <c r="AA32" s="125"/>
      <c r="AB32" s="125"/>
      <c r="AD32" s="129">
        <f t="shared" si="32"/>
        <v>0.68116996287934273</v>
      </c>
      <c r="AE32" s="129">
        <f t="shared" si="33"/>
        <v>1.0816737193344843</v>
      </c>
      <c r="AF32" s="129">
        <f t="shared" si="34"/>
        <v>1.1482623520193143</v>
      </c>
      <c r="AG32" s="129">
        <f t="shared" si="35"/>
        <v>0.94500336857763534</v>
      </c>
      <c r="AI32" s="131">
        <f t="shared" si="36"/>
        <v>0.74989739669255229</v>
      </c>
      <c r="AJ32" s="131">
        <f t="shared" si="37"/>
        <v>0.94500336857763534</v>
      </c>
      <c r="AK32" s="131">
        <f t="shared" si="38"/>
        <v>1.0325177922888631</v>
      </c>
      <c r="AL32" s="131">
        <f t="shared" si="39"/>
        <v>0.91524172816700056</v>
      </c>
      <c r="AM32" s="131">
        <f t="shared" si="40"/>
        <v>0.70865556596206114</v>
      </c>
      <c r="AN32" s="131">
        <f t="shared" si="41"/>
        <v>0.70865556596206125</v>
      </c>
      <c r="AO32" s="131"/>
      <c r="AP32" s="131">
        <f t="shared" si="42"/>
        <v>0.94500336857763523</v>
      </c>
      <c r="AS32" s="134"/>
      <c r="AU32" s="129">
        <f t="shared" si="11"/>
        <v>0.35916876521905278</v>
      </c>
      <c r="AV32" s="129">
        <f t="shared" si="12"/>
        <v>0.24779207811534748</v>
      </c>
      <c r="AW32" s="129">
        <f t="shared" si="13"/>
        <v>0.3930391566655998</v>
      </c>
      <c r="AY32" s="129">
        <f t="shared" si="14"/>
        <v>0.37121994704055206</v>
      </c>
      <c r="AZ32" s="129">
        <f t="shared" si="14"/>
        <v>0.24489178577874332</v>
      </c>
      <c r="BA32" s="129">
        <f t="shared" si="14"/>
        <v>0.38366853904177772</v>
      </c>
      <c r="BB32" s="129">
        <f t="shared" si="23"/>
        <v>0.9997802718610731</v>
      </c>
      <c r="BD32" s="129">
        <f t="shared" si="15"/>
        <v>0.37130153243525477</v>
      </c>
      <c r="BE32" s="129">
        <f t="shared" si="16"/>
        <v>0.24494560722115635</v>
      </c>
      <c r="BF32" s="129">
        <f t="shared" si="24"/>
        <v>0.38375286034358891</v>
      </c>
      <c r="BI32" s="129">
        <f t="shared" si="17"/>
        <v>9.0485990003700053E-3</v>
      </c>
      <c r="BJ32" s="129">
        <f t="shared" si="17"/>
        <v>1.041675962851488E-2</v>
      </c>
      <c r="BK32" s="129">
        <f t="shared" si="17"/>
        <v>-8.8063191422379106E-3</v>
      </c>
      <c r="BM32" s="129">
        <f t="shared" si="6"/>
        <v>0.18039190436331637</v>
      </c>
      <c r="BN32" s="129">
        <f t="shared" si="18"/>
        <v>0.27364625587534608</v>
      </c>
      <c r="BO32" s="129">
        <f t="shared" si="19"/>
        <v>0.5459618397613375</v>
      </c>
      <c r="BQ32" s="129">
        <f t="shared" si="20"/>
        <v>-9.4873217979312863E-2</v>
      </c>
      <c r="BR32" s="129">
        <f t="shared" si="20"/>
        <v>-7.0022152294143486E-3</v>
      </c>
      <c r="BS32" s="129">
        <f t="shared" si="20"/>
        <v>3.7083467270390434E-2</v>
      </c>
      <c r="BT32" s="175" t="e">
        <f>#REF!</f>
        <v>#REF!</v>
      </c>
      <c r="BU32" s="129">
        <f t="shared" si="25"/>
        <v>1.0025350558616766</v>
      </c>
      <c r="BV32" s="129">
        <f t="shared" si="21"/>
        <v>1.0025350558616766</v>
      </c>
      <c r="BW32" s="129">
        <f t="shared" si="7"/>
        <v>0.91524172816700056</v>
      </c>
      <c r="BX32" s="175">
        <f>BU32*BV31</f>
        <v>1.0025350558616766</v>
      </c>
      <c r="BY32" s="129">
        <f t="shared" si="26"/>
        <v>0.97754510355039914</v>
      </c>
      <c r="BZ32" s="129">
        <f t="shared" si="22"/>
        <v>0.97754510355039914</v>
      </c>
      <c r="CA32" s="129">
        <f t="shared" si="8"/>
        <v>1.0325177922888631</v>
      </c>
    </row>
    <row r="33" spans="1:79" x14ac:dyDescent="0.2">
      <c r="A33" s="133" t="s">
        <v>664</v>
      </c>
      <c r="B33" s="133">
        <f t="shared" si="9"/>
        <v>1972</v>
      </c>
      <c r="D33" s="125">
        <f>'Passenger-based Energy Use'!E30</f>
        <v>37.575775</v>
      </c>
      <c r="E33" s="125">
        <f>'Passenger-based Energy Use'!G30</f>
        <v>27.323899999999998</v>
      </c>
      <c r="F33" s="174">
        <f>'Passenger-based Energy Use'!H30</f>
        <v>45.457535132332204</v>
      </c>
      <c r="G33" s="125">
        <f t="shared" si="27"/>
        <v>110.3572101323322</v>
      </c>
      <c r="H33" s="125"/>
      <c r="I33" s="279">
        <v>319.62</v>
      </c>
      <c r="J33" s="125">
        <f t="shared" si="43"/>
        <v>43.8934146</v>
      </c>
      <c r="L33" s="4">
        <f>'Passenger-based Activity'!F31</f>
        <v>16180</v>
      </c>
      <c r="M33" s="4">
        <f>'Passenger-based Activity'!E31</f>
        <v>25600</v>
      </c>
      <c r="N33" s="4">
        <f>'Passenger-based Activity'!H31</f>
        <v>54257</v>
      </c>
      <c r="O33" s="4">
        <f t="shared" si="10"/>
        <v>96037</v>
      </c>
      <c r="P33" s="4"/>
      <c r="Q33" s="4"/>
      <c r="R33" s="4"/>
      <c r="S33" s="4"/>
      <c r="T33" s="4"/>
      <c r="V33" s="125">
        <f t="shared" si="28"/>
        <v>2322.3593943139676</v>
      </c>
      <c r="W33" s="125">
        <f t="shared" si="29"/>
        <v>1067.33984375</v>
      </c>
      <c r="X33" s="125">
        <f t="shared" si="30"/>
        <v>837.81880922889582</v>
      </c>
      <c r="Y33" s="125">
        <f t="shared" si="31"/>
        <v>1149.1113855319534</v>
      </c>
      <c r="Z33" s="125"/>
      <c r="AA33" s="125"/>
      <c r="AB33" s="125"/>
      <c r="AD33" s="129">
        <f t="shared" si="32"/>
        <v>0.67676154789371623</v>
      </c>
      <c r="AE33" s="129">
        <f t="shared" si="33"/>
        <v>1.0860088577573255</v>
      </c>
      <c r="AF33" s="129">
        <f t="shared" si="34"/>
        <v>1.1382822832909956</v>
      </c>
      <c r="AG33" s="129">
        <f t="shared" si="35"/>
        <v>0.92497023869110384</v>
      </c>
      <c r="AI33" s="131">
        <f t="shared" si="36"/>
        <v>0.77284030096970191</v>
      </c>
      <c r="AJ33" s="131">
        <f t="shared" si="37"/>
        <v>0.92497023869110384</v>
      </c>
      <c r="AK33" s="131">
        <f t="shared" si="38"/>
        <v>1.0154856646294241</v>
      </c>
      <c r="AL33" s="131">
        <f t="shared" si="39"/>
        <v>0.91086489047449815</v>
      </c>
      <c r="AM33" s="131">
        <f t="shared" si="40"/>
        <v>0.71485427765804932</v>
      </c>
      <c r="AN33" s="131">
        <f t="shared" si="41"/>
        <v>0.71485427765804965</v>
      </c>
      <c r="AO33" s="131"/>
      <c r="AP33" s="131">
        <f t="shared" si="42"/>
        <v>0.9249702386911034</v>
      </c>
      <c r="AS33" s="134"/>
      <c r="AU33" s="129">
        <f t="shared" si="11"/>
        <v>0.34049225197829769</v>
      </c>
      <c r="AV33" s="129">
        <f t="shared" si="12"/>
        <v>0.24759505941872942</v>
      </c>
      <c r="AW33" s="129">
        <f t="shared" si="13"/>
        <v>0.41191268860297292</v>
      </c>
      <c r="AY33" s="129">
        <f t="shared" ref="AY33:BA71" si="44">(AU33-AU32)/LN(AU33/AU32)</f>
        <v>0.34974740205562516</v>
      </c>
      <c r="AZ33" s="129">
        <f t="shared" si="44"/>
        <v>0.24769355570776136</v>
      </c>
      <c r="BA33" s="129">
        <f t="shared" si="44"/>
        <v>0.40240215788146133</v>
      </c>
      <c r="BB33" s="129">
        <f t="shared" si="23"/>
        <v>0.99984311564484796</v>
      </c>
      <c r="BD33" s="129">
        <f t="shared" si="15"/>
        <v>0.34980228056084167</v>
      </c>
      <c r="BE33" s="129">
        <f t="shared" si="16"/>
        <v>0.24773242104888787</v>
      </c>
      <c r="BF33" s="129">
        <f t="shared" si="24"/>
        <v>0.40246529839027034</v>
      </c>
      <c r="BI33" s="129">
        <f t="shared" ref="BI33:BK71" si="45">LN(AD33/AD32)</f>
        <v>-6.4928612936100208E-3</v>
      </c>
      <c r="BJ33" s="129">
        <f t="shared" si="45"/>
        <v>3.9997961401258761E-3</v>
      </c>
      <c r="BK33" s="129">
        <f t="shared" si="45"/>
        <v>-8.7294443766507898E-3</v>
      </c>
      <c r="BM33" s="129">
        <f t="shared" si="6"/>
        <v>0.1684767329258515</v>
      </c>
      <c r="BN33" s="129">
        <f t="shared" si="18"/>
        <v>0.26656392848589605</v>
      </c>
      <c r="BO33" s="129">
        <f t="shared" si="19"/>
        <v>0.56495933858825242</v>
      </c>
      <c r="BQ33" s="129">
        <f t="shared" ref="BQ33:BS71" si="46">LN(BM33/BM32)</f>
        <v>-6.833407385482751E-2</v>
      </c>
      <c r="BR33" s="129">
        <f t="shared" si="46"/>
        <v>-2.6222138743512664E-2</v>
      </c>
      <c r="BS33" s="129">
        <f t="shared" si="46"/>
        <v>3.4204678700800746E-2</v>
      </c>
      <c r="BT33" s="175" t="e">
        <f>#REF!</f>
        <v>#REF!</v>
      </c>
      <c r="BU33" s="129">
        <f t="shared" si="25"/>
        <v>0.9952178341985477</v>
      </c>
      <c r="BV33" s="129">
        <f t="shared" si="21"/>
        <v>0.99774076700277781</v>
      </c>
      <c r="BW33" s="129">
        <f t="shared" si="7"/>
        <v>0.91086489047449815</v>
      </c>
      <c r="BX33" s="175">
        <f t="shared" ref="BX33:BX46" si="47">BU33*BV32</f>
        <v>0.99774076700277781</v>
      </c>
      <c r="BY33" s="129">
        <f t="shared" si="26"/>
        <v>0.98350427683993458</v>
      </c>
      <c r="BZ33" s="129">
        <f t="shared" si="22"/>
        <v>0.96141979014575429</v>
      </c>
      <c r="CA33" s="129">
        <f t="shared" si="8"/>
        <v>1.0154856646294241</v>
      </c>
    </row>
    <row r="34" spans="1:79" x14ac:dyDescent="0.2">
      <c r="A34" s="133" t="s">
        <v>664</v>
      </c>
      <c r="B34" s="133">
        <f t="shared" si="9"/>
        <v>1973</v>
      </c>
      <c r="D34" s="125">
        <f>'Passenger-based Energy Use'!E31</f>
        <v>40.736893999999999</v>
      </c>
      <c r="E34" s="125">
        <f>'Passenger-based Energy Use'!G31</f>
        <v>27.231433333333335</v>
      </c>
      <c r="F34" s="174">
        <f>'Passenger-based Energy Use'!H31</f>
        <v>46.078348442355193</v>
      </c>
      <c r="G34" s="125">
        <f t="shared" si="27"/>
        <v>114.04667577568853</v>
      </c>
      <c r="H34" s="125"/>
      <c r="I34" s="279">
        <v>327.04000000000002</v>
      </c>
      <c r="J34" s="125">
        <f t="shared" si="43"/>
        <v>44.9124032</v>
      </c>
      <c r="L34" s="4">
        <f>'Passenger-based Activity'!F32</f>
        <v>16170</v>
      </c>
      <c r="M34" s="4">
        <f>'Passenger-based Activity'!E32</f>
        <v>26400</v>
      </c>
      <c r="N34" s="4">
        <f>'Passenger-based Activity'!H32</f>
        <v>55476</v>
      </c>
      <c r="O34" s="4">
        <f t="shared" si="10"/>
        <v>98046</v>
      </c>
      <c r="P34" s="4"/>
      <c r="Q34" s="4"/>
      <c r="R34" s="4"/>
      <c r="S34" s="4"/>
      <c r="T34" s="4"/>
      <c r="V34" s="125">
        <f t="shared" si="28"/>
        <v>2519.2884353741497</v>
      </c>
      <c r="W34" s="125">
        <f t="shared" si="29"/>
        <v>1031.4936868686871</v>
      </c>
      <c r="X34" s="125">
        <f t="shared" si="30"/>
        <v>830.59969071950388</v>
      </c>
      <c r="Y34" s="125">
        <f t="shared" si="31"/>
        <v>1163.1955997765185</v>
      </c>
      <c r="Z34" s="125"/>
      <c r="AA34" s="125"/>
      <c r="AB34" s="125"/>
      <c r="AD34" s="129">
        <f t="shared" si="32"/>
        <v>0.7341488769089497</v>
      </c>
      <c r="AE34" s="129">
        <f t="shared" si="33"/>
        <v>1.0495357099425768</v>
      </c>
      <c r="AF34" s="129">
        <f t="shared" si="34"/>
        <v>1.1284742023435388</v>
      </c>
      <c r="AG34" s="129">
        <f t="shared" si="35"/>
        <v>0.93630724150527511</v>
      </c>
      <c r="AI34" s="131">
        <f t="shared" si="36"/>
        <v>0.7890073632961816</v>
      </c>
      <c r="AJ34" s="131">
        <f t="shared" si="37"/>
        <v>0.93630724150527511</v>
      </c>
      <c r="AK34" s="131">
        <f t="shared" si="38"/>
        <v>1.0110571559226045</v>
      </c>
      <c r="AL34" s="131">
        <f t="shared" si="39"/>
        <v>0.92606756801091117</v>
      </c>
      <c r="AM34" s="131">
        <f t="shared" si="40"/>
        <v>0.7387533078551981</v>
      </c>
      <c r="AN34" s="131">
        <f t="shared" si="41"/>
        <v>0.73875330785519833</v>
      </c>
      <c r="AO34" s="131"/>
      <c r="AP34" s="131">
        <f t="shared" si="42"/>
        <v>0.93630724150527489</v>
      </c>
      <c r="AS34" s="134"/>
      <c r="AU34" s="129">
        <f t="shared" si="11"/>
        <v>0.35719492675194603</v>
      </c>
      <c r="AV34" s="129">
        <f t="shared" si="12"/>
        <v>0.23877445921258753</v>
      </c>
      <c r="AW34" s="129">
        <f t="shared" si="13"/>
        <v>0.40403061403546647</v>
      </c>
      <c r="AY34" s="129">
        <f t="shared" si="44"/>
        <v>0.34877693532986348</v>
      </c>
      <c r="AZ34" s="129">
        <f t="shared" si="44"/>
        <v>0.24315809583928649</v>
      </c>
      <c r="BA34" s="129">
        <f t="shared" si="44"/>
        <v>0.40795896076311333</v>
      </c>
      <c r="BB34" s="129">
        <f t="shared" si="23"/>
        <v>0.99989399193226336</v>
      </c>
      <c r="BD34" s="129">
        <f t="shared" si="15"/>
        <v>0.34881391241871862</v>
      </c>
      <c r="BE34" s="129">
        <f t="shared" si="16"/>
        <v>0.24318387529201091</v>
      </c>
      <c r="BF34" s="129">
        <f t="shared" si="24"/>
        <v>0.40800221228927042</v>
      </c>
      <c r="BI34" s="129">
        <f t="shared" si="45"/>
        <v>8.1392845523442073E-2</v>
      </c>
      <c r="BJ34" s="129">
        <f t="shared" si="45"/>
        <v>-3.4161492421264927E-2</v>
      </c>
      <c r="BK34" s="129">
        <f t="shared" si="45"/>
        <v>-8.6539001609812968E-3</v>
      </c>
      <c r="BM34" s="129">
        <f t="shared" si="6"/>
        <v>0.16492258735695489</v>
      </c>
      <c r="BN34" s="129">
        <f t="shared" si="18"/>
        <v>0.26926136711339577</v>
      </c>
      <c r="BO34" s="129">
        <f t="shared" si="19"/>
        <v>0.56581604552964937</v>
      </c>
      <c r="BQ34" s="129">
        <f t="shared" si="46"/>
        <v>-2.1321460458454376E-2</v>
      </c>
      <c r="BR34" s="129">
        <f t="shared" si="46"/>
        <v>1.0068436249629539E-2</v>
      </c>
      <c r="BS34" s="129">
        <f t="shared" si="46"/>
        <v>1.5152560222769663E-3</v>
      </c>
      <c r="BT34" s="175" t="e">
        <f>#REF!</f>
        <v>#REF!</v>
      </c>
      <c r="BU34" s="129">
        <f t="shared" si="25"/>
        <v>1.0166903760320516</v>
      </c>
      <c r="BV34" s="129">
        <f t="shared" si="21"/>
        <v>1.0143934355865618</v>
      </c>
      <c r="BW34" s="129">
        <f t="shared" si="7"/>
        <v>0.92606756801091117</v>
      </c>
      <c r="BX34" s="175">
        <f t="shared" si="47"/>
        <v>1.0143934355865618</v>
      </c>
      <c r="BY34" s="129">
        <f t="shared" si="26"/>
        <v>0.99563902390642245</v>
      </c>
      <c r="BZ34" s="129">
        <f t="shared" si="22"/>
        <v>0.95722706142503633</v>
      </c>
      <c r="CA34" s="129">
        <f t="shared" si="8"/>
        <v>1.0110571559226045</v>
      </c>
    </row>
    <row r="35" spans="1:79" x14ac:dyDescent="0.2">
      <c r="A35" s="133" t="s">
        <v>664</v>
      </c>
      <c r="B35" s="133">
        <f t="shared" si="9"/>
        <v>1974</v>
      </c>
      <c r="D35" s="125">
        <f>'Passenger-based Energy Use'!E32</f>
        <v>44.816631999999998</v>
      </c>
      <c r="E35" s="125">
        <f>'Passenger-based Energy Use'!G32</f>
        <v>26.317856418918918</v>
      </c>
      <c r="F35" s="174">
        <f>'Passenger-based Energy Use'!H32</f>
        <v>46.404445744186042</v>
      </c>
      <c r="G35" s="125">
        <f t="shared" si="27"/>
        <v>117.53893416310495</v>
      </c>
      <c r="H35" s="125"/>
      <c r="I35" s="279">
        <v>334.46</v>
      </c>
      <c r="J35" s="125">
        <f t="shared" si="43"/>
        <v>45.931391799999993</v>
      </c>
      <c r="L35" s="4">
        <f>'Passenger-based Activity'!F33</f>
        <v>17910</v>
      </c>
      <c r="M35" s="4">
        <f>'Passenger-based Activity'!E33</f>
        <v>27700</v>
      </c>
      <c r="N35" s="4">
        <f>'Passenger-based Activity'!H33</f>
        <v>56350</v>
      </c>
      <c r="O35" s="4">
        <f t="shared" si="10"/>
        <v>101960</v>
      </c>
      <c r="P35" s="4"/>
      <c r="Q35" s="4"/>
      <c r="R35" s="4"/>
      <c r="S35" s="4"/>
      <c r="T35" s="4"/>
      <c r="V35" s="125">
        <f t="shared" si="28"/>
        <v>2502.3245114461197</v>
      </c>
      <c r="W35" s="125">
        <f t="shared" si="29"/>
        <v>950.10311981656741</v>
      </c>
      <c r="X35" s="125">
        <f t="shared" si="30"/>
        <v>823.5039173768597</v>
      </c>
      <c r="Y35" s="125">
        <f t="shared" si="31"/>
        <v>1152.794568096361</v>
      </c>
      <c r="Z35" s="125"/>
      <c r="AA35" s="125"/>
      <c r="AB35" s="125"/>
      <c r="AD35" s="129">
        <f t="shared" si="32"/>
        <v>0.72920539940758033</v>
      </c>
      <c r="AE35" s="129">
        <f t="shared" si="33"/>
        <v>0.96672152730517014</v>
      </c>
      <c r="AF35" s="129">
        <f t="shared" si="34"/>
        <v>1.1188337013268401</v>
      </c>
      <c r="AG35" s="129">
        <f t="shared" si="35"/>
        <v>0.92793499415226899</v>
      </c>
      <c r="AI35" s="131">
        <f t="shared" si="36"/>
        <v>0.82050456685309625</v>
      </c>
      <c r="AJ35" s="131">
        <f t="shared" si="37"/>
        <v>0.92793499415226899</v>
      </c>
      <c r="AK35" s="131">
        <f t="shared" si="38"/>
        <v>1.0273151345411962</v>
      </c>
      <c r="AL35" s="131">
        <f t="shared" si="39"/>
        <v>0.90326226388817776</v>
      </c>
      <c r="AM35" s="131">
        <f t="shared" si="40"/>
        <v>0.76137490044473766</v>
      </c>
      <c r="AN35" s="131">
        <f t="shared" si="41"/>
        <v>0.76137490044473799</v>
      </c>
      <c r="AO35" s="131"/>
      <c r="AP35" s="131">
        <f t="shared" si="42"/>
        <v>0.92793499415226877</v>
      </c>
      <c r="AS35" s="134"/>
      <c r="AU35" s="129">
        <f t="shared" si="11"/>
        <v>0.3812918018961225</v>
      </c>
      <c r="AV35" s="129">
        <f t="shared" si="12"/>
        <v>0.22390756396002778</v>
      </c>
      <c r="AW35" s="129">
        <f t="shared" si="13"/>
        <v>0.39480063414384975</v>
      </c>
      <c r="AY35" s="129">
        <f t="shared" si="44"/>
        <v>0.36911227996703083</v>
      </c>
      <c r="AZ35" s="129">
        <f t="shared" si="44"/>
        <v>0.23126137249305109</v>
      </c>
      <c r="BA35" s="129">
        <f t="shared" si="44"/>
        <v>0.39939784904598657</v>
      </c>
      <c r="BB35" s="129">
        <f t="shared" si="23"/>
        <v>0.99977150150606842</v>
      </c>
      <c r="BD35" s="129">
        <f t="shared" si="15"/>
        <v>0.36919664084342818</v>
      </c>
      <c r="BE35" s="129">
        <f t="shared" si="16"/>
        <v>0.23131422744564736</v>
      </c>
      <c r="BF35" s="129">
        <f t="shared" si="24"/>
        <v>0.39948913171092454</v>
      </c>
      <c r="BI35" s="129">
        <f t="shared" si="45"/>
        <v>-6.7563902831794384E-3</v>
      </c>
      <c r="BJ35" s="129">
        <f t="shared" si="45"/>
        <v>-8.2192686272890475E-2</v>
      </c>
      <c r="BK35" s="129">
        <f t="shared" si="45"/>
        <v>-8.5796522476234167E-3</v>
      </c>
      <c r="BM35" s="129">
        <f t="shared" si="6"/>
        <v>0.175657120439388</v>
      </c>
      <c r="BN35" s="129">
        <f t="shared" si="18"/>
        <v>0.27167516673205178</v>
      </c>
      <c r="BO35" s="129">
        <f t="shared" si="19"/>
        <v>0.5526677128285602</v>
      </c>
      <c r="BQ35" s="129">
        <f t="shared" si="46"/>
        <v>6.3057719273392418E-2</v>
      </c>
      <c r="BR35" s="129">
        <f t="shared" si="46"/>
        <v>8.9245798308097059E-3</v>
      </c>
      <c r="BS35" s="129">
        <f t="shared" si="46"/>
        <v>-2.3512077518516073E-2</v>
      </c>
      <c r="BT35" s="175" t="e">
        <f>#REF!</f>
        <v>#REF!</v>
      </c>
      <c r="BU35" s="129">
        <f t="shared" si="25"/>
        <v>0.97537403866575678</v>
      </c>
      <c r="BV35" s="129">
        <f t="shared" si="21"/>
        <v>0.98941302206409698</v>
      </c>
      <c r="BW35" s="129">
        <f t="shared" si="7"/>
        <v>0.90326226388817776</v>
      </c>
      <c r="BX35" s="175">
        <f t="shared" si="47"/>
        <v>0.98941302206409698</v>
      </c>
      <c r="BY35" s="129">
        <f t="shared" si="26"/>
        <v>1.0160801775877408</v>
      </c>
      <c r="BZ35" s="129">
        <f t="shared" si="22"/>
        <v>0.97261944256454225</v>
      </c>
      <c r="CA35" s="129">
        <f t="shared" si="8"/>
        <v>1.0273151345411962</v>
      </c>
    </row>
    <row r="36" spans="1:79" x14ac:dyDescent="0.2">
      <c r="A36" s="133" t="s">
        <v>664</v>
      </c>
      <c r="B36" s="133">
        <f t="shared" si="9"/>
        <v>1975</v>
      </c>
      <c r="D36" s="125">
        <f>'Passenger-based Energy Use'!E33</f>
        <v>51.258822000000002</v>
      </c>
      <c r="E36" s="125">
        <f>'Passenger-based Energy Use'!G33</f>
        <v>24.798247972972973</v>
      </c>
      <c r="F36" s="174">
        <f>'Passenger-based Energy Use'!H33</f>
        <v>46.950380399999993</v>
      </c>
      <c r="G36" s="125">
        <f t="shared" si="27"/>
        <v>123.00745037297298</v>
      </c>
      <c r="H36" s="125">
        <v>146</v>
      </c>
      <c r="I36" s="279">
        <v>341.88</v>
      </c>
      <c r="J36" s="125">
        <f t="shared" si="43"/>
        <v>46.950380399999993</v>
      </c>
      <c r="L36" s="4">
        <f>'Passenger-based Activity'!F34</f>
        <v>18300</v>
      </c>
      <c r="M36" s="4">
        <f>'Passenger-based Activity'!E34</f>
        <v>25400</v>
      </c>
      <c r="N36" s="4">
        <f>'Passenger-based Activity'!H34</f>
        <v>57500</v>
      </c>
      <c r="O36" s="4">
        <f t="shared" si="10"/>
        <v>101200</v>
      </c>
      <c r="P36" s="4"/>
      <c r="Q36" s="4">
        <v>6055</v>
      </c>
      <c r="R36" s="4"/>
      <c r="S36" s="4"/>
      <c r="T36" s="4"/>
      <c r="V36" s="125">
        <f t="shared" si="28"/>
        <v>2801.0285245901641</v>
      </c>
      <c r="W36" s="125">
        <f t="shared" si="29"/>
        <v>976.30897531389655</v>
      </c>
      <c r="X36" s="125">
        <f t="shared" si="30"/>
        <v>816.52835478260852</v>
      </c>
      <c r="Y36" s="125">
        <f t="shared" si="31"/>
        <v>1215.4886400491403</v>
      </c>
      <c r="Z36" s="125"/>
      <c r="AA36" s="125"/>
      <c r="AB36" s="125"/>
      <c r="AD36" s="129">
        <f t="shared" si="32"/>
        <v>0.8162510956044623</v>
      </c>
      <c r="AE36" s="129">
        <f t="shared" si="33"/>
        <v>0.99338575366368131</v>
      </c>
      <c r="AF36" s="129">
        <f t="shared" si="34"/>
        <v>1.1093565217391301</v>
      </c>
      <c r="AG36" s="129">
        <f t="shared" si="35"/>
        <v>0.9784002070366008</v>
      </c>
      <c r="AI36" s="131">
        <f t="shared" si="36"/>
        <v>0.81438860499738475</v>
      </c>
      <c r="AJ36" s="131">
        <f t="shared" si="37"/>
        <v>0.9784002070366008</v>
      </c>
      <c r="AK36" s="131">
        <f t="shared" si="38"/>
        <v>1.0329685521332059</v>
      </c>
      <c r="AL36" s="131">
        <f t="shared" si="39"/>
        <v>0.94717327552332997</v>
      </c>
      <c r="AM36" s="131">
        <f t="shared" si="40"/>
        <v>0.79679797973768929</v>
      </c>
      <c r="AN36" s="131">
        <f t="shared" si="41"/>
        <v>0.79679797973768973</v>
      </c>
      <c r="AO36" s="131"/>
      <c r="AP36" s="131">
        <f t="shared" si="42"/>
        <v>0.97840020703660036</v>
      </c>
      <c r="AS36" s="134"/>
      <c r="AU36" s="129">
        <f t="shared" si="11"/>
        <v>0.41671314903753598</v>
      </c>
      <c r="AV36" s="129">
        <f t="shared" si="12"/>
        <v>0.20159956082157449</v>
      </c>
      <c r="AW36" s="129">
        <f t="shared" si="13"/>
        <v>0.38168729014088942</v>
      </c>
      <c r="AY36" s="129">
        <f t="shared" si="44"/>
        <v>0.39874029419547491</v>
      </c>
      <c r="AZ36" s="129">
        <f t="shared" si="44"/>
        <v>0.21255849621633061</v>
      </c>
      <c r="BA36" s="129">
        <f t="shared" si="44"/>
        <v>0.38820704959767754</v>
      </c>
      <c r="BB36" s="129">
        <f t="shared" si="23"/>
        <v>0.99950584000948295</v>
      </c>
      <c r="BD36" s="129">
        <f t="shared" si="15"/>
        <v>0.39893743311363922</v>
      </c>
      <c r="BE36" s="129">
        <f t="shared" si="16"/>
        <v>0.21266358605199739</v>
      </c>
      <c r="BF36" s="129">
        <f t="shared" si="24"/>
        <v>0.38839898083436347</v>
      </c>
      <c r="BI36" s="129">
        <f t="shared" si="45"/>
        <v>0.11276657549061692</v>
      </c>
      <c r="BJ36" s="129">
        <f t="shared" si="45"/>
        <v>2.7208583502826532E-2</v>
      </c>
      <c r="BK36" s="129">
        <f t="shared" si="45"/>
        <v>-8.5066675543283947E-3</v>
      </c>
      <c r="BM36" s="129">
        <f t="shared" si="6"/>
        <v>0.18083003952569171</v>
      </c>
      <c r="BN36" s="129">
        <f t="shared" si="18"/>
        <v>0.25098814229249011</v>
      </c>
      <c r="BO36" s="129">
        <f t="shared" si="19"/>
        <v>0.56818181818181823</v>
      </c>
      <c r="BQ36" s="129">
        <f t="shared" si="46"/>
        <v>2.9023666429304394E-2</v>
      </c>
      <c r="BR36" s="129">
        <f t="shared" si="46"/>
        <v>-7.9201416514252346E-2</v>
      </c>
      <c r="BS36" s="129">
        <f t="shared" si="46"/>
        <v>2.7684529972069036E-2</v>
      </c>
      <c r="BT36" s="175" t="e">
        <f>#REF!</f>
        <v>#REF!</v>
      </c>
      <c r="BU36" s="129">
        <f t="shared" si="25"/>
        <v>1.0486138006542343</v>
      </c>
      <c r="BV36" s="129">
        <f t="shared" si="21"/>
        <v>1.0375121494834245</v>
      </c>
      <c r="BW36" s="129">
        <f t="shared" si="7"/>
        <v>0.94717327552332997</v>
      </c>
      <c r="BX36" s="175">
        <f t="shared" si="47"/>
        <v>1.0375121494834245</v>
      </c>
      <c r="BY36" s="129">
        <f t="shared" si="26"/>
        <v>1.0055030996837544</v>
      </c>
      <c r="BZ36" s="129">
        <f t="shared" si="22"/>
        <v>0.97797186431133254</v>
      </c>
      <c r="CA36" s="129">
        <f t="shared" si="8"/>
        <v>1.0329685521332059</v>
      </c>
    </row>
    <row r="37" spans="1:79" x14ac:dyDescent="0.2">
      <c r="A37" s="133" t="s">
        <v>664</v>
      </c>
      <c r="B37" s="133">
        <f t="shared" si="9"/>
        <v>1976</v>
      </c>
      <c r="D37" s="125">
        <f>'Passenger-based Energy Use'!E34</f>
        <v>54.6302369</v>
      </c>
      <c r="E37" s="125">
        <f>'Passenger-based Energy Use'!G34</f>
        <v>25.045120962199309</v>
      </c>
      <c r="F37" s="174">
        <f>'Passenger-based Energy Use'!H34</f>
        <v>48.431966053153033</v>
      </c>
      <c r="G37" s="125">
        <f t="shared" si="27"/>
        <v>128.10732391535234</v>
      </c>
      <c r="H37" s="125"/>
      <c r="I37" s="279">
        <v>389.76</v>
      </c>
      <c r="J37" s="125">
        <f t="shared" si="43"/>
        <v>53.525740799999994</v>
      </c>
      <c r="L37" s="4">
        <f>'Passenger-based Activity'!F35</f>
        <v>18890</v>
      </c>
      <c r="M37" s="4">
        <f>'Passenger-based Activity'!E35</f>
        <v>25100</v>
      </c>
      <c r="N37" s="4">
        <f>'Passenger-based Activity'!H35</f>
        <v>60269.824604853537</v>
      </c>
      <c r="O37" s="4">
        <f t="shared" si="10"/>
        <v>104259.82460485354</v>
      </c>
      <c r="P37" s="4"/>
      <c r="Q37" s="4"/>
      <c r="R37" s="4"/>
      <c r="S37" s="4"/>
      <c r="T37" s="4"/>
      <c r="V37" s="125">
        <f t="shared" si="28"/>
        <v>2892.0188935944943</v>
      </c>
      <c r="W37" s="125">
        <f t="shared" si="29"/>
        <v>997.81358415136697</v>
      </c>
      <c r="X37" s="125">
        <f t="shared" si="30"/>
        <v>803.58564788743058</v>
      </c>
      <c r="Y37" s="125">
        <f t="shared" si="31"/>
        <v>1228.7314351513751</v>
      </c>
      <c r="Z37" s="125"/>
      <c r="AA37" s="125"/>
      <c r="AB37" s="125"/>
      <c r="AD37" s="129">
        <f t="shared" si="32"/>
        <v>0.84276670861490321</v>
      </c>
      <c r="AE37" s="129">
        <f t="shared" si="33"/>
        <v>1.0152665030958834</v>
      </c>
      <c r="AF37" s="129">
        <f t="shared" si="34"/>
        <v>1.0917722257143505</v>
      </c>
      <c r="AG37" s="129">
        <f t="shared" si="35"/>
        <v>0.9890599146166289</v>
      </c>
      <c r="AI37" s="131">
        <f t="shared" si="36"/>
        <v>0.83901198732429527</v>
      </c>
      <c r="AJ37" s="131">
        <f t="shared" si="37"/>
        <v>0.9890599146166289</v>
      </c>
      <c r="AK37" s="131">
        <f t="shared" si="38"/>
        <v>1.0320425909548456</v>
      </c>
      <c r="AL37" s="131">
        <f t="shared" si="39"/>
        <v>0.9583518386596338</v>
      </c>
      <c r="AM37" s="131">
        <f t="shared" si="40"/>
        <v>0.82983312454529534</v>
      </c>
      <c r="AN37" s="131">
        <f t="shared" si="41"/>
        <v>0.82983312454529568</v>
      </c>
      <c r="AO37" s="131"/>
      <c r="AP37" s="131">
        <f t="shared" si="42"/>
        <v>0.98905991461662868</v>
      </c>
      <c r="AS37" s="134"/>
      <c r="AU37" s="129">
        <f t="shared" si="11"/>
        <v>0.42644116846978436</v>
      </c>
      <c r="AV37" s="129">
        <f t="shared" si="12"/>
        <v>0.19550108609518702</v>
      </c>
      <c r="AW37" s="129">
        <f t="shared" si="13"/>
        <v>0.37805774543502868</v>
      </c>
      <c r="AY37" s="129">
        <f t="shared" si="44"/>
        <v>0.42155845167563477</v>
      </c>
      <c r="AZ37" s="129">
        <f t="shared" si="44"/>
        <v>0.19853471291829636</v>
      </c>
      <c r="BA37" s="129">
        <f t="shared" si="44"/>
        <v>0.37986962785463957</v>
      </c>
      <c r="BB37" s="129">
        <f t="shared" si="23"/>
        <v>0.99996279244857078</v>
      </c>
      <c r="BD37" s="129">
        <f t="shared" si="15"/>
        <v>0.42157413741703392</v>
      </c>
      <c r="BE37" s="129">
        <f t="shared" si="16"/>
        <v>0.1985421001836998</v>
      </c>
      <c r="BF37" s="129">
        <f t="shared" si="24"/>
        <v>0.37988376239926619</v>
      </c>
      <c r="BI37" s="129">
        <f t="shared" si="45"/>
        <v>3.196815738727618E-2</v>
      </c>
      <c r="BJ37" s="129">
        <f t="shared" si="45"/>
        <v>2.1787360054729404E-2</v>
      </c>
      <c r="BK37" s="129">
        <f t="shared" si="45"/>
        <v>-1.5977866027150064E-2</v>
      </c>
      <c r="BM37" s="129">
        <f t="shared" si="6"/>
        <v>0.18118196603143552</v>
      </c>
      <c r="BN37" s="129">
        <f t="shared" si="18"/>
        <v>0.24074469811482435</v>
      </c>
      <c r="BO37" s="129">
        <f t="shared" si="19"/>
        <v>0.5780733358537401</v>
      </c>
      <c r="BQ37" s="129">
        <f t="shared" si="46"/>
        <v>1.9442814669409236E-3</v>
      </c>
      <c r="BR37" s="129">
        <f t="shared" si="46"/>
        <v>-4.1668668085854531E-2</v>
      </c>
      <c r="BS37" s="129">
        <f t="shared" si="46"/>
        <v>1.7259269331575677E-2</v>
      </c>
      <c r="BT37" s="175" t="e">
        <f>#REF!</f>
        <v>#REF!</v>
      </c>
      <c r="BU37" s="129">
        <f t="shared" si="25"/>
        <v>1.0118020254848592</v>
      </c>
      <c r="BV37" s="129">
        <f t="shared" si="21"/>
        <v>1.0497568943124789</v>
      </c>
      <c r="BW37" s="129">
        <f t="shared" si="7"/>
        <v>0.9583518386596338</v>
      </c>
      <c r="BX37" s="175">
        <f t="shared" si="47"/>
        <v>1.0497568943124789</v>
      </c>
      <c r="BY37" s="129">
        <f t="shared" si="26"/>
        <v>0.99910359209247157</v>
      </c>
      <c r="BZ37" s="129">
        <f t="shared" si="22"/>
        <v>0.97709520259882354</v>
      </c>
      <c r="CA37" s="129">
        <f t="shared" si="8"/>
        <v>1.0320425909548456</v>
      </c>
    </row>
    <row r="38" spans="1:79" x14ac:dyDescent="0.2">
      <c r="A38" s="133" t="s">
        <v>664</v>
      </c>
      <c r="B38" s="133">
        <f t="shared" si="9"/>
        <v>1977</v>
      </c>
      <c r="D38" s="125">
        <f>'Passenger-based Energy Use'!E35</f>
        <v>56.886685399999998</v>
      </c>
      <c r="E38" s="125">
        <f>'Passenger-based Energy Use'!G35</f>
        <v>25.03075888501742</v>
      </c>
      <c r="F38" s="174">
        <f>'Passenger-based Energy Use'!H35</f>
        <v>49.740914536857431</v>
      </c>
      <c r="G38" s="125">
        <f t="shared" si="27"/>
        <v>131.65835882187486</v>
      </c>
      <c r="H38" s="125"/>
      <c r="I38" s="279">
        <v>401.52</v>
      </c>
      <c r="J38" s="125">
        <f t="shared" si="43"/>
        <v>55.140741599999991</v>
      </c>
      <c r="L38" s="4">
        <f>'Passenger-based Activity'!F36</f>
        <v>19730</v>
      </c>
      <c r="M38" s="4">
        <f>'Passenger-based Activity'!E36</f>
        <v>26000</v>
      </c>
      <c r="N38" s="4">
        <f>'Passenger-based Activity'!H36</f>
        <v>62879.859521512801</v>
      </c>
      <c r="O38" s="4">
        <f t="shared" si="10"/>
        <v>108609.8595215128</v>
      </c>
      <c r="P38" s="4"/>
      <c r="Q38" s="4"/>
      <c r="R38" s="4"/>
      <c r="S38" s="4"/>
      <c r="T38" s="4"/>
      <c r="V38" s="125">
        <f t="shared" si="28"/>
        <v>2883.2582564622398</v>
      </c>
      <c r="W38" s="125">
        <f t="shared" si="29"/>
        <v>962.72149557759315</v>
      </c>
      <c r="X38" s="125">
        <f t="shared" si="30"/>
        <v>791.04684576847376</v>
      </c>
      <c r="Y38" s="125">
        <f t="shared" si="31"/>
        <v>1212.2136922182165</v>
      </c>
      <c r="Z38" s="125"/>
      <c r="AA38" s="125"/>
      <c r="AB38" s="125"/>
      <c r="AD38" s="129">
        <f t="shared" si="32"/>
        <v>0.84021376079783583</v>
      </c>
      <c r="AE38" s="129">
        <f t="shared" si="33"/>
        <v>0.97956061311952314</v>
      </c>
      <c r="AF38" s="129">
        <f t="shared" si="34"/>
        <v>1.0747366851553646</v>
      </c>
      <c r="AG38" s="129">
        <f t="shared" si="35"/>
        <v>0.97576405764759433</v>
      </c>
      <c r="AI38" s="131">
        <f t="shared" si="36"/>
        <v>0.87401810261548152</v>
      </c>
      <c r="AJ38" s="131">
        <f t="shared" si="37"/>
        <v>0.97576405764759433</v>
      </c>
      <c r="AK38" s="131">
        <f t="shared" si="38"/>
        <v>1.0326770829178769</v>
      </c>
      <c r="AL38" s="131">
        <f t="shared" si="39"/>
        <v>0.94488787810660757</v>
      </c>
      <c r="AM38" s="131">
        <f t="shared" si="40"/>
        <v>0.85283545026553342</v>
      </c>
      <c r="AN38" s="131">
        <f t="shared" si="41"/>
        <v>0.85283545026553387</v>
      </c>
      <c r="AO38" s="131"/>
      <c r="AP38" s="131">
        <f t="shared" si="42"/>
        <v>0.97576405764759389</v>
      </c>
      <c r="AS38" s="134"/>
      <c r="AU38" s="129">
        <f t="shared" si="11"/>
        <v>0.43207803825782121</v>
      </c>
      <c r="AV38" s="129">
        <f t="shared" si="12"/>
        <v>0.19011902555220514</v>
      </c>
      <c r="AW38" s="129">
        <f t="shared" si="13"/>
        <v>0.37780293618997357</v>
      </c>
      <c r="AY38" s="129">
        <f t="shared" si="44"/>
        <v>0.42925343486148543</v>
      </c>
      <c r="AZ38" s="129">
        <f t="shared" si="44"/>
        <v>0.19279753569501437</v>
      </c>
      <c r="BA38" s="129">
        <f t="shared" si="44"/>
        <v>0.3779303264959859</v>
      </c>
      <c r="BB38" s="129">
        <f t="shared" si="23"/>
        <v>0.99998129705248573</v>
      </c>
      <c r="BD38" s="129">
        <f t="shared" si="15"/>
        <v>0.42926146331610371</v>
      </c>
      <c r="BE38" s="129">
        <f t="shared" si="16"/>
        <v>0.19280114164464723</v>
      </c>
      <c r="BF38" s="129">
        <f t="shared" si="24"/>
        <v>0.377937395039249</v>
      </c>
      <c r="BI38" s="129">
        <f t="shared" si="45"/>
        <v>-3.033843614492937E-3</v>
      </c>
      <c r="BJ38" s="129">
        <f t="shared" si="45"/>
        <v>-3.5802304474057113E-2</v>
      </c>
      <c r="BK38" s="129">
        <f t="shared" si="45"/>
        <v>-1.5726583520857276E-2</v>
      </c>
      <c r="BM38" s="129">
        <f t="shared" si="6"/>
        <v>0.18165938237027179</v>
      </c>
      <c r="BN38" s="129">
        <f t="shared" si="18"/>
        <v>0.23938894787770232</v>
      </c>
      <c r="BO38" s="129">
        <f t="shared" si="19"/>
        <v>0.57895166975202583</v>
      </c>
      <c r="BQ38" s="129">
        <f t="shared" si="46"/>
        <v>2.6315447037629459E-3</v>
      </c>
      <c r="BR38" s="129">
        <f t="shared" si="46"/>
        <v>-5.6474019335991128E-3</v>
      </c>
      <c r="BS38" s="129">
        <f t="shared" si="46"/>
        <v>1.5182628944966315E-3</v>
      </c>
      <c r="BT38" s="175" t="e">
        <f>#REF!</f>
        <v>#REF!</v>
      </c>
      <c r="BU38" s="129">
        <f t="shared" si="25"/>
        <v>0.98595092114409966</v>
      </c>
      <c r="BV38" s="129">
        <f t="shared" si="21"/>
        <v>1.0350087769247578</v>
      </c>
      <c r="BW38" s="129">
        <f t="shared" si="7"/>
        <v>0.94488787810660757</v>
      </c>
      <c r="BX38" s="175">
        <f t="shared" si="47"/>
        <v>1.0350087769247578</v>
      </c>
      <c r="BY38" s="129">
        <f t="shared" si="26"/>
        <v>1.0006147924209643</v>
      </c>
      <c r="BZ38" s="129">
        <f t="shared" si="22"/>
        <v>0.9776959133239419</v>
      </c>
      <c r="CA38" s="129">
        <f t="shared" si="8"/>
        <v>1.0326770829178769</v>
      </c>
    </row>
    <row r="39" spans="1:79" x14ac:dyDescent="0.2">
      <c r="A39" s="133" t="s">
        <v>664</v>
      </c>
      <c r="B39" s="133">
        <f t="shared" si="9"/>
        <v>1978</v>
      </c>
      <c r="D39" s="125">
        <f>'Passenger-based Energy Use'!E36</f>
        <v>59.696257899999999</v>
      </c>
      <c r="E39" s="125">
        <f>'Passenger-based Energy Use'!G36</f>
        <v>26.978325423728812</v>
      </c>
      <c r="F39" s="174">
        <f>'Passenger-based Energy Use'!H36</f>
        <v>50.142921214766957</v>
      </c>
      <c r="G39" s="125">
        <f t="shared" si="27"/>
        <v>136.81750453849577</v>
      </c>
      <c r="H39" s="125"/>
      <c r="I39" s="279">
        <v>406.98</v>
      </c>
      <c r="J39" s="125">
        <f t="shared" si="43"/>
        <v>55.890563400000005</v>
      </c>
      <c r="L39" s="4">
        <f>'Passenger-based Activity'!F37</f>
        <v>20708</v>
      </c>
      <c r="M39" s="4">
        <f>'Passenger-based Activity'!E37</f>
        <v>25600</v>
      </c>
      <c r="N39" s="4">
        <f>'Passenger-based Activity'!H37</f>
        <v>64377.135051278201</v>
      </c>
      <c r="O39" s="4">
        <f t="shared" si="10"/>
        <v>110685.13505127819</v>
      </c>
      <c r="P39" s="4"/>
      <c r="Q39" s="4"/>
      <c r="R39" s="4"/>
      <c r="S39" s="4"/>
      <c r="T39" s="4"/>
      <c r="V39" s="125">
        <f t="shared" si="28"/>
        <v>2882.7630819007145</v>
      </c>
      <c r="W39" s="125">
        <f t="shared" si="29"/>
        <v>1053.8408368644066</v>
      </c>
      <c r="X39" s="125">
        <f t="shared" si="30"/>
        <v>778.89333184564225</v>
      </c>
      <c r="Y39" s="125">
        <f t="shared" si="31"/>
        <v>1236.096468375008</v>
      </c>
      <c r="Z39" s="125"/>
      <c r="AA39" s="125"/>
      <c r="AB39" s="125"/>
      <c r="AD39" s="129">
        <f t="shared" si="32"/>
        <v>0.84006946138252736</v>
      </c>
      <c r="AE39" s="129">
        <f t="shared" si="33"/>
        <v>1.0722737375568325</v>
      </c>
      <c r="AF39" s="129">
        <f t="shared" si="34"/>
        <v>1.0582246070954056</v>
      </c>
      <c r="AG39" s="129">
        <f t="shared" si="35"/>
        <v>0.99498835342996295</v>
      </c>
      <c r="AI39" s="131">
        <f t="shared" si="36"/>
        <v>0.89071850522092466</v>
      </c>
      <c r="AJ39" s="131">
        <f t="shared" si="37"/>
        <v>0.99498835342996295</v>
      </c>
      <c r="AK39" s="131">
        <f t="shared" si="38"/>
        <v>1.0408001462287773</v>
      </c>
      <c r="AL39" s="131">
        <f t="shared" si="39"/>
        <v>0.95598406383318757</v>
      </c>
      <c r="AM39" s="131">
        <f t="shared" si="40"/>
        <v>0.88625453887936512</v>
      </c>
      <c r="AN39" s="131">
        <f t="shared" si="41"/>
        <v>0.88625453887936567</v>
      </c>
      <c r="AO39" s="131"/>
      <c r="AP39" s="131">
        <f t="shared" si="42"/>
        <v>0.99498835342996239</v>
      </c>
      <c r="AS39" s="134"/>
      <c r="AU39" s="129">
        <f t="shared" si="11"/>
        <v>0.43632032393342995</v>
      </c>
      <c r="AV39" s="129">
        <f t="shared" si="12"/>
        <v>0.19718474996843721</v>
      </c>
      <c r="AW39" s="129">
        <f t="shared" si="13"/>
        <v>0.36649492609813283</v>
      </c>
      <c r="AY39" s="129">
        <f t="shared" si="44"/>
        <v>0.4341957270160442</v>
      </c>
      <c r="AZ39" s="129">
        <f t="shared" si="44"/>
        <v>0.19363040208750851</v>
      </c>
      <c r="BA39" s="129">
        <f t="shared" si="44"/>
        <v>0.37212029588692358</v>
      </c>
      <c r="BB39" s="129">
        <f t="shared" si="23"/>
        <v>0.99994642499047637</v>
      </c>
      <c r="BD39" s="129">
        <f t="shared" si="15"/>
        <v>0.43421899030258498</v>
      </c>
      <c r="BE39" s="129">
        <f t="shared" si="16"/>
        <v>0.19364077639394797</v>
      </c>
      <c r="BF39" s="129">
        <f t="shared" si="24"/>
        <v>0.37214023330346696</v>
      </c>
      <c r="BI39" s="129">
        <f t="shared" si="45"/>
        <v>-1.7175606321408605E-4</v>
      </c>
      <c r="BJ39" s="129">
        <f t="shared" si="45"/>
        <v>9.0432544068203627E-2</v>
      </c>
      <c r="BK39" s="129">
        <f t="shared" si="45"/>
        <v>-1.5483082588470941E-2</v>
      </c>
      <c r="BM39" s="129">
        <f t="shared" si="6"/>
        <v>0.1870892599119692</v>
      </c>
      <c r="BN39" s="129">
        <f t="shared" si="18"/>
        <v>0.23128670338740639</v>
      </c>
      <c r="BO39" s="129">
        <f t="shared" si="19"/>
        <v>0.58162403670062446</v>
      </c>
      <c r="BQ39" s="129">
        <f t="shared" si="46"/>
        <v>2.9452420556502087E-2</v>
      </c>
      <c r="BR39" s="129">
        <f t="shared" si="46"/>
        <v>-3.4431544984594026E-2</v>
      </c>
      <c r="BS39" s="129">
        <f t="shared" si="46"/>
        <v>4.6052517845732339E-3</v>
      </c>
      <c r="BT39" s="175" t="e">
        <f>#REF!</f>
        <v>#REF!</v>
      </c>
      <c r="BU39" s="129">
        <f t="shared" si="25"/>
        <v>1.0117433888016585</v>
      </c>
      <c r="BV39" s="129">
        <f t="shared" si="21"/>
        <v>1.0471632874053143</v>
      </c>
      <c r="BW39" s="129">
        <f t="shared" si="7"/>
        <v>0.95598406383318757</v>
      </c>
      <c r="BX39" s="175">
        <f t="shared" si="47"/>
        <v>1.0471632874053143</v>
      </c>
      <c r="BY39" s="129">
        <f t="shared" si="26"/>
        <v>1.0078660245736724</v>
      </c>
      <c r="BZ39" s="129">
        <f t="shared" si="22"/>
        <v>0.98538649340372708</v>
      </c>
      <c r="CA39" s="129">
        <f t="shared" si="8"/>
        <v>1.0408001462287773</v>
      </c>
    </row>
    <row r="40" spans="1:79" x14ac:dyDescent="0.2">
      <c r="A40" s="133" t="s">
        <v>664</v>
      </c>
      <c r="B40" s="133">
        <f t="shared" si="9"/>
        <v>1979</v>
      </c>
      <c r="D40" s="125">
        <f>'Passenger-based Energy Use'!E37</f>
        <v>59.824504399999995</v>
      </c>
      <c r="E40" s="125">
        <f>'Passenger-based Energy Use'!G37</f>
        <v>28.100133333333332</v>
      </c>
      <c r="F40" s="174">
        <f>'Passenger-based Energy Use'!H37</f>
        <v>51.986783077938107</v>
      </c>
      <c r="G40" s="125">
        <f t="shared" si="27"/>
        <v>139.91142081127143</v>
      </c>
      <c r="H40" s="125"/>
      <c r="I40" s="279">
        <v>404.88</v>
      </c>
      <c r="J40" s="125">
        <f t="shared" si="43"/>
        <v>55.602170399999999</v>
      </c>
      <c r="L40" s="4">
        <f>'Passenger-based Activity'!F38</f>
        <v>21393</v>
      </c>
      <c r="M40" s="4">
        <f>'Passenger-based Activity'!E38</f>
        <v>27700</v>
      </c>
      <c r="N40" s="4">
        <f>'Passenger-based Activity'!H38</f>
        <v>67769.869536210012</v>
      </c>
      <c r="O40" s="4">
        <f t="shared" si="10"/>
        <v>116862.86953621001</v>
      </c>
      <c r="P40" s="4"/>
      <c r="Q40" s="4"/>
      <c r="R40" s="4"/>
      <c r="S40" s="4"/>
      <c r="T40" s="4"/>
      <c r="V40" s="125">
        <f t="shared" si="28"/>
        <v>2796.4523161781885</v>
      </c>
      <c r="W40" s="125">
        <f t="shared" si="29"/>
        <v>1014.4452466907339</v>
      </c>
      <c r="X40" s="125">
        <f t="shared" si="30"/>
        <v>767.1076163155534</v>
      </c>
      <c r="Y40" s="125">
        <f t="shared" si="31"/>
        <v>1197.2273260662987</v>
      </c>
      <c r="Z40" s="125"/>
      <c r="AA40" s="125"/>
      <c r="AB40" s="125"/>
      <c r="AD40" s="129">
        <f t="shared" si="32"/>
        <v>0.81491753720004156</v>
      </c>
      <c r="AE40" s="129">
        <f t="shared" si="33"/>
        <v>1.032189072737361</v>
      </c>
      <c r="AF40" s="129">
        <f t="shared" si="34"/>
        <v>1.0422122294356644</v>
      </c>
      <c r="AG40" s="129">
        <f t="shared" si="35"/>
        <v>0.96370087312851083</v>
      </c>
      <c r="AI40" s="131">
        <f t="shared" si="36"/>
        <v>0.94043270056902606</v>
      </c>
      <c r="AJ40" s="131">
        <f t="shared" si="37"/>
        <v>0.96370087312851083</v>
      </c>
      <c r="AK40" s="131">
        <f t="shared" si="38"/>
        <v>1.0349767880691143</v>
      </c>
      <c r="AL40" s="131">
        <f t="shared" si="39"/>
        <v>0.93113283721697904</v>
      </c>
      <c r="AM40" s="131">
        <f t="shared" si="40"/>
        <v>0.9062958146569734</v>
      </c>
      <c r="AN40" s="131">
        <f t="shared" si="41"/>
        <v>0.90629581465697384</v>
      </c>
      <c r="AO40" s="131"/>
      <c r="AP40" s="131">
        <f t="shared" si="42"/>
        <v>0.96370087312851038</v>
      </c>
      <c r="AS40" s="134"/>
      <c r="AU40" s="129">
        <f t="shared" si="11"/>
        <v>0.42758842740006298</v>
      </c>
      <c r="AV40" s="129">
        <f t="shared" si="12"/>
        <v>0.2008423127318392</v>
      </c>
      <c r="AW40" s="129">
        <f t="shared" si="13"/>
        <v>0.37156925986809786</v>
      </c>
      <c r="AY40" s="129">
        <f t="shared" si="44"/>
        <v>0.43193966576167658</v>
      </c>
      <c r="AZ40" s="129">
        <f t="shared" si="44"/>
        <v>0.19900792952559232</v>
      </c>
      <c r="BA40" s="129">
        <f t="shared" si="44"/>
        <v>0.36902627840577007</v>
      </c>
      <c r="BB40" s="129">
        <f t="shared" si="23"/>
        <v>0.99997387369303903</v>
      </c>
      <c r="BD40" s="129">
        <f t="shared" si="15"/>
        <v>0.43195095104481568</v>
      </c>
      <c r="BE40" s="129">
        <f t="shared" si="16"/>
        <v>0.19901312900368992</v>
      </c>
      <c r="BF40" s="129">
        <f t="shared" si="24"/>
        <v>0.36903591995149437</v>
      </c>
      <c r="BI40" s="129">
        <f t="shared" si="45"/>
        <v>-3.0397653768568251E-2</v>
      </c>
      <c r="BJ40" s="129">
        <f t="shared" si="45"/>
        <v>-3.8099521955036228E-2</v>
      </c>
      <c r="BK40" s="129">
        <f t="shared" si="45"/>
        <v>-1.5247007271509471E-2</v>
      </c>
      <c r="BM40" s="129">
        <f t="shared" si="6"/>
        <v>0.18306071111296279</v>
      </c>
      <c r="BN40" s="129">
        <f t="shared" si="18"/>
        <v>0.23702994894727569</v>
      </c>
      <c r="BO40" s="129">
        <f t="shared" si="19"/>
        <v>0.57990933993976146</v>
      </c>
      <c r="BQ40" s="129">
        <f t="shared" si="46"/>
        <v>-2.1767976164716107E-2</v>
      </c>
      <c r="BR40" s="129">
        <f t="shared" si="46"/>
        <v>2.452841886843855E-2</v>
      </c>
      <c r="BS40" s="129">
        <f t="shared" si="46"/>
        <v>-2.9524730686958313E-3</v>
      </c>
      <c r="BT40" s="175" t="e">
        <f>#REF!</f>
        <v>#REF!</v>
      </c>
      <c r="BU40" s="129">
        <f t="shared" si="25"/>
        <v>0.97400455974489453</v>
      </c>
      <c r="BV40" s="129">
        <f t="shared" si="21"/>
        <v>1.0199418167302297</v>
      </c>
      <c r="BW40" s="129">
        <f t="shared" si="7"/>
        <v>0.93113283721697904</v>
      </c>
      <c r="BX40" s="175">
        <f t="shared" si="47"/>
        <v>1.0199418167302297</v>
      </c>
      <c r="BY40" s="129">
        <f t="shared" si="26"/>
        <v>0.99440492184713536</v>
      </c>
      <c r="BZ40" s="129">
        <f t="shared" si="22"/>
        <v>0.97987317896235604</v>
      </c>
      <c r="CA40" s="129">
        <f t="shared" si="8"/>
        <v>1.0349767880691143</v>
      </c>
    </row>
    <row r="41" spans="1:79" x14ac:dyDescent="0.2">
      <c r="A41" s="133" t="s">
        <v>664</v>
      </c>
      <c r="B41" s="133">
        <f t="shared" si="9"/>
        <v>1980</v>
      </c>
      <c r="D41" s="125">
        <f>'Passenger-based Energy Use'!E38</f>
        <v>61.260179999999998</v>
      </c>
      <c r="E41" s="125">
        <f>'Passenger-based Energy Use'!G38</f>
        <v>29.299999999999997</v>
      </c>
      <c r="F41" s="174">
        <f>'Passenger-based Energy Use'!H38</f>
        <v>52.141454399999994</v>
      </c>
      <c r="G41" s="125">
        <f t="shared" si="27"/>
        <v>142.70163439999999</v>
      </c>
      <c r="H41" s="125">
        <v>141</v>
      </c>
      <c r="I41" s="279">
        <v>379.68</v>
      </c>
      <c r="J41" s="125">
        <f t="shared" si="43"/>
        <v>52.141454399999994</v>
      </c>
      <c r="L41" s="4">
        <f>'Passenger-based Activity'!F39</f>
        <v>21790</v>
      </c>
      <c r="M41" s="4">
        <f>'Passenger-based Activity'!E39</f>
        <v>27400</v>
      </c>
      <c r="N41" s="4">
        <f>'Passenger-based Activity'!H39</f>
        <v>69000</v>
      </c>
      <c r="O41" s="4">
        <f t="shared" si="10"/>
        <v>118190</v>
      </c>
      <c r="P41" s="4"/>
      <c r="Q41" s="4"/>
      <c r="R41" s="4"/>
      <c r="S41" s="5">
        <v>3000</v>
      </c>
      <c r="T41" s="5">
        <f>N41/S41</f>
        <v>23</v>
      </c>
      <c r="V41" s="125">
        <f t="shared" si="28"/>
        <v>2811.3896282698483</v>
      </c>
      <c r="W41" s="125">
        <f t="shared" si="29"/>
        <v>1069.3430656934304</v>
      </c>
      <c r="X41" s="125">
        <f t="shared" si="30"/>
        <v>755.67325217391294</v>
      </c>
      <c r="Y41" s="125">
        <f t="shared" si="31"/>
        <v>1207.3917793383534</v>
      </c>
      <c r="Z41" s="125"/>
      <c r="AA41" s="125"/>
      <c r="AB41" s="125"/>
      <c r="AD41" s="129">
        <f t="shared" si="32"/>
        <v>0.81927043730554372</v>
      </c>
      <c r="AE41" s="129">
        <f t="shared" si="33"/>
        <v>1.0880471183800862</v>
      </c>
      <c r="AF41" s="129">
        <f t="shared" si="34"/>
        <v>1.0266772068511199</v>
      </c>
      <c r="AG41" s="129">
        <f t="shared" si="35"/>
        <v>0.9718826881271192</v>
      </c>
      <c r="AI41" s="131">
        <f t="shared" si="36"/>
        <v>0.95111254174546345</v>
      </c>
      <c r="AJ41" s="131">
        <f t="shared" si="37"/>
        <v>0.9718826881271192</v>
      </c>
      <c r="AK41" s="131">
        <f t="shared" si="38"/>
        <v>1.0360151160188591</v>
      </c>
      <c r="AL41" s="131">
        <f t="shared" si="39"/>
        <v>0.93809701528469536</v>
      </c>
      <c r="AM41" s="131">
        <f t="shared" si="40"/>
        <v>0.92436981378299776</v>
      </c>
      <c r="AN41" s="131">
        <f t="shared" si="41"/>
        <v>0.92436981378299798</v>
      </c>
      <c r="AO41" s="131"/>
      <c r="AP41" s="131">
        <f t="shared" si="42"/>
        <v>0.97188268812711909</v>
      </c>
      <c r="AS41" s="134"/>
      <c r="AU41" s="129">
        <f t="shared" si="11"/>
        <v>0.4292885660179937</v>
      </c>
      <c r="AV41" s="129">
        <f t="shared" si="12"/>
        <v>0.20532350679229502</v>
      </c>
      <c r="AW41" s="129">
        <f t="shared" si="13"/>
        <v>0.36538792718971125</v>
      </c>
      <c r="AY41" s="129">
        <f t="shared" si="44"/>
        <v>0.42843793449797629</v>
      </c>
      <c r="AZ41" s="129">
        <f t="shared" si="44"/>
        <v>0.20307466938702814</v>
      </c>
      <c r="BA41" s="129">
        <f t="shared" si="44"/>
        <v>0.36846995223304663</v>
      </c>
      <c r="BB41" s="129">
        <f t="shared" si="23"/>
        <v>0.99998255611805109</v>
      </c>
      <c r="BD41" s="129">
        <f t="shared" si="15"/>
        <v>0.42844540824909932</v>
      </c>
      <c r="BE41" s="129">
        <f t="shared" si="16"/>
        <v>0.20307821185938221</v>
      </c>
      <c r="BF41" s="129">
        <f t="shared" si="24"/>
        <v>0.36847637989151844</v>
      </c>
      <c r="BI41" s="129">
        <f t="shared" si="45"/>
        <v>5.3273068558651864E-3</v>
      </c>
      <c r="BJ41" s="129">
        <f t="shared" si="45"/>
        <v>5.2702594535365153E-2</v>
      </c>
      <c r="BK41" s="129">
        <f t="shared" si="45"/>
        <v>-1.5018022996330543E-2</v>
      </c>
      <c r="BM41" s="129">
        <f t="shared" si="6"/>
        <v>0.18436415940434894</v>
      </c>
      <c r="BN41" s="129">
        <f t="shared" si="18"/>
        <v>0.23183010406971824</v>
      </c>
      <c r="BO41" s="129">
        <f t="shared" si="19"/>
        <v>0.58380573652593282</v>
      </c>
      <c r="BQ41" s="129">
        <f t="shared" si="46"/>
        <v>7.0950763758793637E-3</v>
      </c>
      <c r="BR41" s="129">
        <f t="shared" si="46"/>
        <v>-2.2181706665641145E-2</v>
      </c>
      <c r="BS41" s="129">
        <f t="shared" si="46"/>
        <v>6.6965036812206957E-3</v>
      </c>
      <c r="BT41" s="175" t="e">
        <f>#REF!</f>
        <v>#REF!</v>
      </c>
      <c r="BU41" s="129">
        <f t="shared" si="25"/>
        <v>1.0074792530016783</v>
      </c>
      <c r="BV41" s="129">
        <f t="shared" si="21"/>
        <v>1.0275702196245464</v>
      </c>
      <c r="BW41" s="129">
        <f t="shared" si="7"/>
        <v>0.93809701528469536</v>
      </c>
      <c r="BX41" s="175">
        <f t="shared" si="47"/>
        <v>1.0275702196245464</v>
      </c>
      <c r="BY41" s="129">
        <f t="shared" si="26"/>
        <v>1.0010032379099842</v>
      </c>
      <c r="BZ41" s="129">
        <f t="shared" si="22"/>
        <v>0.98085622488246782</v>
      </c>
      <c r="CA41" s="129">
        <f t="shared" si="8"/>
        <v>1.0360151160188591</v>
      </c>
    </row>
    <row r="42" spans="1:79" x14ac:dyDescent="0.2">
      <c r="A42" s="133" t="s">
        <v>664</v>
      </c>
      <c r="B42" s="133">
        <f t="shared" si="9"/>
        <v>1981</v>
      </c>
      <c r="D42" s="125">
        <f>'Passenger-based Energy Use'!E39</f>
        <v>63.603265</v>
      </c>
      <c r="E42" s="125">
        <f>'Passenger-based Energy Use'!G39</f>
        <v>28.561040973030327</v>
      </c>
      <c r="F42" s="174">
        <f>'Passenger-based Energy Use'!H39</f>
        <v>53.676989111275631</v>
      </c>
      <c r="G42" s="125">
        <f t="shared" si="27"/>
        <v>145.84129508430595</v>
      </c>
      <c r="H42" s="125"/>
      <c r="I42" s="279">
        <v>386.82</v>
      </c>
      <c r="J42" s="125">
        <f t="shared" si="43"/>
        <v>53.121990599999997</v>
      </c>
      <c r="L42" s="4">
        <f>'Passenger-based Activity'!F40</f>
        <v>21012</v>
      </c>
      <c r="M42" s="4">
        <f>'Passenger-based Activity'!E40</f>
        <v>27100</v>
      </c>
      <c r="N42" s="4">
        <f>'Passenger-based Activity'!H40</f>
        <v>71410.99593556831</v>
      </c>
      <c r="O42" s="4">
        <f t="shared" si="10"/>
        <v>119522.99593556831</v>
      </c>
      <c r="P42" s="4"/>
      <c r="Q42" s="4">
        <v>6059</v>
      </c>
      <c r="R42" s="4"/>
      <c r="S42" s="5">
        <v>3000</v>
      </c>
      <c r="T42" s="5">
        <f t="shared" ref="T42:T52" si="48">N42/S42</f>
        <v>23.803665311856104</v>
      </c>
      <c r="V42" s="125">
        <f t="shared" si="28"/>
        <v>3026.9971920807161</v>
      </c>
      <c r="W42" s="125">
        <f t="shared" si="29"/>
        <v>1053.9129510343294</v>
      </c>
      <c r="X42" s="125">
        <f t="shared" si="30"/>
        <v>751.66279937765512</v>
      </c>
      <c r="Y42" s="125">
        <f t="shared" si="31"/>
        <v>1220.1944399295776</v>
      </c>
      <c r="Z42" s="125"/>
      <c r="AA42" s="125"/>
      <c r="AB42" s="125"/>
      <c r="AD42" s="129">
        <f t="shared" si="32"/>
        <v>0.88210089712993278</v>
      </c>
      <c r="AE42" s="129">
        <f t="shared" si="33"/>
        <v>1.0723471130873765</v>
      </c>
      <c r="AF42" s="129">
        <f t="shared" si="34"/>
        <v>1.0212285020528153</v>
      </c>
      <c r="AG42" s="129">
        <f t="shared" si="35"/>
        <v>0.98218811210258861</v>
      </c>
      <c r="AI42" s="131">
        <f t="shared" si="36"/>
        <v>0.96183958423987703</v>
      </c>
      <c r="AJ42" s="131">
        <f t="shared" si="37"/>
        <v>0.98218811210258861</v>
      </c>
      <c r="AK42" s="131">
        <f t="shared" si="38"/>
        <v>1.0190000902517642</v>
      </c>
      <c r="AL42" s="131">
        <f t="shared" si="39"/>
        <v>0.96387441129658724</v>
      </c>
      <c r="AM42" s="131">
        <f t="shared" si="40"/>
        <v>0.94470740539010345</v>
      </c>
      <c r="AN42" s="131">
        <f t="shared" si="41"/>
        <v>0.94470740539010367</v>
      </c>
      <c r="AO42" s="131"/>
      <c r="AP42" s="131">
        <f t="shared" si="42"/>
        <v>0.9821881121025885</v>
      </c>
      <c r="AS42" s="134"/>
      <c r="AU42" s="129">
        <f t="shared" si="11"/>
        <v>0.43611286476325578</v>
      </c>
      <c r="AV42" s="129">
        <f t="shared" si="12"/>
        <v>0.19583644643665671</v>
      </c>
      <c r="AW42" s="129">
        <f t="shared" si="13"/>
        <v>0.36805068880008757</v>
      </c>
      <c r="AY42" s="129">
        <f t="shared" si="44"/>
        <v>0.43269174617626405</v>
      </c>
      <c r="AZ42" s="129">
        <f t="shared" si="44"/>
        <v>0.2005425776747555</v>
      </c>
      <c r="BA42" s="129">
        <f t="shared" si="44"/>
        <v>0.36671769678887195</v>
      </c>
      <c r="BB42" s="129">
        <f t="shared" si="23"/>
        <v>0.99995202063989153</v>
      </c>
      <c r="BD42" s="129">
        <f t="shared" si="15"/>
        <v>0.43271250744548223</v>
      </c>
      <c r="BE42" s="129">
        <f t="shared" si="16"/>
        <v>0.20055220004098182</v>
      </c>
      <c r="BF42" s="129">
        <f t="shared" si="24"/>
        <v>0.36673529251353593</v>
      </c>
      <c r="BI42" s="129">
        <f t="shared" si="45"/>
        <v>7.3892211675104721E-2</v>
      </c>
      <c r="BJ42" s="129">
        <f t="shared" si="45"/>
        <v>-1.4534645071988171E-2</v>
      </c>
      <c r="BK42" s="129">
        <f t="shared" si="45"/>
        <v>-5.3212583290726525E-3</v>
      </c>
      <c r="BM42" s="129">
        <f t="shared" si="6"/>
        <v>0.1757988062090329</v>
      </c>
      <c r="BN42" s="129">
        <f t="shared" si="18"/>
        <v>0.22673461109198512</v>
      </c>
      <c r="BO42" s="129">
        <f t="shared" si="19"/>
        <v>0.59746658269898201</v>
      </c>
      <c r="BQ42" s="129">
        <f t="shared" si="46"/>
        <v>-4.7572734306331688E-2</v>
      </c>
      <c r="BR42" s="129">
        <f t="shared" si="46"/>
        <v>-2.222457394988768E-2</v>
      </c>
      <c r="BS42" s="129">
        <f t="shared" si="46"/>
        <v>2.3130069149091066E-2</v>
      </c>
      <c r="BT42" s="175" t="e">
        <f>#REF!</f>
        <v>#REF!</v>
      </c>
      <c r="BU42" s="129">
        <f t="shared" si="25"/>
        <v>1.0274783903923508</v>
      </c>
      <c r="BV42" s="129">
        <f t="shared" si="21"/>
        <v>1.0558061952749433</v>
      </c>
      <c r="BW42" s="129">
        <f t="shared" si="7"/>
        <v>0.96387441129658724</v>
      </c>
      <c r="BX42" s="175">
        <f t="shared" si="47"/>
        <v>1.0558061952749433</v>
      </c>
      <c r="BY42" s="129">
        <f t="shared" si="26"/>
        <v>0.9835764695861976</v>
      </c>
      <c r="BZ42" s="129">
        <f t="shared" si="22"/>
        <v>0.96474710284154319</v>
      </c>
      <c r="CA42" s="129">
        <f t="shared" si="8"/>
        <v>1.0190000902517642</v>
      </c>
    </row>
    <row r="43" spans="1:79" x14ac:dyDescent="0.2">
      <c r="A43" s="133" t="s">
        <v>664</v>
      </c>
      <c r="B43" s="133">
        <f t="shared" si="9"/>
        <v>1982</v>
      </c>
      <c r="D43" s="125">
        <f>'Passenger-based Energy Use'!E40</f>
        <v>64.652833000000001</v>
      </c>
      <c r="E43" s="125">
        <f>'Passenger-based Energy Use'!G40</f>
        <v>28.050196415195717</v>
      </c>
      <c r="F43" s="174">
        <f>'Passenger-based Energy Use'!H40</f>
        <v>54.550515249048367</v>
      </c>
      <c r="G43" s="125">
        <f t="shared" si="27"/>
        <v>147.25354466424409</v>
      </c>
      <c r="H43" s="125"/>
      <c r="I43" s="279">
        <v>398.58</v>
      </c>
      <c r="J43" s="125">
        <f t="shared" si="43"/>
        <v>54.736991399999994</v>
      </c>
      <c r="L43" s="4">
        <f>'Passenger-based Activity'!F41</f>
        <v>19987</v>
      </c>
      <c r="M43" s="4">
        <f>'Passenger-based Activity'!E41</f>
        <v>26900</v>
      </c>
      <c r="N43" s="4">
        <f>'Passenger-based Activity'!H41</f>
        <v>72958.275606681898</v>
      </c>
      <c r="O43" s="4">
        <f t="shared" si="10"/>
        <v>119845.2756066819</v>
      </c>
      <c r="P43" s="4"/>
      <c r="Q43" s="4"/>
      <c r="R43" s="4"/>
      <c r="S43" s="5">
        <v>3000</v>
      </c>
      <c r="T43" s="5">
        <f t="shared" si="48"/>
        <v>24.319425202227301</v>
      </c>
      <c r="V43" s="125">
        <f t="shared" si="28"/>
        <v>3234.7442337519387</v>
      </c>
      <c r="W43" s="125">
        <f t="shared" si="29"/>
        <v>1042.758231048168</v>
      </c>
      <c r="X43" s="125">
        <f t="shared" si="30"/>
        <v>747.6946898132602</v>
      </c>
      <c r="Y43" s="125">
        <f t="shared" si="31"/>
        <v>1228.6971173357965</v>
      </c>
      <c r="Z43" s="125"/>
      <c r="AA43" s="125"/>
      <c r="AB43" s="125"/>
      <c r="AD43" s="129">
        <f t="shared" si="32"/>
        <v>0.94264071273125105</v>
      </c>
      <c r="AE43" s="129">
        <f t="shared" si="33"/>
        <v>1.0609972840880093</v>
      </c>
      <c r="AF43" s="129">
        <f t="shared" si="34"/>
        <v>1.0158373258634608</v>
      </c>
      <c r="AG43" s="129">
        <f t="shared" si="35"/>
        <v>0.9890322906991682</v>
      </c>
      <c r="AI43" s="131">
        <f t="shared" si="36"/>
        <v>0.96443307131277445</v>
      </c>
      <c r="AJ43" s="131">
        <f t="shared" si="37"/>
        <v>0.9890322906991682</v>
      </c>
      <c r="AK43" s="131">
        <f t="shared" si="38"/>
        <v>1.0007292871477114</v>
      </c>
      <c r="AL43" s="131">
        <f t="shared" si="39"/>
        <v>0.98831152780400566</v>
      </c>
      <c r="AM43" s="131">
        <f t="shared" si="40"/>
        <v>0.95385544974650749</v>
      </c>
      <c r="AN43" s="131">
        <f t="shared" si="41"/>
        <v>0.95385544974650749</v>
      </c>
      <c r="AO43" s="131"/>
      <c r="AP43" s="131">
        <f t="shared" si="42"/>
        <v>0.98903229069916809</v>
      </c>
      <c r="AS43" s="134"/>
      <c r="AU43" s="129">
        <f t="shared" ref="AU43:AU72" si="49">D43/G43</f>
        <v>0.4390579061944912</v>
      </c>
      <c r="AV43" s="129">
        <f t="shared" ref="AV43:AV72" si="50">E43/G43</f>
        <v>0.19048910828702673</v>
      </c>
      <c r="AW43" s="129">
        <f t="shared" ref="AW43:AW72" si="51">F43/G43</f>
        <v>0.37045298551848205</v>
      </c>
      <c r="AY43" s="129">
        <f t="shared" si="44"/>
        <v>0.43758373374500847</v>
      </c>
      <c r="AZ43" s="129">
        <f t="shared" si="44"/>
        <v>0.19315044083808339</v>
      </c>
      <c r="BA43" s="129">
        <f t="shared" si="44"/>
        <v>0.36925053474061709</v>
      </c>
      <c r="BB43" s="129">
        <f t="shared" si="23"/>
        <v>0.99998470932370898</v>
      </c>
      <c r="BD43" s="175">
        <f t="shared" si="15"/>
        <v>0.4375904247985421</v>
      </c>
      <c r="BE43" s="175">
        <f t="shared" si="16"/>
        <v>0.19315339428410991</v>
      </c>
      <c r="BF43" s="175">
        <f t="shared" si="24"/>
        <v>0.36925618091734796</v>
      </c>
      <c r="BI43" s="175">
        <f t="shared" si="45"/>
        <v>6.6378760203003997E-2</v>
      </c>
      <c r="BJ43" s="175">
        <f t="shared" si="45"/>
        <v>-1.064050989634473E-2</v>
      </c>
      <c r="BK43" s="175">
        <f t="shared" si="45"/>
        <v>-5.2930923512021673E-3</v>
      </c>
      <c r="BM43" s="129">
        <f t="shared" si="6"/>
        <v>0.16677336589883596</v>
      </c>
      <c r="BN43" s="129">
        <f t="shared" si="18"/>
        <v>0.22445607358176251</v>
      </c>
      <c r="BO43" s="129">
        <f t="shared" si="19"/>
        <v>0.60877056051940148</v>
      </c>
      <c r="BQ43" s="129">
        <f t="shared" si="46"/>
        <v>-5.2704394298738071E-2</v>
      </c>
      <c r="BR43" s="129">
        <f t="shared" si="46"/>
        <v>-1.0100194697289325E-2</v>
      </c>
      <c r="BS43" s="129">
        <f t="shared" si="46"/>
        <v>1.8743095102635964E-2</v>
      </c>
      <c r="BT43" s="580" t="e">
        <f>#REF!</f>
        <v>#REF!</v>
      </c>
      <c r="BU43" s="129">
        <f t="shared" si="25"/>
        <v>1.0253530088785592</v>
      </c>
      <c r="BV43" s="580">
        <f t="shared" si="21"/>
        <v>1.0825740591177868</v>
      </c>
      <c r="BW43" s="129">
        <f t="shared" si="7"/>
        <v>0.98831152780400566</v>
      </c>
      <c r="BX43" s="175">
        <f t="shared" si="47"/>
        <v>1.0825740591177868</v>
      </c>
      <c r="BY43" s="129">
        <f t="shared" si="26"/>
        <v>0.98206987096582221</v>
      </c>
      <c r="BZ43" s="129">
        <f t="shared" si="22"/>
        <v>0.94744906280224517</v>
      </c>
      <c r="CA43" s="129">
        <f t="shared" si="8"/>
        <v>1.0007292871477114</v>
      </c>
    </row>
    <row r="44" spans="1:79" x14ac:dyDescent="0.2">
      <c r="A44" s="133" t="s">
        <v>664</v>
      </c>
      <c r="B44" s="133">
        <f t="shared" si="9"/>
        <v>1983</v>
      </c>
      <c r="D44" s="125">
        <f>'Passenger-based Energy Use'!E41</f>
        <v>63.638562</v>
      </c>
      <c r="E44" s="125">
        <f>'Passenger-based Energy Use'!G41</f>
        <v>28.143603158664185</v>
      </c>
      <c r="F44" s="174">
        <f>'Passenger-based Energy Use'!H41</f>
        <v>57.781020384618401</v>
      </c>
      <c r="G44" s="125">
        <f t="shared" si="27"/>
        <v>149.5631855432826</v>
      </c>
      <c r="H44" s="125"/>
      <c r="I44" s="279">
        <v>400.68</v>
      </c>
      <c r="J44" s="125">
        <f t="shared" si="43"/>
        <v>55.025384399999993</v>
      </c>
      <c r="L44" s="4">
        <f>'Passenger-based Activity'!F42</f>
        <v>20047</v>
      </c>
      <c r="M44" s="4">
        <f>'Passenger-based Activity'!E42</f>
        <v>26500</v>
      </c>
      <c r="N44" s="4">
        <f>'Passenger-based Activity'!H42</f>
        <v>77686.859969511235</v>
      </c>
      <c r="O44" s="4">
        <f t="shared" si="10"/>
        <v>124233.85996951124</v>
      </c>
      <c r="P44" s="4"/>
      <c r="Q44" s="4"/>
      <c r="R44" s="4"/>
      <c r="S44" s="5">
        <v>3000</v>
      </c>
      <c r="T44" s="5">
        <f t="shared" si="48"/>
        <v>25.89561998983708</v>
      </c>
      <c r="V44" s="125">
        <f t="shared" si="28"/>
        <v>3174.4680999650818</v>
      </c>
      <c r="W44" s="125">
        <f t="shared" si="29"/>
        <v>1062.0227607043089</v>
      </c>
      <c r="X44" s="125">
        <f t="shared" si="30"/>
        <v>743.76825639876517</v>
      </c>
      <c r="Y44" s="125">
        <f t="shared" si="31"/>
        <v>1203.8842355859147</v>
      </c>
      <c r="Z44" s="125"/>
      <c r="AA44" s="125"/>
      <c r="AB44" s="125"/>
      <c r="AD44" s="129">
        <f t="shared" si="32"/>
        <v>0.92507557199441337</v>
      </c>
      <c r="AE44" s="129">
        <f t="shared" si="33"/>
        <v>1.0805987727512565</v>
      </c>
      <c r="AF44" s="129">
        <f t="shared" si="34"/>
        <v>1.0105027719682635</v>
      </c>
      <c r="AG44" s="129">
        <f t="shared" si="35"/>
        <v>0.96905931206213414</v>
      </c>
      <c r="AI44" s="131">
        <f t="shared" si="36"/>
        <v>0.99974940626492781</v>
      </c>
      <c r="AJ44" s="131">
        <f t="shared" si="37"/>
        <v>0.96905931206213414</v>
      </c>
      <c r="AK44" s="131">
        <f t="shared" si="38"/>
        <v>0.9870693602988555</v>
      </c>
      <c r="AL44" s="131">
        <f t="shared" si="39"/>
        <v>0.98175401956427</v>
      </c>
      <c r="AM44" s="131">
        <f t="shared" si="40"/>
        <v>0.96881647186961795</v>
      </c>
      <c r="AN44" s="131">
        <f t="shared" si="41"/>
        <v>0.96881647186961806</v>
      </c>
      <c r="AO44" s="131"/>
      <c r="AP44" s="131">
        <f t="shared" si="42"/>
        <v>0.96905931206213403</v>
      </c>
      <c r="AS44" s="134"/>
      <c r="AU44" s="129">
        <f t="shared" si="49"/>
        <v>0.42549616584345495</v>
      </c>
      <c r="AV44" s="129">
        <f t="shared" si="50"/>
        <v>0.1881719960459094</v>
      </c>
      <c r="AW44" s="129">
        <f t="shared" si="51"/>
        <v>0.38633183811063554</v>
      </c>
      <c r="AY44" s="129">
        <f t="shared" si="44"/>
        <v>0.43224157787988643</v>
      </c>
      <c r="AZ44" s="129">
        <f t="shared" si="44"/>
        <v>0.18932818898793802</v>
      </c>
      <c r="BA44" s="129">
        <f t="shared" si="44"/>
        <v>0.37833687696960466</v>
      </c>
      <c r="BB44" s="129">
        <f t="shared" si="23"/>
        <v>0.99990664383742911</v>
      </c>
      <c r="BD44" s="129">
        <f t="shared" si="15"/>
        <v>0.43228193406239923</v>
      </c>
      <c r="BE44" s="129">
        <f t="shared" si="16"/>
        <v>0.18934586559134828</v>
      </c>
      <c r="BF44" s="129">
        <f t="shared" si="24"/>
        <v>0.37837220034625252</v>
      </c>
      <c r="BI44" s="129">
        <f t="shared" si="45"/>
        <v>-1.8809771877389789E-2</v>
      </c>
      <c r="BJ44" s="129">
        <f t="shared" si="45"/>
        <v>1.8306006854384198E-2</v>
      </c>
      <c r="BK44" s="129">
        <f t="shared" si="45"/>
        <v>-5.2652229750208305E-3</v>
      </c>
      <c r="BM44" s="129">
        <f t="shared" si="6"/>
        <v>0.16136502564534194</v>
      </c>
      <c r="BN44" s="129">
        <f t="shared" si="18"/>
        <v>0.21330738662151749</v>
      </c>
      <c r="BO44" s="129">
        <f t="shared" si="19"/>
        <v>0.62532758773314057</v>
      </c>
      <c r="BQ44" s="129">
        <f t="shared" si="46"/>
        <v>-3.2966761602258636E-2</v>
      </c>
      <c r="BR44" s="129">
        <f t="shared" si="46"/>
        <v>-5.0945769627810042E-2</v>
      </c>
      <c r="BS44" s="129">
        <f t="shared" si="46"/>
        <v>2.6834203988865907E-2</v>
      </c>
      <c r="BT44" s="580" t="e">
        <f>#REF!</f>
        <v>#REF!</v>
      </c>
      <c r="BU44" s="129">
        <f t="shared" si="25"/>
        <v>0.99336493802282533</v>
      </c>
      <c r="BV44" s="129">
        <f t="shared" si="21"/>
        <v>1.0753911131406588</v>
      </c>
      <c r="BW44" s="129">
        <f t="shared" si="7"/>
        <v>0.98175401956427</v>
      </c>
      <c r="BX44" s="175">
        <f t="shared" si="47"/>
        <v>1.0753911131406588</v>
      </c>
      <c r="BY44" s="129">
        <f t="shared" si="26"/>
        <v>0.98635002790036308</v>
      </c>
      <c r="BZ44" s="129">
        <f t="shared" si="22"/>
        <v>0.93451640952916737</v>
      </c>
      <c r="CA44" s="129">
        <f t="shared" si="8"/>
        <v>0.9870693602988555</v>
      </c>
    </row>
    <row r="45" spans="1:79" x14ac:dyDescent="0.2">
      <c r="A45" s="133" t="s">
        <v>664</v>
      </c>
      <c r="B45" s="133">
        <f t="shared" si="9"/>
        <v>1984</v>
      </c>
      <c r="D45" s="125">
        <f>'Passenger-based Energy Use'!E42</f>
        <v>71.050296299999999</v>
      </c>
      <c r="E45" s="125">
        <f>'Passenger-based Energy Use'!G42</f>
        <v>24.567267026524188</v>
      </c>
      <c r="F45" s="174">
        <f>'Passenger-based Energy Use'!H42</f>
        <v>57.576334360246427</v>
      </c>
      <c r="G45" s="125">
        <f t="shared" si="27"/>
        <v>153.19389768677061</v>
      </c>
      <c r="H45" s="125"/>
      <c r="I45" s="279">
        <v>375.06</v>
      </c>
      <c r="J45" s="125">
        <f t="shared" si="43"/>
        <v>51.506989799999992</v>
      </c>
      <c r="L45" s="4">
        <f>'Passenger-based Activity'!F43</f>
        <v>21595</v>
      </c>
      <c r="M45" s="4">
        <f>'Passenger-based Activity'!E43</f>
        <v>24600</v>
      </c>
      <c r="N45" s="4">
        <f>'Passenger-based Activity'!H43</f>
        <v>77818.177123832967</v>
      </c>
      <c r="O45" s="4">
        <f t="shared" si="10"/>
        <v>124013.17712383297</v>
      </c>
      <c r="P45" s="4"/>
      <c r="Q45" s="4"/>
      <c r="R45" s="4"/>
      <c r="S45" s="5">
        <v>3400</v>
      </c>
      <c r="T45" s="5">
        <f t="shared" si="48"/>
        <v>22.887699154068521</v>
      </c>
      <c r="V45" s="125">
        <f t="shared" si="28"/>
        <v>3290.1271729567029</v>
      </c>
      <c r="W45" s="125">
        <f t="shared" si="29"/>
        <v>998.66939132212144</v>
      </c>
      <c r="X45" s="125">
        <f t="shared" si="30"/>
        <v>739.88284599142605</v>
      </c>
      <c r="Y45" s="125">
        <f t="shared" si="31"/>
        <v>1235.303386621563</v>
      </c>
      <c r="Z45" s="125"/>
      <c r="AA45" s="125"/>
      <c r="AB45" s="125"/>
      <c r="AD45" s="129">
        <f t="shared" si="32"/>
        <v>0.95877992174209059</v>
      </c>
      <c r="AE45" s="129">
        <f t="shared" si="33"/>
        <v>1.0161372793284149</v>
      </c>
      <c r="AF45" s="129">
        <f t="shared" si="34"/>
        <v>1.0052239529906148</v>
      </c>
      <c r="AG45" s="129">
        <f t="shared" si="35"/>
        <v>0.99434996708376377</v>
      </c>
      <c r="AI45" s="131">
        <f t="shared" si="36"/>
        <v>0.9979735011775881</v>
      </c>
      <c r="AJ45" s="131">
        <f t="shared" si="37"/>
        <v>0.99434996708376377</v>
      </c>
      <c r="AK45" s="131">
        <f t="shared" si="38"/>
        <v>1.0095814872176958</v>
      </c>
      <c r="AL45" s="131">
        <f t="shared" si="39"/>
        <v>0.98491303542430397</v>
      </c>
      <c r="AM45" s="131">
        <f t="shared" si="40"/>
        <v>0.99233491804640339</v>
      </c>
      <c r="AN45" s="131">
        <f t="shared" si="41"/>
        <v>0.99233491804640328</v>
      </c>
      <c r="AO45" s="131"/>
      <c r="AP45" s="131">
        <f t="shared" si="42"/>
        <v>0.99434996708376389</v>
      </c>
      <c r="AS45" s="134"/>
      <c r="AU45" s="129">
        <f t="shared" si="49"/>
        <v>0.46379325399288213</v>
      </c>
      <c r="AV45" s="129">
        <f t="shared" si="50"/>
        <v>0.16036713862294888</v>
      </c>
      <c r="AW45" s="129">
        <f t="shared" si="51"/>
        <v>0.37583960738416905</v>
      </c>
      <c r="AY45" s="129">
        <f t="shared" si="44"/>
        <v>0.44436969764808243</v>
      </c>
      <c r="AZ45" s="129">
        <f t="shared" si="44"/>
        <v>0.17389924711545485</v>
      </c>
      <c r="BA45" s="129">
        <f t="shared" si="44"/>
        <v>0.38106164844623952</v>
      </c>
      <c r="BB45" s="129">
        <f t="shared" si="23"/>
        <v>0.99933059320977669</v>
      </c>
      <c r="BD45" s="175">
        <f t="shared" si="15"/>
        <v>0.44466736099892579</v>
      </c>
      <c r="BE45" s="129">
        <f t="shared" si="16"/>
        <v>0.17401573442968779</v>
      </c>
      <c r="BF45" s="175">
        <f t="shared" si="24"/>
        <v>0.38131690457138656</v>
      </c>
      <c r="BI45" s="129">
        <f t="shared" si="45"/>
        <v>3.5786127684062009E-2</v>
      </c>
      <c r="BJ45" s="129">
        <f t="shared" si="45"/>
        <v>-6.1506849238727485E-2</v>
      </c>
      <c r="BK45" s="129">
        <f t="shared" si="45"/>
        <v>-5.2376455400128365E-3</v>
      </c>
      <c r="BM45" s="129">
        <f t="shared" si="6"/>
        <v>0.17413472100981964</v>
      </c>
      <c r="BN45" s="129">
        <f t="shared" si="18"/>
        <v>0.19836601698733794</v>
      </c>
      <c r="BO45" s="129">
        <f t="shared" si="19"/>
        <v>0.62749926200284245</v>
      </c>
      <c r="BQ45" s="129">
        <f t="shared" si="46"/>
        <v>7.6160219600842641E-2</v>
      </c>
      <c r="BR45" s="129">
        <f t="shared" si="46"/>
        <v>-7.2620360243341966E-2</v>
      </c>
      <c r="BS45" s="129">
        <f t="shared" si="46"/>
        <v>3.4668421183196465E-3</v>
      </c>
      <c r="BT45" s="580" t="e">
        <f>#REF!</f>
        <v>#REF!</v>
      </c>
      <c r="BU45" s="129">
        <f t="shared" si="25"/>
        <v>1.0032177264335886</v>
      </c>
      <c r="BV45" s="129">
        <f t="shared" si="21"/>
        <v>1.0788514275518579</v>
      </c>
      <c r="BW45" s="129">
        <f t="shared" si="7"/>
        <v>0.98491303542430397</v>
      </c>
      <c r="BX45" s="175">
        <f t="shared" si="47"/>
        <v>1.0788514275518579</v>
      </c>
      <c r="BY45" s="129">
        <f t="shared" si="26"/>
        <v>1.0228070364903479</v>
      </c>
      <c r="BZ45" s="129">
        <f t="shared" si="22"/>
        <v>0.955829959382128</v>
      </c>
      <c r="CA45" s="129">
        <f t="shared" si="8"/>
        <v>1.0095814872176958</v>
      </c>
    </row>
    <row r="46" spans="1:79" x14ac:dyDescent="0.2">
      <c r="A46" s="133" t="s">
        <v>664</v>
      </c>
      <c r="B46" s="133">
        <f t="shared" si="9"/>
        <v>1985</v>
      </c>
      <c r="D46" s="125">
        <f>'Passenger-based Energy Use'!E43</f>
        <v>72.615601899999987</v>
      </c>
      <c r="E46" s="125">
        <f>'Passenger-based Energy Use'!G43</f>
        <v>23.390866565957946</v>
      </c>
      <c r="F46" s="174">
        <f>'Passenger-based Energy Use'!H43</f>
        <v>58.370743199999986</v>
      </c>
      <c r="G46" s="125">
        <f t="shared" si="27"/>
        <v>154.37721166595793</v>
      </c>
      <c r="H46" s="125">
        <v>116</v>
      </c>
      <c r="I46" s="279">
        <v>425.04</v>
      </c>
      <c r="J46" s="125">
        <f t="shared" si="43"/>
        <v>58.3707432</v>
      </c>
      <c r="L46" s="4">
        <f>'Passenger-based Activity'!F44</f>
        <v>21161</v>
      </c>
      <c r="M46" s="4">
        <f>'Passenger-based Activity'!E44</f>
        <v>23800</v>
      </c>
      <c r="N46" s="4">
        <f>'Passenger-based Activity'!H44</f>
        <v>79303.999999999985</v>
      </c>
      <c r="O46" s="4">
        <f t="shared" si="10"/>
        <v>124264.99999999999</v>
      </c>
      <c r="P46" s="4">
        <v>94925</v>
      </c>
      <c r="Q46" s="4">
        <v>4478</v>
      </c>
      <c r="R46" s="5">
        <f>P46/Q46</f>
        <v>21.198079499776686</v>
      </c>
      <c r="S46" s="5">
        <v>3400</v>
      </c>
      <c r="T46" s="5">
        <f t="shared" si="48"/>
        <v>23.324705882352937</v>
      </c>
      <c r="V46" s="125">
        <f t="shared" si="28"/>
        <v>3431.5770473985153</v>
      </c>
      <c r="W46" s="125">
        <f t="shared" si="29"/>
        <v>982.80951957806485</v>
      </c>
      <c r="X46" s="125">
        <f t="shared" si="30"/>
        <v>736.03781902552203</v>
      </c>
      <c r="Y46" s="125">
        <f t="shared" si="31"/>
        <v>1242.3225499212003</v>
      </c>
      <c r="Z46" s="125">
        <f>H46/P46*1000000</f>
        <v>1222.0173821437977</v>
      </c>
      <c r="AA46" s="125">
        <f>H46/Q46*1000</f>
        <v>25.904421616793211</v>
      </c>
      <c r="AB46" s="125">
        <f>Q46/(H46/138700)*0.000001</f>
        <v>5.3542982758620683</v>
      </c>
      <c r="AD46" s="129">
        <f t="shared" si="32"/>
        <v>1</v>
      </c>
      <c r="AE46" s="129">
        <f t="shared" si="33"/>
        <v>1</v>
      </c>
      <c r="AF46" s="129">
        <f t="shared" si="34"/>
        <v>1</v>
      </c>
      <c r="AG46" s="129">
        <f t="shared" si="35"/>
        <v>1</v>
      </c>
      <c r="AI46" s="131">
        <f t="shared" si="36"/>
        <v>1</v>
      </c>
      <c r="AJ46" s="131">
        <f t="shared" si="37"/>
        <v>1</v>
      </c>
      <c r="AK46" s="131">
        <f t="shared" si="38"/>
        <v>1</v>
      </c>
      <c r="AL46" s="131">
        <f t="shared" si="39"/>
        <v>1</v>
      </c>
      <c r="AM46" s="131">
        <f t="shared" si="40"/>
        <v>1</v>
      </c>
      <c r="AN46" s="131">
        <f t="shared" si="41"/>
        <v>1</v>
      </c>
      <c r="AO46" s="131"/>
      <c r="AP46" s="131">
        <f t="shared" si="42"/>
        <v>1</v>
      </c>
      <c r="AS46" s="134"/>
      <c r="AU46" s="129">
        <f t="shared" si="49"/>
        <v>0.4703777268443346</v>
      </c>
      <c r="AV46" s="129">
        <f t="shared" si="50"/>
        <v>0.15151761269384242</v>
      </c>
      <c r="AW46" s="129">
        <f t="shared" si="51"/>
        <v>0.37810466046182289</v>
      </c>
      <c r="AY46" s="129">
        <f t="shared" si="44"/>
        <v>0.46707775524342149</v>
      </c>
      <c r="AZ46" s="129">
        <f t="shared" si="44"/>
        <v>0.15590051675083205</v>
      </c>
      <c r="BA46" s="129">
        <f t="shared" si="44"/>
        <v>0.37697099978130078</v>
      </c>
      <c r="BB46" s="129">
        <f t="shared" si="23"/>
        <v>0.99994927177555437</v>
      </c>
      <c r="BD46" s="129">
        <f t="shared" si="15"/>
        <v>0.46710145047063983</v>
      </c>
      <c r="BE46" s="129">
        <f t="shared" si="16"/>
        <v>0.15590842570844435</v>
      </c>
      <c r="BF46" s="129">
        <f t="shared" si="24"/>
        <v>0.37699012382091573</v>
      </c>
      <c r="BI46" s="129">
        <f t="shared" si="45"/>
        <v>4.2093717669448388E-2</v>
      </c>
      <c r="BJ46" s="129">
        <f t="shared" si="45"/>
        <v>-1.6008457477977113E-2</v>
      </c>
      <c r="BK46" s="129">
        <f t="shared" si="45"/>
        <v>-5.210355482794052E-3</v>
      </c>
      <c r="BM46" s="129">
        <f t="shared" si="6"/>
        <v>0.17028930109041163</v>
      </c>
      <c r="BN46" s="129">
        <f t="shared" si="18"/>
        <v>0.191526173902547</v>
      </c>
      <c r="BO46" s="129">
        <f t="shared" si="19"/>
        <v>0.63818452500704137</v>
      </c>
      <c r="BQ46" s="129">
        <f t="shared" si="46"/>
        <v>-2.2330496509476362E-2</v>
      </c>
      <c r="BR46" s="129">
        <f t="shared" si="46"/>
        <v>-3.5089417210334262E-2</v>
      </c>
      <c r="BS46" s="129">
        <f t="shared" si="46"/>
        <v>1.6884970762356628E-2</v>
      </c>
      <c r="BT46" s="580" t="e">
        <f>#REF!</f>
        <v>#REF!</v>
      </c>
      <c r="BU46" s="129">
        <f t="shared" si="25"/>
        <v>1.0153180677207674</v>
      </c>
      <c r="BV46" s="129">
        <f t="shared" si="21"/>
        <v>1.0953773467797439</v>
      </c>
      <c r="BW46" s="129">
        <f t="shared" si="7"/>
        <v>1</v>
      </c>
      <c r="BX46" s="175">
        <f t="shared" si="47"/>
        <v>1.0953773467797439</v>
      </c>
      <c r="BY46" s="129">
        <f t="shared" si="26"/>
        <v>0.99050944640030836</v>
      </c>
      <c r="BZ46" s="129">
        <f t="shared" si="22"/>
        <v>0.94675860392042088</v>
      </c>
      <c r="CA46" s="129">
        <f t="shared" si="8"/>
        <v>1</v>
      </c>
    </row>
    <row r="47" spans="1:79" x14ac:dyDescent="0.2">
      <c r="A47" s="133" t="s">
        <v>664</v>
      </c>
      <c r="B47" s="133">
        <f t="shared" si="9"/>
        <v>1986</v>
      </c>
      <c r="D47" s="125">
        <f>'Passenger-based Energy Use'!E44</f>
        <v>76.353920400000007</v>
      </c>
      <c r="E47" s="125">
        <f>'Passenger-based Energy Use'!G44</f>
        <v>23.654564788063507</v>
      </c>
      <c r="F47" s="174">
        <f>'Passenger-based Energy Use'!H44</f>
        <v>58.785924020130437</v>
      </c>
      <c r="G47" s="125">
        <f t="shared" si="27"/>
        <v>158.79440920819394</v>
      </c>
      <c r="H47" s="125"/>
      <c r="I47" s="279">
        <v>462.42</v>
      </c>
      <c r="J47" s="125">
        <f t="shared" si="43"/>
        <v>63.504138599999997</v>
      </c>
      <c r="L47" s="4">
        <f>'Passenger-based Activity'!F45</f>
        <v>21395</v>
      </c>
      <c r="M47" s="4">
        <f>'Passenger-based Activity'!E45</f>
        <v>23700</v>
      </c>
      <c r="N47" s="4">
        <f>'Passenger-based Activity'!H45</f>
        <v>79744.62414558568</v>
      </c>
      <c r="O47" s="4">
        <f t="shared" si="10"/>
        <v>124839.62414558568</v>
      </c>
      <c r="P47" s="4"/>
      <c r="Q47" s="4"/>
      <c r="R47" s="4"/>
      <c r="S47" s="5">
        <v>3700</v>
      </c>
      <c r="T47" s="5">
        <f t="shared" si="48"/>
        <v>21.552601120428562</v>
      </c>
      <c r="V47" s="125">
        <f t="shared" si="28"/>
        <v>3568.7740313157283</v>
      </c>
      <c r="W47" s="125">
        <f t="shared" si="29"/>
        <v>998.08290244993702</v>
      </c>
      <c r="X47" s="125">
        <f t="shared" si="30"/>
        <v>737.17726617919709</v>
      </c>
      <c r="Y47" s="125">
        <f t="shared" si="31"/>
        <v>1271.9872419914595</v>
      </c>
      <c r="Z47" s="125"/>
      <c r="AA47" s="125"/>
      <c r="AB47" s="125"/>
      <c r="AD47" s="129">
        <f t="shared" si="32"/>
        <v>1.0399807383084179</v>
      </c>
      <c r="AE47" s="129">
        <f t="shared" si="33"/>
        <v>1.0155405320844157</v>
      </c>
      <c r="AF47" s="129">
        <f t="shared" si="34"/>
        <v>1.0015480823460725</v>
      </c>
      <c r="AG47" s="129">
        <f t="shared" si="35"/>
        <v>1.0238784139208781</v>
      </c>
      <c r="AI47" s="131">
        <f t="shared" si="36"/>
        <v>1.0046241833628591</v>
      </c>
      <c r="AJ47" s="131">
        <f t="shared" si="37"/>
        <v>1.0238784139208781</v>
      </c>
      <c r="AK47" s="131">
        <f t="shared" si="38"/>
        <v>1.002059492392211</v>
      </c>
      <c r="AL47" s="131">
        <f t="shared" si="39"/>
        <v>1.0217740779807187</v>
      </c>
      <c r="AM47" s="131">
        <f t="shared" si="40"/>
        <v>1.0286130154481219</v>
      </c>
      <c r="AN47" s="131">
        <f t="shared" si="41"/>
        <v>1.0286130154481217</v>
      </c>
      <c r="AO47" s="131"/>
      <c r="AP47" s="131">
        <f t="shared" si="42"/>
        <v>1.0238784139208785</v>
      </c>
      <c r="AS47" s="134"/>
      <c r="AU47" s="129">
        <f t="shared" si="49"/>
        <v>0.4808350670576384</v>
      </c>
      <c r="AV47" s="129">
        <f t="shared" si="50"/>
        <v>0.14896346103123956</v>
      </c>
      <c r="AW47" s="129">
        <f t="shared" si="51"/>
        <v>0.37020147191112213</v>
      </c>
      <c r="AY47" s="129">
        <f t="shared" si="44"/>
        <v>0.47558723553765192</v>
      </c>
      <c r="AZ47" s="129">
        <f t="shared" si="44"/>
        <v>0.15023691832270214</v>
      </c>
      <c r="BA47" s="129">
        <f t="shared" si="44"/>
        <v>0.3741391542671475</v>
      </c>
      <c r="BB47" s="129">
        <f t="shared" si="23"/>
        <v>0.99996330812750156</v>
      </c>
      <c r="BD47" s="129">
        <f t="shared" si="15"/>
        <v>0.47560468636416364</v>
      </c>
      <c r="BE47" s="129">
        <f t="shared" si="16"/>
        <v>0.1502424309988242</v>
      </c>
      <c r="BF47" s="129">
        <f t="shared" si="24"/>
        <v>0.37415288263701213</v>
      </c>
      <c r="BI47" s="129">
        <f t="shared" si="45"/>
        <v>3.9202192124477585E-2</v>
      </c>
      <c r="BJ47" s="129">
        <f t="shared" si="45"/>
        <v>1.5421014668090692E-2</v>
      </c>
      <c r="BK47" s="129">
        <f t="shared" si="45"/>
        <v>1.5468853018535025E-3</v>
      </c>
      <c r="BM47" s="129">
        <f t="shared" si="6"/>
        <v>0.1713798815594762</v>
      </c>
      <c r="BN47" s="129">
        <f t="shared" si="18"/>
        <v>0.18984357059871868</v>
      </c>
      <c r="BO47" s="129">
        <f t="shared" si="19"/>
        <v>0.63877654784180515</v>
      </c>
      <c r="BQ47" s="129">
        <f t="shared" si="46"/>
        <v>6.3838603433127939E-3</v>
      </c>
      <c r="BR47" s="129">
        <f t="shared" si="46"/>
        <v>-8.8240572091766514E-3</v>
      </c>
      <c r="BS47" s="129">
        <f t="shared" si="46"/>
        <v>9.2723715666591876E-4</v>
      </c>
      <c r="BT47" s="129" t="e">
        <f>#REF!</f>
        <v>#REF!</v>
      </c>
      <c r="BU47" s="129">
        <f t="shared" si="25"/>
        <v>1.0217740779807187</v>
      </c>
      <c r="BV47" s="129">
        <f t="shared" si="21"/>
        <v>1.1192281785468388</v>
      </c>
      <c r="BW47" s="129">
        <f t="shared" si="7"/>
        <v>1.0217740779807187</v>
      </c>
      <c r="BY47" s="129">
        <f t="shared" si="26"/>
        <v>1.002059492392211</v>
      </c>
      <c r="BZ47" s="129">
        <f t="shared" si="22"/>
        <v>0.9487084460624553</v>
      </c>
      <c r="CA47" s="129">
        <f t="shared" si="8"/>
        <v>1.002059492392211</v>
      </c>
    </row>
    <row r="48" spans="1:79" x14ac:dyDescent="0.2">
      <c r="A48" s="133" t="s">
        <v>664</v>
      </c>
      <c r="B48" s="133">
        <f t="shared" si="9"/>
        <v>1987</v>
      </c>
      <c r="D48" s="125">
        <f>'Passenger-based Energy Use'!E45</f>
        <v>75.607651799999999</v>
      </c>
      <c r="E48" s="125">
        <f>'Passenger-based Energy Use'!G45</f>
        <v>23.917659717054548</v>
      </c>
      <c r="F48" s="174">
        <f>'Passenger-based Energy Use'!H45</f>
        <v>60.31504346679715</v>
      </c>
      <c r="G48" s="125">
        <f t="shared" si="27"/>
        <v>159.84035498385168</v>
      </c>
      <c r="H48" s="125"/>
      <c r="I48" s="279">
        <v>487.2</v>
      </c>
      <c r="J48" s="125">
        <f t="shared" si="43"/>
        <v>66.907175999999993</v>
      </c>
      <c r="L48" s="4">
        <f>'Passenger-based Activity'!F46</f>
        <v>20970</v>
      </c>
      <c r="M48" s="4">
        <f>'Passenger-based Activity'!E46</f>
        <v>23000</v>
      </c>
      <c r="N48" s="4">
        <f>'Passenger-based Activity'!H46</f>
        <v>81692.251749614574</v>
      </c>
      <c r="O48" s="4">
        <f t="shared" si="10"/>
        <v>125662.25174961457</v>
      </c>
      <c r="P48" s="4"/>
      <c r="Q48" s="4"/>
      <c r="R48" s="4"/>
      <c r="S48" s="5">
        <v>3900</v>
      </c>
      <c r="T48" s="5">
        <f t="shared" si="48"/>
        <v>20.946731217849891</v>
      </c>
      <c r="V48" s="125">
        <f t="shared" si="28"/>
        <v>3605.5151072961376</v>
      </c>
      <c r="W48" s="125">
        <f t="shared" si="29"/>
        <v>1039.898248567589</v>
      </c>
      <c r="X48" s="125">
        <f t="shared" si="30"/>
        <v>738.32024671889053</v>
      </c>
      <c r="Y48" s="125">
        <f t="shared" si="31"/>
        <v>1271.9838516210732</v>
      </c>
      <c r="Z48" s="125"/>
      <c r="AA48" s="125"/>
      <c r="AB48" s="125"/>
      <c r="AD48" s="129">
        <f t="shared" si="32"/>
        <v>1.0506874995068185</v>
      </c>
      <c r="AE48" s="129">
        <f t="shared" si="33"/>
        <v>1.0580872771908367</v>
      </c>
      <c r="AF48" s="129">
        <f t="shared" si="34"/>
        <v>1.0031009652416913</v>
      </c>
      <c r="AG48" s="129">
        <f t="shared" si="35"/>
        <v>1.0238756848628034</v>
      </c>
      <c r="AI48" s="131">
        <f t="shared" si="36"/>
        <v>1.0112441294782488</v>
      </c>
      <c r="AJ48" s="131">
        <f t="shared" si="37"/>
        <v>1.0238756848628034</v>
      </c>
      <c r="AK48" s="131">
        <f t="shared" si="38"/>
        <v>0.990508397620109</v>
      </c>
      <c r="AL48" s="131">
        <f t="shared" si="39"/>
        <v>1.0336870311477075</v>
      </c>
      <c r="AM48" s="131">
        <f t="shared" si="40"/>
        <v>1.0353882756330317</v>
      </c>
      <c r="AN48" s="131">
        <f t="shared" si="41"/>
        <v>1.0353882756330315</v>
      </c>
      <c r="AO48" s="131"/>
      <c r="AP48" s="131">
        <f t="shared" si="42"/>
        <v>1.0238756848628034</v>
      </c>
      <c r="AS48" s="134"/>
      <c r="AU48" s="129">
        <f t="shared" si="49"/>
        <v>0.47301979407915151</v>
      </c>
      <c r="AV48" s="129">
        <f t="shared" si="50"/>
        <v>0.14963467592067659</v>
      </c>
      <c r="AW48" s="129">
        <f t="shared" si="51"/>
        <v>0.37734553000017201</v>
      </c>
      <c r="AY48" s="129">
        <f t="shared" si="44"/>
        <v>0.47691675815765794</v>
      </c>
      <c r="AZ48" s="129">
        <f t="shared" si="44"/>
        <v>0.14929881700640579</v>
      </c>
      <c r="BA48" s="129">
        <f t="shared" si="44"/>
        <v>0.37376212178062129</v>
      </c>
      <c r="BB48" s="129">
        <f t="shared" si="23"/>
        <v>0.99997769694468497</v>
      </c>
      <c r="BD48" s="129">
        <f t="shared" si="15"/>
        <v>0.47692739509573201</v>
      </c>
      <c r="BE48" s="129">
        <f t="shared" si="16"/>
        <v>0.14930214690044677</v>
      </c>
      <c r="BF48" s="129">
        <f t="shared" si="24"/>
        <v>0.37377045800382125</v>
      </c>
      <c r="BI48" s="129">
        <f t="shared" si="45"/>
        <v>1.0242519217273533E-2</v>
      </c>
      <c r="BJ48" s="129">
        <f t="shared" si="45"/>
        <v>4.1041807984626248E-2</v>
      </c>
      <c r="BK48" s="129">
        <f t="shared" si="45"/>
        <v>1.5492818636754146E-3</v>
      </c>
      <c r="BM48" s="129">
        <f t="shared" si="6"/>
        <v>0.16687588920325327</v>
      </c>
      <c r="BN48" s="129">
        <f t="shared" si="18"/>
        <v>0.18303030289341082</v>
      </c>
      <c r="BO48" s="129">
        <f t="shared" si="19"/>
        <v>0.65009380790333593</v>
      </c>
      <c r="BQ48" s="129">
        <f t="shared" si="46"/>
        <v>-2.6632264442728711E-2</v>
      </c>
      <c r="BR48" s="129">
        <f t="shared" si="46"/>
        <v>-3.6548691699713108E-2</v>
      </c>
      <c r="BS48" s="129">
        <f t="shared" si="46"/>
        <v>1.756196949467893E-2</v>
      </c>
      <c r="BT48" s="129" t="e">
        <f>#REF!</f>
        <v>#REF!</v>
      </c>
      <c r="BU48" s="129">
        <f t="shared" si="25"/>
        <v>1.0116590872911277</v>
      </c>
      <c r="BV48" s="129">
        <f t="shared" si="21"/>
        <v>1.1322773575792062</v>
      </c>
      <c r="BW48" s="129">
        <f t="shared" si="7"/>
        <v>1.0336870311477075</v>
      </c>
      <c r="BY48" s="129">
        <f t="shared" si="26"/>
        <v>0.98847264572632698</v>
      </c>
      <c r="BZ48" s="129">
        <f t="shared" si="22"/>
        <v>0.93777234770226758</v>
      </c>
      <c r="CA48" s="129">
        <f t="shared" si="8"/>
        <v>0.990508397620109</v>
      </c>
    </row>
    <row r="49" spans="1:79" x14ac:dyDescent="0.2">
      <c r="A49" s="133" t="s">
        <v>664</v>
      </c>
      <c r="B49" s="133">
        <f t="shared" si="9"/>
        <v>1988</v>
      </c>
      <c r="D49" s="125">
        <f>'Passenger-based Energy Use'!E46</f>
        <v>76.903664600000013</v>
      </c>
      <c r="E49" s="125">
        <f>'Passenger-based Energy Use'!G46</f>
        <v>24.18015342090132</v>
      </c>
      <c r="F49" s="174">
        <f>'Passenger-based Energy Use'!H46</f>
        <v>62.424709742177832</v>
      </c>
      <c r="G49" s="125">
        <f t="shared" si="27"/>
        <v>163.50852776307917</v>
      </c>
      <c r="H49" s="125"/>
      <c r="I49" s="279">
        <v>511.14</v>
      </c>
      <c r="J49" s="125">
        <f t="shared" si="43"/>
        <v>70.194856200000004</v>
      </c>
      <c r="L49" s="4">
        <f>'Passenger-based Activity'!F47</f>
        <v>20753</v>
      </c>
      <c r="M49" s="4">
        <f>'Passenger-based Activity'!E47</f>
        <v>23100</v>
      </c>
      <c r="N49" s="4">
        <f>'Passenger-based Activity'!H47</f>
        <v>84418.545463974122</v>
      </c>
      <c r="O49" s="4">
        <f t="shared" si="10"/>
        <v>128271.54546397412</v>
      </c>
      <c r="P49" s="4"/>
      <c r="Q49" s="4"/>
      <c r="R49" s="4"/>
      <c r="S49" s="5">
        <v>4100</v>
      </c>
      <c r="T49" s="5">
        <f t="shared" si="48"/>
        <v>20.589889137554664</v>
      </c>
      <c r="V49" s="125">
        <f t="shared" si="28"/>
        <v>3705.6649448272547</v>
      </c>
      <c r="W49" s="125">
        <f t="shared" si="29"/>
        <v>1046.7598883507067</v>
      </c>
      <c r="X49" s="125">
        <f t="shared" si="30"/>
        <v>739.46677710548533</v>
      </c>
      <c r="Y49" s="125">
        <f t="shared" si="31"/>
        <v>1274.7061491435884</v>
      </c>
      <c r="Z49" s="125"/>
      <c r="AA49" s="125"/>
      <c r="AB49" s="125"/>
      <c r="AD49" s="129">
        <f t="shared" si="32"/>
        <v>1.0798722842713167</v>
      </c>
      <c r="AE49" s="129">
        <f t="shared" si="33"/>
        <v>1.0650689350262874</v>
      </c>
      <c r="AF49" s="129">
        <f t="shared" si="34"/>
        <v>1.0046586710510379</v>
      </c>
      <c r="AG49" s="129">
        <f t="shared" si="35"/>
        <v>1.0260669817387136</v>
      </c>
      <c r="AI49" s="131">
        <f t="shared" si="36"/>
        <v>1.0322419463563686</v>
      </c>
      <c r="AJ49" s="131">
        <f t="shared" si="37"/>
        <v>1.0260669817387136</v>
      </c>
      <c r="AK49" s="131">
        <f t="shared" si="38"/>
        <v>0.97834841191946298</v>
      </c>
      <c r="AL49" s="131">
        <f t="shared" si="39"/>
        <v>1.0487746177515938</v>
      </c>
      <c r="AM49" s="131">
        <f t="shared" si="40"/>
        <v>1.0591493783219743</v>
      </c>
      <c r="AN49" s="131">
        <f t="shared" si="41"/>
        <v>1.0591493783219743</v>
      </c>
      <c r="AO49" s="131"/>
      <c r="AP49" s="131">
        <f t="shared" si="42"/>
        <v>1.0260669817387136</v>
      </c>
      <c r="AS49" s="134"/>
      <c r="AU49" s="129">
        <f t="shared" si="49"/>
        <v>0.47033427339907308</v>
      </c>
      <c r="AV49" s="129">
        <f t="shared" si="50"/>
        <v>0.14788313338578837</v>
      </c>
      <c r="AW49" s="129">
        <f t="shared" si="51"/>
        <v>0.38178259321513847</v>
      </c>
      <c r="AY49" s="129">
        <f t="shared" si="44"/>
        <v>0.47167575955564867</v>
      </c>
      <c r="AZ49" s="129">
        <f t="shared" si="44"/>
        <v>0.14875718602804403</v>
      </c>
      <c r="BA49" s="129">
        <f t="shared" si="44"/>
        <v>0.37955973916880875</v>
      </c>
      <c r="BB49" s="129">
        <f t="shared" si="23"/>
        <v>0.99999268475250136</v>
      </c>
      <c r="BD49" s="129">
        <f t="shared" si="15"/>
        <v>0.47167921000580981</v>
      </c>
      <c r="BE49" s="129">
        <f t="shared" si="16"/>
        <v>0.14875827423163751</v>
      </c>
      <c r="BF49" s="129">
        <f t="shared" si="24"/>
        <v>0.37956251576255279</v>
      </c>
      <c r="BI49" s="129">
        <f t="shared" si="45"/>
        <v>2.7398067497331008E-2</v>
      </c>
      <c r="BJ49" s="129">
        <f t="shared" si="45"/>
        <v>6.5767021381363385E-3</v>
      </c>
      <c r="BK49" s="129">
        <f t="shared" si="45"/>
        <v>1.5516858629224927E-3</v>
      </c>
      <c r="BM49" s="129">
        <f t="shared" si="6"/>
        <v>0.16178958415862082</v>
      </c>
      <c r="BN49" s="129">
        <f t="shared" si="18"/>
        <v>0.18008670525052481</v>
      </c>
      <c r="BO49" s="129">
        <f t="shared" si="19"/>
        <v>0.65812371059085439</v>
      </c>
      <c r="BQ49" s="129">
        <f t="shared" si="46"/>
        <v>-3.0953729939100449E-2</v>
      </c>
      <c r="BR49" s="129">
        <f t="shared" si="46"/>
        <v>-1.6213297966196711E-2</v>
      </c>
      <c r="BS49" s="129">
        <f t="shared" si="46"/>
        <v>1.2276251342284088E-2</v>
      </c>
      <c r="BT49" s="129" t="e">
        <f>#REF!</f>
        <v>#REF!</v>
      </c>
      <c r="BU49" s="129">
        <f t="shared" si="25"/>
        <v>1.0145958942593432</v>
      </c>
      <c r="BV49" s="129">
        <f t="shared" si="21"/>
        <v>1.1488039581626808</v>
      </c>
      <c r="BW49" s="129">
        <f t="shared" si="7"/>
        <v>1.0487746177515938</v>
      </c>
      <c r="BY49" s="129">
        <f t="shared" si="26"/>
        <v>0.98772349055307074</v>
      </c>
      <c r="BZ49" s="129">
        <f t="shared" si="22"/>
        <v>0.92625977661663161</v>
      </c>
      <c r="CA49" s="129">
        <f t="shared" si="8"/>
        <v>0.97834841191946298</v>
      </c>
    </row>
    <row r="50" spans="1:79" x14ac:dyDescent="0.2">
      <c r="A50" s="133" t="s">
        <v>664</v>
      </c>
      <c r="B50" s="133">
        <f t="shared" si="9"/>
        <v>1989</v>
      </c>
      <c r="D50" s="125">
        <f>'Passenger-based Energy Use'!E47</f>
        <v>76.695337199999983</v>
      </c>
      <c r="E50" s="125">
        <f>'Passenger-based Energy Use'!G47</f>
        <v>24.44204795813339</v>
      </c>
      <c r="F50" s="174">
        <f>'Passenger-based Energy Use'!H47</f>
        <v>64.131996088434406</v>
      </c>
      <c r="G50" s="125">
        <f t="shared" si="27"/>
        <v>165.26938124656778</v>
      </c>
      <c r="H50" s="125"/>
      <c r="I50" s="279">
        <v>498.12</v>
      </c>
      <c r="J50" s="125">
        <f t="shared" si="43"/>
        <v>68.406819599999992</v>
      </c>
      <c r="L50" s="4">
        <f>'Passenger-based Activity'!F48</f>
        <v>20768</v>
      </c>
      <c r="M50" s="4">
        <f>'Passenger-based Activity'!E48</f>
        <v>24000</v>
      </c>
      <c r="N50" s="4">
        <f>'Passenger-based Activity'!H48</f>
        <v>86592.674766544646</v>
      </c>
      <c r="O50" s="4">
        <f t="shared" si="10"/>
        <v>131360.67476654466</v>
      </c>
      <c r="P50" s="4"/>
      <c r="Q50" s="4"/>
      <c r="R50" s="4"/>
      <c r="S50" s="5">
        <v>4000</v>
      </c>
      <c r="T50" s="5">
        <f t="shared" si="48"/>
        <v>21.648168691636162</v>
      </c>
      <c r="V50" s="125">
        <f t="shared" si="28"/>
        <v>3692.9572996918328</v>
      </c>
      <c r="W50" s="125">
        <f t="shared" si="29"/>
        <v>1018.4186649222246</v>
      </c>
      <c r="X50" s="125">
        <f t="shared" si="30"/>
        <v>740.61687390227155</v>
      </c>
      <c r="Y50" s="125">
        <f t="shared" si="31"/>
        <v>1258.1343810869269</v>
      </c>
      <c r="Z50" s="125"/>
      <c r="AA50" s="125"/>
      <c r="AB50" s="125"/>
      <c r="AD50" s="129">
        <f t="shared" si="32"/>
        <v>1.0761691340986996</v>
      </c>
      <c r="AE50" s="129">
        <f t="shared" si="33"/>
        <v>1.0362319906704274</v>
      </c>
      <c r="AF50" s="129">
        <f t="shared" si="34"/>
        <v>1.0062212222774258</v>
      </c>
      <c r="AG50" s="129">
        <f t="shared" si="35"/>
        <v>1.0127276375742591</v>
      </c>
      <c r="AI50" s="131">
        <f t="shared" si="36"/>
        <v>1.0571011529114769</v>
      </c>
      <c r="AJ50" s="131">
        <f t="shared" si="37"/>
        <v>1.0127276375742591</v>
      </c>
      <c r="AK50" s="131">
        <f t="shared" si="38"/>
        <v>0.9705337778308667</v>
      </c>
      <c r="AL50" s="131">
        <f t="shared" si="39"/>
        <v>1.0434749008300312</v>
      </c>
      <c r="AM50" s="131">
        <f t="shared" si="40"/>
        <v>1.0705555532650657</v>
      </c>
      <c r="AN50" s="131">
        <f t="shared" si="41"/>
        <v>1.0705555532650659</v>
      </c>
      <c r="AO50" s="131"/>
      <c r="AP50" s="131">
        <f t="shared" si="42"/>
        <v>1.0127276375742591</v>
      </c>
      <c r="AS50" s="134"/>
      <c r="AU50" s="129">
        <f t="shared" si="49"/>
        <v>0.46406259055073912</v>
      </c>
      <c r="AV50" s="129">
        <f t="shared" si="50"/>
        <v>0.14789217321306447</v>
      </c>
      <c r="AW50" s="129">
        <f t="shared" si="51"/>
        <v>0.38804523623619641</v>
      </c>
      <c r="AY50" s="129">
        <f t="shared" si="44"/>
        <v>0.46719141595565761</v>
      </c>
      <c r="AZ50" s="129">
        <f t="shared" si="44"/>
        <v>0.1478876532535052</v>
      </c>
      <c r="BA50" s="129">
        <f t="shared" si="44"/>
        <v>0.38490542334870126</v>
      </c>
      <c r="BB50" s="129">
        <f t="shared" si="23"/>
        <v>0.99998449255786404</v>
      </c>
      <c r="BD50" s="129">
        <f t="shared" si="15"/>
        <v>0.46719866101185925</v>
      </c>
      <c r="BE50" s="129">
        <f t="shared" si="16"/>
        <v>0.14788994664829533</v>
      </c>
      <c r="BF50" s="129">
        <f t="shared" si="24"/>
        <v>0.38491139233984545</v>
      </c>
      <c r="BI50" s="129">
        <f t="shared" si="45"/>
        <v>-3.4351416281307237E-3</v>
      </c>
      <c r="BJ50" s="129">
        <f t="shared" si="45"/>
        <v>-2.7448476803407836E-2</v>
      </c>
      <c r="BK50" s="129">
        <f t="shared" si="45"/>
        <v>1.5540973342703572E-3</v>
      </c>
      <c r="BM50" s="129">
        <f t="shared" si="6"/>
        <v>0.15809906607825416</v>
      </c>
      <c r="BN50" s="129">
        <f t="shared" si="18"/>
        <v>0.182703080984115</v>
      </c>
      <c r="BO50" s="129">
        <f t="shared" si="19"/>
        <v>0.65919785293763067</v>
      </c>
      <c r="BQ50" s="129">
        <f t="shared" si="46"/>
        <v>-2.3074790720476593E-2</v>
      </c>
      <c r="BR50" s="129">
        <f t="shared" si="46"/>
        <v>1.4423896117564908E-2</v>
      </c>
      <c r="BS50" s="129">
        <f t="shared" si="46"/>
        <v>1.6307978470436668E-3</v>
      </c>
      <c r="BT50" s="129" t="e">
        <f>#REF!</f>
        <v>#REF!</v>
      </c>
      <c r="BU50" s="129">
        <f t="shared" si="25"/>
        <v>0.99494675325674442</v>
      </c>
      <c r="BV50" s="129">
        <f t="shared" si="21"/>
        <v>1.1429987683024561</v>
      </c>
      <c r="BW50" s="129">
        <f t="shared" si="7"/>
        <v>1.0434749008300312</v>
      </c>
      <c r="BY50" s="129">
        <f t="shared" si="26"/>
        <v>0.99201242216638907</v>
      </c>
      <c r="BZ50" s="129">
        <f t="shared" si="22"/>
        <v>0.91886120455676323</v>
      </c>
      <c r="CA50" s="129">
        <f t="shared" si="8"/>
        <v>0.9705337778308667</v>
      </c>
    </row>
    <row r="51" spans="1:79" x14ac:dyDescent="0.2">
      <c r="A51" s="133" t="s">
        <v>664</v>
      </c>
      <c r="B51" s="133">
        <f t="shared" si="9"/>
        <v>1990</v>
      </c>
      <c r="D51" s="125">
        <f>'Passenger-based Energy Use'!E48</f>
        <v>78.359043699999987</v>
      </c>
      <c r="E51" s="125">
        <f>'Passenger-based Energy Use'!G48</f>
        <v>24.703345377893466</v>
      </c>
      <c r="F51" s="174">
        <f>'Passenger-based Energy Use'!H48</f>
        <v>64.830746399999995</v>
      </c>
      <c r="G51" s="125">
        <f t="shared" si="27"/>
        <v>167.89313547789345</v>
      </c>
      <c r="H51" s="125">
        <v>124</v>
      </c>
      <c r="I51" s="279">
        <v>472.08</v>
      </c>
      <c r="J51" s="125">
        <f t="shared" si="43"/>
        <v>64.830746399999995</v>
      </c>
      <c r="L51" s="4">
        <f>'Passenger-based Activity'!F49</f>
        <v>20981</v>
      </c>
      <c r="M51" s="4">
        <f>'Passenger-based Activity'!E49</f>
        <v>23000</v>
      </c>
      <c r="N51" s="4">
        <f>'Passenger-based Activity'!H49</f>
        <v>87400</v>
      </c>
      <c r="O51" s="4">
        <f t="shared" si="10"/>
        <v>131381</v>
      </c>
      <c r="P51" s="4">
        <v>121398</v>
      </c>
      <c r="Q51" s="4">
        <v>5726</v>
      </c>
      <c r="R51" s="5">
        <f>P51/Q51</f>
        <v>21.201187565490745</v>
      </c>
      <c r="S51" s="5">
        <v>3800</v>
      </c>
      <c r="T51" s="5">
        <f t="shared" si="48"/>
        <v>23</v>
      </c>
      <c r="V51" s="125">
        <f t="shared" si="28"/>
        <v>3734.7621038082066</v>
      </c>
      <c r="W51" s="125">
        <f t="shared" si="29"/>
        <v>1074.0584946910203</v>
      </c>
      <c r="X51" s="125">
        <f t="shared" si="30"/>
        <v>741.77055377574368</v>
      </c>
      <c r="Y51" s="125">
        <f t="shared" si="31"/>
        <v>1277.9103179142603</v>
      </c>
      <c r="Z51" s="125">
        <f t="shared" ref="Z51:Z72" si="52">H51/P51*1000000</f>
        <v>1021.4336315260547</v>
      </c>
      <c r="AA51" s="125">
        <f t="shared" ref="AA51:AA72" si="53">H51/Q51*1000</f>
        <v>21.655606007684245</v>
      </c>
      <c r="AB51" s="125">
        <f t="shared" ref="AB51:AB72" si="54">Q51/(H51/138700)*0.000001</f>
        <v>6.4048080645161285</v>
      </c>
      <c r="AD51" s="129">
        <f t="shared" si="32"/>
        <v>1.0883515224114044</v>
      </c>
      <c r="AE51" s="129">
        <f t="shared" si="33"/>
        <v>1.092845025709692</v>
      </c>
      <c r="AF51" s="129">
        <f t="shared" si="34"/>
        <v>1.0077886415643853</v>
      </c>
      <c r="AG51" s="129">
        <f t="shared" si="35"/>
        <v>1.0286461579525521</v>
      </c>
      <c r="AI51" s="131">
        <f t="shared" si="36"/>
        <v>1.0572647165332154</v>
      </c>
      <c r="AJ51" s="131">
        <f t="shared" si="37"/>
        <v>1.0286461579525521</v>
      </c>
      <c r="AK51" s="131">
        <f t="shared" si="38"/>
        <v>0.97238750261964702</v>
      </c>
      <c r="AL51" s="131">
        <f t="shared" si="39"/>
        <v>1.057856209773719</v>
      </c>
      <c r="AM51" s="131">
        <f t="shared" si="40"/>
        <v>1.087551288600686</v>
      </c>
      <c r="AN51" s="131">
        <f t="shared" si="41"/>
        <v>1.0875512886006864</v>
      </c>
      <c r="AO51" s="131"/>
      <c r="AP51" s="131">
        <f t="shared" si="42"/>
        <v>1.0286461579525521</v>
      </c>
      <c r="AS51" s="134"/>
      <c r="AU51" s="129">
        <f t="shared" si="49"/>
        <v>0.46671975883324635</v>
      </c>
      <c r="AV51" s="129">
        <f t="shared" si="50"/>
        <v>0.14713731629096988</v>
      </c>
      <c r="AW51" s="129">
        <f t="shared" si="51"/>
        <v>0.38614292487578378</v>
      </c>
      <c r="AY51" s="129">
        <f t="shared" si="44"/>
        <v>0.46538991042245148</v>
      </c>
      <c r="AZ51" s="129">
        <f t="shared" si="44"/>
        <v>0.14751442285765895</v>
      </c>
      <c r="BA51" s="129">
        <f t="shared" si="44"/>
        <v>0.38709330150456545</v>
      </c>
      <c r="BB51" s="129">
        <f t="shared" si="23"/>
        <v>0.99999763478467585</v>
      </c>
      <c r="BD51" s="129">
        <f t="shared" si="15"/>
        <v>0.46539101117240284</v>
      </c>
      <c r="BE51" s="129">
        <f t="shared" si="16"/>
        <v>0.14751477176185765</v>
      </c>
      <c r="BF51" s="129">
        <f t="shared" si="24"/>
        <v>0.38709421706573954</v>
      </c>
      <c r="BI51" s="129">
        <f t="shared" si="45"/>
        <v>1.125654949197741E-2</v>
      </c>
      <c r="BJ51" s="129">
        <f t="shared" si="45"/>
        <v>5.3193363148315354E-2</v>
      </c>
      <c r="BK51" s="129">
        <f t="shared" si="45"/>
        <v>1.5565163126102836E-3</v>
      </c>
      <c r="BM51" s="129">
        <f t="shared" si="6"/>
        <v>0.15969584643137136</v>
      </c>
      <c r="BN51" s="129">
        <f t="shared" si="18"/>
        <v>0.17506336532679764</v>
      </c>
      <c r="BO51" s="129">
        <f t="shared" si="19"/>
        <v>0.66524078824183097</v>
      </c>
      <c r="BQ51" s="129">
        <f t="shared" si="46"/>
        <v>1.0049209273178917E-2</v>
      </c>
      <c r="BR51" s="129">
        <f t="shared" si="46"/>
        <v>-4.271433089850122E-2</v>
      </c>
      <c r="BS51" s="129">
        <f t="shared" si="46"/>
        <v>9.1253411824775855E-3</v>
      </c>
      <c r="BT51" s="129" t="e">
        <f>#REF!</f>
        <v>#REF!</v>
      </c>
      <c r="BU51" s="129">
        <f t="shared" si="25"/>
        <v>1.0137821321166882</v>
      </c>
      <c r="BV51" s="129">
        <f t="shared" si="21"/>
        <v>1.1587517283364124</v>
      </c>
      <c r="BW51" s="129">
        <f t="shared" si="7"/>
        <v>1.057856209773719</v>
      </c>
      <c r="BY51" s="129">
        <f t="shared" si="26"/>
        <v>1.00191000543322</v>
      </c>
      <c r="BZ51" s="129">
        <f t="shared" si="22"/>
        <v>0.92061623444984164</v>
      </c>
      <c r="CA51" s="129">
        <f t="shared" si="8"/>
        <v>0.97238750261964702</v>
      </c>
    </row>
    <row r="52" spans="1:79" x14ac:dyDescent="0.2">
      <c r="A52" s="133" t="s">
        <v>664</v>
      </c>
      <c r="B52" s="133">
        <f t="shared" si="9"/>
        <v>1991</v>
      </c>
      <c r="D52" s="125">
        <f>'Passenger-based Energy Use'!E49</f>
        <v>79.705820700000004</v>
      </c>
      <c r="E52" s="125">
        <f>'Passenger-based Energy Use'!G49</f>
        <v>26.044677752952744</v>
      </c>
      <c r="F52" s="174">
        <f>'Passenger-based Energy Use'!H49</f>
        <v>66.664251034070517</v>
      </c>
      <c r="G52" s="125">
        <f t="shared" si="27"/>
        <v>172.41474948702324</v>
      </c>
      <c r="H52" s="125">
        <v>120</v>
      </c>
      <c r="I52" s="279">
        <v>533.4</v>
      </c>
      <c r="J52" s="125">
        <f t="shared" si="43"/>
        <v>73.25182199999999</v>
      </c>
      <c r="L52" s="4">
        <f>'Passenger-based Activity'!F50</f>
        <v>21090</v>
      </c>
      <c r="M52" s="4">
        <f>'Passenger-based Activity'!E50</f>
        <v>23100</v>
      </c>
      <c r="N52" s="4">
        <f>'Passenger-based Activity'!H50</f>
        <v>89897.264588576203</v>
      </c>
      <c r="O52" s="4">
        <f t="shared" si="10"/>
        <v>134087.26458857622</v>
      </c>
      <c r="P52" s="4">
        <v>121906</v>
      </c>
      <c r="Q52" s="4">
        <v>5750</v>
      </c>
      <c r="R52" s="5">
        <f t="shared" ref="R52:R72" si="55">P52/Q52</f>
        <v>21.201043478260871</v>
      </c>
      <c r="S52" s="5">
        <v>4300</v>
      </c>
      <c r="T52" s="5">
        <f t="shared" si="48"/>
        <v>20.906340601994465</v>
      </c>
      <c r="V52" s="125">
        <f t="shared" si="28"/>
        <v>3779.3181934566146</v>
      </c>
      <c r="W52" s="125">
        <f t="shared" si="29"/>
        <v>1127.4752274005516</v>
      </c>
      <c r="X52" s="125">
        <f t="shared" si="30"/>
        <v>741.5603949593584</v>
      </c>
      <c r="Y52" s="125">
        <f t="shared" si="31"/>
        <v>1285.8398597066496</v>
      </c>
      <c r="Z52" s="125">
        <f t="shared" si="52"/>
        <v>984.36500254294288</v>
      </c>
      <c r="AA52" s="125">
        <f t="shared" si="53"/>
        <v>20.869565217391305</v>
      </c>
      <c r="AB52" s="125">
        <f t="shared" si="54"/>
        <v>6.6460416666666671</v>
      </c>
      <c r="AD52" s="129">
        <f t="shared" si="32"/>
        <v>1.1013356661543481</v>
      </c>
      <c r="AE52" s="129">
        <f t="shared" si="33"/>
        <v>1.1471960791391134</v>
      </c>
      <c r="AF52" s="129">
        <f t="shared" si="34"/>
        <v>1.0075031143659818</v>
      </c>
      <c r="AG52" s="129">
        <f t="shared" si="35"/>
        <v>1.035028994513711</v>
      </c>
      <c r="AI52" s="131">
        <f t="shared" si="36"/>
        <v>1.0790428888953143</v>
      </c>
      <c r="AJ52" s="131">
        <f t="shared" si="37"/>
        <v>1.035028994513711</v>
      </c>
      <c r="AK52" s="131">
        <f t="shared" si="38"/>
        <v>0.96613601868310794</v>
      </c>
      <c r="AL52" s="131">
        <f t="shared" si="39"/>
        <v>1.0713077397989028</v>
      </c>
      <c r="AM52" s="131">
        <f t="shared" si="40"/>
        <v>1.116840676330487</v>
      </c>
      <c r="AN52" s="131">
        <f t="shared" si="41"/>
        <v>1.1168406763304872</v>
      </c>
      <c r="AO52" s="131"/>
      <c r="AP52" s="131">
        <f t="shared" si="42"/>
        <v>1.035028994513711</v>
      </c>
      <c r="AS52" s="134"/>
      <c r="AU52" s="129">
        <f t="shared" si="49"/>
        <v>0.46229119571930266</v>
      </c>
      <c r="AV52" s="129">
        <f t="shared" si="50"/>
        <v>0.151058293043038</v>
      </c>
      <c r="AW52" s="129">
        <f t="shared" si="51"/>
        <v>0.38665051123765942</v>
      </c>
      <c r="AY52" s="129">
        <f t="shared" si="44"/>
        <v>0.46450195878706685</v>
      </c>
      <c r="AZ52" s="129">
        <f t="shared" si="44"/>
        <v>0.14908921144435336</v>
      </c>
      <c r="BA52" s="129">
        <f t="shared" si="44"/>
        <v>0.38639666249119259</v>
      </c>
      <c r="BB52" s="129">
        <f t="shared" si="23"/>
        <v>0.99998783272261282</v>
      </c>
      <c r="BD52" s="129">
        <f t="shared" si="15"/>
        <v>0.46450761058001322</v>
      </c>
      <c r="BE52" s="129">
        <f t="shared" si="16"/>
        <v>0.14909102547621628</v>
      </c>
      <c r="BF52" s="129">
        <f t="shared" si="24"/>
        <v>0.38640136394377045</v>
      </c>
      <c r="BI52" s="129">
        <f t="shared" si="45"/>
        <v>1.1859498464337271E-2</v>
      </c>
      <c r="BJ52" s="129">
        <f t="shared" si="45"/>
        <v>4.8536361955851676E-2</v>
      </c>
      <c r="BK52" s="129">
        <f t="shared" si="45"/>
        <v>-2.8336065929286132E-4</v>
      </c>
      <c r="BM52" s="129">
        <f t="shared" si="6"/>
        <v>0.15728563085175201</v>
      </c>
      <c r="BN52" s="129">
        <f t="shared" si="18"/>
        <v>0.17227586878499154</v>
      </c>
      <c r="BO52" s="129">
        <f t="shared" si="19"/>
        <v>0.67043850036325636</v>
      </c>
      <c r="BQ52" s="129">
        <f t="shared" si="46"/>
        <v>-1.5207589106673129E-2</v>
      </c>
      <c r="BR52" s="129">
        <f t="shared" si="46"/>
        <v>-1.605091572419453E-2</v>
      </c>
      <c r="BS52" s="129">
        <f t="shared" si="46"/>
        <v>7.7829137620332219E-3</v>
      </c>
      <c r="BT52" s="129" t="e">
        <f>#REF!</f>
        <v>#REF!</v>
      </c>
      <c r="BU52" s="129">
        <f t="shared" si="25"/>
        <v>1.0127158397340801</v>
      </c>
      <c r="BV52" s="129">
        <f t="shared" si="21"/>
        <v>1.1734862296055264</v>
      </c>
      <c r="BW52" s="129">
        <f t="shared" si="7"/>
        <v>1.0713077397989028</v>
      </c>
      <c r="BY52" s="129">
        <f t="shared" si="26"/>
        <v>0.99357099518484415</v>
      </c>
      <c r="BZ52" s="129">
        <f t="shared" si="22"/>
        <v>0.91469758824565295</v>
      </c>
      <c r="CA52" s="129">
        <f t="shared" si="8"/>
        <v>0.96613601868310794</v>
      </c>
    </row>
    <row r="53" spans="1:79" x14ac:dyDescent="0.2">
      <c r="A53" s="133" t="s">
        <v>664</v>
      </c>
      <c r="B53" s="133">
        <f t="shared" si="9"/>
        <v>1992</v>
      </c>
      <c r="D53" s="125">
        <f>'Passenger-based Energy Use'!E50</f>
        <v>82.625603199999986</v>
      </c>
      <c r="E53" s="125">
        <f>'Passenger-based Energy Use'!G50</f>
        <v>27.382958857685725</v>
      </c>
      <c r="F53" s="174">
        <f>'Passenger-based Energy Use'!H50</f>
        <v>69.531186056359061</v>
      </c>
      <c r="G53" s="125">
        <f t="shared" si="27"/>
        <v>179.53974811404476</v>
      </c>
      <c r="H53" s="125">
        <v>122</v>
      </c>
      <c r="I53" s="279">
        <v>546</v>
      </c>
      <c r="J53" s="125">
        <f t="shared" si="43"/>
        <v>74.98218</v>
      </c>
      <c r="L53" s="4">
        <f>'Passenger-based Activity'!F51</f>
        <v>20336</v>
      </c>
      <c r="M53" s="4">
        <f>'Passenger-based Activity'!E51</f>
        <v>22600</v>
      </c>
      <c r="N53" s="4">
        <f>'Passenger-based Activity'!H51</f>
        <v>93789.913998459844</v>
      </c>
      <c r="O53" s="4">
        <f t="shared" si="10"/>
        <v>136725.91399845984</v>
      </c>
      <c r="P53" s="4">
        <v>122496</v>
      </c>
      <c r="Q53" s="4">
        <v>5778</v>
      </c>
      <c r="R53" s="5">
        <f t="shared" si="55"/>
        <v>21.200415368639668</v>
      </c>
      <c r="S53" s="5"/>
      <c r="T53" s="5"/>
      <c r="V53" s="125">
        <f t="shared" si="28"/>
        <v>4063.0214004720688</v>
      </c>
      <c r="W53" s="125">
        <f t="shared" si="29"/>
        <v>1211.6353476852091</v>
      </c>
      <c r="X53" s="125">
        <f t="shared" si="30"/>
        <v>741.35035519385235</v>
      </c>
      <c r="Y53" s="125">
        <f t="shared" si="31"/>
        <v>1313.1362070548469</v>
      </c>
      <c r="Z53" s="125">
        <f t="shared" si="52"/>
        <v>995.9508881922676</v>
      </c>
      <c r="AA53" s="125">
        <f t="shared" si="53"/>
        <v>21.114572516441676</v>
      </c>
      <c r="AB53" s="125">
        <f t="shared" si="54"/>
        <v>6.5689229508196716</v>
      </c>
      <c r="AD53" s="129">
        <f t="shared" si="32"/>
        <v>1.1840099593719606</v>
      </c>
      <c r="AE53" s="129">
        <f t="shared" si="33"/>
        <v>1.2328282577130334</v>
      </c>
      <c r="AF53" s="129">
        <f t="shared" si="34"/>
        <v>1.0072177489131793</v>
      </c>
      <c r="AG53" s="129">
        <f t="shared" si="35"/>
        <v>1.0570010237181464</v>
      </c>
      <c r="AI53" s="131">
        <f t="shared" si="36"/>
        <v>1.1002769403972146</v>
      </c>
      <c r="AJ53" s="131">
        <f t="shared" si="37"/>
        <v>1.0570010237181464</v>
      </c>
      <c r="AK53" s="131">
        <f t="shared" si="38"/>
        <v>0.94398148667262693</v>
      </c>
      <c r="AL53" s="131">
        <f t="shared" si="39"/>
        <v>1.1197264338773147</v>
      </c>
      <c r="AM53" s="131">
        <f t="shared" si="40"/>
        <v>1.1629938523733259</v>
      </c>
      <c r="AN53" s="131">
        <f t="shared" si="41"/>
        <v>1.1629938523733259</v>
      </c>
      <c r="AO53" s="131"/>
      <c r="AP53" s="131">
        <f t="shared" si="42"/>
        <v>1.0570010237181464</v>
      </c>
      <c r="AS53" s="134"/>
      <c r="AU53" s="129">
        <f t="shared" si="49"/>
        <v>0.46020785964072808</v>
      </c>
      <c r="AV53" s="129">
        <f t="shared" si="50"/>
        <v>0.15251752965751017</v>
      </c>
      <c r="AW53" s="129">
        <f t="shared" si="51"/>
        <v>0.38727461070176183</v>
      </c>
      <c r="AY53" s="129">
        <f t="shared" si="44"/>
        <v>0.46124874352471801</v>
      </c>
      <c r="AZ53" s="129">
        <f t="shared" si="44"/>
        <v>0.15178674229328723</v>
      </c>
      <c r="BA53" s="129">
        <f t="shared" si="44"/>
        <v>0.3869624770899146</v>
      </c>
      <c r="BB53" s="129">
        <f t="shared" si="23"/>
        <v>0.99999796290791987</v>
      </c>
      <c r="BD53" s="129">
        <f t="shared" si="15"/>
        <v>0.46124968313279446</v>
      </c>
      <c r="BE53" s="129">
        <f t="shared" si="16"/>
        <v>0.1517870514974877</v>
      </c>
      <c r="BF53" s="129">
        <f t="shared" si="24"/>
        <v>0.38696326536971781</v>
      </c>
      <c r="BI53" s="129">
        <f t="shared" si="45"/>
        <v>7.2383262890893862E-2</v>
      </c>
      <c r="BJ53" s="129">
        <f t="shared" si="45"/>
        <v>7.1990153240708454E-2</v>
      </c>
      <c r="BK53" s="129">
        <f t="shared" si="45"/>
        <v>-2.832803887744869E-4</v>
      </c>
      <c r="BM53" s="129">
        <f t="shared" si="6"/>
        <v>0.148735520614103</v>
      </c>
      <c r="BN53" s="129">
        <f t="shared" si="18"/>
        <v>0.16529419580442212</v>
      </c>
      <c r="BO53" s="129">
        <f t="shared" si="19"/>
        <v>0.68597028358147483</v>
      </c>
      <c r="BQ53" s="129">
        <f t="shared" si="46"/>
        <v>-5.5893757927604641E-2</v>
      </c>
      <c r="BR53" s="129">
        <f t="shared" si="46"/>
        <v>-4.1370189133527253E-2</v>
      </c>
      <c r="BS53" s="129">
        <f t="shared" si="46"/>
        <v>2.290233193156533E-2</v>
      </c>
      <c r="BT53" s="129" t="e">
        <f>#REF!</f>
        <v>#REF!</v>
      </c>
      <c r="BU53" s="129">
        <f t="shared" si="25"/>
        <v>1.0451958781586892</v>
      </c>
      <c r="BV53" s="129">
        <f t="shared" si="21"/>
        <v>1.2265229702596774</v>
      </c>
      <c r="BW53" s="129">
        <f t="shared" si="7"/>
        <v>1.1197264338773147</v>
      </c>
      <c r="BY53" s="129">
        <f t="shared" si="26"/>
        <v>0.97706893068671763</v>
      </c>
      <c r="BZ53" s="129">
        <f t="shared" si="22"/>
        <v>0.89372259444889968</v>
      </c>
      <c r="CA53" s="129">
        <f t="shared" si="8"/>
        <v>0.94398148667262693</v>
      </c>
    </row>
    <row r="54" spans="1:79" x14ac:dyDescent="0.2">
      <c r="A54" s="133" t="s">
        <v>664</v>
      </c>
      <c r="B54" s="133">
        <f t="shared" si="9"/>
        <v>1993</v>
      </c>
      <c r="D54" s="125">
        <f>'Passenger-based Energy Use'!E51</f>
        <v>80.685725500000004</v>
      </c>
      <c r="E54" s="125">
        <f>'Passenger-based Energy Use'!G51</f>
        <v>28.718199091833718</v>
      </c>
      <c r="F54" s="174">
        <f>'Passenger-based Energy Use'!H51</f>
        <v>71.975012536453619</v>
      </c>
      <c r="G54" s="125">
        <f t="shared" si="27"/>
        <v>181.37893712828733</v>
      </c>
      <c r="H54" s="125">
        <v>129</v>
      </c>
      <c r="I54" s="279">
        <v>533.4</v>
      </c>
      <c r="J54" s="125">
        <f t="shared" si="43"/>
        <v>73.25182199999999</v>
      </c>
      <c r="L54" s="4">
        <f>'Passenger-based Activity'!F52</f>
        <v>20247</v>
      </c>
      <c r="M54" s="4">
        <f>'Passenger-based Activity'!E52</f>
        <v>24700</v>
      </c>
      <c r="N54" s="4">
        <f>'Passenger-based Activity'!H52</f>
        <v>97113.865602069432</v>
      </c>
      <c r="O54" s="4">
        <f t="shared" si="10"/>
        <v>142060.86560206942</v>
      </c>
      <c r="P54" s="4">
        <v>129852</v>
      </c>
      <c r="Q54" s="4">
        <v>6125</v>
      </c>
      <c r="R54" s="5">
        <f t="shared" si="55"/>
        <v>21.200326530612244</v>
      </c>
      <c r="S54" s="5"/>
      <c r="T54" s="5"/>
      <c r="V54" s="125">
        <f t="shared" si="28"/>
        <v>3985.0706524423376</v>
      </c>
      <c r="W54" s="125">
        <f t="shared" si="29"/>
        <v>1162.6801251754541</v>
      </c>
      <c r="X54" s="125">
        <f t="shared" si="30"/>
        <v>741.14043437809437</v>
      </c>
      <c r="Y54" s="125">
        <f t="shared" si="31"/>
        <v>1276.7691957921249</v>
      </c>
      <c r="Z54" s="125">
        <f t="shared" si="52"/>
        <v>993.43868404029195</v>
      </c>
      <c r="AA54" s="125">
        <f t="shared" si="53"/>
        <v>21.061224489795919</v>
      </c>
      <c r="AB54" s="125">
        <f t="shared" si="54"/>
        <v>6.5855620155038759</v>
      </c>
      <c r="AD54" s="129">
        <f t="shared" si="32"/>
        <v>1.1612942380132267</v>
      </c>
      <c r="AE54" s="129">
        <f t="shared" si="33"/>
        <v>1.1830167514806027</v>
      </c>
      <c r="AF54" s="129">
        <f t="shared" si="34"/>
        <v>1.006932545068578</v>
      </c>
      <c r="AG54" s="129">
        <f t="shared" si="35"/>
        <v>1.0277276186229651</v>
      </c>
      <c r="AI54" s="131">
        <f t="shared" si="36"/>
        <v>1.1432089936995087</v>
      </c>
      <c r="AJ54" s="131">
        <f t="shared" si="37"/>
        <v>1.0277276186229651</v>
      </c>
      <c r="AK54" s="131">
        <f t="shared" si="38"/>
        <v>0.93197708291341552</v>
      </c>
      <c r="AL54" s="131">
        <f t="shared" si="39"/>
        <v>1.1027391525660994</v>
      </c>
      <c r="AM54" s="131">
        <f t="shared" si="40"/>
        <v>1.1749074566831526</v>
      </c>
      <c r="AN54" s="131">
        <f t="shared" si="41"/>
        <v>1.1749074566831526</v>
      </c>
      <c r="AO54" s="131"/>
      <c r="AP54" s="131">
        <f t="shared" si="42"/>
        <v>1.0277276186229651</v>
      </c>
      <c r="AS54" s="134"/>
      <c r="AU54" s="129">
        <f t="shared" si="49"/>
        <v>0.44484616999895571</v>
      </c>
      <c r="AV54" s="129">
        <f t="shared" si="50"/>
        <v>0.15833260215612385</v>
      </c>
      <c r="AW54" s="129">
        <f t="shared" si="51"/>
        <v>0.39682122784492052</v>
      </c>
      <c r="AY54" s="129">
        <f t="shared" si="44"/>
        <v>0.45248355523386929</v>
      </c>
      <c r="AZ54" s="129">
        <f t="shared" si="44"/>
        <v>0.15540693379055545</v>
      </c>
      <c r="BA54" s="129">
        <f t="shared" si="44"/>
        <v>0.39202854632227518</v>
      </c>
      <c r="BB54" s="129">
        <f t="shared" si="23"/>
        <v>0.99991903534670001</v>
      </c>
      <c r="BD54" s="129">
        <f t="shared" si="15"/>
        <v>0.45252019337443711</v>
      </c>
      <c r="BE54" s="129">
        <f t="shared" si="16"/>
        <v>0.15541951727788791</v>
      </c>
      <c r="BF54" s="129">
        <f t="shared" si="24"/>
        <v>0.3920602893476749</v>
      </c>
      <c r="BI54" s="129">
        <f t="shared" si="45"/>
        <v>-1.9371842470379232E-2</v>
      </c>
      <c r="BJ54" s="129">
        <f t="shared" si="45"/>
        <v>-4.1243181266754143E-2</v>
      </c>
      <c r="BK54" s="129">
        <f t="shared" si="45"/>
        <v>-2.8320016372129721E-4</v>
      </c>
      <c r="BM54" s="129">
        <f t="shared" si="6"/>
        <v>0.14252341708739427</v>
      </c>
      <c r="BN54" s="129">
        <f t="shared" si="18"/>
        <v>0.17386913626999745</v>
      </c>
      <c r="BO54" s="129">
        <f t="shared" si="19"/>
        <v>0.68360744664260842</v>
      </c>
      <c r="BQ54" s="129">
        <f t="shared" si="46"/>
        <v>-4.2663382632670034E-2</v>
      </c>
      <c r="BR54" s="129">
        <f t="shared" si="46"/>
        <v>5.0576034740740197E-2</v>
      </c>
      <c r="BS54" s="129">
        <f t="shared" si="46"/>
        <v>-3.4504639364259654E-3</v>
      </c>
      <c r="BT54" s="129" t="e">
        <f>#REF!</f>
        <v>#REF!</v>
      </c>
      <c r="BU54" s="129">
        <f t="shared" si="25"/>
        <v>0.98482907896315985</v>
      </c>
      <c r="BV54" s="129">
        <f t="shared" si="21"/>
        <v>1.2079154871279971</v>
      </c>
      <c r="BW54" s="129">
        <f t="shared" si="7"/>
        <v>1.1027391525660994</v>
      </c>
      <c r="BY54" s="129">
        <f t="shared" si="26"/>
        <v>0.98728322119798684</v>
      </c>
      <c r="BZ54" s="129">
        <f t="shared" si="22"/>
        <v>0.88235732190493166</v>
      </c>
      <c r="CA54" s="129">
        <f t="shared" si="8"/>
        <v>0.93197708291341552</v>
      </c>
    </row>
    <row r="55" spans="1:79" x14ac:dyDescent="0.2">
      <c r="A55" s="133" t="s">
        <v>664</v>
      </c>
      <c r="B55" s="133">
        <f t="shared" si="9"/>
        <v>1994</v>
      </c>
      <c r="D55" s="125">
        <f>'Passenger-based Energy Use'!E52</f>
        <v>79.975101499999994</v>
      </c>
      <c r="E55" s="125">
        <f>'Passenger-based Energy Use'!G52</f>
        <v>30.050408807930623</v>
      </c>
      <c r="F55" s="174">
        <f>'Passenger-based Energy Use'!H52</f>
        <v>74.982180000000014</v>
      </c>
      <c r="G55" s="125">
        <f t="shared" si="27"/>
        <v>185.00769030793063</v>
      </c>
      <c r="H55" s="125">
        <v>134</v>
      </c>
      <c r="I55" s="279">
        <v>546</v>
      </c>
      <c r="J55" s="125">
        <f t="shared" si="43"/>
        <v>74.98218</v>
      </c>
      <c r="L55" s="4">
        <f>'Passenger-based Activity'!F53</f>
        <v>18832</v>
      </c>
      <c r="M55" s="4">
        <f>'Passenger-based Activity'!E53</f>
        <v>28100</v>
      </c>
      <c r="N55" s="4">
        <f>'Passenger-based Activity'!H53</f>
        <v>101200.00000000001</v>
      </c>
      <c r="O55" s="4">
        <f t="shared" si="10"/>
        <v>148132</v>
      </c>
      <c r="P55" s="4">
        <v>135871</v>
      </c>
      <c r="Q55" s="4">
        <v>6409</v>
      </c>
      <c r="R55" s="5">
        <f t="shared" si="55"/>
        <v>21.2000312061164</v>
      </c>
      <c r="S55" s="5"/>
      <c r="T55" s="5"/>
      <c r="V55" s="125">
        <f t="shared" si="28"/>
        <v>4246.7662223874249</v>
      </c>
      <c r="W55" s="125">
        <f t="shared" si="29"/>
        <v>1069.4095661185277</v>
      </c>
      <c r="X55" s="125">
        <f t="shared" si="30"/>
        <v>740.93063241106722</v>
      </c>
      <c r="Y55" s="125">
        <f t="shared" si="31"/>
        <v>1248.9380438253086</v>
      </c>
      <c r="Z55" s="125">
        <f t="shared" si="52"/>
        <v>986.22958541557796</v>
      </c>
      <c r="AA55" s="125">
        <f t="shared" si="53"/>
        <v>20.90809798720549</v>
      </c>
      <c r="AB55" s="125">
        <f t="shared" si="54"/>
        <v>6.6337932835820892</v>
      </c>
      <c r="AD55" s="129">
        <f t="shared" si="32"/>
        <v>1.237555259208563</v>
      </c>
      <c r="AE55" s="129">
        <f t="shared" si="33"/>
        <v>1.0881147819748851</v>
      </c>
      <c r="AF55" s="129">
        <f t="shared" si="34"/>
        <v>1.0066475026949335</v>
      </c>
      <c r="AG55" s="129">
        <f t="shared" si="35"/>
        <v>1.0053251016851685</v>
      </c>
      <c r="AI55" s="131">
        <f t="shared" si="36"/>
        <v>1.1920653442240374</v>
      </c>
      <c r="AJ55" s="131">
        <f t="shared" si="37"/>
        <v>1.0053251016851685</v>
      </c>
      <c r="AK55" s="131">
        <f t="shared" si="38"/>
        <v>0.89865601868859679</v>
      </c>
      <c r="AL55" s="131">
        <f t="shared" si="39"/>
        <v>1.1186984572275311</v>
      </c>
      <c r="AM55" s="131">
        <f t="shared" si="40"/>
        <v>1.1984132133973959</v>
      </c>
      <c r="AN55" s="131">
        <f t="shared" si="41"/>
        <v>1.1984132133973961</v>
      </c>
      <c r="AO55" s="131"/>
      <c r="AP55" s="131">
        <f t="shared" si="42"/>
        <v>1.0053251016851685</v>
      </c>
      <c r="AS55" s="134"/>
      <c r="AU55" s="129">
        <f t="shared" si="49"/>
        <v>0.43227987640344995</v>
      </c>
      <c r="AV55" s="129">
        <f t="shared" si="50"/>
        <v>0.16242789020236997</v>
      </c>
      <c r="AW55" s="129">
        <f t="shared" si="51"/>
        <v>0.40529223339418008</v>
      </c>
      <c r="AY55" s="129">
        <f t="shared" si="44"/>
        <v>0.43853301603946387</v>
      </c>
      <c r="AZ55" s="129">
        <f t="shared" si="44"/>
        <v>0.16037153141455845</v>
      </c>
      <c r="BA55" s="129">
        <f t="shared" si="44"/>
        <v>0.40104181999638278</v>
      </c>
      <c r="BB55" s="129">
        <f t="shared" si="23"/>
        <v>0.9999463674504051</v>
      </c>
      <c r="BD55" s="129">
        <f t="shared" si="15"/>
        <v>0.43855653694468172</v>
      </c>
      <c r="BE55" s="129">
        <f t="shared" si="16"/>
        <v>0.16038013300999615</v>
      </c>
      <c r="BF55" s="129">
        <f t="shared" si="24"/>
        <v>0.40106333004532213</v>
      </c>
      <c r="BI55" s="129">
        <f t="shared" si="45"/>
        <v>6.3602762781881109E-2</v>
      </c>
      <c r="BJ55" s="129">
        <f t="shared" si="45"/>
        <v>-8.3621104057671911E-2</v>
      </c>
      <c r="BK55" s="129">
        <f t="shared" si="45"/>
        <v>-2.8311998409507883E-4</v>
      </c>
      <c r="BM55" s="129">
        <f t="shared" si="6"/>
        <v>0.12712985715442984</v>
      </c>
      <c r="BN55" s="129">
        <f t="shared" si="18"/>
        <v>0.18969567682877433</v>
      </c>
      <c r="BO55" s="129">
        <f t="shared" si="19"/>
        <v>0.68317446601679588</v>
      </c>
      <c r="BQ55" s="129">
        <f t="shared" si="46"/>
        <v>-0.11429725530250121</v>
      </c>
      <c r="BR55" s="129">
        <f t="shared" si="46"/>
        <v>8.7118161314725426E-2</v>
      </c>
      <c r="BS55" s="129">
        <f t="shared" si="46"/>
        <v>-6.3357677810347126E-4</v>
      </c>
      <c r="BT55" s="129" t="e">
        <f>#REF!</f>
        <v>#REF!</v>
      </c>
      <c r="BU55" s="129">
        <f t="shared" si="25"/>
        <v>1.0144724204489286</v>
      </c>
      <c r="BV55" s="129">
        <f t="shared" si="21"/>
        <v>1.2253969479244859</v>
      </c>
      <c r="BW55" s="129">
        <f t="shared" si="7"/>
        <v>1.1186984572275311</v>
      </c>
      <c r="BY55" s="129">
        <f t="shared" si="26"/>
        <v>0.96424690602835939</v>
      </c>
      <c r="BZ55" s="129">
        <f t="shared" si="22"/>
        <v>0.85081031765829951</v>
      </c>
      <c r="CA55" s="129">
        <f t="shared" si="8"/>
        <v>0.89865601868859679</v>
      </c>
    </row>
    <row r="56" spans="1:79" x14ac:dyDescent="0.2">
      <c r="A56" s="133" t="s">
        <v>664</v>
      </c>
      <c r="B56" s="133">
        <f t="shared" si="9"/>
        <v>1995</v>
      </c>
      <c r="D56" s="125">
        <f>'Passenger-based Energy Use'!E53</f>
        <v>80.818264400000004</v>
      </c>
      <c r="E56" s="125">
        <f>'Passenger-based Energy Use'!G53</f>
        <v>29.59497660664708</v>
      </c>
      <c r="F56" s="174">
        <f>'Passenger-based Energy Use'!H53</f>
        <v>78.267071391175094</v>
      </c>
      <c r="G56" s="125">
        <f t="shared" si="27"/>
        <v>188.68031239782218</v>
      </c>
      <c r="H56" s="125">
        <v>134</v>
      </c>
      <c r="I56" s="279">
        <v>545.16</v>
      </c>
      <c r="J56" s="125">
        <f t="shared" si="43"/>
        <v>74.866822799999994</v>
      </c>
      <c r="L56" s="4">
        <f>'Passenger-based Activity'!F54</f>
        <v>18818</v>
      </c>
      <c r="M56" s="4">
        <f>'Passenger-based Activity'!E54</f>
        <v>28100</v>
      </c>
      <c r="N56" s="4">
        <f>'Passenger-based Activity'!H54</f>
        <v>105633.46684221395</v>
      </c>
      <c r="O56" s="4">
        <f t="shared" si="10"/>
        <v>152551.46684221394</v>
      </c>
      <c r="P56" s="4">
        <v>136104</v>
      </c>
      <c r="Q56" s="4">
        <v>6420</v>
      </c>
      <c r="R56" s="5">
        <f t="shared" si="55"/>
        <v>21.2</v>
      </c>
      <c r="S56" s="5"/>
      <c r="T56" s="5"/>
      <c r="V56" s="125">
        <f t="shared" si="28"/>
        <v>4294.731873737911</v>
      </c>
      <c r="W56" s="125">
        <f t="shared" si="29"/>
        <v>1053.2020144714263</v>
      </c>
      <c r="X56" s="125">
        <f t="shared" si="30"/>
        <v>740.93063241106734</v>
      </c>
      <c r="Y56" s="125">
        <f t="shared" si="31"/>
        <v>1236.8305353168239</v>
      </c>
      <c r="Z56" s="125">
        <f t="shared" si="52"/>
        <v>984.54123317463109</v>
      </c>
      <c r="AA56" s="125">
        <f t="shared" si="53"/>
        <v>20.872274143302182</v>
      </c>
      <c r="AB56" s="125">
        <f t="shared" si="54"/>
        <v>6.6451791044776121</v>
      </c>
      <c r="AD56" s="129">
        <f t="shared" si="32"/>
        <v>1.2515329874332137</v>
      </c>
      <c r="AE56" s="129">
        <f t="shared" si="33"/>
        <v>1.0716237414179526</v>
      </c>
      <c r="AF56" s="129">
        <f t="shared" si="34"/>
        <v>1.0066475026949337</v>
      </c>
      <c r="AG56" s="129">
        <f t="shared" si="35"/>
        <v>0.99557923616155497</v>
      </c>
      <c r="AI56" s="131">
        <f t="shared" si="36"/>
        <v>1.2276302003155672</v>
      </c>
      <c r="AJ56" s="131">
        <f t="shared" si="37"/>
        <v>0.99557923616155497</v>
      </c>
      <c r="AK56" s="131">
        <f t="shared" si="38"/>
        <v>0.88781513543691215</v>
      </c>
      <c r="AL56" s="131">
        <f t="shared" si="39"/>
        <v>1.1213812385295843</v>
      </c>
      <c r="AM56" s="131">
        <f t="shared" si="40"/>
        <v>1.2222031371190294</v>
      </c>
      <c r="AN56" s="131">
        <f t="shared" si="41"/>
        <v>1.2222031371190292</v>
      </c>
      <c r="AO56" s="131"/>
      <c r="AP56" s="131">
        <f t="shared" si="42"/>
        <v>0.99557923616155519</v>
      </c>
      <c r="AS56" s="134"/>
      <c r="AU56" s="129">
        <f t="shared" si="49"/>
        <v>0.42833437878563124</v>
      </c>
      <c r="AV56" s="129">
        <f t="shared" si="50"/>
        <v>0.15685248890328143</v>
      </c>
      <c r="AW56" s="129">
        <f t="shared" si="51"/>
        <v>0.4148131323110873</v>
      </c>
      <c r="AY56" s="129">
        <f t="shared" si="44"/>
        <v>0.43030411287983716</v>
      </c>
      <c r="AZ56" s="129">
        <f t="shared" si="44"/>
        <v>0.15962396158633024</v>
      </c>
      <c r="BA56" s="129">
        <f t="shared" si="44"/>
        <v>0.41003426026570439</v>
      </c>
      <c r="BB56" s="129">
        <f t="shared" si="23"/>
        <v>0.99996233473187179</v>
      </c>
      <c r="BD56" s="129">
        <f t="shared" si="15"/>
        <v>0.43032032101010903</v>
      </c>
      <c r="BE56" s="129">
        <f t="shared" si="16"/>
        <v>0.15962997409210572</v>
      </c>
      <c r="BF56" s="129">
        <f t="shared" si="24"/>
        <v>0.41004970489778525</v>
      </c>
      <c r="BI56" s="129">
        <f t="shared" si="45"/>
        <v>1.1231321489246668E-2</v>
      </c>
      <c r="BJ56" s="129">
        <f t="shared" si="45"/>
        <v>-1.5271627453061171E-2</v>
      </c>
      <c r="BK56" s="129">
        <f t="shared" si="45"/>
        <v>2.2204460492503128E-16</v>
      </c>
      <c r="BM56" s="129">
        <f t="shared" si="6"/>
        <v>0.12335509051160887</v>
      </c>
      <c r="BN56" s="129">
        <f t="shared" si="18"/>
        <v>0.18420012984250236</v>
      </c>
      <c r="BO56" s="129">
        <f t="shared" si="19"/>
        <v>0.69244477964588891</v>
      </c>
      <c r="BQ56" s="129">
        <f t="shared" si="46"/>
        <v>-3.0141950377880911E-2</v>
      </c>
      <c r="BR56" s="129">
        <f t="shared" si="46"/>
        <v>-2.9398258444533681E-2</v>
      </c>
      <c r="BS56" s="129">
        <f t="shared" si="46"/>
        <v>1.3478226619754795E-2</v>
      </c>
      <c r="BT56" s="129" t="e">
        <f>#REF!</f>
        <v>#REF!</v>
      </c>
      <c r="BU56" s="129">
        <f t="shared" si="25"/>
        <v>1.00239812729223</v>
      </c>
      <c r="BV56" s="129">
        <f t="shared" si="21"/>
        <v>1.228335605789119</v>
      </c>
      <c r="BW56" s="129">
        <f t="shared" si="7"/>
        <v>1.1213812385295843</v>
      </c>
      <c r="BY56" s="129">
        <f t="shared" si="26"/>
        <v>0.98793655967774563</v>
      </c>
      <c r="BZ56" s="129">
        <f t="shared" si="22"/>
        <v>0.84054661816567033</v>
      </c>
      <c r="CA56" s="129">
        <f t="shared" si="8"/>
        <v>0.88781513543691215</v>
      </c>
    </row>
    <row r="57" spans="1:79" x14ac:dyDescent="0.2">
      <c r="A57" s="133" t="s">
        <v>664</v>
      </c>
      <c r="B57" s="133">
        <f t="shared" si="9"/>
        <v>1996</v>
      </c>
      <c r="D57" s="125">
        <f>'Passenger-based Energy Use'!E54</f>
        <v>82.945325300000007</v>
      </c>
      <c r="E57" s="125">
        <f>'Passenger-based Energy Use'!G54</f>
        <v>30.205184701923937</v>
      </c>
      <c r="F57" s="174">
        <f>'Passenger-based Energy Use'!H54</f>
        <v>80.396023894552982</v>
      </c>
      <c r="G57" s="125">
        <f t="shared" si="27"/>
        <v>193.54653389647694</v>
      </c>
      <c r="H57" s="125">
        <v>137</v>
      </c>
      <c r="I57" s="279">
        <v>545.16</v>
      </c>
      <c r="J57" s="125">
        <f t="shared" si="43"/>
        <v>74.866822799999994</v>
      </c>
      <c r="L57" s="4">
        <f>'Passenger-based Activity'!F55</f>
        <v>19096</v>
      </c>
      <c r="M57" s="4">
        <f>'Passenger-based Activity'!E55</f>
        <v>28800</v>
      </c>
      <c r="N57" s="4">
        <f>'Passenger-based Activity'!H55</f>
        <v>108506.81612789549</v>
      </c>
      <c r="O57" s="4">
        <f t="shared" si="10"/>
        <v>156402.81612789549</v>
      </c>
      <c r="P57" s="4">
        <v>139106</v>
      </c>
      <c r="Q57" s="4">
        <v>6563</v>
      </c>
      <c r="R57" s="5">
        <f t="shared" si="55"/>
        <v>21.19548986743867</v>
      </c>
      <c r="S57" s="5"/>
      <c r="T57" s="5"/>
      <c r="V57" s="125">
        <f t="shared" si="28"/>
        <v>4343.5968422706337</v>
      </c>
      <c r="W57" s="125">
        <f t="shared" si="29"/>
        <v>1048.79113548347</v>
      </c>
      <c r="X57" s="125">
        <f t="shared" si="30"/>
        <v>740.93063241106711</v>
      </c>
      <c r="Y57" s="125">
        <f t="shared" si="31"/>
        <v>1237.4875254049637</v>
      </c>
      <c r="Z57" s="125">
        <f t="shared" si="52"/>
        <v>984.86046611936229</v>
      </c>
      <c r="AA57" s="125">
        <f t="shared" si="53"/>
        <v>20.874600030473871</v>
      </c>
      <c r="AB57" s="125">
        <f t="shared" si="54"/>
        <v>6.6444386861313856</v>
      </c>
      <c r="AD57" s="129">
        <f t="shared" si="32"/>
        <v>1.2657727867609798</v>
      </c>
      <c r="AE57" s="129">
        <f t="shared" si="33"/>
        <v>1.067135711031505</v>
      </c>
      <c r="AF57" s="129">
        <f t="shared" si="34"/>
        <v>1.0066475026949335</v>
      </c>
      <c r="AG57" s="129">
        <f t="shared" si="35"/>
        <v>0.99610807634736775</v>
      </c>
      <c r="AI57" s="131">
        <f t="shared" si="36"/>
        <v>1.2586232336369494</v>
      </c>
      <c r="AJ57" s="131">
        <f t="shared" si="37"/>
        <v>0.99610807634736775</v>
      </c>
      <c r="AK57" s="131">
        <f t="shared" si="38"/>
        <v>0.88457202694192705</v>
      </c>
      <c r="AL57" s="131">
        <f t="shared" si="39"/>
        <v>1.1260904098347251</v>
      </c>
      <c r="AM57" s="131">
        <f t="shared" si="40"/>
        <v>1.2537247681042059</v>
      </c>
      <c r="AN57" s="131">
        <f t="shared" si="41"/>
        <v>1.2537247681042054</v>
      </c>
      <c r="AO57" s="131"/>
      <c r="AP57" s="131">
        <f t="shared" si="42"/>
        <v>0.99610807634736809</v>
      </c>
      <c r="AS57" s="134"/>
      <c r="AU57" s="129">
        <f t="shared" si="49"/>
        <v>0.4285549507405042</v>
      </c>
      <c r="AV57" s="129">
        <f t="shared" si="50"/>
        <v>0.15606161522933762</v>
      </c>
      <c r="AW57" s="129">
        <f t="shared" si="51"/>
        <v>0.41538343403015804</v>
      </c>
      <c r="AY57" s="129">
        <f t="shared" si="44"/>
        <v>0.42844465530012288</v>
      </c>
      <c r="AZ57" s="129">
        <f t="shared" si="44"/>
        <v>0.15645671891725033</v>
      </c>
      <c r="BA57" s="129">
        <f t="shared" si="44"/>
        <v>0.41509821787602186</v>
      </c>
      <c r="BB57" s="129">
        <f t="shared" si="23"/>
        <v>0.99999959209339506</v>
      </c>
      <c r="BD57" s="129">
        <f t="shared" si="15"/>
        <v>0.42844483006559891</v>
      </c>
      <c r="BE57" s="129">
        <f t="shared" si="16"/>
        <v>0.15645678273700539</v>
      </c>
      <c r="BF57" s="129">
        <f t="shared" si="24"/>
        <v>0.41509838719739567</v>
      </c>
      <c r="BI57" s="129">
        <f t="shared" si="45"/>
        <v>1.1313644423250599E-2</v>
      </c>
      <c r="BJ57" s="129">
        <f t="shared" si="45"/>
        <v>-4.196859977730766E-3</v>
      </c>
      <c r="BK57" s="129">
        <f t="shared" si="45"/>
        <v>-2.2204460492503131E-16</v>
      </c>
      <c r="BM57" s="129">
        <f t="shared" si="6"/>
        <v>0.12209498826660897</v>
      </c>
      <c r="BN57" s="129">
        <f t="shared" si="18"/>
        <v>0.18413990689559795</v>
      </c>
      <c r="BO57" s="129">
        <f t="shared" si="19"/>
        <v>0.69376510483779308</v>
      </c>
      <c r="BQ57" s="129">
        <f t="shared" si="46"/>
        <v>-1.0267776828685637E-2</v>
      </c>
      <c r="BR57" s="129">
        <f t="shared" si="46"/>
        <v>-3.269964784406697E-4</v>
      </c>
      <c r="BS57" s="129">
        <f t="shared" si="46"/>
        <v>1.9049432642924558E-3</v>
      </c>
      <c r="BT57" s="129" t="e">
        <f>#REF!</f>
        <v>#REF!</v>
      </c>
      <c r="BU57" s="129">
        <f t="shared" si="25"/>
        <v>1.0041994382849813</v>
      </c>
      <c r="BV57" s="129">
        <f t="shared" si="21"/>
        <v>1.2334939253588755</v>
      </c>
      <c r="BW57" s="129">
        <f t="shared" si="7"/>
        <v>1.1260904098347251</v>
      </c>
      <c r="BY57" s="129">
        <f t="shared" si="26"/>
        <v>0.99634709032822566</v>
      </c>
      <c r="BZ57" s="129">
        <f t="shared" si="22"/>
        <v>0.83747617729459578</v>
      </c>
      <c r="CA57" s="129">
        <f t="shared" si="8"/>
        <v>0.88457202694192705</v>
      </c>
    </row>
    <row r="58" spans="1:79" x14ac:dyDescent="0.2">
      <c r="A58" s="133" t="s">
        <v>664</v>
      </c>
      <c r="B58" s="133">
        <f t="shared" si="9"/>
        <v>1997</v>
      </c>
      <c r="D58" s="125">
        <f>'Passenger-based Energy Use'!E55</f>
        <v>86.941995999999989</v>
      </c>
      <c r="E58" s="125">
        <f>'Passenger-based Energy Use'!G55</f>
        <v>31.555922956305047</v>
      </c>
      <c r="F58" s="174">
        <f>'Passenger-based Energy Use'!H55</f>
        <v>78.884874644966544</v>
      </c>
      <c r="G58" s="125">
        <f t="shared" si="27"/>
        <v>197.38279360127157</v>
      </c>
      <c r="H58" s="125">
        <v>142</v>
      </c>
      <c r="I58" s="279">
        <v>544.74</v>
      </c>
      <c r="J58" s="125">
        <f t="shared" si="43"/>
        <v>74.809144200000006</v>
      </c>
      <c r="L58" s="4">
        <f>'Passenger-based Activity'!F56</f>
        <v>19604</v>
      </c>
      <c r="M58" s="4">
        <f>'Passenger-based Activity'!E56</f>
        <v>30600</v>
      </c>
      <c r="N58" s="4">
        <f>'Passenger-based Activity'!H56</f>
        <v>106467.28748178053</v>
      </c>
      <c r="O58" s="4">
        <f t="shared" si="10"/>
        <v>156671.28748178051</v>
      </c>
      <c r="P58" s="4">
        <v>145060</v>
      </c>
      <c r="Q58" s="4">
        <v>6482</v>
      </c>
      <c r="R58" s="5">
        <f t="shared" si="55"/>
        <v>22.378895402653502</v>
      </c>
      <c r="S58" s="5"/>
      <c r="T58" s="5"/>
      <c r="V58" s="125">
        <f t="shared" si="28"/>
        <v>4434.9110385635586</v>
      </c>
      <c r="W58" s="125">
        <f t="shared" si="29"/>
        <v>1031.2393122975504</v>
      </c>
      <c r="X58" s="125">
        <f t="shared" si="30"/>
        <v>740.93063241106722</v>
      </c>
      <c r="Y58" s="125">
        <f t="shared" si="31"/>
        <v>1259.8530131069833</v>
      </c>
      <c r="Z58" s="125">
        <f t="shared" si="52"/>
        <v>978.90528057355573</v>
      </c>
      <c r="AA58" s="125">
        <f t="shared" si="53"/>
        <v>21.906818883060783</v>
      </c>
      <c r="AB58" s="125">
        <f t="shared" si="54"/>
        <v>6.3313619718309848</v>
      </c>
      <c r="AD58" s="129">
        <f t="shared" si="32"/>
        <v>1.2923827666715724</v>
      </c>
      <c r="AE58" s="129">
        <f t="shared" si="33"/>
        <v>1.0492768860646335</v>
      </c>
      <c r="AF58" s="129">
        <f t="shared" si="34"/>
        <v>1.0066475026949335</v>
      </c>
      <c r="AG58" s="129">
        <f t="shared" si="35"/>
        <v>1.0141110399927096</v>
      </c>
      <c r="AI58" s="131">
        <f t="shared" si="36"/>
        <v>1.2607837080576232</v>
      </c>
      <c r="AJ58" s="131">
        <f t="shared" si="37"/>
        <v>1.0141110399927096</v>
      </c>
      <c r="AK58" s="131">
        <f t="shared" si="38"/>
        <v>0.89483716718765161</v>
      </c>
      <c r="AL58" s="131">
        <f t="shared" si="39"/>
        <v>1.1332911474608496</v>
      </c>
      <c r="AM58" s="131">
        <f t="shared" si="40"/>
        <v>1.2785746773841813</v>
      </c>
      <c r="AN58" s="131">
        <f t="shared" si="41"/>
        <v>1.2785746773841808</v>
      </c>
      <c r="AO58" s="131"/>
      <c r="AP58" s="131">
        <f t="shared" si="42"/>
        <v>1.0141110399927098</v>
      </c>
      <c r="AS58" s="134"/>
      <c r="AU58" s="129">
        <f t="shared" si="49"/>
        <v>0.44047403734506618</v>
      </c>
      <c r="AV58" s="129">
        <f t="shared" si="50"/>
        <v>0.15987170097536688</v>
      </c>
      <c r="AW58" s="129">
        <f t="shared" si="51"/>
        <v>0.39965426167956697</v>
      </c>
      <c r="AY58" s="129">
        <f t="shared" si="44"/>
        <v>0.4344872468211608</v>
      </c>
      <c r="AZ58" s="129">
        <f t="shared" si="44"/>
        <v>0.15795899967376278</v>
      </c>
      <c r="BA58" s="129">
        <f t="shared" si="44"/>
        <v>0.40746825071873743</v>
      </c>
      <c r="BB58" s="129">
        <f t="shared" si="23"/>
        <v>0.9999144972136611</v>
      </c>
      <c r="BD58" s="129">
        <f t="shared" si="15"/>
        <v>0.43452439986808178</v>
      </c>
      <c r="BE58" s="129">
        <f t="shared" si="16"/>
        <v>0.15797250676325597</v>
      </c>
      <c r="BF58" s="129">
        <f t="shared" si="24"/>
        <v>0.40750309336866219</v>
      </c>
      <c r="BI58" s="129">
        <f t="shared" si="45"/>
        <v>2.0804786235933667E-2</v>
      </c>
      <c r="BJ58" s="129">
        <f t="shared" si="45"/>
        <v>-1.6876906595075871E-2</v>
      </c>
      <c r="BK58" s="129">
        <f t="shared" si="45"/>
        <v>0</v>
      </c>
      <c r="BM58" s="129">
        <f t="shared" si="6"/>
        <v>0.12512822429112783</v>
      </c>
      <c r="BN58" s="129">
        <f t="shared" si="18"/>
        <v>0.19531338825283165</v>
      </c>
      <c r="BO58" s="129">
        <f t="shared" si="19"/>
        <v>0.67955838745604058</v>
      </c>
      <c r="BQ58" s="129">
        <f t="shared" si="46"/>
        <v>2.4539671727118531E-2</v>
      </c>
      <c r="BR58" s="129">
        <f t="shared" si="46"/>
        <v>5.8909555532781349E-2</v>
      </c>
      <c r="BS58" s="129">
        <f t="shared" si="46"/>
        <v>-2.0690280575480991E-2</v>
      </c>
      <c r="BT58" s="129" t="e">
        <f>#REF!</f>
        <v>#REF!</v>
      </c>
      <c r="BU58" s="129">
        <f t="shared" si="25"/>
        <v>1.0063944578190496</v>
      </c>
      <c r="BV58" s="129">
        <f t="shared" si="21"/>
        <v>1.2413814502346368</v>
      </c>
      <c r="BW58" s="129">
        <f t="shared" si="7"/>
        <v>1.1332911474608496</v>
      </c>
      <c r="BY58" s="129">
        <f t="shared" si="26"/>
        <v>1.0116046403606187</v>
      </c>
      <c r="BZ58" s="129">
        <f t="shared" si="22"/>
        <v>0.84719478714268526</v>
      </c>
      <c r="CA58" s="129">
        <f t="shared" si="8"/>
        <v>0.89483716718765161</v>
      </c>
    </row>
    <row r="59" spans="1:79" x14ac:dyDescent="0.2">
      <c r="A59" s="133" t="s">
        <v>664</v>
      </c>
      <c r="B59" s="133">
        <f t="shared" si="9"/>
        <v>1998</v>
      </c>
      <c r="D59" s="125">
        <f>'Passenger-based Energy Use'!E56</f>
        <v>89.578493299999991</v>
      </c>
      <c r="E59" s="125">
        <f>'Passenger-based Energy Use'!G56</f>
        <v>32.809740214977282</v>
      </c>
      <c r="F59" s="174">
        <f>'Passenger-based Energy Use'!H56</f>
        <v>79.127736018090758</v>
      </c>
      <c r="G59" s="125">
        <f t="shared" si="27"/>
        <v>201.51596953306802</v>
      </c>
      <c r="H59" s="125">
        <v>144</v>
      </c>
      <c r="I59" s="279">
        <v>550.20000000000005</v>
      </c>
      <c r="J59" s="125">
        <f t="shared" si="43"/>
        <v>75.558965999999998</v>
      </c>
      <c r="L59" s="4">
        <f>'Passenger-based Activity'!F57</f>
        <v>20360</v>
      </c>
      <c r="M59" s="4">
        <f>'Passenger-based Activity'!E57</f>
        <v>33638.969870129869</v>
      </c>
      <c r="N59" s="4">
        <f>'Passenger-based Activity'!H57</f>
        <v>106795.06630816526</v>
      </c>
      <c r="O59" s="4">
        <f t="shared" si="10"/>
        <v>160794.03617829512</v>
      </c>
      <c r="P59" s="4">
        <v>148558</v>
      </c>
      <c r="Q59" s="4">
        <v>7007</v>
      </c>
      <c r="R59" s="5">
        <f t="shared" si="55"/>
        <v>21.201370058512914</v>
      </c>
      <c r="S59" s="5"/>
      <c r="T59" s="5"/>
      <c r="V59" s="125">
        <f t="shared" si="28"/>
        <v>4399.7295333988204</v>
      </c>
      <c r="W59" s="125">
        <f t="shared" si="29"/>
        <v>975.34913648206236</v>
      </c>
      <c r="X59" s="125">
        <f t="shared" si="30"/>
        <v>740.93063241106734</v>
      </c>
      <c r="Y59" s="125">
        <f t="shared" si="31"/>
        <v>1253.2552470392541</v>
      </c>
      <c r="Z59" s="125">
        <f t="shared" si="52"/>
        <v>969.31838069979403</v>
      </c>
      <c r="AA59" s="125">
        <f t="shared" si="53"/>
        <v>20.550877693734837</v>
      </c>
      <c r="AB59" s="125">
        <f t="shared" si="54"/>
        <v>6.7491034722222221</v>
      </c>
      <c r="AD59" s="129">
        <f t="shared" si="32"/>
        <v>1.2821304818827435</v>
      </c>
      <c r="AE59" s="129">
        <f t="shared" si="33"/>
        <v>0.99240912613544352</v>
      </c>
      <c r="AF59" s="129">
        <f t="shared" si="34"/>
        <v>1.0066475026949337</v>
      </c>
      <c r="AG59" s="129">
        <f t="shared" si="35"/>
        <v>1.0088002082218883</v>
      </c>
      <c r="AI59" s="131">
        <f t="shared" si="36"/>
        <v>1.2939607788057388</v>
      </c>
      <c r="AJ59" s="131">
        <f t="shared" si="37"/>
        <v>1.0088002082218883</v>
      </c>
      <c r="AK59" s="131">
        <f t="shared" si="38"/>
        <v>0.9013606988272459</v>
      </c>
      <c r="AL59" s="131">
        <f t="shared" si="39"/>
        <v>1.1191970201656576</v>
      </c>
      <c r="AM59" s="131">
        <f t="shared" si="40"/>
        <v>1.3053479030901862</v>
      </c>
      <c r="AN59" s="131">
        <f t="shared" si="41"/>
        <v>1.3053479030901862</v>
      </c>
      <c r="AO59" s="131"/>
      <c r="AP59" s="131">
        <f t="shared" si="42"/>
        <v>1.0088002082218883</v>
      </c>
      <c r="AS59" s="134"/>
      <c r="AU59" s="129">
        <f t="shared" si="49"/>
        <v>0.44452304950104959</v>
      </c>
      <c r="AV59" s="129">
        <f t="shared" si="50"/>
        <v>0.16281459127532483</v>
      </c>
      <c r="AW59" s="129">
        <f t="shared" si="51"/>
        <v>0.39266235922362563</v>
      </c>
      <c r="AY59" s="129">
        <f t="shared" si="44"/>
        <v>0.44249545591930139</v>
      </c>
      <c r="AZ59" s="129">
        <f t="shared" si="44"/>
        <v>0.16133867284607425</v>
      </c>
      <c r="BA59" s="129">
        <f t="shared" si="44"/>
        <v>0.39614802674390004</v>
      </c>
      <c r="BB59" s="129">
        <f t="shared" si="23"/>
        <v>0.99998215550927572</v>
      </c>
      <c r="BD59" s="129">
        <f t="shared" si="15"/>
        <v>0.44250335216626457</v>
      </c>
      <c r="BE59" s="129">
        <f t="shared" si="16"/>
        <v>0.16134155190390065</v>
      </c>
      <c r="BF59" s="129">
        <f t="shared" si="24"/>
        <v>0.39615509592983472</v>
      </c>
      <c r="BI59" s="129">
        <f t="shared" si="45"/>
        <v>-7.9644872591036805E-3</v>
      </c>
      <c r="BJ59" s="129">
        <f t="shared" si="45"/>
        <v>-5.5721078163565939E-2</v>
      </c>
      <c r="BK59" s="129">
        <f t="shared" si="45"/>
        <v>2.2204460492503128E-16</v>
      </c>
      <c r="BM59" s="129">
        <f t="shared" si="6"/>
        <v>0.12662161162136626</v>
      </c>
      <c r="BN59" s="129">
        <f t="shared" si="18"/>
        <v>0.20920533291937257</v>
      </c>
      <c r="BO59" s="129">
        <f t="shared" si="19"/>
        <v>0.6641730554592612</v>
      </c>
      <c r="BQ59" s="129">
        <f t="shared" si="46"/>
        <v>1.186419718698163E-2</v>
      </c>
      <c r="BR59" s="129">
        <f t="shared" si="46"/>
        <v>6.8710836057384095E-2</v>
      </c>
      <c r="BS59" s="129">
        <f t="shared" si="46"/>
        <v>-2.2900415776185151E-2</v>
      </c>
      <c r="BT59" s="129" t="e">
        <f>#REF!</f>
        <v>#REF!</v>
      </c>
      <c r="BU59" s="129">
        <f t="shared" si="25"/>
        <v>0.98756354240764188</v>
      </c>
      <c r="BV59" s="129">
        <f t="shared" si="21"/>
        <v>1.2259430624728536</v>
      </c>
      <c r="BW59" s="129">
        <f t="shared" si="7"/>
        <v>1.1191970201656576</v>
      </c>
      <c r="BY59" s="129">
        <f t="shared" si="26"/>
        <v>1.0072901885156345</v>
      </c>
      <c r="BZ59" s="129">
        <f t="shared" si="22"/>
        <v>0.85337099685041828</v>
      </c>
      <c r="CA59" s="129">
        <f t="shared" si="8"/>
        <v>0.9013606988272459</v>
      </c>
    </row>
    <row r="60" spans="1:79" x14ac:dyDescent="0.2">
      <c r="A60" s="133" t="s">
        <v>664</v>
      </c>
      <c r="B60" s="133">
        <f t="shared" si="9"/>
        <v>1999</v>
      </c>
      <c r="D60" s="125">
        <f>'Passenger-based Energy Use'!E57</f>
        <v>92.132940899999994</v>
      </c>
      <c r="E60" s="125">
        <f>'Passenger-based Energy Use'!G57</f>
        <v>34.060727812446878</v>
      </c>
      <c r="F60" s="174">
        <f>'Passenger-based Energy Use'!H57</f>
        <v>79.370597391214943</v>
      </c>
      <c r="G60" s="125">
        <f t="shared" si="27"/>
        <v>205.56426610366182</v>
      </c>
      <c r="H60" s="125">
        <v>159</v>
      </c>
      <c r="I60" s="279">
        <v>555.66</v>
      </c>
      <c r="J60" s="125">
        <f t="shared" si="43"/>
        <v>76.30878779999999</v>
      </c>
      <c r="L60" s="4">
        <f>'Passenger-based Activity'!F58</f>
        <v>21205</v>
      </c>
      <c r="M60" s="4">
        <f>'Passenger-based Activity'!E58</f>
        <v>36818.414545454543</v>
      </c>
      <c r="N60" s="4">
        <f>'Passenger-based Activity'!H58</f>
        <v>107122.84513455001</v>
      </c>
      <c r="O60" s="4">
        <f t="shared" si="10"/>
        <v>165146.25968000456</v>
      </c>
      <c r="P60" s="4">
        <v>162445</v>
      </c>
      <c r="Q60" s="4">
        <v>7662</v>
      </c>
      <c r="R60" s="5">
        <f t="shared" si="55"/>
        <v>21.201383450796136</v>
      </c>
      <c r="S60" s="5"/>
      <c r="T60" s="5"/>
      <c r="V60" s="125">
        <f t="shared" si="28"/>
        <v>4344.8687054939874</v>
      </c>
      <c r="W60" s="125">
        <f t="shared" si="29"/>
        <v>925.10033995072934</v>
      </c>
      <c r="X60" s="125">
        <f t="shared" si="30"/>
        <v>740.93063241106711</v>
      </c>
      <c r="Y60" s="125">
        <f t="shared" si="31"/>
        <v>1244.740671099504</v>
      </c>
      <c r="Z60" s="125">
        <f t="shared" si="52"/>
        <v>978.79282218597064</v>
      </c>
      <c r="AA60" s="125">
        <f t="shared" si="53"/>
        <v>20.751761942051683</v>
      </c>
      <c r="AB60" s="125">
        <f t="shared" si="54"/>
        <v>6.6837698113207544</v>
      </c>
      <c r="AD60" s="129">
        <f t="shared" si="32"/>
        <v>1.2661434219545908</v>
      </c>
      <c r="AE60" s="129">
        <f t="shared" si="33"/>
        <v>0.9412814197687962</v>
      </c>
      <c r="AF60" s="129">
        <f t="shared" si="34"/>
        <v>1.0066475026949335</v>
      </c>
      <c r="AG60" s="129">
        <f t="shared" si="35"/>
        <v>1.0019464519729253</v>
      </c>
      <c r="AI60" s="131">
        <f t="shared" si="36"/>
        <v>1.3289845063373</v>
      </c>
      <c r="AJ60" s="131">
        <f t="shared" si="37"/>
        <v>1.0019464519729253</v>
      </c>
      <c r="AK60" s="131">
        <f t="shared" si="38"/>
        <v>0.90812041001711619</v>
      </c>
      <c r="AL60" s="131">
        <f t="shared" si="39"/>
        <v>1.1033189441849904</v>
      </c>
      <c r="AM60" s="131">
        <f t="shared" si="40"/>
        <v>1.3315713108516474</v>
      </c>
      <c r="AN60" s="131">
        <f t="shared" si="41"/>
        <v>1.3315713108516474</v>
      </c>
      <c r="AO60" s="131"/>
      <c r="AP60" s="131">
        <f t="shared" si="42"/>
        <v>1.0019464519729253</v>
      </c>
      <c r="AS60" s="134"/>
      <c r="AU60" s="129">
        <f t="shared" si="49"/>
        <v>0.44819531451803618</v>
      </c>
      <c r="AV60" s="129">
        <f t="shared" si="50"/>
        <v>0.16569381662506827</v>
      </c>
      <c r="AW60" s="129">
        <f t="shared" si="51"/>
        <v>0.38611086885689549</v>
      </c>
      <c r="AY60" s="129">
        <f t="shared" si="44"/>
        <v>0.44635666430785487</v>
      </c>
      <c r="AZ60" s="129">
        <f t="shared" si="44"/>
        <v>0.16424999801602086</v>
      </c>
      <c r="BA60" s="129">
        <f t="shared" si="44"/>
        <v>0.38937742804649805</v>
      </c>
      <c r="BB60" s="129">
        <f t="shared" si="23"/>
        <v>0.99998409037037383</v>
      </c>
      <c r="BD60" s="129">
        <f t="shared" si="15"/>
        <v>0.44636376579004711</v>
      </c>
      <c r="BE60" s="129">
        <f t="shared" si="16"/>
        <v>0.1642526112142304</v>
      </c>
      <c r="BF60" s="129">
        <f t="shared" si="24"/>
        <v>0.38938362299572243</v>
      </c>
      <c r="BI60" s="129">
        <f t="shared" si="45"/>
        <v>-1.2547528469668116E-2</v>
      </c>
      <c r="BJ60" s="129">
        <f t="shared" si="45"/>
        <v>-5.2893288347160984E-2</v>
      </c>
      <c r="BK60" s="129">
        <f t="shared" si="45"/>
        <v>-2.2204460492503131E-16</v>
      </c>
      <c r="BM60" s="129">
        <f t="shared" si="6"/>
        <v>0.12840133370920928</v>
      </c>
      <c r="BN60" s="129">
        <f t="shared" si="18"/>
        <v>0.22294428355080945</v>
      </c>
      <c r="BO60" s="129">
        <f t="shared" si="19"/>
        <v>0.64865438273998122</v>
      </c>
      <c r="BQ60" s="129">
        <f t="shared" si="46"/>
        <v>1.3957575294464602E-2</v>
      </c>
      <c r="BR60" s="129">
        <f t="shared" si="46"/>
        <v>6.3605666862319568E-2</v>
      </c>
      <c r="BS60" s="129">
        <f t="shared" si="46"/>
        <v>-2.3642704506860398E-2</v>
      </c>
      <c r="BT60" s="129" t="e">
        <f>#REF!</f>
        <v>#REF!</v>
      </c>
      <c r="BU60" s="129">
        <f t="shared" si="25"/>
        <v>0.98581297511110511</v>
      </c>
      <c r="BV60" s="129">
        <f t="shared" si="21"/>
        <v>1.2085505777331831</v>
      </c>
      <c r="BW60" s="129">
        <f t="shared" si="7"/>
        <v>1.1033189441849904</v>
      </c>
      <c r="BY60" s="129">
        <f t="shared" si="26"/>
        <v>1.0074994518827649</v>
      </c>
      <c r="BZ60" s="129">
        <f t="shared" si="22"/>
        <v>0.85977081157944513</v>
      </c>
      <c r="CA60" s="129">
        <f t="shared" si="8"/>
        <v>0.90812041001711619</v>
      </c>
    </row>
    <row r="61" spans="1:79" x14ac:dyDescent="0.2">
      <c r="A61" s="133" t="s">
        <v>664</v>
      </c>
      <c r="B61" s="133">
        <f t="shared" si="9"/>
        <v>2000</v>
      </c>
      <c r="D61" s="125">
        <f>'Passenger-based Energy Use'!E58</f>
        <v>96.262861999999998</v>
      </c>
      <c r="E61" s="125">
        <f>'Passenger-based Energy Use'!G58</f>
        <v>35.30889531704296</v>
      </c>
      <c r="F61" s="174">
        <f>'Passenger-based Energy Use'!H58</f>
        <v>81.822703156354578</v>
      </c>
      <c r="G61" s="125">
        <f t="shared" si="27"/>
        <v>213.39446047339754</v>
      </c>
      <c r="H61" s="125">
        <v>139</v>
      </c>
      <c r="I61" s="279">
        <v>577.08000000000004</v>
      </c>
      <c r="J61" s="125">
        <f t="shared" si="43"/>
        <v>79.2503964</v>
      </c>
      <c r="L61" s="4">
        <f>'Passenger-based Activity'!F59</f>
        <v>21241</v>
      </c>
      <c r="M61" s="4">
        <f>'Passenger-based Activity'!E59</f>
        <v>40138.334025974022</v>
      </c>
      <c r="N61" s="4">
        <f>'Passenger-based Activity'!H59</f>
        <v>110432.33951617683</v>
      </c>
      <c r="O61" s="4">
        <f t="shared" si="10"/>
        <v>171811.67354215085</v>
      </c>
      <c r="P61" s="4">
        <v>313897</v>
      </c>
      <c r="Q61" s="4">
        <v>7590</v>
      </c>
      <c r="R61" s="5">
        <f t="shared" si="55"/>
        <v>41.356653491436099</v>
      </c>
      <c r="S61" s="5"/>
      <c r="T61" s="5"/>
      <c r="V61" s="125">
        <f t="shared" si="28"/>
        <v>4531.9364436702608</v>
      </c>
      <c r="W61" s="125">
        <f t="shared" si="29"/>
        <v>879.68014054081391</v>
      </c>
      <c r="X61" s="125">
        <f t="shared" si="30"/>
        <v>740.93063241106722</v>
      </c>
      <c r="Y61" s="125">
        <f t="shared" si="31"/>
        <v>1242.0253878793931</v>
      </c>
      <c r="Z61" s="125">
        <f t="shared" si="52"/>
        <v>442.82041561403901</v>
      </c>
      <c r="AA61" s="125">
        <f t="shared" si="53"/>
        <v>18.313570487483531</v>
      </c>
      <c r="AB61" s="125">
        <f t="shared" si="54"/>
        <v>7.5736187050359698</v>
      </c>
      <c r="AD61" s="129">
        <f t="shared" si="32"/>
        <v>1.3206570568205456</v>
      </c>
      <c r="AE61" s="129">
        <f t="shared" si="33"/>
        <v>0.89506676829755782</v>
      </c>
      <c r="AF61" s="129">
        <f t="shared" si="34"/>
        <v>1.0066475026949335</v>
      </c>
      <c r="AG61" s="129">
        <f t="shared" si="35"/>
        <v>0.99976080121718303</v>
      </c>
      <c r="AI61" s="131">
        <f t="shared" si="36"/>
        <v>1.3826232128286393</v>
      </c>
      <c r="AJ61" s="131">
        <f t="shared" si="37"/>
        <v>0.99976080121718303</v>
      </c>
      <c r="AK61" s="131">
        <f t="shared" si="38"/>
        <v>0.89656847367565207</v>
      </c>
      <c r="AL61" s="131">
        <f t="shared" si="39"/>
        <v>1.1150969843033565</v>
      </c>
      <c r="AM61" s="131">
        <f t="shared" si="40"/>
        <v>1.3822924910390362</v>
      </c>
      <c r="AN61" s="131">
        <f t="shared" si="41"/>
        <v>1.3822924910390362</v>
      </c>
      <c r="AO61" s="131"/>
      <c r="AP61" s="131">
        <f t="shared" si="42"/>
        <v>0.9997608012171828</v>
      </c>
      <c r="AS61" s="134"/>
      <c r="AU61" s="129">
        <f t="shared" si="49"/>
        <v>0.45110290954342952</v>
      </c>
      <c r="AV61" s="129">
        <f t="shared" si="50"/>
        <v>0.16546303610090518</v>
      </c>
      <c r="AW61" s="129">
        <f t="shared" si="51"/>
        <v>0.38343405435566524</v>
      </c>
      <c r="AX61" s="129"/>
      <c r="AY61" s="129">
        <f t="shared" si="44"/>
        <v>0.44964754522894274</v>
      </c>
      <c r="AZ61" s="129">
        <f t="shared" si="44"/>
        <v>0.1655783995581408</v>
      </c>
      <c r="BA61" s="129">
        <f t="shared" si="44"/>
        <v>0.38477090974560918</v>
      </c>
      <c r="BB61" s="129">
        <f t="shared" si="23"/>
        <v>0.99999685453269271</v>
      </c>
      <c r="BD61" s="129">
        <f t="shared" si="15"/>
        <v>0.44964895958504486</v>
      </c>
      <c r="BE61" s="129">
        <f t="shared" si="16"/>
        <v>0.16557892038122163</v>
      </c>
      <c r="BF61" s="129">
        <f t="shared" si="24"/>
        <v>0.38477212003373351</v>
      </c>
      <c r="BG61" s="129"/>
      <c r="BH61" s="129"/>
      <c r="BI61" s="129">
        <f t="shared" si="45"/>
        <v>4.2153778281004882E-2</v>
      </c>
      <c r="BJ61" s="129">
        <f t="shared" si="45"/>
        <v>-5.0343842511346173E-2</v>
      </c>
      <c r="BK61" s="129">
        <f t="shared" si="45"/>
        <v>0</v>
      </c>
      <c r="BL61" s="129"/>
      <c r="BM61" s="129">
        <f t="shared" si="6"/>
        <v>0.12362955067071685</v>
      </c>
      <c r="BN61" s="129">
        <f t="shared" si="18"/>
        <v>0.23361820066391947</v>
      </c>
      <c r="BO61" s="129">
        <f t="shared" si="19"/>
        <v>0.64275224866536362</v>
      </c>
      <c r="BP61" s="129"/>
      <c r="BQ61" s="129">
        <f t="shared" si="46"/>
        <v>-3.7871178801093142E-2</v>
      </c>
      <c r="BR61" s="129">
        <f t="shared" si="46"/>
        <v>4.6766271025393664E-2</v>
      </c>
      <c r="BS61" s="129">
        <f t="shared" si="46"/>
        <v>-9.1406920573936026E-3</v>
      </c>
      <c r="BT61" s="129" t="e">
        <f>#REF!</f>
        <v>#REF!</v>
      </c>
      <c r="BU61" s="129">
        <f t="shared" si="25"/>
        <v>1.0106751000519314</v>
      </c>
      <c r="BV61" s="129">
        <f t="shared" si="21"/>
        <v>1.2214519760683042</v>
      </c>
      <c r="BW61" s="129">
        <f t="shared" si="7"/>
        <v>1.1150969843033565</v>
      </c>
      <c r="BY61" s="129">
        <f t="shared" si="26"/>
        <v>0.98727929004343551</v>
      </c>
      <c r="BZ61" s="129">
        <f t="shared" si="22"/>
        <v>0.84883391645622297</v>
      </c>
      <c r="CA61" s="129">
        <f t="shared" si="8"/>
        <v>0.89656847367565207</v>
      </c>
    </row>
    <row r="62" spans="1:79" x14ac:dyDescent="0.2">
      <c r="A62" s="133" t="s">
        <v>664</v>
      </c>
      <c r="B62" s="133">
        <f t="shared" si="9"/>
        <v>2001</v>
      </c>
      <c r="D62" s="125">
        <f>'Passenger-based Energy Use'!E59</f>
        <v>91.224926799999992</v>
      </c>
      <c r="E62" s="125">
        <f>'Passenger-based Energy Use'!G59</f>
        <v>36.554252254003615</v>
      </c>
      <c r="F62" s="174">
        <f>'Passenger-based Energy Use'!H59</f>
        <v>84.366760213845382</v>
      </c>
      <c r="G62" s="125">
        <f t="shared" si="27"/>
        <v>212.14593926784897</v>
      </c>
      <c r="H62" s="125">
        <v>128</v>
      </c>
      <c r="I62" s="279">
        <v>538.08000000000004</v>
      </c>
      <c r="J62" s="125">
        <f t="shared" si="43"/>
        <v>73.894526400000004</v>
      </c>
      <c r="L62" s="4">
        <f>'Passenger-based Activity'!F60</f>
        <v>22022</v>
      </c>
      <c r="M62" s="4">
        <f>'Passenger-based Activity'!E60</f>
        <v>43598.728311688305</v>
      </c>
      <c r="N62" s="4">
        <f>'Passenger-based Activity'!H60</f>
        <v>113865.93632835365</v>
      </c>
      <c r="O62" s="4">
        <f t="shared" si="10"/>
        <v>179486.66464004194</v>
      </c>
      <c r="P62" s="4">
        <v>275231</v>
      </c>
      <c r="Q62" s="4">
        <v>7070</v>
      </c>
      <c r="R62" s="5">
        <f t="shared" si="55"/>
        <v>38.929420084865626</v>
      </c>
      <c r="S62" s="5"/>
      <c r="T62" s="5"/>
      <c r="V62" s="125">
        <f t="shared" si="28"/>
        <v>4142.4451366815001</v>
      </c>
      <c r="W62" s="125">
        <f t="shared" si="29"/>
        <v>838.42473552614717</v>
      </c>
      <c r="X62" s="125">
        <f t="shared" si="30"/>
        <v>740.93063241106722</v>
      </c>
      <c r="Y62" s="125">
        <f t="shared" si="31"/>
        <v>1181.9593377218569</v>
      </c>
      <c r="Z62" s="125">
        <f t="shared" si="52"/>
        <v>465.06389178544566</v>
      </c>
      <c r="AA62" s="125">
        <f t="shared" si="53"/>
        <v>18.104667609618105</v>
      </c>
      <c r="AB62" s="125">
        <f t="shared" si="54"/>
        <v>7.6610078124999994</v>
      </c>
      <c r="AD62" s="129">
        <f t="shared" si="32"/>
        <v>1.2071549259900474</v>
      </c>
      <c r="AE62" s="129">
        <f t="shared" si="33"/>
        <v>0.85308975831460787</v>
      </c>
      <c r="AF62" s="129">
        <f t="shared" si="34"/>
        <v>1.0066475026949335</v>
      </c>
      <c r="AG62" s="129">
        <f t="shared" si="35"/>
        <v>0.95141099853401823</v>
      </c>
      <c r="AI62" s="131">
        <f t="shared" si="36"/>
        <v>1.444386308614992</v>
      </c>
      <c r="AJ62" s="131">
        <f t="shared" si="37"/>
        <v>0.95141099853401823</v>
      </c>
      <c r="AK62" s="131">
        <f t="shared" si="38"/>
        <v>0.89489393019555374</v>
      </c>
      <c r="AL62" s="131">
        <f t="shared" si="39"/>
        <v>1.0631550471306854</v>
      </c>
      <c r="AM62" s="131">
        <f t="shared" si="40"/>
        <v>1.3742050201482543</v>
      </c>
      <c r="AN62" s="131">
        <f t="shared" si="41"/>
        <v>1.3742050201482539</v>
      </c>
      <c r="AO62" s="131"/>
      <c r="AP62" s="131">
        <f t="shared" si="42"/>
        <v>0.95141099853401823</v>
      </c>
      <c r="AS62" s="134"/>
      <c r="AU62" s="129">
        <f t="shared" si="49"/>
        <v>0.43001024254733528</v>
      </c>
      <c r="AV62" s="129">
        <f t="shared" si="50"/>
        <v>0.17230710321469475</v>
      </c>
      <c r="AW62" s="129">
        <f t="shared" si="51"/>
        <v>0.39768265423797006</v>
      </c>
      <c r="AX62" s="129"/>
      <c r="AY62" s="129">
        <f t="shared" si="44"/>
        <v>0.44047240815536315</v>
      </c>
      <c r="AZ62" s="129">
        <f t="shared" si="44"/>
        <v>0.1688619541428758</v>
      </c>
      <c r="BA62" s="129">
        <f t="shared" si="44"/>
        <v>0.39051503157390083</v>
      </c>
      <c r="BB62" s="129">
        <f t="shared" si="23"/>
        <v>0.99984939387213978</v>
      </c>
      <c r="BD62" s="129">
        <f t="shared" si="15"/>
        <v>0.44053875599157538</v>
      </c>
      <c r="BE62" s="129">
        <f t="shared" si="16"/>
        <v>0.1688873896186707</v>
      </c>
      <c r="BF62" s="129">
        <f t="shared" si="24"/>
        <v>0.39057385438975389</v>
      </c>
      <c r="BG62" s="129"/>
      <c r="BH62" s="129"/>
      <c r="BI62" s="129">
        <f t="shared" si="45"/>
        <v>-8.9863092944957354E-2</v>
      </c>
      <c r="BJ62" s="129">
        <f t="shared" si="45"/>
        <v>-4.803354835726209E-2</v>
      </c>
      <c r="BK62" s="129">
        <f t="shared" si="45"/>
        <v>0</v>
      </c>
      <c r="BL62" s="129"/>
      <c r="BM62" s="129">
        <f t="shared" si="6"/>
        <v>0.1226943519406571</v>
      </c>
      <c r="BN62" s="129">
        <f t="shared" si="18"/>
        <v>0.24290789735897628</v>
      </c>
      <c r="BO62" s="129">
        <f t="shared" si="19"/>
        <v>0.63439775070036675</v>
      </c>
      <c r="BP62" s="129"/>
      <c r="BQ62" s="129">
        <f t="shared" si="46"/>
        <v>-7.593280340297528E-3</v>
      </c>
      <c r="BR62" s="129">
        <f t="shared" si="46"/>
        <v>3.8994186559030891E-2</v>
      </c>
      <c r="BS62" s="129">
        <f t="shared" si="46"/>
        <v>-1.3083219886786747E-2</v>
      </c>
      <c r="BT62" s="129" t="e">
        <f>#REF!</f>
        <v>#REF!</v>
      </c>
      <c r="BU62" s="129">
        <f t="shared" si="25"/>
        <v>0.95341935463566763</v>
      </c>
      <c r="BV62" s="129">
        <f t="shared" si="21"/>
        <v>1.1645559547415036</v>
      </c>
      <c r="BW62" s="129">
        <f t="shared" si="7"/>
        <v>1.0631550471306854</v>
      </c>
      <c r="BY62" s="129">
        <f t="shared" si="26"/>
        <v>0.99813227485767675</v>
      </c>
      <c r="BZ62" s="129">
        <f t="shared" si="22"/>
        <v>0.84724852800880102</v>
      </c>
      <c r="CA62" s="129">
        <f t="shared" si="8"/>
        <v>0.89489393019555374</v>
      </c>
    </row>
    <row r="63" spans="1:79" x14ac:dyDescent="0.2">
      <c r="A63" s="133" t="s">
        <v>664</v>
      </c>
      <c r="B63" s="133">
        <f t="shared" si="9"/>
        <v>2002</v>
      </c>
      <c r="D63" s="125">
        <f>'Passenger-based Energy Use'!E60</f>
        <v>90.190249099999988</v>
      </c>
      <c r="E63" s="125">
        <f>'Passenger-based Energy Use'!G60</f>
        <v>37.796808105718142</v>
      </c>
      <c r="F63" s="174">
        <f>'Passenger-based Energy Use'!H60</f>
        <v>85.010605517044155</v>
      </c>
      <c r="G63" s="125">
        <f t="shared" si="27"/>
        <v>212.9976627227623</v>
      </c>
      <c r="H63" s="125">
        <v>125</v>
      </c>
      <c r="I63" s="279">
        <v>520.04</v>
      </c>
      <c r="J63" s="125">
        <f t="shared" si="43"/>
        <v>71.417093199999982</v>
      </c>
      <c r="L63" s="4">
        <f>'Passenger-based Activity'!F61</f>
        <v>21841</v>
      </c>
      <c r="M63" s="4">
        <f>'Passenger-based Activity'!E61</f>
        <v>47199.597402597399</v>
      </c>
      <c r="N63" s="4">
        <f>'Passenger-based Activity'!H61</f>
        <v>114734.90472436075</v>
      </c>
      <c r="O63" s="4">
        <f t="shared" si="10"/>
        <v>183775.50212695816</v>
      </c>
      <c r="P63" s="4">
        <v>282739</v>
      </c>
      <c r="Q63" s="4">
        <v>6845</v>
      </c>
      <c r="R63" s="5">
        <f t="shared" si="55"/>
        <v>41.305916727538346</v>
      </c>
      <c r="S63" s="5"/>
      <c r="T63" s="5"/>
      <c r="V63" s="125">
        <f t="shared" si="28"/>
        <v>4129.4010851151497</v>
      </c>
      <c r="W63" s="125">
        <f t="shared" si="29"/>
        <v>800.78666314298221</v>
      </c>
      <c r="X63" s="125">
        <f t="shared" si="30"/>
        <v>740.93063241106722</v>
      </c>
      <c r="Y63" s="125">
        <f t="shared" si="31"/>
        <v>1159.0100979597189</v>
      </c>
      <c r="Z63" s="125">
        <f t="shared" si="52"/>
        <v>442.10384842557977</v>
      </c>
      <c r="AA63" s="125">
        <f t="shared" si="53"/>
        <v>18.261504747991232</v>
      </c>
      <c r="AB63" s="125">
        <f t="shared" si="54"/>
        <v>7.5952120000000001</v>
      </c>
      <c r="AD63" s="129">
        <f t="shared" si="32"/>
        <v>1.2033537432142625</v>
      </c>
      <c r="AE63" s="129">
        <f t="shared" si="33"/>
        <v>0.81479335231385641</v>
      </c>
      <c r="AF63" s="129">
        <f t="shared" si="34"/>
        <v>1.0066475026949335</v>
      </c>
      <c r="AG63" s="129">
        <f t="shared" si="35"/>
        <v>0.93293814720922041</v>
      </c>
      <c r="AI63" s="131">
        <f t="shared" si="36"/>
        <v>1.4788999487141044</v>
      </c>
      <c r="AJ63" s="131">
        <f t="shared" si="37"/>
        <v>0.93293814720922041</v>
      </c>
      <c r="AK63" s="131">
        <f t="shared" si="38"/>
        <v>0.88578620828765309</v>
      </c>
      <c r="AL63" s="131">
        <f t="shared" si="39"/>
        <v>1.0532317375009919</v>
      </c>
      <c r="AM63" s="131">
        <f t="shared" si="40"/>
        <v>1.3797221780611475</v>
      </c>
      <c r="AN63" s="131">
        <f t="shared" si="41"/>
        <v>1.3797221780611477</v>
      </c>
      <c r="AO63" s="131"/>
      <c r="AP63" s="131">
        <f t="shared" si="42"/>
        <v>0.9329381472092203</v>
      </c>
      <c r="AS63" s="134"/>
      <c r="AU63" s="129">
        <f t="shared" si="49"/>
        <v>0.42343304591746433</v>
      </c>
      <c r="AV63" s="129">
        <f t="shared" si="50"/>
        <v>0.17745175051481413</v>
      </c>
      <c r="AW63" s="129">
        <f t="shared" si="51"/>
        <v>0.39911520356772145</v>
      </c>
      <c r="AX63" s="129"/>
      <c r="AY63" s="129">
        <f t="shared" si="44"/>
        <v>0.42671319606303243</v>
      </c>
      <c r="AZ63" s="129">
        <f t="shared" si="44"/>
        <v>0.17486681392549377</v>
      </c>
      <c r="BA63" s="129">
        <f t="shared" si="44"/>
        <v>0.3983984996431309</v>
      </c>
      <c r="BB63" s="129">
        <f t="shared" si="23"/>
        <v>0.99997850963165713</v>
      </c>
      <c r="BD63" s="129">
        <f t="shared" si="15"/>
        <v>0.4267223664838683</v>
      </c>
      <c r="BE63" s="129">
        <f t="shared" si="16"/>
        <v>0.17487057195849748</v>
      </c>
      <c r="BF63" s="129">
        <f t="shared" si="24"/>
        <v>0.39840706155763417</v>
      </c>
      <c r="BG63" s="129"/>
      <c r="BH63" s="129"/>
      <c r="BI63" s="129">
        <f t="shared" si="45"/>
        <v>-3.1538454726411699E-3</v>
      </c>
      <c r="BJ63" s="129">
        <f t="shared" si="45"/>
        <v>-4.593024293770321E-2</v>
      </c>
      <c r="BK63" s="129">
        <f t="shared" si="45"/>
        <v>0</v>
      </c>
      <c r="BL63" s="129"/>
      <c r="BM63" s="129">
        <f t="shared" si="6"/>
        <v>0.11884609073145951</v>
      </c>
      <c r="BN63" s="129">
        <f t="shared" si="18"/>
        <v>0.25683291220170557</v>
      </c>
      <c r="BO63" s="129">
        <f t="shared" si="19"/>
        <v>0.62432099706683486</v>
      </c>
      <c r="BP63" s="129"/>
      <c r="BQ63" s="129">
        <f t="shared" si="46"/>
        <v>-3.1867018395883469E-2</v>
      </c>
      <c r="BR63" s="129">
        <f t="shared" si="46"/>
        <v>5.5743378103880623E-2</v>
      </c>
      <c r="BS63" s="129">
        <f t="shared" si="46"/>
        <v>-1.601147028208447E-2</v>
      </c>
      <c r="BT63" s="129" t="e">
        <f>#REF!</f>
        <v>#REF!</v>
      </c>
      <c r="BU63" s="129">
        <f t="shared" si="25"/>
        <v>0.99066616891254466</v>
      </c>
      <c r="BV63" s="129">
        <f t="shared" si="21"/>
        <v>1.1536861861680561</v>
      </c>
      <c r="BW63" s="129">
        <f t="shared" si="7"/>
        <v>1.0532317375009919</v>
      </c>
      <c r="BY63" s="129">
        <f t="shared" si="26"/>
        <v>0.98982256823899739</v>
      </c>
      <c r="BZ63" s="129">
        <f t="shared" si="22"/>
        <v>0.83862571393038154</v>
      </c>
      <c r="CA63" s="129">
        <f t="shared" si="8"/>
        <v>0.88578620828765309</v>
      </c>
    </row>
    <row r="64" spans="1:79" x14ac:dyDescent="0.2">
      <c r="A64" s="133" t="s">
        <v>664</v>
      </c>
      <c r="B64" s="133">
        <f t="shared" si="9"/>
        <v>2003</v>
      </c>
      <c r="D64" s="125">
        <f>'Passenger-based Energy Use'!E61</f>
        <v>89.131225700000002</v>
      </c>
      <c r="E64" s="125">
        <f>'Passenger-based Energy Use'!G61</f>
        <v>39.036572311967774</v>
      </c>
      <c r="F64" s="174">
        <f>'Passenger-based Energy Use'!H61</f>
        <v>87.169364093530206</v>
      </c>
      <c r="G64" s="125">
        <f t="shared" si="27"/>
        <v>215.33716210549795</v>
      </c>
      <c r="H64" s="125">
        <v>121</v>
      </c>
      <c r="I64" s="279">
        <v>515.72</v>
      </c>
      <c r="J64" s="125">
        <f t="shared" si="43"/>
        <v>70.823827600000001</v>
      </c>
      <c r="L64" s="4">
        <f>'Passenger-based Activity'!F62</f>
        <v>21262</v>
      </c>
      <c r="M64" s="4">
        <f>'Passenger-based Activity'!E62</f>
        <v>50940.941298701298</v>
      </c>
      <c r="N64" s="4">
        <f>'Passenger-based Activity'!H62</f>
        <v>117648.48189616863</v>
      </c>
      <c r="O64" s="4">
        <f t="shared" si="10"/>
        <v>189851.42319486995</v>
      </c>
      <c r="P64" s="4">
        <v>283699</v>
      </c>
      <c r="Q64" s="4">
        <v>6782</v>
      </c>
      <c r="R64" s="5">
        <f t="shared" si="55"/>
        <v>41.831170746092596</v>
      </c>
      <c r="S64" s="5"/>
      <c r="T64" s="5"/>
      <c r="V64" s="125">
        <f t="shared" si="28"/>
        <v>4192.0433496378519</v>
      </c>
      <c r="W64" s="125">
        <f t="shared" si="29"/>
        <v>766.31038447189007</v>
      </c>
      <c r="X64" s="125">
        <f t="shared" si="30"/>
        <v>740.93063241106722</v>
      </c>
      <c r="Y64" s="125">
        <f t="shared" si="31"/>
        <v>1134.2404417188307</v>
      </c>
      <c r="Z64" s="125">
        <f t="shared" si="52"/>
        <v>426.50837683601281</v>
      </c>
      <c r="AA64" s="125">
        <f t="shared" si="53"/>
        <v>17.841344736066059</v>
      </c>
      <c r="AB64" s="125">
        <f t="shared" si="54"/>
        <v>7.774077685950413</v>
      </c>
      <c r="AD64" s="129">
        <f t="shared" si="32"/>
        <v>1.2216084009583428</v>
      </c>
      <c r="AE64" s="129">
        <f t="shared" si="33"/>
        <v>0.77971404347088424</v>
      </c>
      <c r="AF64" s="129">
        <f t="shared" si="34"/>
        <v>1.0066475026949335</v>
      </c>
      <c r="AG64" s="129">
        <f t="shared" si="35"/>
        <v>0.91299996268342287</v>
      </c>
      <c r="AI64" s="131">
        <f t="shared" si="36"/>
        <v>1.5277948190952397</v>
      </c>
      <c r="AJ64" s="131">
        <f t="shared" si="37"/>
        <v>0.91299996268342287</v>
      </c>
      <c r="AK64" s="131">
        <f t="shared" si="38"/>
        <v>0.86823506868817091</v>
      </c>
      <c r="AL64" s="131">
        <f t="shared" si="39"/>
        <v>1.051558495630553</v>
      </c>
      <c r="AM64" s="131">
        <f t="shared" si="40"/>
        <v>1.3948766128218808</v>
      </c>
      <c r="AN64" s="131">
        <f t="shared" si="41"/>
        <v>1.3948766128218808</v>
      </c>
      <c r="AO64" s="131"/>
      <c r="AP64" s="131">
        <f t="shared" si="42"/>
        <v>0.91299996268342287</v>
      </c>
      <c r="AS64" s="134"/>
      <c r="AU64" s="129">
        <f t="shared" si="49"/>
        <v>0.41391474109022036</v>
      </c>
      <c r="AV64" s="129">
        <f t="shared" si="50"/>
        <v>0.18128116823998536</v>
      </c>
      <c r="AW64" s="129">
        <f t="shared" si="51"/>
        <v>0.40480409066979439</v>
      </c>
      <c r="AX64" s="129"/>
      <c r="AY64" s="129">
        <f t="shared" si="44"/>
        <v>0.41865586012708378</v>
      </c>
      <c r="AZ64" s="129">
        <f t="shared" si="44"/>
        <v>0.17935964609794389</v>
      </c>
      <c r="BA64" s="129">
        <f t="shared" si="44"/>
        <v>0.40195293751725097</v>
      </c>
      <c r="BB64" s="129">
        <f t="shared" si="23"/>
        <v>0.99996844374227867</v>
      </c>
      <c r="BD64" s="129">
        <f t="shared" si="15"/>
        <v>0.41866907175621204</v>
      </c>
      <c r="BE64" s="129">
        <f t="shared" si="16"/>
        <v>0.17936530619577246</v>
      </c>
      <c r="BF64" s="129">
        <f t="shared" si="24"/>
        <v>0.40196562204801545</v>
      </c>
      <c r="BG64" s="129"/>
      <c r="BH64" s="129"/>
      <c r="BI64" s="129">
        <f t="shared" si="45"/>
        <v>1.5055907258307459E-2</v>
      </c>
      <c r="BJ64" s="129">
        <f t="shared" si="45"/>
        <v>-4.4007284116469828E-2</v>
      </c>
      <c r="BK64" s="129">
        <f t="shared" si="45"/>
        <v>0</v>
      </c>
      <c r="BL64" s="129"/>
      <c r="BM64" s="129">
        <f t="shared" si="6"/>
        <v>0.11199283967534951</v>
      </c>
      <c r="BN64" s="129">
        <f t="shared" si="18"/>
        <v>0.26832003912034824</v>
      </c>
      <c r="BO64" s="129">
        <f t="shared" si="19"/>
        <v>0.61968712120430214</v>
      </c>
      <c r="BP64" s="129"/>
      <c r="BQ64" s="129">
        <f t="shared" si="46"/>
        <v>-5.9394363026717779E-2</v>
      </c>
      <c r="BR64" s="129">
        <f t="shared" si="46"/>
        <v>4.3754717489364298E-2</v>
      </c>
      <c r="BS64" s="129">
        <f t="shared" si="46"/>
        <v>-7.4499470329652999E-3</v>
      </c>
      <c r="BT64" s="129" t="e">
        <f>#REF!</f>
        <v>#REF!</v>
      </c>
      <c r="BU64" s="129">
        <f t="shared" si="25"/>
        <v>0.99841132600655502</v>
      </c>
      <c r="BV64" s="129">
        <f t="shared" si="21"/>
        <v>1.1518533549274941</v>
      </c>
      <c r="BW64" s="129">
        <f t="shared" si="7"/>
        <v>1.051558495630553</v>
      </c>
      <c r="BY64" s="129">
        <f t="shared" si="26"/>
        <v>0.98018580619649642</v>
      </c>
      <c r="BZ64" s="129">
        <f t="shared" si="22"/>
        <v>0.82200902150596344</v>
      </c>
      <c r="CA64" s="129">
        <f t="shared" si="8"/>
        <v>0.86823506868817091</v>
      </c>
    </row>
    <row r="65" spans="1:79" x14ac:dyDescent="0.2">
      <c r="A65" s="133" t="s">
        <v>664</v>
      </c>
      <c r="B65" s="133">
        <f t="shared" si="9"/>
        <v>2004</v>
      </c>
      <c r="D65" s="125">
        <f>'Passenger-based Energy Use'!E62</f>
        <v>93.397523561904762</v>
      </c>
      <c r="E65" s="125">
        <f>'Passenger-based Energy Use'!G62</f>
        <v>40.273554270164659</v>
      </c>
      <c r="F65" s="174">
        <f>'Passenger-based Energy Use'!H62</f>
        <v>86.296694885213284</v>
      </c>
      <c r="G65" s="125">
        <f t="shared" si="27"/>
        <v>219.96777271728268</v>
      </c>
      <c r="H65" s="125">
        <v>170</v>
      </c>
      <c r="I65" s="279">
        <v>517.09</v>
      </c>
      <c r="J65" s="125">
        <f t="shared" si="43"/>
        <v>71.011969699999995</v>
      </c>
      <c r="L65" s="4">
        <f>'Passenger-based Activity'!F63</f>
        <v>21376.973000000002</v>
      </c>
      <c r="M65" s="4">
        <f>'Passenger-based Activity'!E63</f>
        <v>54822.760000000009</v>
      </c>
      <c r="N65" s="4">
        <f>'Passenger-based Activity'!H63</f>
        <v>116470.6803987772</v>
      </c>
      <c r="O65" s="4">
        <f t="shared" si="10"/>
        <v>192670.41339877719</v>
      </c>
      <c r="P65" s="4">
        <v>286714</v>
      </c>
      <c r="Q65" s="4">
        <v>6801</v>
      </c>
      <c r="R65" s="5">
        <f t="shared" si="55"/>
        <v>42.157623878841349</v>
      </c>
      <c r="S65" s="5"/>
      <c r="T65" s="5"/>
      <c r="V65" s="125">
        <f t="shared" si="28"/>
        <v>4369.0715033370143</v>
      </c>
      <c r="W65" s="125">
        <f t="shared" si="29"/>
        <v>734.61376753313141</v>
      </c>
      <c r="X65" s="125">
        <f t="shared" si="30"/>
        <v>740.93063241106722</v>
      </c>
      <c r="Y65" s="125">
        <f t="shared" si="31"/>
        <v>1141.6790405800766</v>
      </c>
      <c r="Z65" s="125">
        <f t="shared" si="52"/>
        <v>592.92535418570424</v>
      </c>
      <c r="AA65" s="125">
        <f t="shared" si="53"/>
        <v>24.996324069989708</v>
      </c>
      <c r="AB65" s="125">
        <f t="shared" si="54"/>
        <v>5.5488158823529412</v>
      </c>
      <c r="AD65" s="129">
        <f t="shared" si="32"/>
        <v>1.2731963884212407</v>
      </c>
      <c r="AE65" s="129">
        <f t="shared" si="33"/>
        <v>0.74746301587362762</v>
      </c>
      <c r="AF65" s="129">
        <f t="shared" si="34"/>
        <v>1.0066475026949335</v>
      </c>
      <c r="AG65" s="129">
        <f t="shared" si="35"/>
        <v>0.918987617710467</v>
      </c>
      <c r="AI65" s="131">
        <f t="shared" si="36"/>
        <v>1.5504801303567153</v>
      </c>
      <c r="AJ65" s="131">
        <f t="shared" si="37"/>
        <v>0.918987617710467</v>
      </c>
      <c r="AK65" s="131">
        <f t="shared" si="38"/>
        <v>0.86554053874165748</v>
      </c>
      <c r="AL65" s="131">
        <f t="shared" si="39"/>
        <v>1.061749943043121</v>
      </c>
      <c r="AM65" s="131">
        <f t="shared" si="40"/>
        <v>1.4248720413039322</v>
      </c>
      <c r="AN65" s="131">
        <f t="shared" si="41"/>
        <v>1.4248720413039322</v>
      </c>
      <c r="AO65" s="131"/>
      <c r="AP65" s="131">
        <f t="shared" si="42"/>
        <v>0.91898761771046711</v>
      </c>
      <c r="AS65" s="134"/>
      <c r="AU65" s="129">
        <f t="shared" si="49"/>
        <v>0.42459639613638089</v>
      </c>
      <c r="AV65" s="129">
        <f t="shared" si="50"/>
        <v>0.183088430512623</v>
      </c>
      <c r="AW65" s="129">
        <f t="shared" si="51"/>
        <v>0.39231517335099619</v>
      </c>
      <c r="AX65" s="129"/>
      <c r="AY65" s="129">
        <f t="shared" si="44"/>
        <v>0.41923288899157457</v>
      </c>
      <c r="AZ65" s="129">
        <f t="shared" si="44"/>
        <v>0.18218330537206448</v>
      </c>
      <c r="BA65" s="129">
        <f t="shared" si="44"/>
        <v>0.39852701805619639</v>
      </c>
      <c r="BB65" s="129">
        <f t="shared" si="23"/>
        <v>0.99994321241983541</v>
      </c>
      <c r="BD65" s="129">
        <f t="shared" si="15"/>
        <v>0.41925669756489709</v>
      </c>
      <c r="BE65" s="129">
        <f t="shared" si="16"/>
        <v>0.18219365170866636</v>
      </c>
      <c r="BF65" s="129">
        <f t="shared" si="24"/>
        <v>0.39854965072643661</v>
      </c>
      <c r="BG65" s="129"/>
      <c r="BH65" s="129"/>
      <c r="BI65" s="129">
        <f t="shared" si="45"/>
        <v>4.1362227895317467E-2</v>
      </c>
      <c r="BJ65" s="129">
        <f t="shared" si="45"/>
        <v>-4.224241458198294E-2</v>
      </c>
      <c r="BK65" s="129">
        <f t="shared" si="45"/>
        <v>0</v>
      </c>
      <c r="BL65" s="129"/>
      <c r="BM65" s="129">
        <f t="shared" si="6"/>
        <v>0.11095098942750113</v>
      </c>
      <c r="BN65" s="129">
        <f t="shared" si="18"/>
        <v>0.28454166383362289</v>
      </c>
      <c r="BO65" s="129">
        <f t="shared" si="19"/>
        <v>0.60450734673887607</v>
      </c>
      <c r="BP65" s="129"/>
      <c r="BQ65" s="129">
        <f t="shared" si="46"/>
        <v>-9.3463706641688654E-3</v>
      </c>
      <c r="BR65" s="129">
        <f t="shared" si="46"/>
        <v>5.8699244784376776E-2</v>
      </c>
      <c r="BS65" s="129">
        <f t="shared" si="46"/>
        <v>-2.4800884049843767E-2</v>
      </c>
      <c r="BT65" s="129" t="e">
        <f>#REF!</f>
        <v>#REF!</v>
      </c>
      <c r="BU65" s="129">
        <f t="shared" si="25"/>
        <v>1.0096917550996121</v>
      </c>
      <c r="BV65" s="129">
        <f t="shared" si="21"/>
        <v>1.1630168355541179</v>
      </c>
      <c r="BW65" s="129">
        <f t="shared" si="7"/>
        <v>1.061749943043121</v>
      </c>
      <c r="BY65" s="129">
        <f t="shared" si="26"/>
        <v>0.99689654329375954</v>
      </c>
      <c r="BZ65" s="129">
        <f t="shared" si="22"/>
        <v>0.81945795209558059</v>
      </c>
      <c r="CA65" s="129">
        <f t="shared" si="8"/>
        <v>0.86554053874165748</v>
      </c>
    </row>
    <row r="66" spans="1:79" x14ac:dyDescent="0.2">
      <c r="A66" s="133" t="s">
        <v>664</v>
      </c>
      <c r="B66" s="133">
        <f t="shared" si="9"/>
        <v>2005</v>
      </c>
      <c r="D66" s="125">
        <f>'Passenger-based Energy Use'!E63</f>
        <v>93.074290052380945</v>
      </c>
      <c r="E66" s="125">
        <f>'Passenger-based Energy Use'!G63</f>
        <v>41.50776333558936</v>
      </c>
      <c r="F66" s="174">
        <f>'Passenger-based Energy Use'!H63</f>
        <v>85.216714285634666</v>
      </c>
      <c r="G66" s="125">
        <f t="shared" si="27"/>
        <v>219.79876767360497</v>
      </c>
      <c r="H66" s="125">
        <v>140</v>
      </c>
      <c r="I66" s="279">
        <v>530.70000000000005</v>
      </c>
      <c r="J66" s="125">
        <f t="shared" si="43"/>
        <v>72.881030999999993</v>
      </c>
      <c r="L66" s="4">
        <f>'Passenger-based Activity'!F64</f>
        <v>21824.942999999999</v>
      </c>
      <c r="M66" s="4">
        <f>'Passenger-based Activity'!E64</f>
        <v>57582.400000000009</v>
      </c>
      <c r="N66" s="4">
        <f>'Passenger-based Activity'!H64</f>
        <v>115013.08025061726</v>
      </c>
      <c r="O66" s="4">
        <f t="shared" si="10"/>
        <v>194420.42325061728</v>
      </c>
      <c r="P66" s="4">
        <v>278864</v>
      </c>
      <c r="Q66" s="4">
        <v>6980</v>
      </c>
      <c r="R66" s="5">
        <f t="shared" si="55"/>
        <v>39.951862464183378</v>
      </c>
      <c r="S66" s="5"/>
      <c r="T66" s="5"/>
      <c r="V66" s="125">
        <f t="shared" si="28"/>
        <v>4264.5834196396736</v>
      </c>
      <c r="W66" s="125">
        <f t="shared" si="29"/>
        <v>720.84114826039468</v>
      </c>
      <c r="X66" s="125">
        <f t="shared" si="30"/>
        <v>740.93063241106722</v>
      </c>
      <c r="Y66" s="125">
        <f t="shared" si="31"/>
        <v>1130.5333256592789</v>
      </c>
      <c r="Z66" s="125">
        <f t="shared" si="52"/>
        <v>502.03683515979111</v>
      </c>
      <c r="AA66" s="125">
        <f t="shared" si="53"/>
        <v>20.05730659025788</v>
      </c>
      <c r="AB66" s="125">
        <f t="shared" si="54"/>
        <v>6.9151857142857134</v>
      </c>
      <c r="AD66" s="129">
        <f t="shared" si="32"/>
        <v>1.2427473901169324</v>
      </c>
      <c r="AE66" s="129">
        <f t="shared" si="33"/>
        <v>0.73344949748743049</v>
      </c>
      <c r="AF66" s="129">
        <f t="shared" si="34"/>
        <v>1.0066475026949335</v>
      </c>
      <c r="AG66" s="129">
        <f t="shared" si="35"/>
        <v>0.91001594210053416</v>
      </c>
      <c r="AI66" s="131">
        <f t="shared" si="36"/>
        <v>1.5645630165422066</v>
      </c>
      <c r="AJ66" s="131">
        <f t="shared" si="37"/>
        <v>0.91001594210053416</v>
      </c>
      <c r="AK66" s="131">
        <f t="shared" si="38"/>
        <v>0.86898617839835257</v>
      </c>
      <c r="AL66" s="131">
        <f t="shared" si="39"/>
        <v>1.0472156689279046</v>
      </c>
      <c r="AM66" s="131">
        <f t="shared" si="40"/>
        <v>1.42377728747431</v>
      </c>
      <c r="AN66" s="131">
        <f t="shared" si="41"/>
        <v>1.42377728747431</v>
      </c>
      <c r="AO66" s="131"/>
      <c r="AP66" s="131">
        <f t="shared" si="42"/>
        <v>0.91001594210053427</v>
      </c>
      <c r="AS66" s="134"/>
      <c r="AU66" s="129">
        <f t="shared" si="49"/>
        <v>0.42345228336581792</v>
      </c>
      <c r="AV66" s="129">
        <f t="shared" si="50"/>
        <v>0.18884438604872994</v>
      </c>
      <c r="AW66" s="129">
        <f t="shared" si="51"/>
        <v>0.38770333058545214</v>
      </c>
      <c r="AX66" s="129"/>
      <c r="AY66" s="129">
        <f t="shared" si="44"/>
        <v>0.4240240824949037</v>
      </c>
      <c r="AZ66" s="129">
        <f t="shared" si="44"/>
        <v>0.18595156100230895</v>
      </c>
      <c r="BA66" s="129">
        <f t="shared" si="44"/>
        <v>0.39000470735552994</v>
      </c>
      <c r="BB66" s="129">
        <f t="shared" si="23"/>
        <v>0.99998035085274262</v>
      </c>
      <c r="BD66" s="129">
        <f t="shared" si="15"/>
        <v>0.42403241437025557</v>
      </c>
      <c r="BE66" s="129">
        <f t="shared" si="16"/>
        <v>0.18595521486370908</v>
      </c>
      <c r="BF66" s="129">
        <f t="shared" si="24"/>
        <v>0.39001237076603534</v>
      </c>
      <c r="BG66" s="129"/>
      <c r="BH66" s="129"/>
      <c r="BI66" s="129">
        <f t="shared" si="45"/>
        <v>-2.4206013902871051E-2</v>
      </c>
      <c r="BJ66" s="129">
        <f t="shared" si="45"/>
        <v>-1.8926083150549888E-2</v>
      </c>
      <c r="BK66" s="129">
        <f t="shared" si="45"/>
        <v>0</v>
      </c>
      <c r="BL66" s="129"/>
      <c r="BM66" s="129">
        <f t="shared" si="6"/>
        <v>0.11225643188661613</v>
      </c>
      <c r="BN66" s="129">
        <f t="shared" si="18"/>
        <v>0.29617464583838254</v>
      </c>
      <c r="BO66" s="129">
        <f t="shared" si="19"/>
        <v>0.59156892227500124</v>
      </c>
      <c r="BP66" s="129"/>
      <c r="BQ66" s="129">
        <f t="shared" si="46"/>
        <v>1.1697257521722763E-2</v>
      </c>
      <c r="BR66" s="129">
        <f t="shared" si="46"/>
        <v>4.0069611398497317E-2</v>
      </c>
      <c r="BS66" s="129">
        <f t="shared" si="46"/>
        <v>-2.163562558982465E-2</v>
      </c>
      <c r="BT66" s="129" t="e">
        <f>#REF!</f>
        <v>#REF!</v>
      </c>
      <c r="BU66" s="129">
        <f t="shared" si="25"/>
        <v>0.98631101964219647</v>
      </c>
      <c r="BV66" s="129">
        <f t="shared" si="21"/>
        <v>1.1470963209364229</v>
      </c>
      <c r="BW66" s="129">
        <f t="shared" si="7"/>
        <v>1.0472156689279046</v>
      </c>
      <c r="BY66" s="129">
        <f t="shared" si="26"/>
        <v>1.003980910774791</v>
      </c>
      <c r="BZ66" s="129">
        <f t="shared" si="22"/>
        <v>0.8227201410865661</v>
      </c>
      <c r="CA66" s="129">
        <f t="shared" si="8"/>
        <v>0.86898617839835257</v>
      </c>
    </row>
    <row r="67" spans="1:79" x14ac:dyDescent="0.2">
      <c r="A67" s="133" t="s">
        <v>664</v>
      </c>
      <c r="B67" s="133">
        <f t="shared" si="9"/>
        <v>2006</v>
      </c>
      <c r="D67" s="125">
        <f>'Passenger-based Energy Use'!E64</f>
        <v>98.392057619047605</v>
      </c>
      <c r="E67" s="125">
        <f>'Passenger-based Energy Use'!G64</f>
        <v>42.739208821626711</v>
      </c>
      <c r="F67" s="174">
        <f>'Passenger-based Energy Use'!H64</f>
        <v>86.313649090321547</v>
      </c>
      <c r="G67" s="125">
        <f t="shared" si="27"/>
        <v>227.44491553099587</v>
      </c>
      <c r="H67" s="125">
        <v>144</v>
      </c>
      <c r="I67" s="279">
        <v>515.72</v>
      </c>
      <c r="J67" s="125">
        <f t="shared" si="43"/>
        <v>70.823827600000001</v>
      </c>
      <c r="L67" s="4">
        <f>'Passenger-based Activity'!F65</f>
        <v>22821</v>
      </c>
      <c r="M67" s="4">
        <f>'Passenger-based Activity'!E65</f>
        <v>61103.000000000015</v>
      </c>
      <c r="N67" s="4">
        <f>'Passenger-based Activity'!H65</f>
        <v>116493.56270970704</v>
      </c>
      <c r="O67" s="4">
        <f t="shared" si="10"/>
        <v>200417.56270970707</v>
      </c>
      <c r="P67" s="4">
        <v>297631</v>
      </c>
      <c r="Q67" s="4">
        <v>6783</v>
      </c>
      <c r="R67" s="5">
        <f t="shared" si="55"/>
        <v>43.878962111160256</v>
      </c>
      <c r="S67" s="5"/>
      <c r="T67" s="5"/>
      <c r="V67" s="125">
        <f t="shared" si="28"/>
        <v>4311.4700328227336</v>
      </c>
      <c r="W67" s="125">
        <f t="shared" si="29"/>
        <v>699.46170927166747</v>
      </c>
      <c r="X67" s="125">
        <f t="shared" si="30"/>
        <v>740.93063241106722</v>
      </c>
      <c r="Y67" s="125">
        <f t="shared" si="31"/>
        <v>1134.8552115686405</v>
      </c>
      <c r="Z67" s="125">
        <f t="shared" si="52"/>
        <v>483.82056976591821</v>
      </c>
      <c r="AA67" s="125">
        <f t="shared" si="53"/>
        <v>21.229544449358691</v>
      </c>
      <c r="AB67" s="125">
        <f t="shared" si="54"/>
        <v>6.533347916666667</v>
      </c>
      <c r="AD67" s="129">
        <f t="shared" si="32"/>
        <v>1.2564106745297374</v>
      </c>
      <c r="AE67" s="129">
        <f t="shared" si="33"/>
        <v>0.71169610727006094</v>
      </c>
      <c r="AF67" s="129">
        <f t="shared" si="34"/>
        <v>1.0066475026949335</v>
      </c>
      <c r="AG67" s="129">
        <f t="shared" si="35"/>
        <v>0.91349481794452136</v>
      </c>
      <c r="AI67" s="131">
        <f t="shared" si="36"/>
        <v>1.6128239062463854</v>
      </c>
      <c r="AJ67" s="131">
        <f t="shared" si="37"/>
        <v>0.91349481794452136</v>
      </c>
      <c r="AK67" s="131">
        <f t="shared" si="38"/>
        <v>0.87317362011573119</v>
      </c>
      <c r="AL67" s="131">
        <f t="shared" si="39"/>
        <v>1.0461777553740641</v>
      </c>
      <c r="AM67" s="131">
        <f t="shared" si="40"/>
        <v>1.4733062806131136</v>
      </c>
      <c r="AN67" s="131">
        <f t="shared" si="41"/>
        <v>1.4733062806131139</v>
      </c>
      <c r="AO67" s="131"/>
      <c r="AP67" s="131">
        <f t="shared" si="42"/>
        <v>0.91349481794452136</v>
      </c>
      <c r="AS67" s="134"/>
      <c r="AU67" s="129">
        <f t="shared" si="49"/>
        <v>0.43259730554688469</v>
      </c>
      <c r="AV67" s="129">
        <f t="shared" si="50"/>
        <v>0.18791015275873368</v>
      </c>
      <c r="AW67" s="129">
        <f t="shared" si="51"/>
        <v>0.37949254169438157</v>
      </c>
      <c r="AX67" s="129"/>
      <c r="AY67" s="129">
        <f t="shared" si="44"/>
        <v>0.42800851152580865</v>
      </c>
      <c r="AZ67" s="129">
        <f t="shared" si="44"/>
        <v>0.18837688330209229</v>
      </c>
      <c r="BA67" s="129">
        <f t="shared" si="44"/>
        <v>0.38358328992070878</v>
      </c>
      <c r="BB67" s="129">
        <f t="shared" si="23"/>
        <v>0.99996868474860978</v>
      </c>
      <c r="BD67" s="129">
        <f t="shared" si="15"/>
        <v>0.4280219151396818</v>
      </c>
      <c r="BE67" s="129">
        <f t="shared" si="16"/>
        <v>0.18838278255628563</v>
      </c>
      <c r="BF67" s="129">
        <f t="shared" si="24"/>
        <v>0.38359530230403255</v>
      </c>
      <c r="BG67" s="129"/>
      <c r="BH67" s="129"/>
      <c r="BI67" s="129">
        <f t="shared" si="45"/>
        <v>1.093441886641823E-2</v>
      </c>
      <c r="BJ67" s="129">
        <f t="shared" si="45"/>
        <v>-3.0107739129802066E-2</v>
      </c>
      <c r="BK67" s="129">
        <f t="shared" si="45"/>
        <v>0</v>
      </c>
      <c r="BL67" s="129"/>
      <c r="BM67" s="129">
        <f t="shared" si="6"/>
        <v>0.11386726637852024</v>
      </c>
      <c r="BN67" s="129">
        <f t="shared" si="18"/>
        <v>0.30487847059842793</v>
      </c>
      <c r="BO67" s="129">
        <f t="shared" si="19"/>
        <v>0.58125426302305172</v>
      </c>
      <c r="BP67" s="129"/>
      <c r="BQ67" s="129">
        <f t="shared" si="46"/>
        <v>1.4247615383867578E-2</v>
      </c>
      <c r="BR67" s="129">
        <f t="shared" si="46"/>
        <v>2.8963940092846724E-2</v>
      </c>
      <c r="BS67" s="129">
        <f t="shared" si="46"/>
        <v>-1.758990669747966E-2</v>
      </c>
      <c r="BT67" s="129" t="e">
        <f>#REF!</f>
        <v>#REF!</v>
      </c>
      <c r="BU67" s="129">
        <f t="shared" si="25"/>
        <v>0.99900888271190302</v>
      </c>
      <c r="BV67" s="129">
        <f t="shared" si="21"/>
        <v>1.1459594139416303</v>
      </c>
      <c r="BW67" s="129">
        <f t="shared" si="7"/>
        <v>1.0461777553740641</v>
      </c>
      <c r="BY67" s="129">
        <f t="shared" si="26"/>
        <v>1.0048187667669197</v>
      </c>
      <c r="BZ67" s="129">
        <f t="shared" si="22"/>
        <v>0.8266846375609096</v>
      </c>
      <c r="CA67" s="129">
        <f t="shared" si="8"/>
        <v>0.87317362011573119</v>
      </c>
    </row>
    <row r="68" spans="1:79" x14ac:dyDescent="0.2">
      <c r="A68" s="133" t="s">
        <v>664</v>
      </c>
      <c r="B68" s="133">
        <f t="shared" si="9"/>
        <v>2007</v>
      </c>
      <c r="D68" s="125">
        <f>'Passenger-based Energy Use'!E65</f>
        <v>91.678117142857147</v>
      </c>
      <c r="E68" s="125">
        <f>'Passenger-based Energy Use'!G65</f>
        <v>43.9679</v>
      </c>
      <c r="F68" s="174">
        <f>'Passenger-based Energy Use'!H65</f>
        <v>84.170910413418341</v>
      </c>
      <c r="G68" s="125">
        <f t="shared" si="27"/>
        <v>219.81692755627549</v>
      </c>
      <c r="H68" s="125">
        <v>253</v>
      </c>
      <c r="I68" s="279">
        <v>530.70000000000005</v>
      </c>
      <c r="J68" s="125">
        <f t="shared" si="43"/>
        <v>72.881030999999993</v>
      </c>
      <c r="L68" s="4">
        <f>'Passenger-based Activity'!F66</f>
        <v>20976</v>
      </c>
      <c r="M68" s="4">
        <f>'Passenger-based Activity'!E66</f>
        <v>65495.999999999993</v>
      </c>
      <c r="N68" s="4">
        <f>'Passenger-based Activity'!H66</f>
        <v>113601.60685962898</v>
      </c>
      <c r="O68" s="4">
        <f>L68+M68+N68</f>
        <v>200073.60685962898</v>
      </c>
      <c r="P68" s="4">
        <v>307753</v>
      </c>
      <c r="Q68" s="4">
        <v>14516</v>
      </c>
      <c r="R68" s="5">
        <f t="shared" si="55"/>
        <v>21.200950675117113</v>
      </c>
      <c r="S68" s="5"/>
      <c r="T68" s="5"/>
      <c r="V68" s="125">
        <f t="shared" si="28"/>
        <v>4370.6196197014278</v>
      </c>
      <c r="W68" s="125">
        <f t="shared" si="29"/>
        <v>671.30664468059126</v>
      </c>
      <c r="X68" s="125">
        <f t="shared" si="30"/>
        <v>740.93063241106734</v>
      </c>
      <c r="Y68" s="125">
        <f t="shared" si="31"/>
        <v>1098.6802857535245</v>
      </c>
      <c r="Z68" s="125">
        <f t="shared" si="52"/>
        <v>822.08784317293419</v>
      </c>
      <c r="AA68" s="125">
        <f t="shared" si="53"/>
        <v>17.429043813722789</v>
      </c>
      <c r="AB68" s="125">
        <f t="shared" si="54"/>
        <v>7.9579810276679828</v>
      </c>
      <c r="AD68" s="129">
        <f t="shared" si="32"/>
        <v>1.2736475268753771</v>
      </c>
      <c r="AE68" s="129">
        <f t="shared" si="33"/>
        <v>0.68304857788597073</v>
      </c>
      <c r="AF68" s="129">
        <f t="shared" si="34"/>
        <v>1.0066475026949337</v>
      </c>
      <c r="AG68" s="129">
        <f t="shared" si="35"/>
        <v>0.88437603086510264</v>
      </c>
      <c r="AI68" s="131">
        <f t="shared" si="36"/>
        <v>1.6100559840633244</v>
      </c>
      <c r="AJ68" s="131">
        <f t="shared" si="37"/>
        <v>0.88437603086510264</v>
      </c>
      <c r="AK68" s="131">
        <f t="shared" si="38"/>
        <v>0.84718384958794868</v>
      </c>
      <c r="AL68" s="131">
        <f t="shared" si="39"/>
        <v>1.043900956439672</v>
      </c>
      <c r="AM68" s="131">
        <f t="shared" si="40"/>
        <v>1.4238949206565301</v>
      </c>
      <c r="AN68" s="131">
        <f t="shared" si="41"/>
        <v>1.4238949206565299</v>
      </c>
      <c r="AO68" s="131"/>
      <c r="AP68" s="131">
        <f t="shared" si="42"/>
        <v>0.88437603086510286</v>
      </c>
      <c r="AS68" s="134"/>
      <c r="AU68" s="129">
        <f t="shared" si="49"/>
        <v>0.4170657745154161</v>
      </c>
      <c r="AV68" s="129">
        <f t="shared" si="50"/>
        <v>0.20002053749360929</v>
      </c>
      <c r="AW68" s="129">
        <f t="shared" si="51"/>
        <v>0.38291368799097458</v>
      </c>
      <c r="AY68" s="129">
        <f t="shared" si="44"/>
        <v>0.42478421736087701</v>
      </c>
      <c r="AZ68" s="129">
        <f t="shared" si="44"/>
        <v>0.19390231859580734</v>
      </c>
      <c r="BA68" s="129">
        <f t="shared" si="44"/>
        <v>0.38120055621002391</v>
      </c>
      <c r="BB68" s="129">
        <f t="shared" si="23"/>
        <v>0.99988709216670824</v>
      </c>
      <c r="BD68" s="129">
        <f t="shared" si="15"/>
        <v>0.42483218424231239</v>
      </c>
      <c r="BE68" s="129">
        <f t="shared" si="16"/>
        <v>0.1939242141586508</v>
      </c>
      <c r="BF68" s="129">
        <f t="shared" si="24"/>
        <v>0.38124360159903681</v>
      </c>
      <c r="BI68" s="129">
        <f t="shared" si="45"/>
        <v>1.3625867597990924E-2</v>
      </c>
      <c r="BJ68" s="129">
        <f t="shared" si="45"/>
        <v>-4.1085023342744664E-2</v>
      </c>
      <c r="BK68" s="129">
        <f t="shared" si="45"/>
        <v>2.2204460492503128E-16</v>
      </c>
      <c r="BM68" s="129">
        <f t="shared" si="6"/>
        <v>0.10484141476350099</v>
      </c>
      <c r="BN68" s="129">
        <f t="shared" si="18"/>
        <v>0.32735952046864325</v>
      </c>
      <c r="BO68" s="129">
        <f t="shared" si="19"/>
        <v>0.56779906476785569</v>
      </c>
      <c r="BQ68" s="129">
        <f t="shared" si="46"/>
        <v>-8.2584567157409028E-2</v>
      </c>
      <c r="BR68" s="129">
        <f t="shared" si="46"/>
        <v>7.1145777770141416E-2</v>
      </c>
      <c r="BS68" s="129">
        <f t="shared" si="46"/>
        <v>-2.3420694185799264E-2</v>
      </c>
      <c r="BT68" s="129" t="e">
        <f>#REF!</f>
        <v>#REF!</v>
      </c>
      <c r="BU68" s="129">
        <f t="shared" si="25"/>
        <v>0.99782369781550351</v>
      </c>
      <c r="BV68" s="129">
        <f t="shared" si="21"/>
        <v>1.1434654599657248</v>
      </c>
      <c r="BW68" s="129">
        <f t="shared" si="7"/>
        <v>1.043900956439672</v>
      </c>
      <c r="BY68" s="129">
        <f t="shared" si="26"/>
        <v>0.97023527746482097</v>
      </c>
      <c r="BZ68" s="129">
        <f t="shared" si="22"/>
        <v>0.80207859869981413</v>
      </c>
      <c r="CA68" s="129">
        <f t="shared" si="8"/>
        <v>0.84718384958794868</v>
      </c>
    </row>
    <row r="69" spans="1:79" x14ac:dyDescent="0.2">
      <c r="A69" s="133" t="s">
        <v>664</v>
      </c>
      <c r="B69" s="133">
        <f t="shared" si="9"/>
        <v>2008</v>
      </c>
      <c r="D69" s="125">
        <f>'Passenger-based Energy Use'!E66</f>
        <v>94.599100952380951</v>
      </c>
      <c r="E69" s="125">
        <f>'Passenger-based Energy Use'!G66</f>
        <v>44.232621732610809</v>
      </c>
      <c r="F69" s="174">
        <f>'Passenger-based Energy Use'!H66</f>
        <v>80.963070528054999</v>
      </c>
      <c r="G69" s="125">
        <f t="shared" si="27"/>
        <v>219.79479321304674</v>
      </c>
      <c r="H69" s="125">
        <v>257</v>
      </c>
      <c r="I69" s="279">
        <v>540.89</v>
      </c>
      <c r="J69" s="125">
        <f t="shared" si="43"/>
        <v>74.2804237</v>
      </c>
      <c r="L69" s="4">
        <f>'Passenger-based Activity'!F67</f>
        <v>21757</v>
      </c>
      <c r="M69" s="4">
        <f>'Passenger-based Activity'!E67</f>
        <v>64750</v>
      </c>
      <c r="N69" s="4">
        <f>'Passenger-based Activity'!H67</f>
        <v>109272.13289129717</v>
      </c>
      <c r="O69" s="4">
        <f>L69+M69+N69</f>
        <v>195779.13289129717</v>
      </c>
      <c r="P69" s="4">
        <v>314278</v>
      </c>
      <c r="Q69" s="4">
        <v>14823</v>
      </c>
      <c r="R69" s="5">
        <f t="shared" si="55"/>
        <v>21.202050866896041</v>
      </c>
      <c r="S69" s="5"/>
      <c r="T69" s="5"/>
      <c r="V69" s="125">
        <f t="shared" si="28"/>
        <v>4347.9846004679393</v>
      </c>
      <c r="W69" s="125">
        <f t="shared" si="29"/>
        <v>683.12929316773455</v>
      </c>
      <c r="X69" s="125">
        <f t="shared" si="30"/>
        <v>740.93063241106734</v>
      </c>
      <c r="Y69" s="125">
        <f t="shared" si="31"/>
        <v>1122.6671094466633</v>
      </c>
      <c r="Z69" s="125">
        <f t="shared" si="52"/>
        <v>817.74734470755197</v>
      </c>
      <c r="AA69" s="125">
        <f t="shared" si="53"/>
        <v>17.337920798758688</v>
      </c>
      <c r="AB69" s="125">
        <f t="shared" si="54"/>
        <v>7.9998058365758746</v>
      </c>
      <c r="AD69" s="129">
        <f t="shared" si="32"/>
        <v>1.2670514286613948</v>
      </c>
      <c r="AE69" s="129">
        <f t="shared" si="33"/>
        <v>0.69507801823186699</v>
      </c>
      <c r="AF69" s="129">
        <f t="shared" si="34"/>
        <v>1.0066475026949337</v>
      </c>
      <c r="AG69" s="129">
        <f t="shared" si="35"/>
        <v>0.90368407908064885</v>
      </c>
      <c r="AI69" s="131">
        <f t="shared" si="36"/>
        <v>1.5754969854045564</v>
      </c>
      <c r="AJ69" s="131">
        <f t="shared" si="37"/>
        <v>0.90368407908064885</v>
      </c>
      <c r="AK69" s="131">
        <f t="shared" si="38"/>
        <v>0.86455284589010717</v>
      </c>
      <c r="AL69" s="131">
        <f t="shared" si="39"/>
        <v>1.045261817570277</v>
      </c>
      <c r="AM69" s="131">
        <f t="shared" si="40"/>
        <v>1.4237515423496552</v>
      </c>
      <c r="AN69" s="131">
        <f t="shared" si="41"/>
        <v>1.423751542349655</v>
      </c>
      <c r="AO69" s="131"/>
      <c r="AP69" s="131">
        <f t="shared" si="42"/>
        <v>0.90368407908064907</v>
      </c>
      <c r="AS69" s="134"/>
      <c r="AU69" s="129">
        <f t="shared" si="49"/>
        <v>0.43039737006274847</v>
      </c>
      <c r="AV69" s="129">
        <f t="shared" si="50"/>
        <v>0.20124508449904999</v>
      </c>
      <c r="AW69" s="129">
        <f t="shared" si="51"/>
        <v>0.36835754543820165</v>
      </c>
      <c r="AY69" s="129">
        <f t="shared" si="44"/>
        <v>0.42369661635985734</v>
      </c>
      <c r="AZ69" s="129">
        <f t="shared" si="44"/>
        <v>0.20063218816737294</v>
      </c>
      <c r="BA69" s="129">
        <f t="shared" si="44"/>
        <v>0.37558860695039964</v>
      </c>
      <c r="BB69" s="129">
        <f t="shared" si="23"/>
        <v>0.99991741147762991</v>
      </c>
      <c r="BD69" s="129">
        <f t="shared" si="15"/>
        <v>0.42373161172755142</v>
      </c>
      <c r="BE69" s="129">
        <f t="shared" si="16"/>
        <v>0.20064875945193147</v>
      </c>
      <c r="BF69" s="129">
        <f t="shared" si="24"/>
        <v>0.37561962882051714</v>
      </c>
      <c r="BI69" s="129">
        <f t="shared" si="45"/>
        <v>-5.1923609597050308E-3</v>
      </c>
      <c r="BJ69" s="129">
        <f t="shared" si="45"/>
        <v>1.7458114387661757E-2</v>
      </c>
      <c r="BK69" s="129">
        <f t="shared" si="45"/>
        <v>0</v>
      </c>
      <c r="BM69" s="129">
        <f>L69/O69</f>
        <v>0.11113033181161437</v>
      </c>
      <c r="BN69" s="129">
        <f>M69/O69</f>
        <v>0.33072983337785683</v>
      </c>
      <c r="BO69" s="129">
        <f>N69/O69</f>
        <v>0.55813983481052876</v>
      </c>
      <c r="BQ69" s="129">
        <f t="shared" si="46"/>
        <v>5.8254800124731831E-2</v>
      </c>
      <c r="BR69" s="129">
        <f t="shared" si="46"/>
        <v>1.0242810815510584E-2</v>
      </c>
      <c r="BS69" s="129">
        <f t="shared" si="46"/>
        <v>-1.7158065916838855E-2</v>
      </c>
      <c r="BT69" s="129" t="e">
        <f>#REF!</f>
        <v>#REF!</v>
      </c>
      <c r="BU69" s="129">
        <f t="shared" si="25"/>
        <v>1.0013036305046088</v>
      </c>
      <c r="BV69" s="129">
        <f t="shared" si="21"/>
        <v>1.1449561164203026</v>
      </c>
      <c r="BW69" s="129">
        <f t="shared" si="7"/>
        <v>1.045261817570277</v>
      </c>
      <c r="BY69" s="129">
        <f t="shared" si="26"/>
        <v>1.0205020389737203</v>
      </c>
      <c r="BZ69" s="129">
        <f t="shared" si="22"/>
        <v>0.8185228453903447</v>
      </c>
      <c r="CA69" s="129">
        <f t="shared" si="8"/>
        <v>0.86455284589010717</v>
      </c>
    </row>
    <row r="70" spans="1:79" x14ac:dyDescent="0.2">
      <c r="A70" s="133" t="s">
        <v>664</v>
      </c>
      <c r="B70" s="133">
        <f t="shared" si="9"/>
        <v>2009</v>
      </c>
      <c r="D70" s="125">
        <f>'Passenger-based Energy Use'!E67</f>
        <v>91.275816666666671</v>
      </c>
      <c r="E70" s="125">
        <f>'Passenger-based Energy Use'!G67</f>
        <v>44.409738868645192</v>
      </c>
      <c r="F70" s="174">
        <f>'Passenger-based Energy Use'!H67</f>
        <v>83.216419612653397</v>
      </c>
      <c r="G70" s="125">
        <f t="shared" si="27"/>
        <v>218.90197514796526</v>
      </c>
      <c r="H70" s="125">
        <v>248</v>
      </c>
      <c r="I70" s="279">
        <v>556</v>
      </c>
      <c r="J70" s="125">
        <f t="shared" si="43"/>
        <v>76.35548</v>
      </c>
      <c r="L70" s="4">
        <f>'Passenger-based Activity'!F68</f>
        <v>21477</v>
      </c>
      <c r="M70" s="4">
        <f>'Passenger-based Activity'!E68</f>
        <v>64600</v>
      </c>
      <c r="N70" s="4">
        <f>'Passenger-based Activity'!H68</f>
        <v>112313.37452179336</v>
      </c>
      <c r="O70" s="4">
        <f>L70+M70+N70</f>
        <v>198390.37452179336</v>
      </c>
      <c r="P70" s="4">
        <v>305014</v>
      </c>
      <c r="Q70" s="4">
        <v>14387</v>
      </c>
      <c r="R70" s="5">
        <f t="shared" si="55"/>
        <v>21.200667269062347</v>
      </c>
      <c r="S70" s="5"/>
      <c r="T70" s="5"/>
      <c r="V70" s="125">
        <f t="shared" si="28"/>
        <v>4249.9332619391289</v>
      </c>
      <c r="W70" s="125">
        <f t="shared" si="29"/>
        <v>687.45725802856327</v>
      </c>
      <c r="X70" s="125">
        <f t="shared" si="30"/>
        <v>740.93063241106722</v>
      </c>
      <c r="Y70" s="125">
        <f t="shared" si="31"/>
        <v>1103.3900998252245</v>
      </c>
      <c r="Z70" s="125">
        <f t="shared" si="52"/>
        <v>813.07743251129455</v>
      </c>
      <c r="AA70" s="125">
        <f t="shared" si="53"/>
        <v>17.237784110655454</v>
      </c>
      <c r="AB70" s="125">
        <f t="shared" si="54"/>
        <v>8.0462778225806453</v>
      </c>
      <c r="AD70" s="129">
        <f t="shared" si="32"/>
        <v>1.2384781700183625</v>
      </c>
      <c r="AE70" s="129">
        <f t="shared" si="33"/>
        <v>0.69948168422676571</v>
      </c>
      <c r="AF70" s="129">
        <f t="shared" si="34"/>
        <v>1.0066475026949335</v>
      </c>
      <c r="AG70" s="129">
        <f t="shared" si="35"/>
        <v>0.88816716712999522</v>
      </c>
      <c r="AI70" s="131">
        <f t="shared" si="36"/>
        <v>1.5965104777837154</v>
      </c>
      <c r="AJ70" s="131">
        <f t="shared" si="37"/>
        <v>0.88816716712999522</v>
      </c>
      <c r="AK70" s="131">
        <f t="shared" si="38"/>
        <v>0.8568647672729679</v>
      </c>
      <c r="AL70" s="131">
        <f t="shared" si="39"/>
        <v>1.0365313186544585</v>
      </c>
      <c r="AM70" s="131">
        <f t="shared" si="40"/>
        <v>1.4179681883465174</v>
      </c>
      <c r="AN70" s="131">
        <f t="shared" si="41"/>
        <v>1.4179681883465176</v>
      </c>
      <c r="AO70" s="131"/>
      <c r="AP70" s="131">
        <f t="shared" si="42"/>
        <v>0.88816716712999511</v>
      </c>
      <c r="AS70" s="134"/>
      <c r="AU70" s="129">
        <f t="shared" si="49"/>
        <v>0.41697118815382739</v>
      </c>
      <c r="AV70" s="129">
        <f t="shared" si="50"/>
        <v>0.20287500301734024</v>
      </c>
      <c r="AW70" s="129">
        <f t="shared" si="51"/>
        <v>0.38015380882883237</v>
      </c>
      <c r="AY70" s="129">
        <f t="shared" si="44"/>
        <v>0.42364882141036431</v>
      </c>
      <c r="AZ70" s="129">
        <f t="shared" si="44"/>
        <v>0.20205894810783978</v>
      </c>
      <c r="BA70" s="129">
        <f t="shared" si="44"/>
        <v>0.37422469095307065</v>
      </c>
      <c r="BB70" s="129">
        <f t="shared" si="23"/>
        <v>0.99993246047127471</v>
      </c>
      <c r="BD70" s="129">
        <f t="shared" si="15"/>
        <v>0.42367743638474925</v>
      </c>
      <c r="BE70" s="129">
        <f t="shared" si="16"/>
        <v>0.20207259599574162</v>
      </c>
      <c r="BF70" s="129">
        <f t="shared" si="24"/>
        <v>0.37424996761950913</v>
      </c>
      <c r="BI70" s="129">
        <f t="shared" si="45"/>
        <v>-2.2809147762102411E-2</v>
      </c>
      <c r="BJ70" s="129">
        <f t="shared" si="45"/>
        <v>6.3155139562299954E-3</v>
      </c>
      <c r="BK70" s="129">
        <f t="shared" si="45"/>
        <v>-2.2204460492503131E-16</v>
      </c>
      <c r="BM70" s="129">
        <f>L70/O70</f>
        <v>0.1082562601727471</v>
      </c>
      <c r="BN70" s="129">
        <f>M70/O70</f>
        <v>0.32562063636259547</v>
      </c>
      <c r="BO70" s="129">
        <f>N70/O70</f>
        <v>0.56612310346465744</v>
      </c>
      <c r="BQ70" s="129">
        <f t="shared" si="46"/>
        <v>-2.6202477084449078E-2</v>
      </c>
      <c r="BR70" s="129">
        <f t="shared" si="46"/>
        <v>-1.5568817121632397E-2</v>
      </c>
      <c r="BS70" s="129">
        <f t="shared" si="46"/>
        <v>1.4202020836217749E-2</v>
      </c>
      <c r="BT70" s="129" t="e">
        <f>#REF!</f>
        <v>#REF!</v>
      </c>
      <c r="BU70" s="129">
        <f t="shared" si="25"/>
        <v>0.99164754823235346</v>
      </c>
      <c r="BV70" s="129">
        <f t="shared" si="21"/>
        <v>1.13539292568183</v>
      </c>
      <c r="BW70" s="129">
        <f t="shared" si="7"/>
        <v>1.0365313186544585</v>
      </c>
      <c r="BY70" s="129">
        <f t="shared" si="26"/>
        <v>0.99110745091675234</v>
      </c>
      <c r="BZ70" s="129">
        <f t="shared" si="22"/>
        <v>0.81124409081195148</v>
      </c>
      <c r="CA70" s="129">
        <f t="shared" si="8"/>
        <v>0.8568647672729679</v>
      </c>
    </row>
    <row r="71" spans="1:79" x14ac:dyDescent="0.2">
      <c r="A71" s="133" t="s">
        <v>664</v>
      </c>
      <c r="B71" s="133">
        <f t="shared" si="9"/>
        <v>2010</v>
      </c>
      <c r="D71" s="125">
        <f>'Passenger-based Energy Use'!E68</f>
        <v>86.633312857142855</v>
      </c>
      <c r="E71" s="125">
        <f>'Passenger-based Energy Use'!G68</f>
        <v>44.56663739615319</v>
      </c>
      <c r="F71" s="174">
        <f>'Passenger-based Energy Use'!H68</f>
        <v>80.997946282793009</v>
      </c>
      <c r="G71" s="125">
        <f t="shared" si="27"/>
        <v>212.19789653608905</v>
      </c>
      <c r="H71" s="125">
        <v>240</v>
      </c>
      <c r="I71" s="279">
        <v>532.15</v>
      </c>
      <c r="J71" s="125">
        <f t="shared" si="43"/>
        <v>73.080159499999993</v>
      </c>
      <c r="L71" s="4">
        <f>'Passenger-based Activity'!F69</f>
        <v>21013</v>
      </c>
      <c r="M71" s="4">
        <f>'Passenger-based Activity'!E69</f>
        <v>62523.569726596084</v>
      </c>
      <c r="N71" s="4">
        <f>'Passenger-based Activity'!H69</f>
        <v>109319.20309357041</v>
      </c>
      <c r="O71" s="4">
        <f>L71+M71+N71</f>
        <v>192855.77282016649</v>
      </c>
      <c r="P71" s="4">
        <v>292319</v>
      </c>
      <c r="Q71" s="4">
        <v>13770</v>
      </c>
      <c r="R71" s="5">
        <f t="shared" si="55"/>
        <v>21.228685548293392</v>
      </c>
      <c r="S71" s="5"/>
      <c r="T71" s="5"/>
      <c r="V71" s="125">
        <f t="shared" si="28"/>
        <v>4122.8436138172965</v>
      </c>
      <c r="W71" s="125">
        <f t="shared" si="29"/>
        <v>712.79739130434791</v>
      </c>
      <c r="X71" s="125">
        <f t="shared" si="30"/>
        <v>740.93063241106711</v>
      </c>
      <c r="Y71" s="125">
        <f t="shared" si="31"/>
        <v>1100.2932058142674</v>
      </c>
      <c r="Z71" s="125">
        <f t="shared" si="52"/>
        <v>821.02087103472581</v>
      </c>
      <c r="AA71" s="125">
        <f t="shared" si="53"/>
        <v>17.429193899782138</v>
      </c>
      <c r="AB71" s="125">
        <f t="shared" si="54"/>
        <v>7.9579124999999999</v>
      </c>
      <c r="AD71" s="129">
        <f t="shared" si="32"/>
        <v>1.2014428226062508</v>
      </c>
      <c r="AE71" s="129">
        <f t="shared" si="33"/>
        <v>0.72526504587619656</v>
      </c>
      <c r="AF71" s="129">
        <f t="shared" si="34"/>
        <v>1.0066475026949335</v>
      </c>
      <c r="AG71" s="129">
        <f t="shared" si="35"/>
        <v>0.88567434108320597</v>
      </c>
      <c r="AI71" s="131">
        <f t="shared" si="36"/>
        <v>1.5519717766077858</v>
      </c>
      <c r="AJ71" s="131">
        <f t="shared" si="37"/>
        <v>0.88567434108320597</v>
      </c>
      <c r="AK71" s="131">
        <f t="shared" si="38"/>
        <v>0.85878974766342941</v>
      </c>
      <c r="AL71" s="131">
        <f t="shared" si="39"/>
        <v>1.0313052100271614</v>
      </c>
      <c r="AM71" s="131">
        <f t="shared" si="40"/>
        <v>1.3745415806268333</v>
      </c>
      <c r="AN71" s="131">
        <f t="shared" si="41"/>
        <v>1.3745415806268335</v>
      </c>
      <c r="AO71" s="131"/>
      <c r="AP71" s="131">
        <f t="shared" si="42"/>
        <v>0.88567434108320597</v>
      </c>
      <c r="AS71" s="134"/>
      <c r="AU71" s="129">
        <f t="shared" si="49"/>
        <v>0.40826659581146652</v>
      </c>
      <c r="AV71" s="129">
        <f t="shared" si="50"/>
        <v>0.21002393578662842</v>
      </c>
      <c r="AW71" s="129">
        <f t="shared" si="51"/>
        <v>0.38170946840190512</v>
      </c>
      <c r="AY71" s="129">
        <f t="shared" si="44"/>
        <v>0.41260358888304505</v>
      </c>
      <c r="AZ71" s="129">
        <f t="shared" si="44"/>
        <v>0.20642883831404948</v>
      </c>
      <c r="BA71" s="129">
        <f t="shared" si="44"/>
        <v>0.38093110919417117</v>
      </c>
      <c r="BB71" s="129">
        <f t="shared" si="23"/>
        <v>0.99996353639126567</v>
      </c>
      <c r="BD71" s="129">
        <f t="shared" si="15"/>
        <v>0.41261863444748803</v>
      </c>
      <c r="BE71" s="129">
        <f t="shared" si="16"/>
        <v>0.20643636572891796</v>
      </c>
      <c r="BF71" s="129">
        <f t="shared" si="24"/>
        <v>0.38094499982359403</v>
      </c>
      <c r="BI71" s="129">
        <f t="shared" si="45"/>
        <v>-3.0360156926753534E-2</v>
      </c>
      <c r="BJ71" s="129">
        <f t="shared" si="45"/>
        <v>3.6197558895822692E-2</v>
      </c>
      <c r="BK71" s="129">
        <f t="shared" si="45"/>
        <v>0</v>
      </c>
      <c r="BM71" s="129">
        <f>L71/O71</f>
        <v>0.10895707031593051</v>
      </c>
      <c r="BN71" s="129">
        <f>M71/O71</f>
        <v>0.3241985905441257</v>
      </c>
      <c r="BO71" s="129">
        <f>N71/O71</f>
        <v>0.56684433913994381</v>
      </c>
      <c r="BQ71" s="129">
        <f t="shared" si="46"/>
        <v>6.4527584315823552E-3</v>
      </c>
      <c r="BR71" s="129">
        <f t="shared" si="46"/>
        <v>-4.3767498086820346E-3</v>
      </c>
      <c r="BS71" s="129">
        <f t="shared" si="46"/>
        <v>1.2731800501777873E-3</v>
      </c>
      <c r="BT71" s="129" t="e">
        <f>#REF!</f>
        <v>#REF!</v>
      </c>
      <c r="BU71" s="129">
        <f t="shared" si="25"/>
        <v>0.99495807938144964</v>
      </c>
      <c r="BV71" s="129">
        <f t="shared" si="21"/>
        <v>1.1296683646796786</v>
      </c>
      <c r="BW71" s="129">
        <f t="shared" si="7"/>
        <v>1.0313052100271614</v>
      </c>
      <c r="BY71" s="129">
        <f t="shared" si="26"/>
        <v>1.0022465393186697</v>
      </c>
      <c r="BZ71" s="129">
        <f t="shared" si="22"/>
        <v>0.813066582558999</v>
      </c>
      <c r="CA71" s="129">
        <f t="shared" si="8"/>
        <v>0.85878974766342941</v>
      </c>
    </row>
    <row r="72" spans="1:79" x14ac:dyDescent="0.2">
      <c r="A72" s="133" t="s">
        <v>664</v>
      </c>
      <c r="B72" s="133">
        <f t="shared" si="9"/>
        <v>2011</v>
      </c>
      <c r="D72" s="125">
        <f>'Passenger-based Energy Use'!E69</f>
        <v>91.022176666666667</v>
      </c>
      <c r="E72" s="125">
        <f>'Passenger-based Energy Use'!G69</f>
        <v>42.935339814653339</v>
      </c>
      <c r="F72" s="174">
        <f>'Passenger-based Energy Use'!H69</f>
        <v>75.47035762981784</v>
      </c>
      <c r="G72" s="125">
        <f t="shared" si="27"/>
        <v>209.42787411113784</v>
      </c>
      <c r="H72" s="125">
        <v>242</v>
      </c>
      <c r="I72" s="279">
        <v>532.15</v>
      </c>
      <c r="J72" s="125">
        <f t="shared" si="43"/>
        <v>73.080159499999993</v>
      </c>
      <c r="L72" s="4">
        <f>'Passenger-based Activity'!F70</f>
        <v>21414</v>
      </c>
      <c r="M72" s="4">
        <f>'Passenger-based Activity'!E70</f>
        <v>68371.375899952662</v>
      </c>
      <c r="N72" s="4">
        <f>'Passenger-based Activity'!H70</f>
        <v>101858.87089622582</v>
      </c>
      <c r="O72" s="4">
        <f>L72+M72+N72</f>
        <v>191644.24679617849</v>
      </c>
      <c r="P72" s="4">
        <v>292192</v>
      </c>
      <c r="Q72" s="4">
        <v>13783</v>
      </c>
      <c r="R72" s="5">
        <f t="shared" si="55"/>
        <v>21.199448596096641</v>
      </c>
      <c r="S72" s="5"/>
      <c r="T72" s="5"/>
      <c r="V72" s="125">
        <f t="shared" si="28"/>
        <v>4250.5919803243987</v>
      </c>
      <c r="W72" s="125">
        <f t="shared" si="29"/>
        <v>627.97244094488178</v>
      </c>
      <c r="X72" s="125">
        <f t="shared" si="30"/>
        <v>740.93063241106711</v>
      </c>
      <c r="Y72" s="125">
        <f t="shared" si="31"/>
        <v>1092.7949970440436</v>
      </c>
      <c r="Z72" s="125">
        <f t="shared" si="52"/>
        <v>828.22253860475303</v>
      </c>
      <c r="AA72" s="125">
        <f t="shared" si="53"/>
        <v>17.557861133280127</v>
      </c>
      <c r="AB72" s="125">
        <f t="shared" si="54"/>
        <v>7.8995954545454543</v>
      </c>
      <c r="AD72" s="129">
        <f t="shared" si="32"/>
        <v>1.2386701279363026</v>
      </c>
      <c r="AE72" s="129">
        <f t="shared" si="33"/>
        <v>0.63895640857699465</v>
      </c>
      <c r="AF72" s="129">
        <f t="shared" si="34"/>
        <v>1.0066475026949335</v>
      </c>
      <c r="AG72" s="129">
        <f t="shared" si="35"/>
        <v>0.87963870342155415</v>
      </c>
      <c r="AI72" s="131">
        <f t="shared" si="36"/>
        <v>1.5422222411473747</v>
      </c>
      <c r="AJ72" s="131">
        <f t="shared" si="37"/>
        <v>0.87963870342155415</v>
      </c>
      <c r="AK72" s="131">
        <f t="shared" si="38"/>
        <v>0.86447695164000338</v>
      </c>
      <c r="AL72" s="131">
        <f t="shared" si="39"/>
        <v>1.0175386420109724</v>
      </c>
      <c r="AM72" s="131">
        <f t="shared" si="40"/>
        <v>1.3565983725907602</v>
      </c>
      <c r="AN72" s="131">
        <f t="shared" si="41"/>
        <v>1.3565983725907602</v>
      </c>
      <c r="AO72" s="131"/>
      <c r="AP72" s="131">
        <f t="shared" si="42"/>
        <v>0.87963870342155415</v>
      </c>
      <c r="AS72" s="134"/>
      <c r="AU72" s="129">
        <f t="shared" si="49"/>
        <v>0.43462302739301839</v>
      </c>
      <c r="AV72" s="129">
        <f t="shared" si="50"/>
        <v>0.20501253711752185</v>
      </c>
      <c r="AW72" s="129">
        <f t="shared" si="51"/>
        <v>0.36036443548945979</v>
      </c>
      <c r="AY72" s="129">
        <f t="shared" ref="AY72:BA72" si="56">(AU72-AU71)/LN(AU72/AU71)</f>
        <v>0.4213074186224911</v>
      </c>
      <c r="AZ72" s="129">
        <f t="shared" si="56"/>
        <v>0.20750815095568093</v>
      </c>
      <c r="BA72" s="129">
        <f t="shared" si="56"/>
        <v>0.37093460117950039</v>
      </c>
      <c r="BB72" s="129">
        <f t="shared" si="23"/>
        <v>0.99975017075767247</v>
      </c>
      <c r="BD72" s="129">
        <f t="shared" si="15"/>
        <v>0.42141269983799884</v>
      </c>
      <c r="BE72" s="129">
        <f t="shared" si="16"/>
        <v>0.20756000551459614</v>
      </c>
      <c r="BF72" s="129">
        <f t="shared" si="24"/>
        <v>0.37102729464740497</v>
      </c>
      <c r="BI72" s="129">
        <f t="shared" ref="BI72:BK72" si="57">LN(AD72/AD71)</f>
        <v>3.0515139911407935E-2</v>
      </c>
      <c r="BJ72" s="129">
        <f t="shared" si="57"/>
        <v>-0.12670093470408916</v>
      </c>
      <c r="BK72" s="129">
        <f t="shared" si="57"/>
        <v>0</v>
      </c>
      <c r="BM72" s="129">
        <f>L72/O72</f>
        <v>0.11173828778055971</v>
      </c>
      <c r="BN72" s="129">
        <f>M72/O72</f>
        <v>0.35676195368738839</v>
      </c>
      <c r="BO72" s="129">
        <f>N72/O72</f>
        <v>0.53149975853205189</v>
      </c>
      <c r="BQ72" s="129">
        <f t="shared" ref="BQ72:BS72" si="58">LN(BM72/BM71)</f>
        <v>2.5205466331032055E-2</v>
      </c>
      <c r="BR72" s="129">
        <f t="shared" si="58"/>
        <v>9.5712501174872164E-2</v>
      </c>
      <c r="BS72" s="129">
        <f t="shared" si="58"/>
        <v>-6.438198842384335E-2</v>
      </c>
      <c r="BT72" s="129" t="e">
        <f>#REF!</f>
        <v>#REF!</v>
      </c>
      <c r="BU72" s="129">
        <f t="shared" si="25"/>
        <v>0.98665131536005091</v>
      </c>
      <c r="BV72" s="129">
        <f t="shared" si="21"/>
        <v>1.1145887779318426</v>
      </c>
      <c r="BW72" s="129">
        <f t="shared" si="7"/>
        <v>1.0175386420109724</v>
      </c>
      <c r="BY72" s="129">
        <f t="shared" si="26"/>
        <v>1.0066223473114899</v>
      </c>
      <c r="BZ72" s="129">
        <f t="shared" si="22"/>
        <v>0.81845099185607084</v>
      </c>
      <c r="CA72" s="129">
        <f t="shared" si="8"/>
        <v>0.86447695164000338</v>
      </c>
    </row>
    <row r="73" spans="1:79" hidden="1" x14ac:dyDescent="0.2">
      <c r="A73" s="133"/>
      <c r="B73" s="133"/>
      <c r="AS73" s="134"/>
    </row>
    <row r="74" spans="1:79" hidden="1" x14ac:dyDescent="0.2">
      <c r="A74" s="133" t="s">
        <v>684</v>
      </c>
      <c r="B74" s="133">
        <f>Base_year</f>
        <v>1985</v>
      </c>
      <c r="G74" s="129">
        <f>INDEX(G10:G71,Base_row,0)</f>
        <v>154.37721166595793</v>
      </c>
      <c r="H74" s="129"/>
      <c r="I74" s="129"/>
      <c r="J74" s="129"/>
      <c r="O74" s="138">
        <f>INDEX(O10:O71,Base_row,0)</f>
        <v>124264.99999999999</v>
      </c>
      <c r="P74" s="138"/>
      <c r="Q74" s="138"/>
      <c r="R74" s="138"/>
      <c r="S74" s="138"/>
      <c r="T74" s="138"/>
      <c r="V74" s="129">
        <f>INDEX(V10:V71,Base_row,0)</f>
        <v>3431.5770473985153</v>
      </c>
      <c r="W74" s="129">
        <f>INDEX(W10:W71,Base_row,0)</f>
        <v>982.80951957806485</v>
      </c>
      <c r="X74" s="129">
        <f>INDEX(X10:X71,Base_row,0)</f>
        <v>736.03781902552203</v>
      </c>
      <c r="Y74" s="129">
        <f>INDEX(Y10:Y71,Base_row,0)</f>
        <v>1242.3225499212003</v>
      </c>
      <c r="Z74" s="129"/>
      <c r="AA74" s="129"/>
      <c r="AB74" s="129"/>
      <c r="AS74" s="134"/>
      <c r="BV74" s="129">
        <f>INDEX(BV10:BV71,Base_row,1)</f>
        <v>1.0953773467797439</v>
      </c>
      <c r="BZ74" s="129">
        <f>INDEX(BZ10:BZ71,Base_row,1)</f>
        <v>0.94675860392042088</v>
      </c>
    </row>
    <row r="75" spans="1:79" hidden="1" x14ac:dyDescent="0.2">
      <c r="A75" s="133" t="s">
        <v>683</v>
      </c>
      <c r="B75" s="133">
        <f>Base_year2</f>
        <v>1996</v>
      </c>
      <c r="O75" s="138">
        <f>INDEX(O10:O71,Base_row2,0)</f>
        <v>156402.81612789549</v>
      </c>
      <c r="P75" s="138"/>
      <c r="Q75" s="138"/>
      <c r="R75" s="138"/>
      <c r="S75" s="138"/>
      <c r="T75" s="138"/>
      <c r="V75" s="129">
        <f>INDEX(V10:V71,Base_row2,0)</f>
        <v>4343.5968422706337</v>
      </c>
      <c r="W75" s="129">
        <f>INDEX(W10:W71,Base_row2,0)</f>
        <v>1048.79113548347</v>
      </c>
      <c r="X75" s="129">
        <f>INDEX(X10:X71,Base_row2,0)</f>
        <v>740.93063241106711</v>
      </c>
      <c r="Y75" s="129">
        <f>INDEX(Y10:Y71,Base_row2,0)</f>
        <v>1237.4875254049637</v>
      </c>
      <c r="Z75" s="129"/>
      <c r="AA75" s="129"/>
      <c r="AB75" s="129"/>
      <c r="AS75" s="134"/>
    </row>
    <row r="76" spans="1:79" x14ac:dyDescent="0.2">
      <c r="A76" s="133"/>
      <c r="B76" s="133"/>
      <c r="AS76" s="134"/>
    </row>
    <row r="77" spans="1:79" x14ac:dyDescent="0.2">
      <c r="A77" s="133"/>
      <c r="B77" s="133"/>
      <c r="AS77" s="134"/>
    </row>
    <row r="78" spans="1:79" x14ac:dyDescent="0.2">
      <c r="A78" s="133"/>
      <c r="B78" s="133"/>
      <c r="AS78" s="134"/>
    </row>
    <row r="79" spans="1:79" x14ac:dyDescent="0.2">
      <c r="A79" s="133"/>
      <c r="B79" s="133"/>
      <c r="AS79" s="134"/>
    </row>
    <row r="80" spans="1:79" x14ac:dyDescent="0.2">
      <c r="A80" s="133"/>
      <c r="B80" s="133"/>
      <c r="F80" s="146" t="s">
        <v>70</v>
      </c>
      <c r="G80" s="146"/>
      <c r="H80" s="146"/>
      <c r="I80" s="146"/>
      <c r="J80" s="146"/>
      <c r="K80" s="146"/>
      <c r="L80" s="146"/>
      <c r="M80" s="146"/>
      <c r="N80" s="146"/>
      <c r="O80" s="146"/>
      <c r="P80" s="146"/>
      <c r="Q80" s="146"/>
      <c r="R80" s="146"/>
      <c r="S80" s="146"/>
      <c r="T80" s="146"/>
      <c r="U80" s="146"/>
      <c r="V80" s="146"/>
      <c r="AS80" s="134"/>
    </row>
    <row r="81" spans="1:45" x14ac:dyDescent="0.2">
      <c r="A81" s="133"/>
      <c r="B81" s="133"/>
      <c r="AS81" s="134"/>
    </row>
    <row r="82" spans="1:45" x14ac:dyDescent="0.2">
      <c r="A82" s="133"/>
      <c r="B82" s="133"/>
      <c r="AS82" s="134"/>
    </row>
    <row r="83" spans="1:45" x14ac:dyDescent="0.2">
      <c r="A83" s="133"/>
      <c r="B83" s="133"/>
      <c r="AS83" s="134"/>
    </row>
    <row r="84" spans="1:45" x14ac:dyDescent="0.2">
      <c r="A84" s="133"/>
      <c r="B84" s="133"/>
      <c r="AS84" s="134"/>
    </row>
    <row r="85" spans="1:45" x14ac:dyDescent="0.2">
      <c r="A85" s="133"/>
      <c r="B85" s="133"/>
      <c r="AS85" s="134"/>
    </row>
    <row r="86" spans="1:45" x14ac:dyDescent="0.2">
      <c r="A86" s="133"/>
      <c r="B86" s="133"/>
      <c r="AS86" s="134"/>
    </row>
    <row r="87" spans="1:45" x14ac:dyDescent="0.2">
      <c r="A87" s="133"/>
      <c r="B87" s="133"/>
      <c r="AS87" s="134"/>
    </row>
    <row r="88" spans="1:45" x14ac:dyDescent="0.2">
      <c r="A88" s="133"/>
      <c r="B88" s="133"/>
      <c r="AS88" s="134"/>
    </row>
    <row r="89" spans="1:45" x14ac:dyDescent="0.2">
      <c r="A89" s="133"/>
      <c r="B89" s="133"/>
      <c r="AS89" s="134"/>
    </row>
    <row r="90" spans="1:45" x14ac:dyDescent="0.2">
      <c r="A90" s="133"/>
      <c r="B90" s="133"/>
      <c r="AS90" s="134"/>
    </row>
    <row r="91" spans="1:45" x14ac:dyDescent="0.2">
      <c r="A91" s="133"/>
      <c r="B91" s="133"/>
      <c r="AS91" s="134"/>
    </row>
    <row r="92" spans="1:45" x14ac:dyDescent="0.2">
      <c r="A92" s="133"/>
      <c r="B92" s="133"/>
      <c r="AS92" s="134"/>
    </row>
    <row r="93" spans="1:45" x14ac:dyDescent="0.2">
      <c r="A93" s="133"/>
      <c r="B93" s="133"/>
      <c r="AS93" s="134"/>
    </row>
    <row r="94" spans="1:45" x14ac:dyDescent="0.2">
      <c r="A94" s="133"/>
      <c r="B94" s="133"/>
      <c r="AS94" s="134"/>
    </row>
    <row r="95" spans="1:45" x14ac:dyDescent="0.2">
      <c r="A95" s="133"/>
      <c r="B95" s="133"/>
      <c r="AS95" s="134"/>
    </row>
    <row r="96" spans="1:45" x14ac:dyDescent="0.2">
      <c r="A96" s="133"/>
      <c r="B96" s="133"/>
      <c r="AS96" s="134"/>
    </row>
    <row r="97" spans="1:45" x14ac:dyDescent="0.2">
      <c r="A97" s="133"/>
      <c r="B97" s="133"/>
      <c r="AS97" s="134"/>
    </row>
    <row r="98" spans="1:45" x14ac:dyDescent="0.2">
      <c r="A98" s="133"/>
      <c r="B98" s="133"/>
      <c r="AS98" s="134"/>
    </row>
    <row r="99" spans="1:45" x14ac:dyDescent="0.2">
      <c r="A99" s="133"/>
      <c r="B99" s="133"/>
      <c r="AS99" s="134"/>
    </row>
    <row r="100" spans="1:45" x14ac:dyDescent="0.2">
      <c r="A100" s="133"/>
      <c r="B100" s="133"/>
      <c r="AS100" s="134"/>
    </row>
    <row r="101" spans="1:45" x14ac:dyDescent="0.2">
      <c r="A101" s="133"/>
      <c r="B101" s="133"/>
      <c r="AS101" s="134"/>
    </row>
    <row r="102" spans="1:45" x14ac:dyDescent="0.2">
      <c r="A102" s="133"/>
      <c r="B102" s="133"/>
      <c r="AS102" s="134"/>
    </row>
    <row r="103" spans="1:45" x14ac:dyDescent="0.2">
      <c r="A103" s="133"/>
      <c r="B103" s="133"/>
      <c r="AS103" s="134"/>
    </row>
    <row r="104" spans="1:45" x14ac:dyDescent="0.2">
      <c r="A104" s="133"/>
      <c r="B104" s="133"/>
      <c r="AS104" s="134"/>
    </row>
    <row r="105" spans="1:45" x14ac:dyDescent="0.2">
      <c r="A105" s="133"/>
      <c r="B105" s="133"/>
      <c r="AS105" s="134"/>
    </row>
    <row r="106" spans="1:45" x14ac:dyDescent="0.2">
      <c r="A106" s="133"/>
      <c r="B106" s="133"/>
      <c r="AS106" s="134"/>
    </row>
    <row r="107" spans="1:45" x14ac:dyDescent="0.2">
      <c r="A107" s="133"/>
      <c r="B107" s="133"/>
      <c r="AS107" s="134"/>
    </row>
    <row r="108" spans="1:45" x14ac:dyDescent="0.2">
      <c r="A108" s="133"/>
      <c r="B108" s="133"/>
      <c r="AS108" s="134"/>
    </row>
    <row r="109" spans="1:45" x14ac:dyDescent="0.2">
      <c r="A109" s="133"/>
      <c r="B109" s="133"/>
      <c r="AS109" s="134"/>
    </row>
    <row r="110" spans="1:45" x14ac:dyDescent="0.2">
      <c r="A110" s="133"/>
      <c r="B110" s="133"/>
      <c r="AS110" s="134"/>
    </row>
    <row r="111" spans="1:45" x14ac:dyDescent="0.2">
      <c r="A111" s="133"/>
      <c r="B111" s="133"/>
      <c r="AS111" s="134"/>
    </row>
    <row r="112" spans="1:45" x14ac:dyDescent="0.2">
      <c r="A112" s="133"/>
      <c r="B112" s="133"/>
      <c r="AS112" s="134"/>
    </row>
    <row r="113" spans="1:45" x14ac:dyDescent="0.2">
      <c r="A113" s="133"/>
      <c r="B113" s="133"/>
      <c r="AS113" s="134"/>
    </row>
    <row r="114" spans="1:45" x14ac:dyDescent="0.2">
      <c r="A114" s="133"/>
      <c r="B114" s="133"/>
      <c r="AS114" s="134"/>
    </row>
    <row r="115" spans="1:45" x14ac:dyDescent="0.2">
      <c r="A115" s="133"/>
      <c r="B115" s="133"/>
      <c r="AS115" s="134"/>
    </row>
    <row r="116" spans="1:45" x14ac:dyDescent="0.2">
      <c r="A116" s="133"/>
      <c r="B116" s="133"/>
      <c r="AS116" s="134"/>
    </row>
    <row r="117" spans="1:45" x14ac:dyDescent="0.2">
      <c r="A117" s="133"/>
      <c r="B117" s="133"/>
      <c r="AS117" s="134"/>
    </row>
    <row r="118" spans="1:45" x14ac:dyDescent="0.2">
      <c r="A118" s="133"/>
      <c r="B118" s="133"/>
      <c r="AS118" s="134"/>
    </row>
    <row r="119" spans="1:45" x14ac:dyDescent="0.2">
      <c r="A119" s="133"/>
      <c r="B119" s="133"/>
      <c r="AS119" s="134"/>
    </row>
    <row r="120" spans="1:45" x14ac:dyDescent="0.2">
      <c r="A120" s="133"/>
      <c r="B120" s="133"/>
      <c r="AS120" s="134"/>
    </row>
    <row r="121" spans="1:45" x14ac:dyDescent="0.2">
      <c r="A121" s="133"/>
      <c r="B121" s="133"/>
      <c r="AS121" s="134"/>
    </row>
    <row r="122" spans="1:45" x14ac:dyDescent="0.2">
      <c r="A122" s="133"/>
      <c r="B122" s="133"/>
      <c r="AS122" s="134"/>
    </row>
    <row r="123" spans="1:45" x14ac:dyDescent="0.2">
      <c r="A123" s="133"/>
      <c r="B123" s="133"/>
      <c r="AS123" s="134"/>
    </row>
    <row r="124" spans="1:45" x14ac:dyDescent="0.2">
      <c r="A124" s="133"/>
      <c r="B124" s="133"/>
      <c r="AS124" s="134"/>
    </row>
    <row r="125" spans="1:45" x14ac:dyDescent="0.2">
      <c r="A125" s="133"/>
      <c r="B125" s="133"/>
      <c r="AS125" s="134"/>
    </row>
    <row r="126" spans="1:45" x14ac:dyDescent="0.2">
      <c r="A126" s="133"/>
      <c r="B126" s="133"/>
      <c r="AS126" s="134"/>
    </row>
    <row r="127" spans="1:45" x14ac:dyDescent="0.2">
      <c r="A127" s="133"/>
      <c r="B127" s="133"/>
      <c r="AS127" s="134"/>
    </row>
    <row r="128" spans="1:45" x14ac:dyDescent="0.2">
      <c r="A128" s="133"/>
      <c r="B128" s="133"/>
      <c r="AS128" s="134"/>
    </row>
    <row r="129" spans="1:45" x14ac:dyDescent="0.2">
      <c r="A129" s="133"/>
      <c r="B129" s="133"/>
      <c r="AS129" s="134"/>
    </row>
    <row r="130" spans="1:45" x14ac:dyDescent="0.2">
      <c r="A130" s="133"/>
      <c r="B130" s="133"/>
      <c r="AS130" s="134"/>
    </row>
    <row r="131" spans="1:45" x14ac:dyDescent="0.2">
      <c r="A131" s="133"/>
      <c r="B131" s="133"/>
      <c r="AS131" s="134"/>
    </row>
    <row r="132" spans="1:45" x14ac:dyDescent="0.2">
      <c r="A132" s="133"/>
      <c r="B132" s="133"/>
      <c r="AS132" s="134"/>
    </row>
    <row r="133" spans="1:45" x14ac:dyDescent="0.2">
      <c r="A133" s="133"/>
      <c r="B133" s="133"/>
      <c r="AS133" s="134"/>
    </row>
    <row r="134" spans="1:45" x14ac:dyDescent="0.2">
      <c r="A134" s="133"/>
      <c r="B134" s="133"/>
      <c r="AS134" s="134"/>
    </row>
    <row r="135" spans="1:45" x14ac:dyDescent="0.2">
      <c r="A135" s="133"/>
      <c r="B135" s="133"/>
      <c r="AS135" s="134"/>
    </row>
    <row r="136" spans="1:45" x14ac:dyDescent="0.2">
      <c r="A136" s="133"/>
      <c r="B136" s="133"/>
      <c r="AS136" s="134"/>
    </row>
    <row r="137" spans="1:45" x14ac:dyDescent="0.2">
      <c r="A137" s="133"/>
      <c r="B137" s="133"/>
      <c r="AS137" s="134"/>
    </row>
    <row r="138" spans="1:45" x14ac:dyDescent="0.2">
      <c r="A138" s="133"/>
      <c r="B138" s="133"/>
      <c r="AS138" s="134"/>
    </row>
    <row r="139" spans="1:45" x14ac:dyDescent="0.2">
      <c r="A139" s="133"/>
      <c r="B139" s="133"/>
      <c r="AS139" s="134"/>
    </row>
    <row r="140" spans="1:45" x14ac:dyDescent="0.2">
      <c r="A140" s="133"/>
      <c r="B140" s="133"/>
      <c r="AS140" s="134"/>
    </row>
    <row r="141" spans="1:45" x14ac:dyDescent="0.2">
      <c r="A141" s="133"/>
      <c r="B141" s="133"/>
      <c r="AS141" s="134"/>
    </row>
    <row r="142" spans="1:45" x14ac:dyDescent="0.2">
      <c r="A142" s="133"/>
      <c r="B142" s="133"/>
      <c r="AS142" s="134"/>
    </row>
    <row r="143" spans="1:45" x14ac:dyDescent="0.2">
      <c r="A143" s="133"/>
      <c r="B143" s="133"/>
      <c r="AS143" s="134"/>
    </row>
    <row r="144" spans="1:45" x14ac:dyDescent="0.2">
      <c r="A144" s="133"/>
      <c r="B144" s="133"/>
      <c r="AS144" s="134"/>
    </row>
    <row r="145" spans="1:45" x14ac:dyDescent="0.2">
      <c r="A145" s="133"/>
      <c r="B145" s="133"/>
      <c r="AS145" s="134"/>
    </row>
    <row r="146" spans="1:45" x14ac:dyDescent="0.2">
      <c r="A146" s="133"/>
      <c r="B146" s="133"/>
      <c r="AS146" s="134"/>
    </row>
    <row r="147" spans="1:45" x14ac:dyDescent="0.2">
      <c r="A147" s="133"/>
      <c r="B147" s="133"/>
      <c r="AS147" s="134"/>
    </row>
    <row r="148" spans="1:45" x14ac:dyDescent="0.2">
      <c r="A148" s="133"/>
      <c r="B148" s="133"/>
      <c r="AS148" s="134"/>
    </row>
    <row r="149" spans="1:45" x14ac:dyDescent="0.2">
      <c r="A149" s="133"/>
      <c r="B149" s="133"/>
      <c r="AS149" s="134"/>
    </row>
    <row r="150" spans="1:45" x14ac:dyDescent="0.2">
      <c r="A150" s="133"/>
      <c r="B150" s="133"/>
      <c r="AS150" s="134"/>
    </row>
    <row r="151" spans="1:45" x14ac:dyDescent="0.2">
      <c r="A151" s="133"/>
      <c r="B151" s="133"/>
      <c r="AS151" s="134"/>
    </row>
    <row r="152" spans="1:45" x14ac:dyDescent="0.2">
      <c r="A152" s="133"/>
      <c r="B152" s="133"/>
      <c r="AS152" s="134"/>
    </row>
    <row r="153" spans="1:45" x14ac:dyDescent="0.2">
      <c r="A153" s="133"/>
      <c r="B153" s="133"/>
      <c r="AS153" s="134"/>
    </row>
    <row r="154" spans="1:45" x14ac:dyDescent="0.2">
      <c r="A154" s="133"/>
      <c r="B154" s="133"/>
      <c r="AS154" s="134"/>
    </row>
    <row r="155" spans="1:45" x14ac:dyDescent="0.2">
      <c r="A155" s="133"/>
      <c r="B155" s="133"/>
      <c r="AS155" s="134"/>
    </row>
    <row r="156" spans="1:45" x14ac:dyDescent="0.2">
      <c r="A156" s="133"/>
      <c r="B156" s="133"/>
      <c r="AS156" s="134"/>
    </row>
    <row r="157" spans="1:45" x14ac:dyDescent="0.2">
      <c r="A157" s="133"/>
      <c r="B157" s="133"/>
      <c r="AS157" s="134"/>
    </row>
    <row r="158" spans="1:45" x14ac:dyDescent="0.2">
      <c r="A158" s="133"/>
      <c r="B158" s="133"/>
      <c r="AS158" s="134"/>
    </row>
    <row r="159" spans="1:45" x14ac:dyDescent="0.2">
      <c r="A159" s="133"/>
      <c r="B159" s="133"/>
      <c r="AS159" s="134"/>
    </row>
    <row r="160" spans="1:45" x14ac:dyDescent="0.2">
      <c r="A160" s="133"/>
      <c r="B160" s="133"/>
      <c r="AS160" s="134"/>
    </row>
    <row r="161" spans="1:45" x14ac:dyDescent="0.2">
      <c r="A161" s="133"/>
      <c r="B161" s="133"/>
      <c r="AS161" s="134"/>
    </row>
    <row r="162" spans="1:45" x14ac:dyDescent="0.2">
      <c r="A162" s="133"/>
      <c r="B162" s="133"/>
      <c r="AS162" s="134"/>
    </row>
    <row r="163" spans="1:45" x14ac:dyDescent="0.2">
      <c r="A163" s="133"/>
      <c r="B163" s="133"/>
      <c r="AS163" s="134"/>
    </row>
    <row r="164" spans="1:45" x14ac:dyDescent="0.2">
      <c r="A164" s="133"/>
      <c r="B164" s="133"/>
      <c r="AS164" s="134"/>
    </row>
    <row r="165" spans="1:45" x14ac:dyDescent="0.2">
      <c r="A165" s="133"/>
      <c r="B165" s="133"/>
      <c r="AS165" s="134"/>
    </row>
    <row r="166" spans="1:45" x14ac:dyDescent="0.2">
      <c r="A166" s="133"/>
      <c r="B166" s="133"/>
      <c r="AS166" s="134"/>
    </row>
    <row r="167" spans="1:45" x14ac:dyDescent="0.2">
      <c r="A167" s="133"/>
      <c r="B167" s="133"/>
      <c r="AS167" s="134"/>
    </row>
    <row r="168" spans="1:45" x14ac:dyDescent="0.2">
      <c r="A168" s="133"/>
      <c r="B168" s="133"/>
      <c r="AS168" s="134"/>
    </row>
    <row r="169" spans="1:45" x14ac:dyDescent="0.2">
      <c r="A169" s="133"/>
      <c r="B169" s="133"/>
      <c r="AS169" s="134"/>
    </row>
    <row r="170" spans="1:45" x14ac:dyDescent="0.2">
      <c r="A170" s="133"/>
      <c r="B170" s="133"/>
      <c r="AS170" s="134"/>
    </row>
    <row r="171" spans="1:45" x14ac:dyDescent="0.2">
      <c r="A171" s="133"/>
      <c r="B171" s="133"/>
      <c r="AS171" s="134"/>
    </row>
    <row r="172" spans="1:45" x14ac:dyDescent="0.2">
      <c r="A172" s="133"/>
      <c r="B172" s="133"/>
      <c r="AS172" s="134"/>
    </row>
    <row r="173" spans="1:45" x14ac:dyDescent="0.2">
      <c r="A173" s="133"/>
      <c r="B173" s="133"/>
      <c r="AS173" s="134"/>
    </row>
    <row r="174" spans="1:45" x14ac:dyDescent="0.2">
      <c r="A174" s="133"/>
      <c r="B174" s="133"/>
      <c r="AS174" s="134"/>
    </row>
    <row r="175" spans="1:45" x14ac:dyDescent="0.2">
      <c r="A175" s="133"/>
      <c r="B175" s="133"/>
      <c r="AS175" s="134"/>
    </row>
    <row r="176" spans="1:45" x14ac:dyDescent="0.2">
      <c r="A176" s="133"/>
      <c r="B176" s="133"/>
      <c r="AS176" s="134"/>
    </row>
    <row r="177" spans="1:45" x14ac:dyDescent="0.2">
      <c r="A177" s="133"/>
      <c r="B177" s="133"/>
      <c r="AS177" s="134"/>
    </row>
    <row r="178" spans="1:45" x14ac:dyDescent="0.2">
      <c r="A178" s="133"/>
      <c r="B178" s="133"/>
      <c r="AS178" s="134"/>
    </row>
    <row r="179" spans="1:45" x14ac:dyDescent="0.2">
      <c r="A179" s="133"/>
      <c r="B179" s="133"/>
      <c r="AS179" s="134"/>
    </row>
    <row r="180" spans="1:45" x14ac:dyDescent="0.2">
      <c r="A180" s="133"/>
      <c r="B180" s="133"/>
      <c r="AS180" s="134"/>
    </row>
    <row r="181" spans="1:45" x14ac:dyDescent="0.2">
      <c r="A181" s="133"/>
      <c r="B181" s="133"/>
      <c r="AS181" s="134"/>
    </row>
    <row r="182" spans="1:45" x14ac:dyDescent="0.2">
      <c r="A182" s="133"/>
      <c r="B182" s="133"/>
      <c r="AS182" s="134"/>
    </row>
    <row r="183" spans="1:45" x14ac:dyDescent="0.2">
      <c r="A183" s="133"/>
      <c r="B183" s="133"/>
      <c r="AS183" s="134"/>
    </row>
    <row r="184" spans="1:45" x14ac:dyDescent="0.2">
      <c r="A184" s="133"/>
      <c r="B184" s="133"/>
      <c r="AS184" s="134"/>
    </row>
    <row r="185" spans="1:45" x14ac:dyDescent="0.2">
      <c r="A185" s="133"/>
      <c r="B185" s="133"/>
      <c r="AS185" s="134"/>
    </row>
    <row r="186" spans="1:45" x14ac:dyDescent="0.2">
      <c r="A186" s="133"/>
      <c r="B186" s="133"/>
      <c r="AS186" s="134"/>
    </row>
    <row r="187" spans="1:45" x14ac:dyDescent="0.2">
      <c r="A187" s="133"/>
      <c r="B187" s="133"/>
      <c r="AS187" s="134"/>
    </row>
    <row r="188" spans="1:45" x14ac:dyDescent="0.2">
      <c r="A188" s="133"/>
      <c r="B188" s="133"/>
      <c r="AS188" s="134"/>
    </row>
    <row r="189" spans="1:45" x14ac:dyDescent="0.2">
      <c r="A189" s="133"/>
      <c r="B189" s="133"/>
      <c r="AS189" s="134"/>
    </row>
    <row r="190" spans="1:45" x14ac:dyDescent="0.2">
      <c r="A190" s="133"/>
      <c r="B190" s="133"/>
      <c r="AS190" s="134"/>
    </row>
    <row r="191" spans="1:45" x14ac:dyDescent="0.2">
      <c r="A191" s="133"/>
      <c r="B191" s="133"/>
      <c r="AS191" s="134"/>
    </row>
    <row r="192" spans="1:45" x14ac:dyDescent="0.2">
      <c r="A192" s="133"/>
      <c r="B192" s="133"/>
      <c r="AS192" s="134"/>
    </row>
    <row r="193" spans="1:45" x14ac:dyDescent="0.2">
      <c r="A193" s="133"/>
      <c r="B193" s="133"/>
      <c r="AS193" s="134"/>
    </row>
    <row r="194" spans="1:45" x14ac:dyDescent="0.2">
      <c r="A194" s="133"/>
      <c r="B194" s="133"/>
      <c r="AS194" s="134"/>
    </row>
    <row r="195" spans="1:45" x14ac:dyDescent="0.2">
      <c r="A195" s="133"/>
      <c r="B195" s="133"/>
      <c r="AS195" s="134"/>
    </row>
    <row r="196" spans="1:45" x14ac:dyDescent="0.2">
      <c r="A196" s="133"/>
      <c r="B196" s="133"/>
      <c r="AS196" s="134"/>
    </row>
    <row r="197" spans="1:45" x14ac:dyDescent="0.2">
      <c r="A197" s="133"/>
      <c r="B197" s="133"/>
      <c r="AS197" s="134"/>
    </row>
    <row r="198" spans="1:45" x14ac:dyDescent="0.2">
      <c r="A198" s="133"/>
      <c r="B198" s="133"/>
      <c r="AS198" s="134"/>
    </row>
    <row r="199" spans="1:45" x14ac:dyDescent="0.2">
      <c r="A199" s="133"/>
      <c r="B199" s="133"/>
      <c r="AS199" s="134"/>
    </row>
    <row r="200" spans="1:45" x14ac:dyDescent="0.2">
      <c r="A200" s="133"/>
      <c r="B200" s="133"/>
      <c r="AS200" s="134"/>
    </row>
    <row r="201" spans="1:45" x14ac:dyDescent="0.2">
      <c r="A201" s="133"/>
      <c r="B201" s="133"/>
      <c r="AS201" s="134"/>
    </row>
    <row r="202" spans="1:45" x14ac:dyDescent="0.2">
      <c r="A202" s="133"/>
      <c r="B202" s="133"/>
      <c r="AS202" s="134"/>
    </row>
    <row r="203" spans="1:45" x14ac:dyDescent="0.2">
      <c r="A203" s="133"/>
      <c r="B203" s="133"/>
      <c r="AS203" s="134"/>
    </row>
    <row r="204" spans="1:45" x14ac:dyDescent="0.2">
      <c r="A204" s="133"/>
      <c r="B204" s="133"/>
      <c r="AS204" s="134"/>
    </row>
    <row r="205" spans="1:45" x14ac:dyDescent="0.2">
      <c r="A205" s="133"/>
      <c r="B205" s="133"/>
      <c r="AS205" s="134"/>
    </row>
    <row r="206" spans="1:45" x14ac:dyDescent="0.2">
      <c r="A206" s="133"/>
      <c r="B206" s="133"/>
      <c r="AS206" s="134"/>
    </row>
    <row r="207" spans="1:45" x14ac:dyDescent="0.2">
      <c r="A207" s="133"/>
      <c r="B207" s="133"/>
      <c r="AS207" s="134"/>
    </row>
    <row r="208" spans="1:45" x14ac:dyDescent="0.2">
      <c r="A208" s="133"/>
      <c r="B208" s="133"/>
      <c r="AS208" s="134"/>
    </row>
    <row r="209" spans="1:45" x14ac:dyDescent="0.2">
      <c r="A209" s="133"/>
      <c r="B209" s="133"/>
      <c r="AS209" s="134"/>
    </row>
    <row r="210" spans="1:45" x14ac:dyDescent="0.2">
      <c r="A210" s="133"/>
      <c r="B210" s="133"/>
      <c r="AS210" s="134"/>
    </row>
    <row r="211" spans="1:45" x14ac:dyDescent="0.2">
      <c r="A211" s="133"/>
      <c r="B211" s="133"/>
      <c r="AS211" s="134"/>
    </row>
    <row r="212" spans="1:45" x14ac:dyDescent="0.2">
      <c r="A212" s="133"/>
      <c r="B212" s="133"/>
      <c r="AS212" s="134"/>
    </row>
    <row r="213" spans="1:45" x14ac:dyDescent="0.2">
      <c r="A213" s="133"/>
      <c r="B213" s="133"/>
      <c r="AS213" s="134"/>
    </row>
    <row r="214" spans="1:45" x14ac:dyDescent="0.2">
      <c r="A214" s="133"/>
      <c r="B214" s="133"/>
      <c r="AS214" s="134"/>
    </row>
    <row r="215" spans="1:45" x14ac:dyDescent="0.2">
      <c r="A215" s="133"/>
      <c r="B215" s="133"/>
      <c r="AS215" s="134"/>
    </row>
    <row r="216" spans="1:45" x14ac:dyDescent="0.2">
      <c r="A216" s="133"/>
      <c r="B216" s="133"/>
      <c r="AS216" s="134"/>
    </row>
    <row r="217" spans="1:45" x14ac:dyDescent="0.2">
      <c r="A217" s="133"/>
      <c r="B217" s="133"/>
      <c r="AS217" s="134"/>
    </row>
    <row r="218" spans="1:45" x14ac:dyDescent="0.2">
      <c r="A218" s="133"/>
      <c r="B218" s="133"/>
      <c r="AS218" s="134"/>
    </row>
    <row r="219" spans="1:45" x14ac:dyDescent="0.2">
      <c r="A219" s="133"/>
      <c r="B219" s="133"/>
      <c r="AS219" s="134"/>
    </row>
    <row r="220" spans="1:45" x14ac:dyDescent="0.2">
      <c r="A220" s="133"/>
      <c r="B220" s="133"/>
      <c r="AS220" s="134"/>
    </row>
    <row r="221" spans="1:45" x14ac:dyDescent="0.2">
      <c r="A221" s="133"/>
      <c r="B221" s="133"/>
      <c r="AS221" s="134"/>
    </row>
    <row r="222" spans="1:45" x14ac:dyDescent="0.2">
      <c r="A222" s="133"/>
      <c r="B222" s="133"/>
      <c r="AS222" s="134"/>
    </row>
    <row r="223" spans="1:45" x14ac:dyDescent="0.2">
      <c r="A223" s="133"/>
      <c r="B223" s="133"/>
      <c r="AS223" s="134"/>
    </row>
    <row r="224" spans="1:45" x14ac:dyDescent="0.2">
      <c r="A224" s="133"/>
      <c r="B224" s="133"/>
      <c r="AS224" s="134"/>
    </row>
    <row r="225" spans="1:45" x14ac:dyDescent="0.2">
      <c r="A225" s="133"/>
      <c r="B225" s="133"/>
      <c r="AS225" s="134"/>
    </row>
    <row r="226" spans="1:45" x14ac:dyDescent="0.2">
      <c r="A226" s="133"/>
      <c r="B226" s="133"/>
      <c r="AS226" s="134"/>
    </row>
    <row r="227" spans="1:45" x14ac:dyDescent="0.2">
      <c r="A227" s="133"/>
      <c r="B227" s="133"/>
      <c r="AS227" s="134"/>
    </row>
    <row r="228" spans="1:45" x14ac:dyDescent="0.2">
      <c r="A228" s="133"/>
      <c r="B228" s="133"/>
      <c r="AS228" s="134"/>
    </row>
    <row r="229" spans="1:45" x14ac:dyDescent="0.2">
      <c r="A229" s="133"/>
      <c r="B229" s="133"/>
      <c r="AS229" s="134"/>
    </row>
    <row r="230" spans="1:45" x14ac:dyDescent="0.2">
      <c r="A230" s="133"/>
      <c r="B230" s="133"/>
      <c r="AS230" s="134"/>
    </row>
    <row r="231" spans="1:45" x14ac:dyDescent="0.2">
      <c r="A231" s="133"/>
      <c r="B231" s="133"/>
      <c r="AS231" s="134"/>
    </row>
    <row r="232" spans="1:45" x14ac:dyDescent="0.2">
      <c r="A232" s="133"/>
      <c r="B232" s="133"/>
      <c r="AS232" s="134"/>
    </row>
    <row r="233" spans="1:45" x14ac:dyDescent="0.2">
      <c r="A233" s="133"/>
      <c r="B233" s="133"/>
      <c r="AS233" s="134"/>
    </row>
    <row r="234" spans="1:45" x14ac:dyDescent="0.2">
      <c r="A234" s="133"/>
      <c r="B234" s="133"/>
      <c r="AS234" s="134"/>
    </row>
    <row r="235" spans="1:45" x14ac:dyDescent="0.2">
      <c r="A235" s="133"/>
      <c r="B235" s="133"/>
      <c r="AS235" s="134"/>
    </row>
    <row r="236" spans="1:45" x14ac:dyDescent="0.2">
      <c r="A236" s="133"/>
      <c r="B236" s="133"/>
      <c r="AS236" s="134"/>
    </row>
    <row r="237" spans="1:45" x14ac:dyDescent="0.2">
      <c r="A237" s="133"/>
      <c r="B237" s="133"/>
      <c r="AS237" s="134"/>
    </row>
    <row r="238" spans="1:45" x14ac:dyDescent="0.2">
      <c r="A238" s="133"/>
      <c r="B238" s="133"/>
      <c r="AS238" s="134"/>
    </row>
    <row r="239" spans="1:45" x14ac:dyDescent="0.2">
      <c r="A239" s="133"/>
      <c r="B239" s="133"/>
      <c r="AS239" s="134"/>
    </row>
    <row r="240" spans="1:45" x14ac:dyDescent="0.2">
      <c r="A240" s="133"/>
      <c r="B240" s="133"/>
      <c r="AS240" s="134"/>
    </row>
    <row r="241" spans="1:45" x14ac:dyDescent="0.2">
      <c r="A241" s="133"/>
      <c r="B241" s="133"/>
      <c r="AS241" s="134"/>
    </row>
    <row r="242" spans="1:45" x14ac:dyDescent="0.2">
      <c r="A242" s="133"/>
      <c r="B242" s="133"/>
      <c r="AS242" s="134"/>
    </row>
    <row r="243" spans="1:45" x14ac:dyDescent="0.2">
      <c r="A243" s="133"/>
      <c r="B243" s="133"/>
      <c r="AS243" s="134"/>
    </row>
    <row r="244" spans="1:45" x14ac:dyDescent="0.2">
      <c r="A244" s="133"/>
      <c r="B244" s="133"/>
      <c r="AS244" s="134"/>
    </row>
    <row r="245" spans="1:45" x14ac:dyDescent="0.2">
      <c r="A245" s="133"/>
      <c r="B245" s="133"/>
      <c r="AS245" s="134"/>
    </row>
    <row r="246" spans="1:45" x14ac:dyDescent="0.2">
      <c r="A246" s="133"/>
      <c r="B246" s="133"/>
      <c r="AS246" s="134"/>
    </row>
    <row r="247" spans="1:45" x14ac:dyDescent="0.2">
      <c r="A247" s="133"/>
      <c r="B247" s="133"/>
      <c r="AS247" s="134"/>
    </row>
    <row r="248" spans="1:45" x14ac:dyDescent="0.2">
      <c r="A248" s="133"/>
      <c r="B248" s="133"/>
      <c r="AS248" s="134"/>
    </row>
    <row r="249" spans="1:45" x14ac:dyDescent="0.2">
      <c r="A249" s="133"/>
      <c r="B249" s="133"/>
      <c r="AS249" s="134"/>
    </row>
    <row r="250" spans="1:45" x14ac:dyDescent="0.2">
      <c r="A250" s="133"/>
      <c r="B250" s="133"/>
      <c r="AS250" s="134"/>
    </row>
    <row r="251" spans="1:45" x14ac:dyDescent="0.2">
      <c r="A251" s="133"/>
      <c r="B251" s="133"/>
      <c r="AS251" s="134"/>
    </row>
    <row r="252" spans="1:45" x14ac:dyDescent="0.2">
      <c r="A252" s="133"/>
      <c r="B252" s="133"/>
      <c r="AS252" s="134"/>
    </row>
    <row r="253" spans="1:45" x14ac:dyDescent="0.2">
      <c r="A253" s="133"/>
      <c r="B253" s="133"/>
      <c r="AS253" s="134"/>
    </row>
    <row r="254" spans="1:45" x14ac:dyDescent="0.2">
      <c r="A254" s="133"/>
      <c r="B254" s="133"/>
      <c r="AS254" s="134"/>
    </row>
    <row r="255" spans="1:45" x14ac:dyDescent="0.2">
      <c r="A255" s="133"/>
      <c r="B255" s="133"/>
      <c r="AS255" s="134"/>
    </row>
    <row r="256" spans="1:45" x14ac:dyDescent="0.2">
      <c r="A256" s="133"/>
      <c r="B256" s="133"/>
      <c r="AS256" s="134"/>
    </row>
    <row r="257" spans="1:45" x14ac:dyDescent="0.2">
      <c r="A257" s="133"/>
      <c r="B257" s="133"/>
      <c r="AS257" s="134"/>
    </row>
    <row r="258" spans="1:45" x14ac:dyDescent="0.2">
      <c r="AS258" s="134"/>
    </row>
    <row r="259" spans="1:45" x14ac:dyDescent="0.2">
      <c r="AS259" s="134"/>
    </row>
    <row r="260" spans="1:45" x14ac:dyDescent="0.2">
      <c r="AS260" s="134"/>
    </row>
    <row r="261" spans="1:45" x14ac:dyDescent="0.2">
      <c r="AS261" s="134"/>
    </row>
    <row r="262" spans="1:45" x14ac:dyDescent="0.2">
      <c r="AS262" s="134"/>
    </row>
    <row r="263" spans="1:45" x14ac:dyDescent="0.2">
      <c r="AS263" s="134"/>
    </row>
    <row r="264" spans="1:45" x14ac:dyDescent="0.2">
      <c r="AS264" s="134"/>
    </row>
    <row r="265" spans="1:45" x14ac:dyDescent="0.2">
      <c r="AS265" s="134"/>
    </row>
    <row r="266" spans="1:45" x14ac:dyDescent="0.2">
      <c r="AS266" s="134"/>
    </row>
    <row r="267" spans="1:45" x14ac:dyDescent="0.2">
      <c r="AS267" s="134"/>
    </row>
    <row r="268" spans="1:45" x14ac:dyDescent="0.2">
      <c r="AS268" s="134"/>
    </row>
    <row r="269" spans="1:45" x14ac:dyDescent="0.2">
      <c r="AS269" s="134"/>
    </row>
    <row r="270" spans="1:45" x14ac:dyDescent="0.2">
      <c r="AS270" s="134"/>
    </row>
    <row r="271" spans="1:45" x14ac:dyDescent="0.2">
      <c r="AS271" s="134"/>
    </row>
    <row r="272" spans="1:45" x14ac:dyDescent="0.2">
      <c r="AS272" s="134"/>
    </row>
    <row r="273" spans="45:45" x14ac:dyDescent="0.2">
      <c r="AS273" s="134"/>
    </row>
    <row r="274" spans="45:45" x14ac:dyDescent="0.2">
      <c r="AS274" s="134"/>
    </row>
    <row r="275" spans="45:45" x14ac:dyDescent="0.2">
      <c r="AS275" s="134"/>
    </row>
    <row r="276" spans="45:45" x14ac:dyDescent="0.2">
      <c r="AS276" s="134"/>
    </row>
    <row r="277" spans="45:45" x14ac:dyDescent="0.2">
      <c r="AS277" s="134"/>
    </row>
    <row r="278" spans="45:45" x14ac:dyDescent="0.2">
      <c r="AS278" s="134"/>
    </row>
    <row r="279" spans="45:45" x14ac:dyDescent="0.2">
      <c r="AS279" s="134"/>
    </row>
    <row r="280" spans="45:45" x14ac:dyDescent="0.2">
      <c r="AS280" s="134"/>
    </row>
    <row r="281" spans="45:45" x14ac:dyDescent="0.2">
      <c r="AS281" s="134"/>
    </row>
    <row r="282" spans="45:45" x14ac:dyDescent="0.2">
      <c r="AS282" s="134"/>
    </row>
    <row r="283" spans="45:45" x14ac:dyDescent="0.2">
      <c r="AS283" s="134"/>
    </row>
    <row r="284" spans="45:45" x14ac:dyDescent="0.2">
      <c r="AS284" s="134"/>
    </row>
    <row r="285" spans="45:45" x14ac:dyDescent="0.2">
      <c r="AS285" s="134"/>
    </row>
    <row r="286" spans="45:45" x14ac:dyDescent="0.2">
      <c r="AS286" s="134"/>
    </row>
    <row r="287" spans="45:45" x14ac:dyDescent="0.2">
      <c r="AS287" s="134"/>
    </row>
    <row r="288" spans="45:45" x14ac:dyDescent="0.2">
      <c r="AS288" s="134"/>
    </row>
    <row r="289" spans="45:45" x14ac:dyDescent="0.2">
      <c r="AS289" s="134"/>
    </row>
    <row r="290" spans="45:45" x14ac:dyDescent="0.2">
      <c r="AS290" s="134"/>
    </row>
    <row r="291" spans="45:45" x14ac:dyDescent="0.2">
      <c r="AS291" s="134"/>
    </row>
    <row r="292" spans="45:45" x14ac:dyDescent="0.2">
      <c r="AS292" s="134"/>
    </row>
    <row r="293" spans="45:45" x14ac:dyDescent="0.2">
      <c r="AS293" s="134"/>
    </row>
    <row r="294" spans="45:45" x14ac:dyDescent="0.2">
      <c r="AS294" s="134"/>
    </row>
    <row r="295" spans="45:45" x14ac:dyDescent="0.2">
      <c r="AS295" s="134"/>
    </row>
    <row r="296" spans="45:45" x14ac:dyDescent="0.2">
      <c r="AS296" s="134"/>
    </row>
    <row r="297" spans="45:45" x14ac:dyDescent="0.2">
      <c r="AS297" s="134"/>
    </row>
    <row r="298" spans="45:45" x14ac:dyDescent="0.2">
      <c r="AS298" s="134"/>
    </row>
    <row r="299" spans="45:45" x14ac:dyDescent="0.2">
      <c r="AS299" s="134"/>
    </row>
    <row r="300" spans="45:45" x14ac:dyDescent="0.2">
      <c r="AS300" s="134"/>
    </row>
    <row r="301" spans="45:45" x14ac:dyDescent="0.2">
      <c r="AS301" s="134"/>
    </row>
    <row r="302" spans="45:45" x14ac:dyDescent="0.2">
      <c r="AS302" s="134"/>
    </row>
    <row r="303" spans="45:45" x14ac:dyDescent="0.2">
      <c r="AS303" s="134"/>
    </row>
    <row r="304" spans="45:45" x14ac:dyDescent="0.2">
      <c r="AS304" s="134"/>
    </row>
    <row r="305" spans="45:45" x14ac:dyDescent="0.2">
      <c r="AS305" s="134"/>
    </row>
    <row r="306" spans="45:45" x14ac:dyDescent="0.2">
      <c r="AS306" s="134"/>
    </row>
    <row r="307" spans="45:45" x14ac:dyDescent="0.2">
      <c r="AS307" s="134"/>
    </row>
    <row r="308" spans="45:45" x14ac:dyDescent="0.2">
      <c r="AS308" s="134"/>
    </row>
    <row r="309" spans="45:45" x14ac:dyDescent="0.2">
      <c r="AS309" s="134"/>
    </row>
    <row r="310" spans="45:45" x14ac:dyDescent="0.2">
      <c r="AS310" s="134"/>
    </row>
    <row r="311" spans="45:45" x14ac:dyDescent="0.2">
      <c r="AS311" s="134"/>
    </row>
    <row r="312" spans="45:45" x14ac:dyDescent="0.2">
      <c r="AS312" s="134"/>
    </row>
    <row r="313" spans="45:45" x14ac:dyDescent="0.2">
      <c r="AS313" s="134"/>
    </row>
    <row r="314" spans="45:45" x14ac:dyDescent="0.2">
      <c r="AS314" s="134"/>
    </row>
    <row r="315" spans="45:45" x14ac:dyDescent="0.2">
      <c r="AS315" s="134"/>
    </row>
    <row r="316" spans="45:45" x14ac:dyDescent="0.2">
      <c r="AS316" s="134"/>
    </row>
    <row r="317" spans="45:45" x14ac:dyDescent="0.2">
      <c r="AS317" s="134"/>
    </row>
    <row r="318" spans="45:45" x14ac:dyDescent="0.2">
      <c r="AS318" s="134"/>
    </row>
    <row r="319" spans="45:45" x14ac:dyDescent="0.2">
      <c r="AS319" s="134"/>
    </row>
    <row r="320" spans="45:45" x14ac:dyDescent="0.2">
      <c r="AS320" s="134"/>
    </row>
    <row r="321" spans="45:45" x14ac:dyDescent="0.2">
      <c r="AS321" s="134"/>
    </row>
    <row r="322" spans="45:45" x14ac:dyDescent="0.2">
      <c r="AS322" s="134"/>
    </row>
    <row r="323" spans="45:45" x14ac:dyDescent="0.2">
      <c r="AS323" s="134"/>
    </row>
    <row r="324" spans="45:45" x14ac:dyDescent="0.2">
      <c r="AS324" s="134"/>
    </row>
    <row r="325" spans="45:45" x14ac:dyDescent="0.2">
      <c r="AS325" s="134"/>
    </row>
    <row r="326" spans="45:45" x14ac:dyDescent="0.2">
      <c r="AS326" s="134"/>
    </row>
    <row r="327" spans="45:45" x14ac:dyDescent="0.2">
      <c r="AS327" s="134"/>
    </row>
    <row r="328" spans="45:45" x14ac:dyDescent="0.2">
      <c r="AS328" s="134"/>
    </row>
    <row r="329" spans="45:45" x14ac:dyDescent="0.2">
      <c r="AS329" s="134"/>
    </row>
    <row r="330" spans="45:45" x14ac:dyDescent="0.2">
      <c r="AS330" s="134"/>
    </row>
    <row r="331" spans="45:45" x14ac:dyDescent="0.2">
      <c r="AS331" s="134"/>
    </row>
    <row r="332" spans="45:45" x14ac:dyDescent="0.2">
      <c r="AS332" s="134"/>
    </row>
    <row r="333" spans="45:45" x14ac:dyDescent="0.2">
      <c r="AS333" s="134"/>
    </row>
    <row r="334" spans="45:45" x14ac:dyDescent="0.2">
      <c r="AS334" s="134"/>
    </row>
    <row r="335" spans="45:45" x14ac:dyDescent="0.2">
      <c r="AS335" s="134"/>
    </row>
    <row r="336" spans="45:45" x14ac:dyDescent="0.2">
      <c r="AS336" s="134"/>
    </row>
    <row r="337" spans="45:45" x14ac:dyDescent="0.2">
      <c r="AS337" s="134"/>
    </row>
    <row r="338" spans="45:45" x14ac:dyDescent="0.2">
      <c r="AS338" s="134"/>
    </row>
    <row r="339" spans="45:45" x14ac:dyDescent="0.2">
      <c r="AS339" s="134"/>
    </row>
    <row r="340" spans="45:45" x14ac:dyDescent="0.2">
      <c r="AS340" s="134"/>
    </row>
    <row r="341" spans="45:45" x14ac:dyDescent="0.2">
      <c r="AS341" s="134"/>
    </row>
    <row r="342" spans="45:45" x14ac:dyDescent="0.2">
      <c r="AS342" s="134"/>
    </row>
    <row r="343" spans="45:45" x14ac:dyDescent="0.2">
      <c r="AS343" s="134"/>
    </row>
    <row r="344" spans="45:45" x14ac:dyDescent="0.2">
      <c r="AS344" s="134"/>
    </row>
    <row r="345" spans="45:45" x14ac:dyDescent="0.2">
      <c r="AS345" s="134"/>
    </row>
    <row r="346" spans="45:45" x14ac:dyDescent="0.2">
      <c r="AS346" s="134"/>
    </row>
    <row r="347" spans="45:45" x14ac:dyDescent="0.2">
      <c r="AS347" s="134"/>
    </row>
    <row r="348" spans="45:45" x14ac:dyDescent="0.2">
      <c r="AS348" s="134"/>
    </row>
    <row r="349" spans="45:45" x14ac:dyDescent="0.2">
      <c r="AS349" s="134"/>
    </row>
    <row r="350" spans="45:45" x14ac:dyDescent="0.2">
      <c r="AS350" s="134"/>
    </row>
    <row r="351" spans="45:45" x14ac:dyDescent="0.2">
      <c r="AS351" s="134"/>
    </row>
    <row r="352" spans="45:45" x14ac:dyDescent="0.2">
      <c r="AS352" s="134"/>
    </row>
    <row r="353" spans="45:45" x14ac:dyDescent="0.2">
      <c r="AS353" s="134"/>
    </row>
    <row r="354" spans="45:45" x14ac:dyDescent="0.2">
      <c r="AS354" s="134"/>
    </row>
    <row r="355" spans="45:45" x14ac:dyDescent="0.2">
      <c r="AS355" s="134"/>
    </row>
    <row r="356" spans="45:45" x14ac:dyDescent="0.2">
      <c r="AS356" s="134"/>
    </row>
    <row r="357" spans="45:45" x14ac:dyDescent="0.2">
      <c r="AS357" s="134"/>
    </row>
    <row r="358" spans="45:45" x14ac:dyDescent="0.2">
      <c r="AS358" s="134"/>
    </row>
    <row r="359" spans="45:45" x14ac:dyDescent="0.2">
      <c r="AS359" s="134"/>
    </row>
    <row r="360" spans="45:45" x14ac:dyDescent="0.2">
      <c r="AS360" s="134"/>
    </row>
    <row r="361" spans="45:45" x14ac:dyDescent="0.2">
      <c r="AS361" s="134"/>
    </row>
    <row r="362" spans="45:45" x14ac:dyDescent="0.2">
      <c r="AS362" s="134"/>
    </row>
    <row r="363" spans="45:45" x14ac:dyDescent="0.2">
      <c r="AS363" s="134"/>
    </row>
    <row r="364" spans="45:45" x14ac:dyDescent="0.2">
      <c r="AS364" s="134"/>
    </row>
    <row r="365" spans="45:45" x14ac:dyDescent="0.2">
      <c r="AS365" s="134"/>
    </row>
    <row r="366" spans="45:45" x14ac:dyDescent="0.2">
      <c r="AS366" s="134"/>
    </row>
    <row r="367" spans="45:45" x14ac:dyDescent="0.2">
      <c r="AS367" s="134"/>
    </row>
    <row r="368" spans="45:45" x14ac:dyDescent="0.2">
      <c r="AS368" s="134"/>
    </row>
    <row r="369" spans="45:45" x14ac:dyDescent="0.2">
      <c r="AS369" s="134"/>
    </row>
    <row r="370" spans="45:45" x14ac:dyDescent="0.2">
      <c r="AS370" s="134"/>
    </row>
    <row r="371" spans="45:45" x14ac:dyDescent="0.2">
      <c r="AS371" s="134"/>
    </row>
    <row r="372" spans="45:45" x14ac:dyDescent="0.2">
      <c r="AS372" s="134"/>
    </row>
    <row r="373" spans="45:45" x14ac:dyDescent="0.2">
      <c r="AS373" s="134"/>
    </row>
    <row r="374" spans="45:45" x14ac:dyDescent="0.2">
      <c r="AS374" s="134"/>
    </row>
    <row r="375" spans="45:45" x14ac:dyDescent="0.2">
      <c r="AS375" s="134"/>
    </row>
    <row r="376" spans="45:45" x14ac:dyDescent="0.2">
      <c r="AS376" s="134"/>
    </row>
    <row r="377" spans="45:45" x14ac:dyDescent="0.2">
      <c r="AS377" s="134"/>
    </row>
    <row r="378" spans="45:45" x14ac:dyDescent="0.2">
      <c r="AS378" s="134"/>
    </row>
    <row r="379" spans="45:45" x14ac:dyDescent="0.2">
      <c r="AS379" s="134"/>
    </row>
    <row r="380" spans="45:45" x14ac:dyDescent="0.2">
      <c r="AS380" s="134"/>
    </row>
    <row r="381" spans="45:45" x14ac:dyDescent="0.2">
      <c r="AS381" s="134"/>
    </row>
    <row r="382" spans="45:45" x14ac:dyDescent="0.2">
      <c r="AS382" s="134"/>
    </row>
    <row r="383" spans="45:45" x14ac:dyDescent="0.2">
      <c r="AS383" s="134"/>
    </row>
    <row r="384" spans="45:45" x14ac:dyDescent="0.2">
      <c r="AS384" s="134"/>
    </row>
    <row r="385" spans="45:45" x14ac:dyDescent="0.2">
      <c r="AS385" s="134"/>
    </row>
    <row r="386" spans="45:45" x14ac:dyDescent="0.2">
      <c r="AS386" s="134"/>
    </row>
    <row r="387" spans="45:45" x14ac:dyDescent="0.2">
      <c r="AS387" s="134"/>
    </row>
    <row r="388" spans="45:45" x14ac:dyDescent="0.2">
      <c r="AS388" s="134"/>
    </row>
    <row r="389" spans="45:45" x14ac:dyDescent="0.2">
      <c r="AS389" s="134"/>
    </row>
    <row r="390" spans="45:45" x14ac:dyDescent="0.2">
      <c r="AS390" s="134"/>
    </row>
    <row r="391" spans="45:45" x14ac:dyDescent="0.2">
      <c r="AS391" s="134"/>
    </row>
    <row r="392" spans="45:45" x14ac:dyDescent="0.2">
      <c r="AS392" s="134"/>
    </row>
    <row r="393" spans="45:45" x14ac:dyDescent="0.2">
      <c r="AS393" s="134"/>
    </row>
    <row r="394" spans="45:45" x14ac:dyDescent="0.2">
      <c r="AS394" s="134"/>
    </row>
    <row r="395" spans="45:45" x14ac:dyDescent="0.2">
      <c r="AS395" s="134"/>
    </row>
    <row r="396" spans="45:45" x14ac:dyDescent="0.2">
      <c r="AS396" s="134"/>
    </row>
    <row r="397" spans="45:45" x14ac:dyDescent="0.2">
      <c r="AS397" s="134"/>
    </row>
    <row r="398" spans="45:45" x14ac:dyDescent="0.2">
      <c r="AS398" s="134"/>
    </row>
    <row r="399" spans="45:45" x14ac:dyDescent="0.2">
      <c r="AS399" s="134"/>
    </row>
    <row r="400" spans="45:45" x14ac:dyDescent="0.2">
      <c r="AS400" s="134"/>
    </row>
    <row r="401" spans="45:45" x14ac:dyDescent="0.2">
      <c r="AS401" s="134"/>
    </row>
    <row r="402" spans="45:45" x14ac:dyDescent="0.2">
      <c r="AS402" s="134"/>
    </row>
    <row r="403" spans="45:45" x14ac:dyDescent="0.2">
      <c r="AS403" s="134"/>
    </row>
    <row r="404" spans="45:45" x14ac:dyDescent="0.2">
      <c r="AS404" s="134"/>
    </row>
    <row r="405" spans="45:45" x14ac:dyDescent="0.2">
      <c r="AS405" s="134"/>
    </row>
    <row r="406" spans="45:45" x14ac:dyDescent="0.2">
      <c r="AS406" s="134"/>
    </row>
    <row r="407" spans="45:45" x14ac:dyDescent="0.2">
      <c r="AS407" s="134"/>
    </row>
    <row r="408" spans="45:45" x14ac:dyDescent="0.2">
      <c r="AS408" s="134"/>
    </row>
    <row r="409" spans="45:45" x14ac:dyDescent="0.2">
      <c r="AS409" s="134"/>
    </row>
    <row r="410" spans="45:45" x14ac:dyDescent="0.2">
      <c r="AS410" s="134"/>
    </row>
    <row r="411" spans="45:45" x14ac:dyDescent="0.2">
      <c r="AS411" s="134"/>
    </row>
    <row r="412" spans="45:45" x14ac:dyDescent="0.2">
      <c r="AS412" s="134"/>
    </row>
    <row r="413" spans="45:45" x14ac:dyDescent="0.2">
      <c r="AS413" s="134"/>
    </row>
    <row r="414" spans="45:45" x14ac:dyDescent="0.2">
      <c r="AS414" s="134"/>
    </row>
    <row r="415" spans="45:45" x14ac:dyDescent="0.2">
      <c r="AS415" s="134"/>
    </row>
    <row r="416" spans="45:45" x14ac:dyDescent="0.2">
      <c r="AS416" s="134"/>
    </row>
    <row r="417" spans="45:45" x14ac:dyDescent="0.2">
      <c r="AS417" s="134"/>
    </row>
    <row r="418" spans="45:45" x14ac:dyDescent="0.2">
      <c r="AS418" s="134"/>
    </row>
    <row r="419" spans="45:45" x14ac:dyDescent="0.2">
      <c r="AS419" s="134"/>
    </row>
    <row r="420" spans="45:45" x14ac:dyDescent="0.2">
      <c r="AS420" s="134"/>
    </row>
    <row r="421" spans="45:45" x14ac:dyDescent="0.2">
      <c r="AS421" s="134"/>
    </row>
    <row r="422" spans="45:45" x14ac:dyDescent="0.2">
      <c r="AS422" s="134"/>
    </row>
    <row r="423" spans="45:45" x14ac:dyDescent="0.2">
      <c r="AS423" s="134"/>
    </row>
    <row r="424" spans="45:45" x14ac:dyDescent="0.2">
      <c r="AS424" s="134"/>
    </row>
    <row r="425" spans="45:45" x14ac:dyDescent="0.2">
      <c r="AS425" s="134"/>
    </row>
    <row r="426" spans="45:45" x14ac:dyDescent="0.2">
      <c r="AS426" s="134"/>
    </row>
    <row r="427" spans="45:45" x14ac:dyDescent="0.2">
      <c r="AS427" s="134"/>
    </row>
    <row r="428" spans="45:45" x14ac:dyDescent="0.2">
      <c r="AS428" s="134"/>
    </row>
    <row r="429" spans="45:45" x14ac:dyDescent="0.2">
      <c r="AS429" s="134"/>
    </row>
    <row r="430" spans="45:45" x14ac:dyDescent="0.2">
      <c r="AS430" s="134"/>
    </row>
    <row r="431" spans="45:45" x14ac:dyDescent="0.2">
      <c r="AS431" s="134"/>
    </row>
    <row r="432" spans="45:45" x14ac:dyDescent="0.2">
      <c r="AS432" s="134"/>
    </row>
    <row r="433" spans="45:45" x14ac:dyDescent="0.2">
      <c r="AS433" s="134"/>
    </row>
    <row r="434" spans="45:45" x14ac:dyDescent="0.2">
      <c r="AS434" s="134"/>
    </row>
    <row r="435" spans="45:45" x14ac:dyDescent="0.2">
      <c r="AS435" s="134"/>
    </row>
    <row r="436" spans="45:45" x14ac:dyDescent="0.2">
      <c r="AS436" s="134"/>
    </row>
    <row r="437" spans="45:45" x14ac:dyDescent="0.2">
      <c r="AS437" s="134"/>
    </row>
    <row r="438" spans="45:45" x14ac:dyDescent="0.2">
      <c r="AS438" s="134"/>
    </row>
    <row r="439" spans="45:45" x14ac:dyDescent="0.2">
      <c r="AS439" s="134"/>
    </row>
    <row r="440" spans="45:45" x14ac:dyDescent="0.2">
      <c r="AS440" s="134"/>
    </row>
    <row r="441" spans="45:45" x14ac:dyDescent="0.2">
      <c r="AS441" s="134"/>
    </row>
    <row r="442" spans="45:45" x14ac:dyDescent="0.2">
      <c r="AS442" s="134"/>
    </row>
    <row r="443" spans="45:45" x14ac:dyDescent="0.2">
      <c r="AS443" s="134"/>
    </row>
    <row r="444" spans="45:45" x14ac:dyDescent="0.2">
      <c r="AS444" s="134"/>
    </row>
    <row r="445" spans="45:45" x14ac:dyDescent="0.2">
      <c r="AS445" s="134"/>
    </row>
    <row r="446" spans="45:45" x14ac:dyDescent="0.2">
      <c r="AS446" s="134"/>
    </row>
    <row r="447" spans="45:45" x14ac:dyDescent="0.2">
      <c r="AS447" s="134"/>
    </row>
    <row r="448" spans="45:45" x14ac:dyDescent="0.2">
      <c r="AS448" s="134"/>
    </row>
    <row r="449" spans="45:45" x14ac:dyDescent="0.2">
      <c r="AS449" s="134"/>
    </row>
    <row r="450" spans="45:45" x14ac:dyDescent="0.2">
      <c r="AS450" s="134"/>
    </row>
    <row r="451" spans="45:45" x14ac:dyDescent="0.2">
      <c r="AS451" s="134"/>
    </row>
    <row r="452" spans="45:45" x14ac:dyDescent="0.2">
      <c r="AS452" s="134"/>
    </row>
    <row r="453" spans="45:45" x14ac:dyDescent="0.2">
      <c r="AS453" s="134"/>
    </row>
    <row r="454" spans="45:45" x14ac:dyDescent="0.2">
      <c r="AS454" s="134"/>
    </row>
    <row r="455" spans="45:45" x14ac:dyDescent="0.2">
      <c r="AS455" s="134"/>
    </row>
    <row r="456" spans="45:45" x14ac:dyDescent="0.2">
      <c r="AS456" s="134"/>
    </row>
    <row r="457" spans="45:45" x14ac:dyDescent="0.2">
      <c r="AS457" s="134"/>
    </row>
    <row r="458" spans="45:45" x14ac:dyDescent="0.2">
      <c r="AS458" s="134"/>
    </row>
    <row r="459" spans="45:45" x14ac:dyDescent="0.2">
      <c r="AS459" s="134"/>
    </row>
    <row r="460" spans="45:45" x14ac:dyDescent="0.2">
      <c r="AS460" s="134"/>
    </row>
    <row r="461" spans="45:45" x14ac:dyDescent="0.2">
      <c r="AS461" s="134"/>
    </row>
    <row r="462" spans="45:45" x14ac:dyDescent="0.2">
      <c r="AS462" s="134"/>
    </row>
    <row r="463" spans="45:45" x14ac:dyDescent="0.2">
      <c r="AS463" s="134"/>
    </row>
    <row r="464" spans="45:45" x14ac:dyDescent="0.2">
      <c r="AS464" s="134"/>
    </row>
    <row r="465" spans="45:45" x14ac:dyDescent="0.2">
      <c r="AS465" s="134"/>
    </row>
    <row r="466" spans="45:45" x14ac:dyDescent="0.2">
      <c r="AS466" s="134"/>
    </row>
    <row r="467" spans="45:45" x14ac:dyDescent="0.2">
      <c r="AS467" s="134"/>
    </row>
    <row r="468" spans="45:45" x14ac:dyDescent="0.2">
      <c r="AS468" s="134"/>
    </row>
    <row r="469" spans="45:45" x14ac:dyDescent="0.2">
      <c r="AS469" s="134"/>
    </row>
    <row r="470" spans="45:45" x14ac:dyDescent="0.2">
      <c r="AS470" s="134"/>
    </row>
    <row r="471" spans="45:45" x14ac:dyDescent="0.2">
      <c r="AS471" s="134"/>
    </row>
    <row r="472" spans="45:45" x14ac:dyDescent="0.2">
      <c r="AS472" s="134"/>
    </row>
    <row r="473" spans="45:45" x14ac:dyDescent="0.2">
      <c r="AS473" s="134"/>
    </row>
    <row r="474" spans="45:45" x14ac:dyDescent="0.2">
      <c r="AS474" s="134"/>
    </row>
    <row r="475" spans="45:45" x14ac:dyDescent="0.2">
      <c r="AS475" s="134"/>
    </row>
    <row r="476" spans="45:45" x14ac:dyDescent="0.2">
      <c r="AS476" s="134"/>
    </row>
    <row r="477" spans="45:45" x14ac:dyDescent="0.2">
      <c r="AS477" s="134"/>
    </row>
    <row r="478" spans="45:45" x14ac:dyDescent="0.2">
      <c r="AS478" s="134"/>
    </row>
    <row r="479" spans="45:45" x14ac:dyDescent="0.2">
      <c r="AS479" s="134"/>
    </row>
    <row r="480" spans="45:45" x14ac:dyDescent="0.2">
      <c r="AS480" s="134"/>
    </row>
    <row r="481" spans="45:45" x14ac:dyDescent="0.2">
      <c r="AS481" s="134"/>
    </row>
    <row r="482" spans="45:45" x14ac:dyDescent="0.2">
      <c r="AS482" s="134"/>
    </row>
    <row r="483" spans="45:45" x14ac:dyDescent="0.2">
      <c r="AS483" s="134"/>
    </row>
    <row r="484" spans="45:45" x14ac:dyDescent="0.2">
      <c r="AS484" s="134"/>
    </row>
    <row r="485" spans="45:45" x14ac:dyDescent="0.2">
      <c r="AS485" s="134"/>
    </row>
    <row r="486" spans="45:45" x14ac:dyDescent="0.2">
      <c r="AS486" s="134"/>
    </row>
    <row r="487" spans="45:45" x14ac:dyDescent="0.2">
      <c r="AS487" s="134"/>
    </row>
    <row r="488" spans="45:45" x14ac:dyDescent="0.2">
      <c r="AS488" s="134"/>
    </row>
    <row r="489" spans="45:45" x14ac:dyDescent="0.2">
      <c r="AS489" s="134"/>
    </row>
    <row r="490" spans="45:45" x14ac:dyDescent="0.2">
      <c r="AS490" s="134"/>
    </row>
    <row r="491" spans="45:45" x14ac:dyDescent="0.2">
      <c r="AS491" s="134"/>
    </row>
    <row r="492" spans="45:45" x14ac:dyDescent="0.2">
      <c r="AS492" s="134"/>
    </row>
    <row r="493" spans="45:45" x14ac:dyDescent="0.2">
      <c r="AS493" s="134"/>
    </row>
    <row r="494" spans="45:45" x14ac:dyDescent="0.2">
      <c r="AS494" s="134"/>
    </row>
    <row r="495" spans="45:45" x14ac:dyDescent="0.2">
      <c r="AS495" s="134"/>
    </row>
    <row r="496" spans="45:45" x14ac:dyDescent="0.2">
      <c r="AS496" s="134"/>
    </row>
    <row r="497" spans="45:45" x14ac:dyDescent="0.2">
      <c r="AS497" s="134"/>
    </row>
    <row r="498" spans="45:45" x14ac:dyDescent="0.2">
      <c r="AS498" s="134"/>
    </row>
    <row r="499" spans="45:45" x14ac:dyDescent="0.2">
      <c r="AS499" s="134"/>
    </row>
    <row r="500" spans="45:45" x14ac:dyDescent="0.2">
      <c r="AS500" s="134"/>
    </row>
    <row r="501" spans="45:45" x14ac:dyDescent="0.2">
      <c r="AS501" s="134"/>
    </row>
    <row r="502" spans="45:45" x14ac:dyDescent="0.2">
      <c r="AS502" s="134"/>
    </row>
    <row r="503" spans="45:45" x14ac:dyDescent="0.2">
      <c r="AS503" s="134"/>
    </row>
    <row r="504" spans="45:45" x14ac:dyDescent="0.2">
      <c r="AS504" s="134"/>
    </row>
    <row r="505" spans="45:45" x14ac:dyDescent="0.2">
      <c r="AS505" s="134"/>
    </row>
    <row r="506" spans="45:45" x14ac:dyDescent="0.2">
      <c r="AS506" s="134"/>
    </row>
    <row r="507" spans="45:45" x14ac:dyDescent="0.2">
      <c r="AS507" s="134"/>
    </row>
    <row r="508" spans="45:45" x14ac:dyDescent="0.2">
      <c r="AS508" s="134"/>
    </row>
    <row r="509" spans="45:45" x14ac:dyDescent="0.2">
      <c r="AS509" s="134"/>
    </row>
    <row r="510" spans="45:45" x14ac:dyDescent="0.2">
      <c r="AS510" s="134"/>
    </row>
    <row r="511" spans="45:45" x14ac:dyDescent="0.2">
      <c r="AS511" s="134"/>
    </row>
    <row r="512" spans="45:45" x14ac:dyDescent="0.2">
      <c r="AS512" s="134"/>
    </row>
    <row r="513" spans="45:45" x14ac:dyDescent="0.2">
      <c r="AS513" s="134"/>
    </row>
    <row r="514" spans="45:45" x14ac:dyDescent="0.2">
      <c r="AS514" s="134"/>
    </row>
    <row r="515" spans="45:45" x14ac:dyDescent="0.2">
      <c r="AS515" s="134"/>
    </row>
    <row r="516" spans="45:45" x14ac:dyDescent="0.2">
      <c r="AS516" s="134"/>
    </row>
    <row r="517" spans="45:45" x14ac:dyDescent="0.2">
      <c r="AS517" s="134"/>
    </row>
    <row r="518" spans="45:45" x14ac:dyDescent="0.2">
      <c r="AS518" s="134"/>
    </row>
    <row r="519" spans="45:45" x14ac:dyDescent="0.2">
      <c r="AS519" s="134"/>
    </row>
    <row r="520" spans="45:45" x14ac:dyDescent="0.2">
      <c r="AS520" s="134"/>
    </row>
    <row r="521" spans="45:45" x14ac:dyDescent="0.2">
      <c r="AS521" s="134"/>
    </row>
    <row r="522" spans="45:45" x14ac:dyDescent="0.2">
      <c r="AS522" s="134"/>
    </row>
    <row r="523" spans="45:45" x14ac:dyDescent="0.2">
      <c r="AS523" s="134"/>
    </row>
    <row r="524" spans="45:45" x14ac:dyDescent="0.2">
      <c r="AS524" s="134"/>
    </row>
    <row r="525" spans="45:45" x14ac:dyDescent="0.2">
      <c r="AS525" s="134"/>
    </row>
    <row r="526" spans="45:45" x14ac:dyDescent="0.2">
      <c r="AS526" s="134"/>
    </row>
    <row r="527" spans="45:45" x14ac:dyDescent="0.2">
      <c r="AS527" s="134"/>
    </row>
    <row r="528" spans="45:45" x14ac:dyDescent="0.2">
      <c r="AS528" s="134"/>
    </row>
    <row r="529" spans="45:45" x14ac:dyDescent="0.2">
      <c r="AS529" s="134"/>
    </row>
    <row r="530" spans="45:45" x14ac:dyDescent="0.2">
      <c r="AS530" s="134"/>
    </row>
    <row r="531" spans="45:45" x14ac:dyDescent="0.2">
      <c r="AS531" s="134"/>
    </row>
    <row r="532" spans="45:45" x14ac:dyDescent="0.2">
      <c r="AS532" s="134"/>
    </row>
    <row r="533" spans="45:45" x14ac:dyDescent="0.2">
      <c r="AS533" s="134"/>
    </row>
    <row r="534" spans="45:45" x14ac:dyDescent="0.2">
      <c r="AS534" s="134"/>
    </row>
    <row r="535" spans="45:45" x14ac:dyDescent="0.2">
      <c r="AS535" s="134"/>
    </row>
    <row r="536" spans="45:45" x14ac:dyDescent="0.2">
      <c r="AS536" s="134"/>
    </row>
    <row r="537" spans="45:45" x14ac:dyDescent="0.2">
      <c r="AS537" s="134"/>
    </row>
    <row r="538" spans="45:45" x14ac:dyDescent="0.2">
      <c r="AS538" s="134"/>
    </row>
    <row r="539" spans="45:45" x14ac:dyDescent="0.2">
      <c r="AS539" s="134"/>
    </row>
    <row r="540" spans="45:45" x14ac:dyDescent="0.2">
      <c r="AS540" s="134"/>
    </row>
    <row r="541" spans="45:45" x14ac:dyDescent="0.2">
      <c r="AS541" s="134"/>
    </row>
    <row r="542" spans="45:45" x14ac:dyDescent="0.2">
      <c r="AS542" s="134"/>
    </row>
    <row r="543" spans="45:45" x14ac:dyDescent="0.2">
      <c r="AS543" s="134"/>
    </row>
    <row r="544" spans="45:45" x14ac:dyDescent="0.2">
      <c r="AS544" s="134"/>
    </row>
    <row r="545" spans="45:45" x14ac:dyDescent="0.2">
      <c r="AS545" s="134"/>
    </row>
    <row r="546" spans="45:45" x14ac:dyDescent="0.2">
      <c r="AS546" s="134"/>
    </row>
    <row r="547" spans="45:45" x14ac:dyDescent="0.2">
      <c r="AS547" s="134"/>
    </row>
    <row r="548" spans="45:45" x14ac:dyDescent="0.2">
      <c r="AS548" s="134"/>
    </row>
    <row r="549" spans="45:45" x14ac:dyDescent="0.2">
      <c r="AS549" s="134"/>
    </row>
    <row r="550" spans="45:45" x14ac:dyDescent="0.2">
      <c r="AS550" s="134"/>
    </row>
    <row r="551" spans="45:45" x14ac:dyDescent="0.2">
      <c r="AS551" s="134"/>
    </row>
    <row r="552" spans="45:45" x14ac:dyDescent="0.2">
      <c r="AS552" s="134"/>
    </row>
    <row r="553" spans="45:45" x14ac:dyDescent="0.2">
      <c r="AS553" s="134"/>
    </row>
    <row r="554" spans="45:45" x14ac:dyDescent="0.2">
      <c r="AS554" s="134"/>
    </row>
    <row r="555" spans="45:45" x14ac:dyDescent="0.2">
      <c r="AS555" s="134"/>
    </row>
    <row r="556" spans="45:45" x14ac:dyDescent="0.2">
      <c r="AS556" s="134"/>
    </row>
    <row r="557" spans="45:45" x14ac:dyDescent="0.2">
      <c r="AS557" s="134"/>
    </row>
    <row r="558" spans="45:45" x14ac:dyDescent="0.2">
      <c r="AS558" s="134"/>
    </row>
    <row r="559" spans="45:45" x14ac:dyDescent="0.2">
      <c r="AS559" s="134"/>
    </row>
    <row r="560" spans="45:45" x14ac:dyDescent="0.2">
      <c r="AS560" s="134"/>
    </row>
    <row r="561" spans="45:45" x14ac:dyDescent="0.2">
      <c r="AS561" s="134"/>
    </row>
    <row r="562" spans="45:45" x14ac:dyDescent="0.2">
      <c r="AS562" s="134"/>
    </row>
    <row r="563" spans="45:45" x14ac:dyDescent="0.2">
      <c r="AS563" s="134"/>
    </row>
    <row r="564" spans="45:45" x14ac:dyDescent="0.2">
      <c r="AS564" s="134"/>
    </row>
    <row r="565" spans="45:45" x14ac:dyDescent="0.2">
      <c r="AS565" s="134"/>
    </row>
    <row r="566" spans="45:45" x14ac:dyDescent="0.2">
      <c r="AS566" s="134"/>
    </row>
    <row r="567" spans="45:45" x14ac:dyDescent="0.2">
      <c r="AS567" s="134"/>
    </row>
    <row r="568" spans="45:45" x14ac:dyDescent="0.2">
      <c r="AS568" s="134"/>
    </row>
    <row r="569" spans="45:45" x14ac:dyDescent="0.2">
      <c r="AS569" s="134"/>
    </row>
    <row r="570" spans="45:45" x14ac:dyDescent="0.2">
      <c r="AS570" s="134"/>
    </row>
    <row r="571" spans="45:45" x14ac:dyDescent="0.2">
      <c r="AS571" s="134"/>
    </row>
    <row r="572" spans="45:45" x14ac:dyDescent="0.2">
      <c r="AS572" s="134"/>
    </row>
    <row r="573" spans="45:45" x14ac:dyDescent="0.2">
      <c r="AS573" s="134"/>
    </row>
    <row r="574" spans="45:45" x14ac:dyDescent="0.2">
      <c r="AS574" s="134"/>
    </row>
    <row r="575" spans="45:45" x14ac:dyDescent="0.2">
      <c r="AS575" s="134"/>
    </row>
    <row r="576" spans="45:45" x14ac:dyDescent="0.2">
      <c r="AS576" s="134"/>
    </row>
    <row r="577" spans="45:45" x14ac:dyDescent="0.2">
      <c r="AS577" s="134"/>
    </row>
    <row r="578" spans="45:45" x14ac:dyDescent="0.2">
      <c r="AS578" s="134"/>
    </row>
    <row r="579" spans="45:45" x14ac:dyDescent="0.2">
      <c r="AS579" s="134"/>
    </row>
    <row r="580" spans="45:45" x14ac:dyDescent="0.2">
      <c r="AS580" s="134"/>
    </row>
    <row r="581" spans="45:45" x14ac:dyDescent="0.2">
      <c r="AS581" s="134"/>
    </row>
    <row r="582" spans="45:45" x14ac:dyDescent="0.2">
      <c r="AS582" s="134"/>
    </row>
    <row r="583" spans="45:45" x14ac:dyDescent="0.2">
      <c r="AS583" s="134"/>
    </row>
    <row r="584" spans="45:45" x14ac:dyDescent="0.2">
      <c r="AS584" s="134"/>
    </row>
    <row r="585" spans="45:45" x14ac:dyDescent="0.2">
      <c r="AS585" s="134"/>
    </row>
    <row r="586" spans="45:45" x14ac:dyDescent="0.2">
      <c r="AS586" s="134"/>
    </row>
    <row r="587" spans="45:45" x14ac:dyDescent="0.2">
      <c r="AS587" s="134"/>
    </row>
    <row r="588" spans="45:45" x14ac:dyDescent="0.2">
      <c r="AS588" s="134"/>
    </row>
    <row r="589" spans="45:45" x14ac:dyDescent="0.2">
      <c r="AS589" s="134"/>
    </row>
    <row r="590" spans="45:45" x14ac:dyDescent="0.2">
      <c r="AS590" s="134"/>
    </row>
    <row r="591" spans="45:45" x14ac:dyDescent="0.2">
      <c r="AS591" s="134"/>
    </row>
    <row r="592" spans="45:45" x14ac:dyDescent="0.2">
      <c r="AS592" s="134"/>
    </row>
    <row r="593" spans="45:45" x14ac:dyDescent="0.2">
      <c r="AS593" s="134"/>
    </row>
    <row r="594" spans="45:45" x14ac:dyDescent="0.2">
      <c r="AS594" s="134"/>
    </row>
    <row r="595" spans="45:45" x14ac:dyDescent="0.2">
      <c r="AS595" s="134"/>
    </row>
    <row r="596" spans="45:45" x14ac:dyDescent="0.2">
      <c r="AS596" s="134"/>
    </row>
    <row r="597" spans="45:45" x14ac:dyDescent="0.2">
      <c r="AS597" s="134"/>
    </row>
    <row r="598" spans="45:45" x14ac:dyDescent="0.2">
      <c r="AS598" s="134"/>
    </row>
    <row r="599" spans="45:45" x14ac:dyDescent="0.2">
      <c r="AS599" s="134"/>
    </row>
    <row r="600" spans="45:45" x14ac:dyDescent="0.2">
      <c r="AS600" s="134"/>
    </row>
    <row r="601" spans="45:45" x14ac:dyDescent="0.2">
      <c r="AS601" s="134"/>
    </row>
    <row r="602" spans="45:45" x14ac:dyDescent="0.2">
      <c r="AS602" s="134"/>
    </row>
    <row r="603" spans="45:45" x14ac:dyDescent="0.2">
      <c r="AS603" s="134"/>
    </row>
    <row r="604" spans="45:45" x14ac:dyDescent="0.2">
      <c r="AS604" s="134"/>
    </row>
    <row r="605" spans="45:45" x14ac:dyDescent="0.2">
      <c r="AS605" s="134"/>
    </row>
    <row r="606" spans="45:45" x14ac:dyDescent="0.2">
      <c r="AS606" s="134"/>
    </row>
    <row r="607" spans="45:45" x14ac:dyDescent="0.2">
      <c r="AS607" s="134"/>
    </row>
    <row r="608" spans="45:45" x14ac:dyDescent="0.2">
      <c r="AS608" s="134"/>
    </row>
    <row r="609" spans="45:45" x14ac:dyDescent="0.2">
      <c r="AS609" s="134"/>
    </row>
    <row r="610" spans="45:45" x14ac:dyDescent="0.2">
      <c r="AS610" s="134"/>
    </row>
    <row r="611" spans="45:45" x14ac:dyDescent="0.2">
      <c r="AS611" s="134"/>
    </row>
    <row r="612" spans="45:45" x14ac:dyDescent="0.2">
      <c r="AS612" s="134"/>
    </row>
    <row r="613" spans="45:45" x14ac:dyDescent="0.2">
      <c r="AS613" s="134"/>
    </row>
    <row r="614" spans="45:45" x14ac:dyDescent="0.2">
      <c r="AS614" s="134"/>
    </row>
    <row r="615" spans="45:45" x14ac:dyDescent="0.2">
      <c r="AS615" s="134"/>
    </row>
    <row r="616" spans="45:45" x14ac:dyDescent="0.2">
      <c r="AS616" s="134"/>
    </row>
    <row r="617" spans="45:45" x14ac:dyDescent="0.2">
      <c r="AS617" s="134"/>
    </row>
    <row r="618" spans="45:45" x14ac:dyDescent="0.2">
      <c r="AS618" s="134"/>
    </row>
    <row r="619" spans="45:45" x14ac:dyDescent="0.2">
      <c r="AS619" s="134"/>
    </row>
    <row r="620" spans="45:45" x14ac:dyDescent="0.2">
      <c r="AS620" s="134"/>
    </row>
    <row r="621" spans="45:45" x14ac:dyDescent="0.2">
      <c r="AS621" s="134"/>
    </row>
    <row r="622" spans="45:45" x14ac:dyDescent="0.2">
      <c r="AS622" s="134"/>
    </row>
    <row r="623" spans="45:45" x14ac:dyDescent="0.2">
      <c r="AS623" s="134"/>
    </row>
    <row r="624" spans="45:45" x14ac:dyDescent="0.2">
      <c r="AS624" s="134"/>
    </row>
    <row r="625" spans="45:45" x14ac:dyDescent="0.2">
      <c r="AS625" s="134"/>
    </row>
    <row r="626" spans="45:45" x14ac:dyDescent="0.2">
      <c r="AS626" s="134"/>
    </row>
    <row r="627" spans="45:45" x14ac:dyDescent="0.2">
      <c r="AS627" s="134"/>
    </row>
    <row r="628" spans="45:45" x14ac:dyDescent="0.2">
      <c r="AS628" s="134"/>
    </row>
    <row r="629" spans="45:45" x14ac:dyDescent="0.2">
      <c r="AS629" s="134"/>
    </row>
    <row r="630" spans="45:45" x14ac:dyDescent="0.2">
      <c r="AS630" s="134"/>
    </row>
    <row r="631" spans="45:45" x14ac:dyDescent="0.2">
      <c r="AS631" s="134"/>
    </row>
    <row r="632" spans="45:45" x14ac:dyDescent="0.2">
      <c r="AS632" s="134"/>
    </row>
    <row r="633" spans="45:45" x14ac:dyDescent="0.2">
      <c r="AS633" s="134"/>
    </row>
    <row r="634" spans="45:45" x14ac:dyDescent="0.2">
      <c r="AS634" s="134"/>
    </row>
    <row r="635" spans="45:45" x14ac:dyDescent="0.2">
      <c r="AS635" s="134"/>
    </row>
    <row r="636" spans="45:45" x14ac:dyDescent="0.2">
      <c r="AS636" s="134"/>
    </row>
    <row r="637" spans="45:45" x14ac:dyDescent="0.2">
      <c r="AS637" s="134"/>
    </row>
    <row r="638" spans="45:45" x14ac:dyDescent="0.2">
      <c r="AS638" s="134"/>
    </row>
    <row r="639" spans="45:45" x14ac:dyDescent="0.2">
      <c r="AS639" s="134"/>
    </row>
    <row r="640" spans="45:45" x14ac:dyDescent="0.2">
      <c r="AS640" s="134"/>
    </row>
    <row r="641" spans="45:45" x14ac:dyDescent="0.2">
      <c r="AS641" s="134"/>
    </row>
    <row r="642" spans="45:45" x14ac:dyDescent="0.2">
      <c r="AS642" s="134"/>
    </row>
    <row r="643" spans="45:45" x14ac:dyDescent="0.2">
      <c r="AS643" s="134"/>
    </row>
    <row r="644" spans="45:45" x14ac:dyDescent="0.2">
      <c r="AS644" s="134"/>
    </row>
    <row r="645" spans="45:45" x14ac:dyDescent="0.2">
      <c r="AS645" s="134"/>
    </row>
    <row r="646" spans="45:45" x14ac:dyDescent="0.2">
      <c r="AS646" s="134"/>
    </row>
    <row r="647" spans="45:45" x14ac:dyDescent="0.2">
      <c r="AS647" s="134"/>
    </row>
    <row r="648" spans="45:45" x14ac:dyDescent="0.2">
      <c r="AS648" s="134"/>
    </row>
    <row r="649" spans="45:45" x14ac:dyDescent="0.2">
      <c r="AS649" s="134"/>
    </row>
    <row r="650" spans="45:45" x14ac:dyDescent="0.2">
      <c r="AS650" s="134"/>
    </row>
    <row r="651" spans="45:45" x14ac:dyDescent="0.2">
      <c r="AS651" s="134"/>
    </row>
    <row r="652" spans="45:45" x14ac:dyDescent="0.2">
      <c r="AS652" s="134"/>
    </row>
    <row r="653" spans="45:45" x14ac:dyDescent="0.2">
      <c r="AS653" s="134"/>
    </row>
    <row r="654" spans="45:45" x14ac:dyDescent="0.2">
      <c r="AS654" s="134"/>
    </row>
    <row r="655" spans="45:45" x14ac:dyDescent="0.2">
      <c r="AS655" s="134"/>
    </row>
    <row r="656" spans="45:45" x14ac:dyDescent="0.2">
      <c r="AS656" s="134"/>
    </row>
    <row r="657" spans="45:45" x14ac:dyDescent="0.2">
      <c r="AS657" s="134"/>
    </row>
    <row r="658" spans="45:45" x14ac:dyDescent="0.2">
      <c r="AS658" s="134"/>
    </row>
    <row r="659" spans="45:45" x14ac:dyDescent="0.2">
      <c r="AS659" s="134"/>
    </row>
    <row r="660" spans="45:45" x14ac:dyDescent="0.2">
      <c r="AS660" s="134"/>
    </row>
    <row r="661" spans="45:45" x14ac:dyDescent="0.2">
      <c r="AS661" s="134"/>
    </row>
    <row r="662" spans="45:45" x14ac:dyDescent="0.2">
      <c r="AS662" s="134"/>
    </row>
    <row r="663" spans="45:45" x14ac:dyDescent="0.2">
      <c r="AS663" s="134"/>
    </row>
    <row r="664" spans="45:45" x14ac:dyDescent="0.2">
      <c r="AS664" s="134"/>
    </row>
    <row r="665" spans="45:45" x14ac:dyDescent="0.2">
      <c r="AS665" s="134"/>
    </row>
    <row r="666" spans="45:45" x14ac:dyDescent="0.2">
      <c r="AS666" s="134"/>
    </row>
    <row r="667" spans="45:45" x14ac:dyDescent="0.2">
      <c r="AS667" s="134"/>
    </row>
    <row r="668" spans="45:45" x14ac:dyDescent="0.2">
      <c r="AS668" s="134"/>
    </row>
    <row r="669" spans="45:45" x14ac:dyDescent="0.2">
      <c r="AS669" s="134"/>
    </row>
    <row r="670" spans="45:45" x14ac:dyDescent="0.2">
      <c r="AS670" s="134"/>
    </row>
    <row r="671" spans="45:45" x14ac:dyDescent="0.2">
      <c r="AS671" s="134"/>
    </row>
    <row r="672" spans="45:45" x14ac:dyDescent="0.2">
      <c r="AS672" s="134"/>
    </row>
    <row r="673" spans="45:45" x14ac:dyDescent="0.2">
      <c r="AS673" s="134"/>
    </row>
    <row r="674" spans="45:45" x14ac:dyDescent="0.2">
      <c r="AS674" s="134"/>
    </row>
    <row r="675" spans="45:45" x14ac:dyDescent="0.2">
      <c r="AS675" s="134"/>
    </row>
    <row r="676" spans="45:45" x14ac:dyDescent="0.2">
      <c r="AS676" s="134"/>
    </row>
    <row r="677" spans="45:45" x14ac:dyDescent="0.2">
      <c r="AS677" s="134"/>
    </row>
    <row r="678" spans="45:45" x14ac:dyDescent="0.2">
      <c r="AS678" s="134"/>
    </row>
    <row r="679" spans="45:45" x14ac:dyDescent="0.2">
      <c r="AS679" s="134"/>
    </row>
    <row r="680" spans="45:45" x14ac:dyDescent="0.2">
      <c r="AS680" s="134"/>
    </row>
    <row r="681" spans="45:45" x14ac:dyDescent="0.2">
      <c r="AS681" s="134"/>
    </row>
    <row r="682" spans="45:45" x14ac:dyDescent="0.2">
      <c r="AS682" s="134"/>
    </row>
    <row r="683" spans="45:45" x14ac:dyDescent="0.2">
      <c r="AS683" s="134"/>
    </row>
    <row r="684" spans="45:45" x14ac:dyDescent="0.2">
      <c r="AS684" s="134"/>
    </row>
    <row r="685" spans="45:45" x14ac:dyDescent="0.2">
      <c r="AS685" s="134"/>
    </row>
    <row r="686" spans="45:45" x14ac:dyDescent="0.2">
      <c r="AS686" s="134"/>
    </row>
    <row r="687" spans="45:45" x14ac:dyDescent="0.2">
      <c r="AS687" s="134"/>
    </row>
    <row r="688" spans="45:45" x14ac:dyDescent="0.2">
      <c r="AS688" s="134"/>
    </row>
    <row r="689" spans="45:45" x14ac:dyDescent="0.2">
      <c r="AS689" s="134"/>
    </row>
    <row r="690" spans="45:45" x14ac:dyDescent="0.2">
      <c r="AS690" s="134"/>
    </row>
    <row r="691" spans="45:45" x14ac:dyDescent="0.2">
      <c r="AS691" s="134"/>
    </row>
    <row r="692" spans="45:45" x14ac:dyDescent="0.2">
      <c r="AS692" s="134"/>
    </row>
    <row r="693" spans="45:45" x14ac:dyDescent="0.2">
      <c r="AS693" s="134"/>
    </row>
    <row r="694" spans="45:45" x14ac:dyDescent="0.2">
      <c r="AS694" s="134"/>
    </row>
    <row r="695" spans="45:45" x14ac:dyDescent="0.2">
      <c r="AS695" s="134"/>
    </row>
    <row r="696" spans="45:45" x14ac:dyDescent="0.2">
      <c r="AS696" s="134"/>
    </row>
    <row r="697" spans="45:45" x14ac:dyDescent="0.2">
      <c r="AS697" s="134"/>
    </row>
    <row r="698" spans="45:45" x14ac:dyDescent="0.2">
      <c r="AS698" s="134"/>
    </row>
    <row r="699" spans="45:45" x14ac:dyDescent="0.2">
      <c r="AS699" s="134"/>
    </row>
    <row r="700" spans="45:45" x14ac:dyDescent="0.2">
      <c r="AS700" s="134"/>
    </row>
    <row r="701" spans="45:45" x14ac:dyDescent="0.2">
      <c r="AS701" s="134"/>
    </row>
    <row r="702" spans="45:45" x14ac:dyDescent="0.2">
      <c r="AS702" s="134"/>
    </row>
    <row r="703" spans="45:45" x14ac:dyDescent="0.2">
      <c r="AS703" s="134"/>
    </row>
    <row r="704" spans="45:45" x14ac:dyDescent="0.2">
      <c r="AS704" s="134"/>
    </row>
    <row r="705" spans="45:45" x14ac:dyDescent="0.2">
      <c r="AS705" s="134"/>
    </row>
    <row r="706" spans="45:45" x14ac:dyDescent="0.2">
      <c r="AS706" s="134"/>
    </row>
    <row r="707" spans="45:45" x14ac:dyDescent="0.2">
      <c r="AS707" s="134"/>
    </row>
    <row r="708" spans="45:45" x14ac:dyDescent="0.2">
      <c r="AS708" s="134"/>
    </row>
    <row r="709" spans="45:45" x14ac:dyDescent="0.2">
      <c r="AS709" s="134"/>
    </row>
    <row r="710" spans="45:45" x14ac:dyDescent="0.2">
      <c r="AS710" s="134"/>
    </row>
    <row r="711" spans="45:45" x14ac:dyDescent="0.2">
      <c r="AS711" s="134"/>
    </row>
    <row r="712" spans="45:45" x14ac:dyDescent="0.2">
      <c r="AS712" s="134"/>
    </row>
    <row r="713" spans="45:45" x14ac:dyDescent="0.2">
      <c r="AS713" s="134"/>
    </row>
    <row r="714" spans="45:45" x14ac:dyDescent="0.2">
      <c r="AS714" s="134"/>
    </row>
    <row r="715" spans="45:45" x14ac:dyDescent="0.2">
      <c r="AS715" s="134"/>
    </row>
    <row r="716" spans="45:45" x14ac:dyDescent="0.2">
      <c r="AS716" s="134"/>
    </row>
    <row r="717" spans="45:45" x14ac:dyDescent="0.2">
      <c r="AS717" s="134"/>
    </row>
    <row r="718" spans="45:45" x14ac:dyDescent="0.2">
      <c r="AS718" s="134"/>
    </row>
    <row r="719" spans="45:45" x14ac:dyDescent="0.2">
      <c r="AS719" s="134"/>
    </row>
    <row r="720" spans="45:45" x14ac:dyDescent="0.2">
      <c r="AS720" s="134"/>
    </row>
    <row r="721" spans="45:45" x14ac:dyDescent="0.2">
      <c r="AS721" s="134"/>
    </row>
    <row r="722" spans="45:45" x14ac:dyDescent="0.2">
      <c r="AS722" s="134"/>
    </row>
    <row r="723" spans="45:45" x14ac:dyDescent="0.2">
      <c r="AS723" s="134"/>
    </row>
    <row r="724" spans="45:45" x14ac:dyDescent="0.2">
      <c r="AS724" s="134"/>
    </row>
    <row r="725" spans="45:45" x14ac:dyDescent="0.2">
      <c r="AS725" s="134"/>
    </row>
    <row r="726" spans="45:45" x14ac:dyDescent="0.2">
      <c r="AS726" s="134"/>
    </row>
    <row r="727" spans="45:45" x14ac:dyDescent="0.2">
      <c r="AS727" s="134"/>
    </row>
    <row r="728" spans="45:45" x14ac:dyDescent="0.2">
      <c r="AS728" s="134"/>
    </row>
    <row r="729" spans="45:45" x14ac:dyDescent="0.2">
      <c r="AS729" s="134"/>
    </row>
    <row r="730" spans="45:45" x14ac:dyDescent="0.2">
      <c r="AS730" s="134"/>
    </row>
    <row r="731" spans="45:45" x14ac:dyDescent="0.2">
      <c r="AS731" s="134"/>
    </row>
    <row r="732" spans="45:45" x14ac:dyDescent="0.2">
      <c r="AS732" s="134"/>
    </row>
    <row r="733" spans="45:45" x14ac:dyDescent="0.2">
      <c r="AS733" s="134"/>
    </row>
    <row r="734" spans="45:45" x14ac:dyDescent="0.2">
      <c r="AS734" s="134"/>
    </row>
    <row r="735" spans="45:45" x14ac:dyDescent="0.2">
      <c r="AS735" s="134"/>
    </row>
    <row r="736" spans="45:45" x14ac:dyDescent="0.2">
      <c r="AS736" s="134"/>
    </row>
    <row r="737" spans="45:45" x14ac:dyDescent="0.2">
      <c r="AS737" s="134"/>
    </row>
  </sheetData>
  <pageMargins left="0.75" right="0.75" top="1" bottom="1" header="0.5" footer="0.5"/>
  <pageSetup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65"/>
  <sheetViews>
    <sheetView workbookViewId="0">
      <selection activeCell="C30" sqref="C30"/>
    </sheetView>
  </sheetViews>
  <sheetFormatPr defaultRowHeight="12.75" x14ac:dyDescent="0.2"/>
  <cols>
    <col min="4" max="4" width="12" customWidth="1"/>
    <col min="18" max="19" width="9.7109375" customWidth="1"/>
    <col min="23" max="25" width="10.85546875" customWidth="1"/>
    <col min="42" max="42" width="14.140625" customWidth="1"/>
    <col min="52" max="52" width="12.5703125" customWidth="1"/>
  </cols>
  <sheetData>
    <row r="1" spans="2:8" x14ac:dyDescent="0.2">
      <c r="C1" t="s">
        <v>1117</v>
      </c>
    </row>
    <row r="2" spans="2:8" ht="13.5" thickBot="1" x14ac:dyDescent="0.25">
      <c r="C2" s="130" t="s">
        <v>1118</v>
      </c>
      <c r="D2" s="130" t="s">
        <v>1119</v>
      </c>
      <c r="E2" s="130" t="s">
        <v>1120</v>
      </c>
    </row>
    <row r="3" spans="2:8" x14ac:dyDescent="0.2">
      <c r="B3">
        <v>1949</v>
      </c>
      <c r="C3" s="5">
        <f>'Passenger-based Activity'!$AF8*0.001</f>
        <v>341.17627944097887</v>
      </c>
      <c r="D3" s="5"/>
      <c r="E3" s="5">
        <f>SUM(C3:D3)</f>
        <v>341.17627944097887</v>
      </c>
      <c r="H3" s="136"/>
    </row>
    <row r="4" spans="2:8" x14ac:dyDescent="0.2">
      <c r="B4">
        <f>B3+1</f>
        <v>1950</v>
      </c>
      <c r="C4" s="5">
        <f>'Passenger-based Activity'!$AF9*0.001</f>
        <v>364.27720835204457</v>
      </c>
      <c r="D4" s="5"/>
      <c r="E4" s="5">
        <f t="shared" ref="E4:E65" si="0">SUM(C4:D4)</f>
        <v>364.27720835204457</v>
      </c>
      <c r="H4" s="136"/>
    </row>
    <row r="5" spans="2:8" x14ac:dyDescent="0.2">
      <c r="B5">
        <f t="shared" ref="B5:B65" si="1">B4+1</f>
        <v>1951</v>
      </c>
      <c r="C5" s="5">
        <f>'Passenger-based Activity'!$AF10*0.001</f>
        <v>390.86081959031361</v>
      </c>
      <c r="D5" s="5"/>
      <c r="E5" s="5">
        <f t="shared" si="0"/>
        <v>390.86081959031361</v>
      </c>
      <c r="H5" s="136"/>
    </row>
    <row r="6" spans="2:8" x14ac:dyDescent="0.2">
      <c r="B6">
        <f t="shared" si="1"/>
        <v>1952</v>
      </c>
      <c r="C6" s="5">
        <f>'Passenger-based Activity'!$AF11*0.001</f>
        <v>408.85833307056049</v>
      </c>
      <c r="D6" s="5"/>
      <c r="E6" s="5">
        <f t="shared" si="0"/>
        <v>408.85833307056049</v>
      </c>
      <c r="H6" s="136"/>
    </row>
    <row r="7" spans="2:8" x14ac:dyDescent="0.2">
      <c r="B7">
        <f t="shared" si="1"/>
        <v>1953</v>
      </c>
      <c r="C7" s="5">
        <f>'Passenger-based Activity'!$AF12*0.001</f>
        <v>433.94082250437378</v>
      </c>
      <c r="D7" s="5"/>
      <c r="E7" s="5">
        <f t="shared" si="0"/>
        <v>433.94082250437378</v>
      </c>
      <c r="H7" s="136"/>
    </row>
    <row r="8" spans="2:8" x14ac:dyDescent="0.2">
      <c r="B8">
        <f t="shared" si="1"/>
        <v>1954</v>
      </c>
      <c r="C8" s="5">
        <f>'Passenger-based Activity'!$AF13*0.001</f>
        <v>451.6841619739061</v>
      </c>
      <c r="D8" s="5"/>
      <c r="E8" s="5">
        <f t="shared" si="0"/>
        <v>451.6841619739061</v>
      </c>
      <c r="H8" s="136"/>
    </row>
    <row r="9" spans="2:8" x14ac:dyDescent="0.2">
      <c r="B9">
        <f t="shared" si="1"/>
        <v>1955</v>
      </c>
      <c r="C9" s="5">
        <f>'Passenger-based Activity'!$AF14*0.001</f>
        <v>491.03926967996443</v>
      </c>
      <c r="D9" s="5"/>
      <c r="E9" s="5">
        <f t="shared" si="0"/>
        <v>491.03926967996443</v>
      </c>
      <c r="H9" s="136"/>
    </row>
    <row r="10" spans="2:8" x14ac:dyDescent="0.2">
      <c r="B10">
        <f t="shared" si="1"/>
        <v>1956</v>
      </c>
      <c r="C10" s="5">
        <f>'Passenger-based Activity'!$AF15*0.001</f>
        <v>513.11353493990839</v>
      </c>
      <c r="D10" s="5"/>
      <c r="E10" s="5">
        <f t="shared" si="0"/>
        <v>513.11353493990839</v>
      </c>
      <c r="H10" s="136"/>
    </row>
    <row r="11" spans="2:8" x14ac:dyDescent="0.2">
      <c r="B11">
        <f t="shared" si="1"/>
        <v>1957</v>
      </c>
      <c r="C11" s="5">
        <f>'Passenger-based Activity'!$AF16*0.001</f>
        <v>521.05373168246751</v>
      </c>
      <c r="D11" s="5"/>
      <c r="E11" s="5">
        <f t="shared" si="0"/>
        <v>521.05373168246751</v>
      </c>
      <c r="H11" s="136"/>
    </row>
    <row r="12" spans="2:8" x14ac:dyDescent="0.2">
      <c r="B12">
        <f t="shared" si="1"/>
        <v>1958</v>
      </c>
      <c r="C12" s="5">
        <f>'Passenger-based Activity'!$AF17*0.001</f>
        <v>538.69938859101921</v>
      </c>
      <c r="D12" s="5"/>
      <c r="E12" s="5">
        <f t="shared" si="0"/>
        <v>538.69938859101921</v>
      </c>
      <c r="H12" s="136"/>
    </row>
    <row r="13" spans="2:8" x14ac:dyDescent="0.2">
      <c r="B13">
        <f t="shared" si="1"/>
        <v>1959</v>
      </c>
      <c r="C13" s="5">
        <f>'Passenger-based Activity'!$AF18*0.001</f>
        <v>569.77440411273938</v>
      </c>
      <c r="D13" s="5"/>
      <c r="E13" s="5">
        <f t="shared" si="0"/>
        <v>569.77440411273938</v>
      </c>
      <c r="H13" s="136"/>
    </row>
    <row r="14" spans="2:8" x14ac:dyDescent="0.2">
      <c r="B14">
        <f t="shared" si="1"/>
        <v>1960</v>
      </c>
      <c r="C14" s="5">
        <f>'Passenger-based Activity'!$AF19*0.001</f>
        <v>585.11056618668033</v>
      </c>
      <c r="D14" s="5"/>
      <c r="E14" s="5">
        <f t="shared" si="0"/>
        <v>585.11056618668033</v>
      </c>
      <c r="H14" s="136"/>
    </row>
    <row r="15" spans="2:8" x14ac:dyDescent="0.2">
      <c r="B15">
        <f t="shared" si="1"/>
        <v>1961</v>
      </c>
      <c r="C15" s="5">
        <f>'Passenger-based Activity'!$AF20*0.001</f>
        <v>601.87109948144951</v>
      </c>
      <c r="D15" s="5"/>
      <c r="E15" s="5">
        <f t="shared" si="0"/>
        <v>601.87109948144951</v>
      </c>
      <c r="H15" s="136"/>
    </row>
    <row r="16" spans="2:8" x14ac:dyDescent="0.2">
      <c r="B16">
        <f t="shared" si="1"/>
        <v>1962</v>
      </c>
      <c r="C16" s="5">
        <f>'Passenger-based Activity'!$AF21*0.001</f>
        <v>625.3547845498266</v>
      </c>
      <c r="D16" s="5"/>
      <c r="E16" s="5">
        <f t="shared" si="0"/>
        <v>625.3547845498266</v>
      </c>
      <c r="H16" s="136"/>
    </row>
    <row r="17" spans="2:22" x14ac:dyDescent="0.2">
      <c r="B17">
        <f t="shared" si="1"/>
        <v>1963</v>
      </c>
      <c r="C17" s="5">
        <f>'Passenger-based Activity'!$AF22*0.001</f>
        <v>659.74004277579468</v>
      </c>
      <c r="D17" s="5"/>
      <c r="E17" s="5">
        <f t="shared" si="0"/>
        <v>659.74004277579468</v>
      </c>
      <c r="H17" s="136"/>
    </row>
    <row r="18" spans="2:22" x14ac:dyDescent="0.2">
      <c r="B18">
        <f t="shared" si="1"/>
        <v>1964</v>
      </c>
      <c r="C18" s="5">
        <f>'Passenger-based Activity'!$AF23*0.001</f>
        <v>693.58106959058546</v>
      </c>
      <c r="D18" s="5"/>
      <c r="E18" s="5">
        <f t="shared" si="0"/>
        <v>693.58106959058546</v>
      </c>
      <c r="H18" s="136"/>
    </row>
    <row r="19" spans="2:22" x14ac:dyDescent="0.2">
      <c r="B19">
        <f t="shared" si="1"/>
        <v>1965</v>
      </c>
      <c r="C19" s="5">
        <f>'Passenger-based Activity'!$AF24*0.001</f>
        <v>720.35506214668385</v>
      </c>
      <c r="D19" s="5"/>
      <c r="E19" s="5">
        <f t="shared" si="0"/>
        <v>720.35506214668385</v>
      </c>
      <c r="H19" s="660" t="s">
        <v>1121</v>
      </c>
    </row>
    <row r="20" spans="2:22" x14ac:dyDescent="0.2">
      <c r="B20">
        <f t="shared" si="1"/>
        <v>1966</v>
      </c>
      <c r="C20" s="5">
        <f>'Passenger-based Activity'!$AF25*0.001</f>
        <v>774.96160725644484</v>
      </c>
      <c r="D20" s="5">
        <f>'Passenger-based Activity'!$AA25*0.001</f>
        <v>91.414000000000001</v>
      </c>
      <c r="E20" s="5">
        <f t="shared" si="0"/>
        <v>866.37560725644482</v>
      </c>
      <c r="G20">
        <f t="shared" ref="G20:G65" si="2">B20</f>
        <v>1966</v>
      </c>
      <c r="H20" s="136">
        <f t="shared" ref="H20:H65" si="3">D20/E20</f>
        <v>0.1055131276023353</v>
      </c>
    </row>
    <row r="21" spans="2:22" x14ac:dyDescent="0.2">
      <c r="B21">
        <f t="shared" si="1"/>
        <v>1967</v>
      </c>
      <c r="C21" s="5">
        <f>'Passenger-based Activity'!$AF26*0.001</f>
        <v>808.41888115309803</v>
      </c>
      <c r="D21" s="5">
        <f>'Passenger-based Activity'!$AA26*0.001</f>
        <v>93.74</v>
      </c>
      <c r="E21" s="5">
        <f t="shared" si="0"/>
        <v>902.15888115309804</v>
      </c>
      <c r="G21">
        <f t="shared" si="2"/>
        <v>1967</v>
      </c>
      <c r="H21" s="136">
        <f t="shared" si="3"/>
        <v>0.10390630958505429</v>
      </c>
    </row>
    <row r="22" spans="2:22" x14ac:dyDescent="0.2">
      <c r="B22">
        <f t="shared" si="1"/>
        <v>1968</v>
      </c>
      <c r="C22" s="5">
        <f>'Passenger-based Activity'!$AF27*0.001</f>
        <v>847.53376950001029</v>
      </c>
      <c r="D22" s="5">
        <f>'Passenger-based Activity'!$AA27*0.001</f>
        <v>102.876</v>
      </c>
      <c r="E22" s="5">
        <f t="shared" si="0"/>
        <v>950.40976950001027</v>
      </c>
      <c r="G22">
        <f t="shared" si="2"/>
        <v>1968</v>
      </c>
      <c r="H22" s="136">
        <f t="shared" si="3"/>
        <v>0.10824383681800831</v>
      </c>
    </row>
    <row r="23" spans="2:22" x14ac:dyDescent="0.2">
      <c r="B23">
        <f t="shared" si="1"/>
        <v>1969</v>
      </c>
      <c r="C23" s="5">
        <f>'Passenger-based Activity'!$AF28*0.001</f>
        <v>881.83928685987178</v>
      </c>
      <c r="D23" s="5">
        <f>'Passenger-based Activity'!$AA28*0.001</f>
        <v>112.011</v>
      </c>
      <c r="E23" s="5">
        <f t="shared" si="0"/>
        <v>993.85028685987174</v>
      </c>
      <c r="G23">
        <f t="shared" si="2"/>
        <v>1969</v>
      </c>
      <c r="H23" s="136">
        <f t="shared" si="3"/>
        <v>0.11270409787162744</v>
      </c>
    </row>
    <row r="24" spans="2:22" x14ac:dyDescent="0.2">
      <c r="B24">
        <f t="shared" si="1"/>
        <v>1970</v>
      </c>
      <c r="C24" s="5">
        <f>'Passenger-based Activity'!$AF29*0.001</f>
        <v>916.7</v>
      </c>
      <c r="D24" s="5">
        <f>'Passenger-based Activity'!$AA29*0.001</f>
        <v>123.286</v>
      </c>
      <c r="E24" s="5">
        <f t="shared" si="0"/>
        <v>1039.9860000000001</v>
      </c>
      <c r="G24">
        <f t="shared" si="2"/>
        <v>1970</v>
      </c>
      <c r="H24" s="136">
        <f t="shared" si="3"/>
        <v>0.1185458265784347</v>
      </c>
    </row>
    <row r="25" spans="2:22" x14ac:dyDescent="0.2">
      <c r="B25">
        <f t="shared" si="1"/>
        <v>1971</v>
      </c>
      <c r="C25" s="5">
        <f>'Passenger-based Activity'!$AF30*0.001</f>
        <v>966.37318248261113</v>
      </c>
      <c r="D25" s="5">
        <f>'Passenger-based Activity'!$AA30*0.001</f>
        <v>137.87</v>
      </c>
      <c r="E25" s="5">
        <f t="shared" si="0"/>
        <v>1104.2431824826112</v>
      </c>
      <c r="G25">
        <f t="shared" si="2"/>
        <v>1971</v>
      </c>
      <c r="H25" s="136">
        <f t="shared" si="3"/>
        <v>0.12485474412441851</v>
      </c>
    </row>
    <row r="26" spans="2:22" x14ac:dyDescent="0.2">
      <c r="B26">
        <f t="shared" si="1"/>
        <v>1972</v>
      </c>
      <c r="C26" s="5">
        <f>'Passenger-based Activity'!$AF31*0.001</f>
        <v>1021.4810243822395</v>
      </c>
      <c r="D26" s="5">
        <f>'Passenger-based Activity'!$AA31*0.001</f>
        <v>156.62200000000001</v>
      </c>
      <c r="E26" s="5">
        <f t="shared" si="0"/>
        <v>1178.1030243822395</v>
      </c>
      <c r="G26">
        <f t="shared" si="2"/>
        <v>1972</v>
      </c>
      <c r="H26" s="136">
        <f t="shared" si="3"/>
        <v>0.13294423047774426</v>
      </c>
    </row>
    <row r="27" spans="2:22" x14ac:dyDescent="0.2">
      <c r="B27">
        <f t="shared" si="1"/>
        <v>1973</v>
      </c>
      <c r="C27" s="5">
        <f>'Passenger-based Activity'!$AF32*0.001</f>
        <v>1046.3979513873048</v>
      </c>
      <c r="D27" s="5">
        <f>'Passenger-based Activity'!$AA32*0.001</f>
        <v>176.833</v>
      </c>
      <c r="E27" s="5">
        <f t="shared" si="0"/>
        <v>1223.2309513873049</v>
      </c>
      <c r="G27">
        <f t="shared" si="2"/>
        <v>1973</v>
      </c>
      <c r="H27" s="136">
        <f t="shared" si="3"/>
        <v>0.14456223479257788</v>
      </c>
    </row>
    <row r="28" spans="2:22" x14ac:dyDescent="0.2">
      <c r="B28">
        <f t="shared" si="1"/>
        <v>1974</v>
      </c>
      <c r="C28" s="5">
        <f>'Passenger-based Activity'!$AF33*0.001</f>
        <v>1007.6531908866513</v>
      </c>
      <c r="D28" s="5">
        <f>'Passenger-based Activity'!$AA33*0.001</f>
        <v>182.75700000000001</v>
      </c>
      <c r="E28" s="5">
        <f t="shared" si="0"/>
        <v>1190.4101908866512</v>
      </c>
      <c r="G28">
        <f t="shared" si="2"/>
        <v>1974</v>
      </c>
      <c r="H28" s="136">
        <f t="shared" si="3"/>
        <v>0.15352439133932264</v>
      </c>
    </row>
    <row r="29" spans="2:22" x14ac:dyDescent="0.2">
      <c r="B29">
        <f t="shared" si="1"/>
        <v>1975</v>
      </c>
      <c r="C29" s="5">
        <f>'Passenger-based Activity'!$AF34*0.001</f>
        <v>1033.95</v>
      </c>
      <c r="D29" s="5">
        <f>'Passenger-based Activity'!$AA34*0.001</f>
        <v>200.70000000000002</v>
      </c>
      <c r="E29" s="5">
        <f t="shared" si="0"/>
        <v>1234.6500000000001</v>
      </c>
      <c r="G29">
        <f t="shared" si="2"/>
        <v>1975</v>
      </c>
      <c r="H29" s="136">
        <f t="shared" si="3"/>
        <v>0.1625561900133641</v>
      </c>
    </row>
    <row r="30" spans="2:22" x14ac:dyDescent="0.2">
      <c r="B30">
        <f t="shared" si="1"/>
        <v>1976</v>
      </c>
      <c r="C30" s="5">
        <f>'Passenger-based Activity'!$AF35*0.001</f>
        <v>1077.5470893498045</v>
      </c>
      <c r="D30" s="5">
        <f>'Passenger-based Activity'!$AA35*0.001</f>
        <v>225.834</v>
      </c>
      <c r="E30" s="5">
        <f t="shared" si="0"/>
        <v>1303.3810893498046</v>
      </c>
      <c r="G30">
        <f t="shared" si="2"/>
        <v>1976</v>
      </c>
      <c r="H30" s="136">
        <f t="shared" si="3"/>
        <v>0.17326782001468038</v>
      </c>
    </row>
    <row r="31" spans="2:22" x14ac:dyDescent="0.2">
      <c r="B31">
        <f t="shared" si="1"/>
        <v>1977</v>
      </c>
      <c r="C31" s="5">
        <f>'Passenger-based Activity'!$AF36*0.001</f>
        <v>1107.9046935928743</v>
      </c>
      <c r="D31" s="5">
        <f>'Passenger-based Activity'!$AA36*0.001</f>
        <v>250.59100000000001</v>
      </c>
      <c r="E31" s="5">
        <f t="shared" si="0"/>
        <v>1358.4956935928744</v>
      </c>
      <c r="G31">
        <f t="shared" si="2"/>
        <v>1977</v>
      </c>
      <c r="H31" s="136">
        <f t="shared" si="3"/>
        <v>0.18446212320132629</v>
      </c>
      <c r="V31" s="556" t="s">
        <v>1132</v>
      </c>
    </row>
    <row r="32" spans="2:22" x14ac:dyDescent="0.2">
      <c r="B32">
        <f t="shared" si="1"/>
        <v>1978</v>
      </c>
      <c r="C32" s="5">
        <f>'Passenger-based Activity'!$AF37*0.001</f>
        <v>1144.8648736535804</v>
      </c>
      <c r="D32" s="5">
        <f>'Passenger-based Activity'!$AA37*0.001</f>
        <v>279.41399999999999</v>
      </c>
      <c r="E32" s="5">
        <f t="shared" si="0"/>
        <v>1424.2788736535804</v>
      </c>
      <c r="G32">
        <f t="shared" si="2"/>
        <v>1978</v>
      </c>
      <c r="H32" s="136">
        <f t="shared" si="3"/>
        <v>0.19617927722486203</v>
      </c>
    </row>
    <row r="33" spans="2:8" x14ac:dyDescent="0.2">
      <c r="B33">
        <f t="shared" si="1"/>
        <v>1979</v>
      </c>
      <c r="C33" s="5">
        <f>'Passenger-based Activity'!$AF38*0.001</f>
        <v>1112.8870415603624</v>
      </c>
      <c r="D33" s="5">
        <f>'Passenger-based Activity'!$AA38*0.001</f>
        <v>291.90500000000003</v>
      </c>
      <c r="E33" s="5">
        <f t="shared" si="0"/>
        <v>1404.7920415603623</v>
      </c>
      <c r="G33">
        <f t="shared" si="2"/>
        <v>1979</v>
      </c>
      <c r="H33" s="136">
        <f t="shared" si="3"/>
        <v>0.20779232182705756</v>
      </c>
    </row>
    <row r="34" spans="2:8" x14ac:dyDescent="0.2">
      <c r="B34">
        <f t="shared" si="1"/>
        <v>1980</v>
      </c>
      <c r="C34" s="5">
        <f>'Passenger-based Activity'!$AF39*0.001</f>
        <v>1111.596</v>
      </c>
      <c r="D34" s="5">
        <f>'Passenger-based Activity'!$AA39*0.001</f>
        <v>290.935</v>
      </c>
      <c r="E34" s="5">
        <f t="shared" si="0"/>
        <v>1402.5309999999999</v>
      </c>
      <c r="G34">
        <f t="shared" si="2"/>
        <v>1980</v>
      </c>
      <c r="H34" s="136">
        <f t="shared" si="3"/>
        <v>0.2074357001734721</v>
      </c>
    </row>
    <row r="35" spans="2:8" x14ac:dyDescent="0.2">
      <c r="B35">
        <f t="shared" si="1"/>
        <v>1981</v>
      </c>
      <c r="C35" s="5">
        <f>'Passenger-based Activity'!$AF40*0.001</f>
        <v>1134.0336676603179</v>
      </c>
      <c r="D35" s="5">
        <f>'Passenger-based Activity'!$AA40*0.001</f>
        <v>296.34300000000002</v>
      </c>
      <c r="E35" s="5">
        <f t="shared" si="0"/>
        <v>1430.3766676603179</v>
      </c>
      <c r="G35">
        <f t="shared" si="2"/>
        <v>1981</v>
      </c>
      <c r="H35" s="136">
        <f t="shared" si="3"/>
        <v>0.20717829554975289</v>
      </c>
    </row>
    <row r="36" spans="2:8" x14ac:dyDescent="0.2">
      <c r="B36">
        <f t="shared" si="1"/>
        <v>1982</v>
      </c>
      <c r="C36" s="5">
        <f>'Passenger-based Activity'!$AF41*0.001</f>
        <v>1161.8319164399695</v>
      </c>
      <c r="D36" s="5">
        <f>'Passenger-based Activity'!$AA41*0.001</f>
        <v>306.14100000000002</v>
      </c>
      <c r="E36" s="5">
        <f t="shared" si="0"/>
        <v>1467.9729164399696</v>
      </c>
      <c r="G36">
        <f t="shared" si="2"/>
        <v>1982</v>
      </c>
      <c r="H36" s="136">
        <f t="shared" si="3"/>
        <v>0.20854676307137385</v>
      </c>
    </row>
    <row r="37" spans="2:8" x14ac:dyDescent="0.2">
      <c r="B37">
        <f t="shared" si="1"/>
        <v>1983</v>
      </c>
      <c r="C37" s="5">
        <f>'Passenger-based Activity'!$AF42*0.001</f>
        <v>1194.2041716637641</v>
      </c>
      <c r="D37" s="5">
        <f>'Passenger-based Activity'!$AA42*0.001</f>
        <v>327.64300000000003</v>
      </c>
      <c r="E37" s="5">
        <f t="shared" si="0"/>
        <v>1521.8471716637641</v>
      </c>
      <c r="G37">
        <f t="shared" si="2"/>
        <v>1983</v>
      </c>
      <c r="H37" s="136">
        <f t="shared" si="3"/>
        <v>0.21529297166009337</v>
      </c>
    </row>
    <row r="38" spans="2:8" x14ac:dyDescent="0.2">
      <c r="B38">
        <f t="shared" si="1"/>
        <v>1984</v>
      </c>
      <c r="C38" s="5">
        <f>'Passenger-based Activity'!$AF43*0.001</f>
        <v>1226.4238624883196</v>
      </c>
      <c r="D38" s="5">
        <f>'Passenger-based Activity'!$AA43*0.001</f>
        <v>358.00600000000003</v>
      </c>
      <c r="E38" s="5">
        <f t="shared" si="0"/>
        <v>1584.4298624883197</v>
      </c>
      <c r="G38">
        <f t="shared" si="2"/>
        <v>1984</v>
      </c>
      <c r="H38" s="136">
        <f t="shared" si="3"/>
        <v>0.22595257036986022</v>
      </c>
    </row>
    <row r="39" spans="2:8" x14ac:dyDescent="0.2">
      <c r="B39">
        <f t="shared" si="1"/>
        <v>1985</v>
      </c>
      <c r="C39" s="5">
        <f>'Passenger-based Activity'!$AF44*0.001</f>
        <v>1246.798</v>
      </c>
      <c r="D39" s="5">
        <f>'Passenger-based Activity'!$AA44*0.001</f>
        <v>390.96100000000001</v>
      </c>
      <c r="E39" s="5">
        <f t="shared" si="0"/>
        <v>1637.759</v>
      </c>
      <c r="G39">
        <f t="shared" si="2"/>
        <v>1985</v>
      </c>
      <c r="H39" s="136">
        <f t="shared" si="3"/>
        <v>0.23871705177623814</v>
      </c>
    </row>
    <row r="40" spans="2:8" x14ac:dyDescent="0.2">
      <c r="B40">
        <f t="shared" si="1"/>
        <v>1986</v>
      </c>
      <c r="C40" s="5">
        <f>'Passenger-based Activity'!$AF45*0.001</f>
        <v>1270.4331351558326</v>
      </c>
      <c r="D40" s="5">
        <f>'Passenger-based Activity'!$AA45*0.001</f>
        <v>423.91500000000002</v>
      </c>
      <c r="E40" s="5">
        <f t="shared" si="0"/>
        <v>1694.3481351558326</v>
      </c>
      <c r="G40">
        <f t="shared" si="2"/>
        <v>1986</v>
      </c>
      <c r="H40" s="136">
        <f t="shared" si="3"/>
        <v>0.25019356483135724</v>
      </c>
    </row>
    <row r="41" spans="2:8" x14ac:dyDescent="0.2">
      <c r="B41">
        <f t="shared" si="1"/>
        <v>1987</v>
      </c>
      <c r="C41" s="5">
        <f>'Passenger-based Activity'!$AF46*0.001</f>
        <v>1316.1604176026431</v>
      </c>
      <c r="D41" s="5">
        <f>'Passenger-based Activity'!$AA46*0.001</f>
        <v>456.87</v>
      </c>
      <c r="E41" s="5">
        <f t="shared" si="0"/>
        <v>1773.030417602643</v>
      </c>
      <c r="G41">
        <f t="shared" si="2"/>
        <v>1987</v>
      </c>
      <c r="H41" s="136">
        <f t="shared" si="3"/>
        <v>0.2576774743761841</v>
      </c>
    </row>
    <row r="42" spans="2:8" x14ac:dyDescent="0.2">
      <c r="B42">
        <f t="shared" si="1"/>
        <v>1988</v>
      </c>
      <c r="C42" s="5">
        <f>'Passenger-based Activity'!$AF47*0.001</f>
        <v>1370.7181443713343</v>
      </c>
      <c r="D42" s="5">
        <f>'Passenger-based Activity'!$AA47*0.001</f>
        <v>502.20699999999999</v>
      </c>
      <c r="E42" s="5">
        <f t="shared" si="0"/>
        <v>1872.9251443713342</v>
      </c>
      <c r="G42">
        <f t="shared" si="2"/>
        <v>1988</v>
      </c>
      <c r="H42" s="136">
        <f t="shared" si="3"/>
        <v>0.26814045479034387</v>
      </c>
    </row>
    <row r="43" spans="2:8" x14ac:dyDescent="0.2">
      <c r="B43">
        <f t="shared" si="1"/>
        <v>1989</v>
      </c>
      <c r="C43" s="5">
        <f>'Passenger-based Activity'!$AF48*0.001</f>
        <v>1401.937499098482</v>
      </c>
      <c r="D43" s="5">
        <f>'Passenger-based Activity'!$AA48*0.001</f>
        <v>536.47500000000002</v>
      </c>
      <c r="E43" s="5">
        <f t="shared" si="0"/>
        <v>1938.4124990984819</v>
      </c>
      <c r="G43">
        <f t="shared" si="2"/>
        <v>1989</v>
      </c>
      <c r="H43" s="136">
        <f t="shared" si="3"/>
        <v>0.2767599776876718</v>
      </c>
    </row>
    <row r="44" spans="2:8" x14ac:dyDescent="0.2">
      <c r="B44">
        <f t="shared" si="1"/>
        <v>1990</v>
      </c>
      <c r="C44" s="5">
        <f>'Passenger-based Activity'!$AF49*0.001</f>
        <v>1408.2660000000001</v>
      </c>
      <c r="D44" s="5">
        <f>'Passenger-based Activity'!$AA49*0.001</f>
        <v>574.57100000000003</v>
      </c>
      <c r="E44" s="5">
        <f t="shared" si="0"/>
        <v>1982.837</v>
      </c>
      <c r="G44">
        <f t="shared" si="2"/>
        <v>1990</v>
      </c>
      <c r="H44" s="136">
        <f t="shared" si="3"/>
        <v>0.28977217996234689</v>
      </c>
    </row>
    <row r="45" spans="2:8" x14ac:dyDescent="0.2">
      <c r="B45">
        <f t="shared" si="1"/>
        <v>1991</v>
      </c>
      <c r="C45" s="5">
        <f>'Passenger-based Activity'!$AF50*0.001</f>
        <v>1358.1849999999999</v>
      </c>
      <c r="D45" s="5">
        <f>'Passenger-based Activity'!$AA50*0.001</f>
        <v>649.39400000000001</v>
      </c>
      <c r="E45" s="5">
        <f t="shared" si="0"/>
        <v>2007.579</v>
      </c>
      <c r="G45">
        <f t="shared" si="2"/>
        <v>1991</v>
      </c>
      <c r="H45" s="136">
        <f t="shared" si="3"/>
        <v>0.3234712058653732</v>
      </c>
    </row>
    <row r="46" spans="2:8" x14ac:dyDescent="0.2">
      <c r="B46">
        <f t="shared" si="1"/>
        <v>1992</v>
      </c>
      <c r="C46" s="5">
        <f>'Passenger-based Activity'!$AF51*0.001</f>
        <v>1371.569</v>
      </c>
      <c r="D46" s="5">
        <f>'Passenger-based Activity'!$AA51*0.001</f>
        <v>706.86300000000006</v>
      </c>
      <c r="E46" s="5">
        <f t="shared" si="0"/>
        <v>2078.4319999999998</v>
      </c>
      <c r="G46">
        <f t="shared" si="2"/>
        <v>1992</v>
      </c>
      <c r="H46" s="136">
        <f t="shared" si="3"/>
        <v>0.34009435959415568</v>
      </c>
    </row>
    <row r="47" spans="2:8" x14ac:dyDescent="0.2">
      <c r="B47">
        <f t="shared" si="1"/>
        <v>1993</v>
      </c>
      <c r="C47" s="5">
        <f>'Passenger-based Activity'!$AF52*0.001</f>
        <v>1374.7090000000001</v>
      </c>
      <c r="D47" s="5">
        <f>'Passenger-based Activity'!$AA52*0.001</f>
        <v>745.75</v>
      </c>
      <c r="E47" s="5">
        <f t="shared" si="0"/>
        <v>2120.4589999999998</v>
      </c>
      <c r="G47">
        <f t="shared" si="2"/>
        <v>1993</v>
      </c>
      <c r="H47" s="136">
        <f t="shared" si="3"/>
        <v>0.35169272313211436</v>
      </c>
    </row>
    <row r="48" spans="2:8" x14ac:dyDescent="0.2">
      <c r="B48">
        <f t="shared" si="1"/>
        <v>1994</v>
      </c>
      <c r="C48" s="5">
        <f>'Passenger-based Activity'!$AF53*0.001</f>
        <v>1406.0889999999999</v>
      </c>
      <c r="D48" s="5">
        <f>'Passenger-based Activity'!$AA53*0.001</f>
        <v>764.63400000000001</v>
      </c>
      <c r="E48" s="5">
        <f t="shared" si="0"/>
        <v>2170.723</v>
      </c>
      <c r="G48">
        <f t="shared" si="2"/>
        <v>1994</v>
      </c>
      <c r="H48" s="136">
        <f t="shared" si="3"/>
        <v>0.35224853654750055</v>
      </c>
    </row>
    <row r="49" spans="2:53" x14ac:dyDescent="0.2">
      <c r="B49">
        <f t="shared" si="1"/>
        <v>1995</v>
      </c>
      <c r="C49" s="5">
        <f>'Passenger-based Activity'!$AF54*0.001</f>
        <v>1438.41</v>
      </c>
      <c r="D49" s="5">
        <f>'Passenger-based Activity'!$AA54*0.001</f>
        <v>790.029</v>
      </c>
      <c r="E49" s="5">
        <f t="shared" si="0"/>
        <v>2228.4390000000003</v>
      </c>
      <c r="G49">
        <f t="shared" si="2"/>
        <v>1995</v>
      </c>
      <c r="H49" s="136">
        <f t="shared" si="3"/>
        <v>0.35452125905173976</v>
      </c>
    </row>
    <row r="50" spans="2:53" x14ac:dyDescent="0.2">
      <c r="B50">
        <f t="shared" si="1"/>
        <v>1996</v>
      </c>
      <c r="C50" s="5">
        <f>'Passenger-based Activity'!$AF55*0.001</f>
        <v>1469.854</v>
      </c>
      <c r="D50" s="5">
        <f>'Passenger-based Activity'!$AA55*0.001</f>
        <v>816.54</v>
      </c>
      <c r="E50" s="5">
        <f t="shared" si="0"/>
        <v>2286.3940000000002</v>
      </c>
      <c r="G50">
        <f t="shared" si="2"/>
        <v>1996</v>
      </c>
      <c r="H50" s="136">
        <f t="shared" si="3"/>
        <v>0.3571300484518416</v>
      </c>
    </row>
    <row r="51" spans="2:53" x14ac:dyDescent="0.2">
      <c r="B51">
        <f t="shared" si="1"/>
        <v>1997</v>
      </c>
      <c r="C51" s="5">
        <f>'Passenger-based Activity'!$AF56*0.001</f>
        <v>1502.556</v>
      </c>
      <c r="D51" s="5">
        <f>'Passenger-based Activity'!$AA56*0.001</f>
        <v>850.73900000000003</v>
      </c>
      <c r="E51" s="5">
        <f t="shared" si="0"/>
        <v>2353.2950000000001</v>
      </c>
      <c r="G51">
        <f t="shared" si="2"/>
        <v>1997</v>
      </c>
      <c r="H51" s="136">
        <f t="shared" si="3"/>
        <v>0.36150971297691109</v>
      </c>
    </row>
    <row r="52" spans="2:53" x14ac:dyDescent="0.2">
      <c r="B52">
        <f t="shared" si="1"/>
        <v>1998</v>
      </c>
      <c r="C52" s="5">
        <f>'Passenger-based Activity'!$AF57*0.001</f>
        <v>1549.577</v>
      </c>
      <c r="D52" s="5">
        <f>'Passenger-based Activity'!$AA57*0.001</f>
        <v>868.27499999999998</v>
      </c>
      <c r="E52" s="5">
        <f t="shared" si="0"/>
        <v>2417.8519999999999</v>
      </c>
      <c r="G52">
        <f t="shared" si="2"/>
        <v>1998</v>
      </c>
      <c r="H52" s="136">
        <f t="shared" si="3"/>
        <v>0.35911006959896635</v>
      </c>
    </row>
    <row r="53" spans="2:53" x14ac:dyDescent="0.2">
      <c r="B53">
        <f t="shared" si="1"/>
        <v>1999</v>
      </c>
      <c r="C53" s="5">
        <f>'Passenger-based Activity'!$AF58*0.001</f>
        <v>1569.1000000000001</v>
      </c>
      <c r="D53" s="5">
        <f>'Passenger-based Activity'!$AA58*0.001</f>
        <v>901.02200000000005</v>
      </c>
      <c r="E53" s="5">
        <f t="shared" si="0"/>
        <v>2470.1220000000003</v>
      </c>
      <c r="G53">
        <f t="shared" si="2"/>
        <v>1999</v>
      </c>
      <c r="H53" s="136">
        <f t="shared" si="3"/>
        <v>0.36476821792607811</v>
      </c>
    </row>
    <row r="54" spans="2:53" x14ac:dyDescent="0.2">
      <c r="B54">
        <f t="shared" si="1"/>
        <v>2000</v>
      </c>
      <c r="C54" s="5">
        <f>'Passenger-based Activity'!$AF59*0.001</f>
        <v>1600.287</v>
      </c>
      <c r="D54" s="5">
        <f>'Passenger-based Activity'!$AA59*0.001</f>
        <v>923.05899999999997</v>
      </c>
      <c r="E54" s="5">
        <f t="shared" si="0"/>
        <v>2523.346</v>
      </c>
      <c r="G54">
        <f t="shared" si="2"/>
        <v>2000</v>
      </c>
      <c r="H54" s="136">
        <f t="shared" si="3"/>
        <v>0.36580754284192496</v>
      </c>
      <c r="AN54" s="556" t="s">
        <v>1149</v>
      </c>
      <c r="AO54" s="556" t="s">
        <v>396</v>
      </c>
    </row>
    <row r="55" spans="2:53" x14ac:dyDescent="0.2">
      <c r="B55">
        <f t="shared" si="1"/>
        <v>2001</v>
      </c>
      <c r="C55" s="5">
        <f>'Passenger-based Activity'!$AF60*0.001</f>
        <v>1628.338</v>
      </c>
      <c r="D55" s="5">
        <f>'Passenger-based Activity'!$AA60*0.001</f>
        <v>943.20699999999999</v>
      </c>
      <c r="E55" s="5">
        <f t="shared" si="0"/>
        <v>2571.5450000000001</v>
      </c>
      <c r="G55">
        <f t="shared" si="2"/>
        <v>2001</v>
      </c>
      <c r="H55" s="136">
        <f t="shared" si="3"/>
        <v>0.36678611496201696</v>
      </c>
      <c r="AN55" s="556" t="s">
        <v>1140</v>
      </c>
      <c r="AO55" s="556" t="s">
        <v>1150</v>
      </c>
    </row>
    <row r="56" spans="2:53" x14ac:dyDescent="0.2">
      <c r="B56">
        <f t="shared" si="1"/>
        <v>2002</v>
      </c>
      <c r="C56" s="5">
        <f>'Passenger-based Activity'!$AF61*0.001</f>
        <v>1658.4739999999999</v>
      </c>
      <c r="D56" s="5">
        <f>'Passenger-based Activity'!$AA61*0.001</f>
        <v>966.03399999999999</v>
      </c>
      <c r="E56" s="5">
        <f t="shared" si="0"/>
        <v>2624.5079999999998</v>
      </c>
      <c r="G56">
        <f t="shared" si="2"/>
        <v>2002</v>
      </c>
      <c r="H56" s="136">
        <f t="shared" si="3"/>
        <v>0.36808194145340767</v>
      </c>
    </row>
    <row r="57" spans="2:53" x14ac:dyDescent="0.2">
      <c r="B57">
        <f t="shared" si="1"/>
        <v>2003</v>
      </c>
      <c r="C57" s="5">
        <f>'Passenger-based Activity'!$AF62*0.001</f>
        <v>1672.08</v>
      </c>
      <c r="D57" s="5">
        <f>'Passenger-based Activity'!$AA62*0.001</f>
        <v>984.09400000000005</v>
      </c>
      <c r="E57" s="5">
        <f t="shared" si="0"/>
        <v>2656.174</v>
      </c>
      <c r="G57">
        <f t="shared" si="2"/>
        <v>2003</v>
      </c>
      <c r="H57" s="136">
        <f t="shared" si="3"/>
        <v>0.37049304751872431</v>
      </c>
      <c r="V57" s="935" t="s">
        <v>1131</v>
      </c>
      <c r="W57" s="800"/>
      <c r="X57" s="800"/>
      <c r="Y57" s="800"/>
      <c r="Z57" s="800"/>
      <c r="AA57" s="800"/>
      <c r="AB57" s="800"/>
    </row>
    <row r="58" spans="2:53" x14ac:dyDescent="0.2">
      <c r="B58">
        <f t="shared" si="1"/>
        <v>2004</v>
      </c>
      <c r="C58" s="5">
        <f>'Passenger-based Activity'!$AF63*0.001</f>
        <v>1699.89</v>
      </c>
      <c r="D58" s="5">
        <f>'Passenger-based Activity'!$AA63*0.001</f>
        <v>1027.164</v>
      </c>
      <c r="E58" s="5">
        <f t="shared" si="0"/>
        <v>2727.0540000000001</v>
      </c>
      <c r="G58">
        <f t="shared" si="2"/>
        <v>2004</v>
      </c>
      <c r="H58" s="136">
        <f t="shared" si="3"/>
        <v>0.37665700789203294</v>
      </c>
      <c r="V58" s="556" t="s">
        <v>1130</v>
      </c>
      <c r="AA58" s="556" t="s">
        <v>1129</v>
      </c>
      <c r="AD58" s="556" t="s">
        <v>1130</v>
      </c>
      <c r="AN58" s="556" t="s">
        <v>1144</v>
      </c>
      <c r="AR58" s="556" t="s">
        <v>1145</v>
      </c>
    </row>
    <row r="59" spans="2:53" x14ac:dyDescent="0.2">
      <c r="B59">
        <f t="shared" si="1"/>
        <v>2005</v>
      </c>
      <c r="C59" s="5">
        <f>'Passenger-based Activity'!$AF64*0.001</f>
        <v>1708.421</v>
      </c>
      <c r="D59" s="5">
        <f>'Passenger-based Activity'!$AA64*0.001</f>
        <v>1041.0509999999999</v>
      </c>
      <c r="E59" s="5">
        <f t="shared" si="0"/>
        <v>2749.4719999999998</v>
      </c>
      <c r="G59">
        <f t="shared" si="2"/>
        <v>2005</v>
      </c>
      <c r="H59" s="136">
        <f t="shared" si="3"/>
        <v>0.37863669824606327</v>
      </c>
      <c r="J59" s="556" t="s">
        <v>1124</v>
      </c>
      <c r="M59" s="657" t="s">
        <v>1125</v>
      </c>
      <c r="AH59" s="657" t="s">
        <v>1129</v>
      </c>
      <c r="AI59" s="656"/>
      <c r="AK59" s="556" t="s">
        <v>1133</v>
      </c>
      <c r="AN59" s="556" t="s">
        <v>1143</v>
      </c>
      <c r="AR59" s="556" t="s">
        <v>1138</v>
      </c>
    </row>
    <row r="60" spans="2:53" x14ac:dyDescent="0.2">
      <c r="B60">
        <f t="shared" si="1"/>
        <v>2006</v>
      </c>
      <c r="C60" s="5">
        <f>'Passenger-based Activity'!$AF65*0.001</f>
        <v>1690.5340000000001</v>
      </c>
      <c r="D60" s="5">
        <f>'Passenger-based Activity'!$AA65*0.001</f>
        <v>1082.49</v>
      </c>
      <c r="E60" s="5">
        <f t="shared" si="0"/>
        <v>2773.0240000000003</v>
      </c>
      <c r="G60">
        <f t="shared" si="2"/>
        <v>2006</v>
      </c>
      <c r="H60" s="136">
        <f t="shared" si="3"/>
        <v>0.3903644541121894</v>
      </c>
      <c r="J60" s="662" t="s">
        <v>1122</v>
      </c>
      <c r="K60" s="662" t="s">
        <v>1123</v>
      </c>
      <c r="L60" s="220"/>
      <c r="M60" s="662" t="s">
        <v>1126</v>
      </c>
      <c r="P60" s="662" t="s">
        <v>1127</v>
      </c>
      <c r="Q60" s="662" t="s">
        <v>1128</v>
      </c>
      <c r="R60" s="662" t="s">
        <v>1247</v>
      </c>
      <c r="S60" s="663"/>
      <c r="T60" s="556"/>
      <c r="V60" s="662" t="s">
        <v>1118</v>
      </c>
      <c r="W60" s="662" t="s">
        <v>1119</v>
      </c>
      <c r="X60" s="662" t="s">
        <v>690</v>
      </c>
      <c r="Y60" s="556"/>
      <c r="AA60" s="556" t="s">
        <v>1118</v>
      </c>
      <c r="AB60" s="556" t="s">
        <v>1119</v>
      </c>
      <c r="AD60" s="556" t="s">
        <v>1122</v>
      </c>
      <c r="AE60" s="556" t="s">
        <v>1123</v>
      </c>
      <c r="AF60" s="556"/>
      <c r="AH60" s="657" t="s">
        <v>1122</v>
      </c>
      <c r="AI60" s="657" t="s">
        <v>1123</v>
      </c>
      <c r="AK60" s="662" t="s">
        <v>1122</v>
      </c>
      <c r="AL60" s="662" t="s">
        <v>1123</v>
      </c>
      <c r="AN60" s="661" t="s">
        <v>1134</v>
      </c>
      <c r="AO60" s="661" t="s">
        <v>1135</v>
      </c>
      <c r="AP60" s="661" t="s">
        <v>1136</v>
      </c>
      <c r="AU60" s="556" t="s">
        <v>1148</v>
      </c>
    </row>
    <row r="61" spans="2:53" x14ac:dyDescent="0.2">
      <c r="B61">
        <f t="shared" si="1"/>
        <v>2007</v>
      </c>
      <c r="C61" s="5">
        <f>'Passenger-based Activity'!$AF66*0.001</f>
        <v>1672.4670000000001</v>
      </c>
      <c r="D61" s="5">
        <f>'Passenger-based Activity'!$AA66*0.001</f>
        <v>1112.271</v>
      </c>
      <c r="E61" s="5">
        <f t="shared" si="0"/>
        <v>2784.7380000000003</v>
      </c>
      <c r="G61">
        <f t="shared" si="2"/>
        <v>2007</v>
      </c>
      <c r="H61" s="136">
        <f t="shared" si="3"/>
        <v>0.39941674943926497</v>
      </c>
      <c r="J61" s="5">
        <v>2104.4</v>
      </c>
      <c r="K61" s="5">
        <v>586.6</v>
      </c>
      <c r="L61" s="5">
        <f>SUM(J61:K61)</f>
        <v>2691</v>
      </c>
      <c r="M61" s="136">
        <f>E61/L61</f>
        <v>1.0348338907469343</v>
      </c>
      <c r="N61" s="632">
        <f>AVERAGE(M61,M62)</f>
        <v>1.0353236480309587</v>
      </c>
      <c r="P61">
        <f>C61</f>
        <v>1672.4670000000001</v>
      </c>
      <c r="Q61">
        <f>J61-C61</f>
        <v>431.93299999999999</v>
      </c>
      <c r="R61" s="136">
        <f>P61/(P61+Q61)</f>
        <v>0.79474767154533354</v>
      </c>
      <c r="S61" s="136"/>
      <c r="T61" s="311">
        <f>B61</f>
        <v>2007</v>
      </c>
      <c r="V61">
        <v>74377</v>
      </c>
      <c r="W61">
        <v>61836</v>
      </c>
      <c r="X61">
        <f>SUM(V61:W61)</f>
        <v>136213</v>
      </c>
      <c r="AA61" s="279">
        <f>C61/V61*1000</f>
        <v>22.486346585638035</v>
      </c>
      <c r="AB61" s="279">
        <f>D61/W61*1000</f>
        <v>17.987434504172324</v>
      </c>
      <c r="AD61">
        <v>92034</v>
      </c>
      <c r="AE61">
        <v>34359</v>
      </c>
      <c r="AF61">
        <f>SUM(AD61:AE61)</f>
        <v>126393</v>
      </c>
      <c r="AH61" s="279">
        <f t="shared" ref="AH61:AI63" si="4">J61/AD61*1000</f>
        <v>22.865462763761222</v>
      </c>
      <c r="AI61" s="279">
        <f t="shared" si="4"/>
        <v>17.07267382636282</v>
      </c>
      <c r="AP61" s="556" t="s">
        <v>1137</v>
      </c>
      <c r="AU61" s="633">
        <v>1.1000000000000001</v>
      </c>
      <c r="AZ61" s="556" t="s">
        <v>1142</v>
      </c>
    </row>
    <row r="62" spans="2:53" x14ac:dyDescent="0.2">
      <c r="B62">
        <f t="shared" si="1"/>
        <v>2008</v>
      </c>
      <c r="C62" s="5">
        <f>'Passenger-based Activity'!$AF67*0.001</f>
        <v>1615.9</v>
      </c>
      <c r="D62" s="5">
        <f>'Passenger-based Activity'!$AA67*0.001</f>
        <v>1108.6000000000001</v>
      </c>
      <c r="E62" s="5">
        <f t="shared" si="0"/>
        <v>2724.5</v>
      </c>
      <c r="G62">
        <f t="shared" si="2"/>
        <v>2008</v>
      </c>
      <c r="H62" s="136">
        <f t="shared" si="3"/>
        <v>0.4069003486878327</v>
      </c>
      <c r="J62" s="5">
        <v>2024.8</v>
      </c>
      <c r="K62" s="5">
        <v>605.5</v>
      </c>
      <c r="L62" s="5">
        <f>SUM(J62:K62)</f>
        <v>2630.3</v>
      </c>
      <c r="M62" s="136">
        <f>E62/L62</f>
        <v>1.035813405314983</v>
      </c>
      <c r="P62">
        <f t="shared" ref="P62:P65" si="5">C62</f>
        <v>1615.9</v>
      </c>
      <c r="Q62">
        <f t="shared" ref="Q62:Q65" si="6">J62-C62</f>
        <v>408.89999999999986</v>
      </c>
      <c r="R62" s="136">
        <f t="shared" ref="R62:R65" si="7">P62/(P62+Q62)</f>
        <v>0.79805412880284476</v>
      </c>
      <c r="S62" s="136"/>
      <c r="T62" s="311">
        <f t="shared" ref="T62:T65" si="8">B62</f>
        <v>2008</v>
      </c>
      <c r="V62">
        <v>71497</v>
      </c>
      <c r="W62">
        <v>61199</v>
      </c>
      <c r="X62">
        <f>SUM(V62:W62)</f>
        <v>132696</v>
      </c>
      <c r="AA62" s="279">
        <f>C62/V62*1000</f>
        <v>22.60094829153671</v>
      </c>
      <c r="AB62" s="279">
        <f>D62/W62*1000</f>
        <v>18.114675076390142</v>
      </c>
      <c r="AD62">
        <v>85589</v>
      </c>
      <c r="AE62">
        <v>34925</v>
      </c>
      <c r="AH62" s="279">
        <f t="shared" si="4"/>
        <v>23.65724567409363</v>
      </c>
      <c r="AI62" s="279">
        <f t="shared" si="4"/>
        <v>17.33715103793844</v>
      </c>
      <c r="AR62" s="662" t="s">
        <v>1122</v>
      </c>
      <c r="AS62" s="662" t="s">
        <v>1123</v>
      </c>
      <c r="AU62" s="661" t="s">
        <v>1140</v>
      </c>
      <c r="AV62" s="661" t="s">
        <v>1141</v>
      </c>
      <c r="AW62" s="661" t="s">
        <v>1139</v>
      </c>
      <c r="AY62" s="556"/>
      <c r="AZ62" s="661" t="s">
        <v>1146</v>
      </c>
      <c r="BA62" s="661" t="s">
        <v>1139</v>
      </c>
    </row>
    <row r="63" spans="2:53" x14ac:dyDescent="0.2">
      <c r="B63">
        <f t="shared" si="1"/>
        <v>2009</v>
      </c>
      <c r="C63" s="5">
        <f>'Passenger-based Activity'!$AF68*0.001*$N$61</f>
        <v>1622.1450917349059</v>
      </c>
      <c r="D63" s="5">
        <f>'Passenger-based Activity'!$AA68*0.001*$N$61</f>
        <v>1104.1726706250174</v>
      </c>
      <c r="E63" s="5">
        <f t="shared" si="0"/>
        <v>2726.3177623599231</v>
      </c>
      <c r="G63">
        <f t="shared" si="2"/>
        <v>2009</v>
      </c>
      <c r="H63" s="136">
        <f t="shared" si="3"/>
        <v>0.40500512664717281</v>
      </c>
      <c r="J63" s="5">
        <v>2015.7</v>
      </c>
      <c r="K63" s="5">
        <v>617.5</v>
      </c>
      <c r="L63" s="5">
        <f>SUM(J63:K63)</f>
        <v>2633.2</v>
      </c>
      <c r="M63" s="136">
        <f>E63/L63</f>
        <v>1.0353629661096473</v>
      </c>
      <c r="P63">
        <f t="shared" si="5"/>
        <v>1622.1450917349059</v>
      </c>
      <c r="Q63">
        <f t="shared" si="6"/>
        <v>393.55490826509413</v>
      </c>
      <c r="R63" s="136">
        <f t="shared" si="7"/>
        <v>0.80475521741077838</v>
      </c>
      <c r="S63" s="136"/>
      <c r="T63" s="311">
        <f t="shared" si="8"/>
        <v>2009</v>
      </c>
      <c r="U63" s="556" t="s">
        <v>1147</v>
      </c>
      <c r="V63" s="635">
        <f t="shared" ref="V63:W65" si="9">C63/AA63*1000</f>
        <v>72179.201540778027</v>
      </c>
      <c r="W63" s="635">
        <f t="shared" si="9"/>
        <v>61145.657280964035</v>
      </c>
      <c r="Z63" s="556" t="s">
        <v>1147</v>
      </c>
      <c r="AA63" s="634">
        <f>AZ63*AA$62</f>
        <v>22.473857525543092</v>
      </c>
      <c r="AB63" s="634">
        <f>BA63*AB$62</f>
        <v>18.058071819415542</v>
      </c>
      <c r="AD63">
        <v>85658</v>
      </c>
      <c r="AE63">
        <v>35710</v>
      </c>
      <c r="AH63" s="279">
        <f t="shared" si="4"/>
        <v>23.531952648906113</v>
      </c>
      <c r="AI63" s="279">
        <f t="shared" si="4"/>
        <v>17.292075049005881</v>
      </c>
      <c r="AK63" s="129">
        <f>AH63/AH$62</f>
        <v>0.99470382026235959</v>
      </c>
      <c r="AL63" s="129">
        <f>AI63/AI$62</f>
        <v>0.99740003482498818</v>
      </c>
      <c r="AN63" s="129">
        <v>0.99399999999999999</v>
      </c>
      <c r="AO63" s="129">
        <v>0.99639999999999995</v>
      </c>
      <c r="AP63" s="129">
        <f>R63*AN63+(1-R63)*AO63</f>
        <v>0.99446858747821409</v>
      </c>
      <c r="AR63" s="129">
        <f>1-AK63</f>
        <v>5.2961797376404052E-3</v>
      </c>
      <c r="AS63" s="129">
        <f>1-AL63</f>
        <v>2.5999651750118202E-3</v>
      </c>
      <c r="AU63" s="129">
        <f>AVERAGE(AR63,AS63)</f>
        <v>3.9480724563261127E-3</v>
      </c>
      <c r="AV63" s="129">
        <f>(AR63-(1-R63)*AU63)/R63</f>
        <v>5.6232492705276986E-3</v>
      </c>
      <c r="AW63" s="129">
        <f>(K63*AS63+Q63*AU63)/(K63+Q63)</f>
        <v>3.124718314620775E-3</v>
      </c>
      <c r="AY63" s="141">
        <f t="shared" ref="AY63:BA65" si="10">1-AU63</f>
        <v>0.99605192754367389</v>
      </c>
      <c r="AZ63" s="632">
        <f t="shared" si="10"/>
        <v>0.99437675072947229</v>
      </c>
      <c r="BA63" s="632">
        <f t="shared" si="10"/>
        <v>0.9968752816853792</v>
      </c>
    </row>
    <row r="64" spans="2:53" x14ac:dyDescent="0.2">
      <c r="B64">
        <f t="shared" si="1"/>
        <v>2010</v>
      </c>
      <c r="C64" s="5">
        <f>'Passenger-based Activity'!$AF69*0.001*$N$61</f>
        <v>1617.2790705891607</v>
      </c>
      <c r="D64" s="5">
        <f>'Passenger-based Activity'!$AA69*0.001*$N$61</f>
        <v>1123.8438199376055</v>
      </c>
      <c r="E64" s="5">
        <f t="shared" si="0"/>
        <v>2741.1228905267662</v>
      </c>
      <c r="G64">
        <f t="shared" si="2"/>
        <v>2010</v>
      </c>
      <c r="H64" s="136">
        <f t="shared" si="3"/>
        <v>0.40999395679105599</v>
      </c>
      <c r="J64" s="5">
        <v>2025.7</v>
      </c>
      <c r="K64" s="5">
        <v>622.70000000000005</v>
      </c>
      <c r="L64" s="5">
        <f>SUM(J64:K64)</f>
        <v>2648.4</v>
      </c>
      <c r="M64" s="136">
        <f>E64/L64</f>
        <v>1.0350109086719401</v>
      </c>
      <c r="P64">
        <f t="shared" si="5"/>
        <v>1617.2790705891607</v>
      </c>
      <c r="Q64">
        <f t="shared" si="6"/>
        <v>408.42092941083934</v>
      </c>
      <c r="R64" s="136">
        <f t="shared" si="7"/>
        <v>0.79838034782502876</v>
      </c>
      <c r="S64" s="136"/>
      <c r="T64" s="311">
        <f t="shared" si="8"/>
        <v>2010</v>
      </c>
      <c r="U64" s="556" t="s">
        <v>1147</v>
      </c>
      <c r="V64" s="635">
        <f t="shared" si="9"/>
        <v>72567.853850758373</v>
      </c>
      <c r="W64" s="635">
        <f t="shared" si="9"/>
        <v>62669.61815538408</v>
      </c>
      <c r="Z64" s="556" t="s">
        <v>1147</v>
      </c>
      <c r="AA64" s="634">
        <f t="shared" ref="AA64:AB65" si="11">AZ64*AA$62</f>
        <v>22.286439308446756</v>
      </c>
      <c r="AB64" s="634">
        <f t="shared" si="11"/>
        <v>17.932833373120747</v>
      </c>
      <c r="AD64">
        <v>86789</v>
      </c>
      <c r="AE64">
        <v>36251</v>
      </c>
      <c r="AH64" s="279">
        <f t="shared" ref="AH64:AH65" si="12">J64/AD64*1000</f>
        <v>23.340515503116755</v>
      </c>
      <c r="AI64" s="279">
        <f t="shared" ref="AI64:AI65" si="13">K64/AE64*1000</f>
        <v>17.177457173595212</v>
      </c>
      <c r="AK64" s="129">
        <f t="shared" ref="AK64:AL65" si="14">AH64/AH$62</f>
        <v>0.98661170554931854</v>
      </c>
      <c r="AL64" s="129">
        <f t="shared" si="14"/>
        <v>0.9907889212020029</v>
      </c>
      <c r="AN64" s="129">
        <v>0.98599999999999999</v>
      </c>
      <c r="AO64" s="129">
        <v>0.98909999999999998</v>
      </c>
      <c r="AP64" s="129">
        <f>R64*AN64+(1-R64)*AO64</f>
        <v>0.98662502092174242</v>
      </c>
      <c r="AR64" s="129">
        <f t="shared" ref="AR64:AS65" si="15">1-AK64</f>
        <v>1.3388294450681459E-2</v>
      </c>
      <c r="AS64" s="129">
        <f t="shared" si="15"/>
        <v>9.2110787979970965E-3</v>
      </c>
      <c r="AU64" s="129">
        <f>AVERAGE(AR64,AS64)</f>
        <v>1.1299686624339278E-2</v>
      </c>
      <c r="AV64" s="129">
        <f t="shared" ref="AV64:AV65" si="16">(AR64-(1-R64)*AU64)/R64</f>
        <v>1.3915742783577201E-2</v>
      </c>
      <c r="AW64" s="129">
        <f>(K64*AS64+Q64*AU64)/(K64+Q64)</f>
        <v>1.0038364061323902E-2</v>
      </c>
      <c r="AY64" s="141">
        <f t="shared" si="10"/>
        <v>0.98870031337566067</v>
      </c>
      <c r="AZ64" s="632">
        <f t="shared" si="10"/>
        <v>0.98608425721642279</v>
      </c>
      <c r="BA64" s="632">
        <f t="shared" si="10"/>
        <v>0.98996163593867614</v>
      </c>
    </row>
    <row r="65" spans="2:53" x14ac:dyDescent="0.2">
      <c r="B65">
        <f t="shared" si="1"/>
        <v>2011</v>
      </c>
      <c r="C65" s="5">
        <f>'Passenger-based Activity'!$AF70*0.001*$N$61</f>
        <v>1616.657876400342</v>
      </c>
      <c r="D65" s="5">
        <f>'Passenger-based Activity'!$AA70*0.001*$N$61</f>
        <v>1123.4296904783932</v>
      </c>
      <c r="E65" s="5">
        <f t="shared" si="0"/>
        <v>2740.0875668787353</v>
      </c>
      <c r="G65">
        <f t="shared" si="2"/>
        <v>2011</v>
      </c>
      <c r="H65" s="136">
        <f t="shared" si="3"/>
        <v>0.40999773294037634</v>
      </c>
      <c r="J65" s="5">
        <v>2043.4</v>
      </c>
      <c r="K65" s="5">
        <v>603.20000000000005</v>
      </c>
      <c r="L65" s="5">
        <f>SUM(J65:K65)</f>
        <v>2646.6000000000004</v>
      </c>
      <c r="M65" s="136">
        <f>E65/L65</f>
        <v>1.0353236480309587</v>
      </c>
      <c r="P65">
        <f t="shared" si="5"/>
        <v>1616.657876400342</v>
      </c>
      <c r="Q65">
        <f t="shared" si="6"/>
        <v>426.74212359965804</v>
      </c>
      <c r="R65" s="136">
        <f t="shared" si="7"/>
        <v>0.79116074992676033</v>
      </c>
      <c r="S65" s="136"/>
      <c r="T65" s="311">
        <f t="shared" si="8"/>
        <v>2011</v>
      </c>
      <c r="U65" s="556" t="s">
        <v>1147</v>
      </c>
      <c r="V65" s="635">
        <f t="shared" si="9"/>
        <v>73413.238957894398</v>
      </c>
      <c r="W65" s="635">
        <f t="shared" si="9"/>
        <v>63092.467683510535</v>
      </c>
      <c r="Z65" s="556" t="s">
        <v>1147</v>
      </c>
      <c r="AA65" s="634">
        <f t="shared" si="11"/>
        <v>22.021339738566283</v>
      </c>
      <c r="AB65" s="634">
        <f t="shared" si="11"/>
        <v>17.80608259156752</v>
      </c>
      <c r="AD65">
        <v>88537</v>
      </c>
      <c r="AE65">
        <v>35326</v>
      </c>
      <c r="AH65" s="279">
        <f t="shared" si="12"/>
        <v>23.079616431548395</v>
      </c>
      <c r="AI65" s="279">
        <f t="shared" si="13"/>
        <v>17.075242031365001</v>
      </c>
      <c r="AK65" s="129">
        <f t="shared" si="14"/>
        <v>0.97558341108247526</v>
      </c>
      <c r="AL65" s="129">
        <f t="shared" si="14"/>
        <v>0.98489319231283667</v>
      </c>
      <c r="AN65" s="129">
        <v>0.97350000000000003</v>
      </c>
      <c r="AO65" s="129">
        <v>0.9839</v>
      </c>
      <c r="AP65" s="129">
        <f>R65*AN65+(1-R65)*AO65</f>
        <v>0.97567192820076165</v>
      </c>
      <c r="AR65" s="129">
        <f t="shared" si="15"/>
        <v>2.441658891752474E-2</v>
      </c>
      <c r="AS65" s="129">
        <f t="shared" si="15"/>
        <v>1.5106807687163326E-2</v>
      </c>
      <c r="AU65" s="129">
        <f>AVERAGE(AR65,AS65)</f>
        <v>1.9761698302344033E-2</v>
      </c>
      <c r="AV65" s="129">
        <f t="shared" si="16"/>
        <v>2.5645320076568327E-2</v>
      </c>
      <c r="AW65" s="129">
        <f>(K65*AS65+Q65*AU65)/(K65+Q65)</f>
        <v>1.703549655300339E-2</v>
      </c>
      <c r="AY65" s="141">
        <f t="shared" si="10"/>
        <v>0.98023830169765591</v>
      </c>
      <c r="AZ65" s="632">
        <f t="shared" si="10"/>
        <v>0.97435467992343172</v>
      </c>
      <c r="BA65" s="632">
        <f t="shared" si="10"/>
        <v>0.9829645034469966</v>
      </c>
    </row>
  </sheetData>
  <mergeCells count="1">
    <mergeCell ref="V57:AB57"/>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workbookViewId="0">
      <selection activeCell="A19" sqref="A19"/>
    </sheetView>
  </sheetViews>
  <sheetFormatPr defaultRowHeight="12.75" x14ac:dyDescent="0.2"/>
  <cols>
    <col min="5" max="5" width="9.85546875" customWidth="1"/>
  </cols>
  <sheetData>
    <row r="1" spans="1:9" x14ac:dyDescent="0.2">
      <c r="A1" s="8" t="s">
        <v>1240</v>
      </c>
    </row>
    <row r="4" spans="1:9" x14ac:dyDescent="0.2">
      <c r="D4" s="936" t="s">
        <v>1118</v>
      </c>
      <c r="E4" s="937"/>
      <c r="F4" s="937"/>
      <c r="G4" s="938" t="s">
        <v>1119</v>
      </c>
      <c r="H4" s="939"/>
      <c r="I4" s="939"/>
    </row>
    <row r="5" spans="1:9" x14ac:dyDescent="0.2">
      <c r="D5" s="556" t="s">
        <v>776</v>
      </c>
      <c r="E5" s="556" t="s">
        <v>1117</v>
      </c>
      <c r="F5" s="556" t="s">
        <v>1155</v>
      </c>
    </row>
    <row r="6" spans="1:9" x14ac:dyDescent="0.2">
      <c r="C6">
        <f>1970</f>
        <v>1970</v>
      </c>
      <c r="D6">
        <f>FuelConsump!B28</f>
        <v>67820</v>
      </c>
      <c r="E6" s="4">
        <f>'Passenger-based Activity'!AG29</f>
        <v>916700</v>
      </c>
      <c r="F6" s="279">
        <f>E6/D6</f>
        <v>13.516661751695665</v>
      </c>
      <c r="G6">
        <f>FuelConsump!H28</f>
        <v>12313.439</v>
      </c>
      <c r="H6">
        <f>'Passenger-based Activity'!AB29</f>
        <v>123286</v>
      </c>
      <c r="I6" s="279">
        <f>H6/G6</f>
        <v>10.012312563533225</v>
      </c>
    </row>
    <row r="7" spans="1:9" x14ac:dyDescent="0.2">
      <c r="C7">
        <f>C6+1</f>
        <v>1971</v>
      </c>
      <c r="D7">
        <f>FuelConsump!B29</f>
        <v>71346</v>
      </c>
      <c r="E7" s="4">
        <f>'Passenger-based Activity'!AG30</f>
        <v>966373.18248261116</v>
      </c>
      <c r="F7" s="279">
        <f t="shared" ref="F7:F47" si="0">E7/D7</f>
        <v>13.544882438855874</v>
      </c>
      <c r="G7">
        <f>FuelConsump!H29</f>
        <v>13484.433999999999</v>
      </c>
      <c r="H7">
        <f>'Passenger-based Activity'!AB30</f>
        <v>137870</v>
      </c>
      <c r="I7" s="279">
        <f t="shared" ref="I7:I47" si="1">H7/G7</f>
        <v>10.224381683354304</v>
      </c>
    </row>
    <row r="8" spans="1:9" x14ac:dyDescent="0.2">
      <c r="C8">
        <f t="shared" ref="C8:C47" si="2">C7+1</f>
        <v>1972</v>
      </c>
      <c r="D8">
        <f>FuelConsump!B30</f>
        <v>75937</v>
      </c>
      <c r="E8" s="4">
        <f>'Passenger-based Activity'!AG31</f>
        <v>1021481.0243822396</v>
      </c>
      <c r="F8" s="279">
        <f t="shared" si="0"/>
        <v>13.451690537975422</v>
      </c>
      <c r="G8">
        <f>FuelConsump!H30</f>
        <v>15150.210999999999</v>
      </c>
      <c r="H8">
        <f>'Passenger-based Activity'!AB31</f>
        <v>156622</v>
      </c>
      <c r="I8" s="279">
        <f t="shared" si="1"/>
        <v>10.337941828004904</v>
      </c>
    </row>
    <row r="9" spans="1:9" x14ac:dyDescent="0.2">
      <c r="C9">
        <f t="shared" si="2"/>
        <v>1973</v>
      </c>
      <c r="D9">
        <f>FuelConsump!B31</f>
        <v>78233</v>
      </c>
      <c r="E9" s="4">
        <f>'Passenger-based Activity'!AG32</f>
        <v>1046397.9513873047</v>
      </c>
      <c r="F9" s="279">
        <f t="shared" si="0"/>
        <v>13.375403619793497</v>
      </c>
      <c r="G9">
        <f>FuelConsump!H31</f>
        <v>16828.078000000001</v>
      </c>
      <c r="H9">
        <f>'Passenger-based Activity'!AB32</f>
        <v>176833</v>
      </c>
      <c r="I9" s="279">
        <f t="shared" si="1"/>
        <v>10.508211335840016</v>
      </c>
    </row>
    <row r="10" spans="1:9" x14ac:dyDescent="0.2">
      <c r="C10">
        <f t="shared" si="2"/>
        <v>1974</v>
      </c>
      <c r="D10">
        <f>FuelConsump!B32</f>
        <v>74229</v>
      </c>
      <c r="E10" s="4">
        <f>'Passenger-based Activity'!AG33</f>
        <v>1007653.1908866513</v>
      </c>
      <c r="F10" s="279">
        <f t="shared" si="0"/>
        <v>13.57492611899192</v>
      </c>
      <c r="G10">
        <f>FuelConsump!H32</f>
        <v>16657.192999999999</v>
      </c>
      <c r="H10">
        <f>'Passenger-based Activity'!AB33</f>
        <v>182757</v>
      </c>
      <c r="I10" s="279">
        <f t="shared" si="1"/>
        <v>10.971656508992842</v>
      </c>
    </row>
    <row r="11" spans="1:9" x14ac:dyDescent="0.2">
      <c r="C11">
        <f t="shared" si="2"/>
        <v>1975</v>
      </c>
      <c r="D11">
        <f>FuelConsump!B33</f>
        <v>74140</v>
      </c>
      <c r="E11" s="4">
        <f>'Passenger-based Activity'!AG34</f>
        <v>1033950</v>
      </c>
      <c r="F11" s="279">
        <f t="shared" si="0"/>
        <v>13.945913137307796</v>
      </c>
      <c r="G11">
        <f>FuelConsump!H33</f>
        <v>19080.67769871189</v>
      </c>
      <c r="H11">
        <f>'Passenger-based Activity'!AB34</f>
        <v>200700</v>
      </c>
      <c r="I11" s="279">
        <f t="shared" si="1"/>
        <v>10.518494320227891</v>
      </c>
    </row>
    <row r="12" spans="1:9" x14ac:dyDescent="0.2">
      <c r="C12">
        <f t="shared" si="2"/>
        <v>1976</v>
      </c>
      <c r="D12">
        <f>FuelConsump!B34</f>
        <v>78297</v>
      </c>
      <c r="E12" s="4">
        <f>'Passenger-based Activity'!AG35</f>
        <v>1077547.0893498044</v>
      </c>
      <c r="F12" s="279">
        <f t="shared" si="0"/>
        <v>13.762303655948561</v>
      </c>
      <c r="G12">
        <f>FuelConsump!H34</f>
        <v>20827.909013057597</v>
      </c>
      <c r="H12">
        <f>'Passenger-based Activity'!AB35</f>
        <v>225834</v>
      </c>
      <c r="I12" s="279">
        <f t="shared" si="1"/>
        <v>10.842855125707452</v>
      </c>
    </row>
    <row r="13" spans="1:9" x14ac:dyDescent="0.2">
      <c r="C13">
        <f t="shared" si="2"/>
        <v>1977</v>
      </c>
      <c r="D13">
        <f>FuelConsump!B35</f>
        <v>79060</v>
      </c>
      <c r="E13" s="4">
        <f>'Passenger-based Activity'!AG36</f>
        <v>1107904.6935928743</v>
      </c>
      <c r="F13" s="279">
        <f t="shared" si="0"/>
        <v>14.013466906057101</v>
      </c>
      <c r="G13">
        <f>FuelConsump!H35</f>
        <v>22382.663499565762</v>
      </c>
      <c r="H13">
        <f>'Passenger-based Activity'!AB36</f>
        <v>250591</v>
      </c>
      <c r="I13" s="279">
        <f t="shared" si="1"/>
        <v>11.195763185416322</v>
      </c>
    </row>
    <row r="14" spans="1:9" x14ac:dyDescent="0.2">
      <c r="C14">
        <f t="shared" si="2"/>
        <v>1978</v>
      </c>
      <c r="D14">
        <f>FuelConsump!B36</f>
        <v>80652</v>
      </c>
      <c r="E14" s="4">
        <f>'Passenger-based Activity'!AG37</f>
        <v>1144864.8736535804</v>
      </c>
      <c r="F14" s="279">
        <f t="shared" si="0"/>
        <v>14.195120687070133</v>
      </c>
      <c r="G14">
        <f>FuelConsump!H36</f>
        <v>24162.056698983626</v>
      </c>
      <c r="H14">
        <f>'Passenger-based Activity'!AB37</f>
        <v>279414</v>
      </c>
      <c r="I14" s="279">
        <f t="shared" si="1"/>
        <v>11.564164569308105</v>
      </c>
    </row>
    <row r="15" spans="1:9" x14ac:dyDescent="0.2">
      <c r="C15">
        <f t="shared" si="2"/>
        <v>1979</v>
      </c>
      <c r="D15">
        <f>FuelConsump!B37</f>
        <v>76588</v>
      </c>
      <c r="E15" s="4">
        <f>'Passenger-based Activity'!AG38</f>
        <v>1112887.0415603623</v>
      </c>
      <c r="F15" s="279">
        <f t="shared" si="0"/>
        <v>14.530827826296056</v>
      </c>
      <c r="G15">
        <f>FuelConsump!H37</f>
        <v>24444.55050473749</v>
      </c>
      <c r="H15">
        <f>'Passenger-based Activity'!AB38</f>
        <v>291905</v>
      </c>
      <c r="I15" s="279">
        <f t="shared" si="1"/>
        <v>11.941516369606681</v>
      </c>
    </row>
    <row r="16" spans="1:9" x14ac:dyDescent="0.2">
      <c r="C16">
        <f t="shared" si="2"/>
        <v>1980</v>
      </c>
      <c r="D16">
        <f>FuelConsump!B38</f>
        <v>69981</v>
      </c>
      <c r="E16" s="4">
        <f>'Passenger-based Activity'!AG39</f>
        <v>1111596</v>
      </c>
      <c r="F16" s="279">
        <f t="shared" si="0"/>
        <v>15.884254297595062</v>
      </c>
      <c r="G16">
        <f>FuelConsump!H38</f>
        <v>23796.196146445756</v>
      </c>
      <c r="H16">
        <f>'Passenger-based Activity'!AB39</f>
        <v>290935</v>
      </c>
      <c r="I16" s="279">
        <f t="shared" si="1"/>
        <v>12.226113712020927</v>
      </c>
    </row>
    <row r="17" spans="3:9" x14ac:dyDescent="0.2">
      <c r="C17">
        <f t="shared" si="2"/>
        <v>1981</v>
      </c>
      <c r="D17">
        <f>FuelConsump!B39</f>
        <v>69112</v>
      </c>
      <c r="E17" s="4">
        <f>'Passenger-based Activity'!AG40</f>
        <v>1134033.6676603178</v>
      </c>
      <c r="F17" s="279">
        <f t="shared" si="0"/>
        <v>16.408636237705721</v>
      </c>
      <c r="G17">
        <f>FuelConsump!H39</f>
        <v>23697.319</v>
      </c>
      <c r="H17">
        <f>'Passenger-based Activity'!AB40</f>
        <v>296343</v>
      </c>
      <c r="I17" s="279">
        <f t="shared" si="1"/>
        <v>12.505338684093337</v>
      </c>
    </row>
    <row r="18" spans="3:9" x14ac:dyDescent="0.2">
      <c r="C18">
        <f t="shared" si="2"/>
        <v>1982</v>
      </c>
      <c r="D18">
        <f>FuelConsump!B40</f>
        <v>69314</v>
      </c>
      <c r="E18" s="4">
        <f>'Passenger-based Activity'!AG41</f>
        <v>1161831.9164399696</v>
      </c>
      <c r="F18" s="279">
        <f t="shared" si="0"/>
        <v>16.761865084109552</v>
      </c>
      <c r="G18">
        <f>FuelConsump!H40</f>
        <v>22702.354899999998</v>
      </c>
      <c r="H18">
        <f>'Passenger-based Activity'!AB41</f>
        <v>306141</v>
      </c>
      <c r="I18" s="279">
        <f t="shared" si="1"/>
        <v>13.484988731279151</v>
      </c>
    </row>
    <row r="19" spans="3:9" x14ac:dyDescent="0.2">
      <c r="C19">
        <f t="shared" si="2"/>
        <v>1983</v>
      </c>
      <c r="D19">
        <f>FuelConsump!B41</f>
        <v>70322</v>
      </c>
      <c r="E19" s="4">
        <f>'Passenger-based Activity'!AG42</f>
        <v>1194204.1716637642</v>
      </c>
      <c r="F19" s="279">
        <f t="shared" si="0"/>
        <v>16.981942658965391</v>
      </c>
      <c r="G19">
        <f>FuelConsump!H41</f>
        <v>23945.395300112163</v>
      </c>
      <c r="H19">
        <f>'Passenger-based Activity'!AB42</f>
        <v>327643</v>
      </c>
      <c r="I19" s="279">
        <f t="shared" si="1"/>
        <v>13.682922995991019</v>
      </c>
    </row>
    <row r="20" spans="3:9" x14ac:dyDescent="0.2">
      <c r="C20">
        <f t="shared" si="2"/>
        <v>1984</v>
      </c>
      <c r="D20">
        <f>FuelConsump!B42</f>
        <v>70663</v>
      </c>
      <c r="E20" s="4">
        <f>'Passenger-based Activity'!AG43</f>
        <v>1226423.8624883196</v>
      </c>
      <c r="F20" s="279">
        <f t="shared" si="0"/>
        <v>17.355955202699004</v>
      </c>
      <c r="G20">
        <f>FuelConsump!H42</f>
        <v>25603.91126311789</v>
      </c>
      <c r="H20">
        <f>'Passenger-based Activity'!AB43</f>
        <v>358006</v>
      </c>
      <c r="I20" s="279">
        <f t="shared" si="1"/>
        <v>13.982473080810239</v>
      </c>
    </row>
    <row r="21" spans="3:9" x14ac:dyDescent="0.2">
      <c r="C21">
        <f t="shared" si="2"/>
        <v>1985</v>
      </c>
      <c r="D21">
        <f>FuelConsump!B43</f>
        <v>71518</v>
      </c>
      <c r="E21" s="4">
        <f>'Passenger-based Activity'!AG44</f>
        <v>1246798</v>
      </c>
      <c r="F21" s="279">
        <f t="shared" si="0"/>
        <v>17.433345451494727</v>
      </c>
      <c r="G21">
        <f>FuelConsump!H43</f>
        <v>27363.169913761038</v>
      </c>
      <c r="H21">
        <f>'Passenger-based Activity'!AB44</f>
        <v>390961</v>
      </c>
      <c r="I21" s="279">
        <f t="shared" si="1"/>
        <v>14.287854851326427</v>
      </c>
    </row>
    <row r="22" spans="3:9" x14ac:dyDescent="0.2">
      <c r="C22">
        <f t="shared" si="2"/>
        <v>1986</v>
      </c>
      <c r="D22">
        <f>FuelConsump!B44</f>
        <v>73174</v>
      </c>
      <c r="E22" s="4">
        <f>'Passenger-based Activity'!AG45</f>
        <v>1270433.1351558326</v>
      </c>
      <c r="F22" s="279">
        <f t="shared" si="0"/>
        <v>17.361810686252394</v>
      </c>
      <c r="G22">
        <f>FuelConsump!H44</f>
        <v>29074.181654580065</v>
      </c>
      <c r="H22">
        <f>'Passenger-based Activity'!AB45</f>
        <v>423915</v>
      </c>
      <c r="I22" s="279">
        <f t="shared" si="1"/>
        <v>14.580461972632015</v>
      </c>
    </row>
    <row r="23" spans="3:9" x14ac:dyDescent="0.2">
      <c r="C23">
        <f t="shared" si="2"/>
        <v>1987</v>
      </c>
      <c r="D23">
        <f>FuelConsump!B45</f>
        <v>73308</v>
      </c>
      <c r="E23" s="4">
        <f>'Passenger-based Activity'!AG46</f>
        <v>1316160.4176026431</v>
      </c>
      <c r="F23" s="279">
        <f t="shared" si="0"/>
        <v>17.953844295338069</v>
      </c>
      <c r="G23">
        <f>FuelConsump!H45</f>
        <v>30597.935144204836</v>
      </c>
      <c r="H23">
        <f>'Passenger-based Activity'!AB46</f>
        <v>456870</v>
      </c>
      <c r="I23" s="279">
        <f t="shared" si="1"/>
        <v>14.931399712000825</v>
      </c>
    </row>
    <row r="24" spans="3:9" x14ac:dyDescent="0.2">
      <c r="C24">
        <f t="shared" si="2"/>
        <v>1988</v>
      </c>
      <c r="D24">
        <f>FuelConsump!B46</f>
        <v>73345</v>
      </c>
      <c r="E24" s="4">
        <f>'Passenger-based Activity'!AG47</f>
        <v>1370718.1443713342</v>
      </c>
      <c r="F24" s="279">
        <f t="shared" si="0"/>
        <v>18.688637867221136</v>
      </c>
      <c r="G24">
        <f>FuelConsump!H46</f>
        <v>32653.332974457222</v>
      </c>
      <c r="H24">
        <f>'Passenger-based Activity'!AB47</f>
        <v>502207</v>
      </c>
      <c r="I24" s="279">
        <f t="shared" si="1"/>
        <v>15.379961377689895</v>
      </c>
    </row>
    <row r="25" spans="3:9" x14ac:dyDescent="0.2">
      <c r="C25">
        <f t="shared" si="2"/>
        <v>1989</v>
      </c>
      <c r="D25">
        <f>FuelConsump!B47</f>
        <v>73913</v>
      </c>
      <c r="E25" s="4">
        <f>'Passenger-based Activity'!AG48</f>
        <v>1401937.4990984821</v>
      </c>
      <c r="F25" s="279">
        <f t="shared" si="0"/>
        <v>18.967400850979963</v>
      </c>
      <c r="G25">
        <f>FuelConsump!H47</f>
        <v>33270.783574316076</v>
      </c>
      <c r="H25">
        <f>'Passenger-based Activity'!AB48</f>
        <v>536475</v>
      </c>
      <c r="I25" s="279">
        <f t="shared" si="1"/>
        <v>16.124507521792804</v>
      </c>
    </row>
    <row r="26" spans="3:9" x14ac:dyDescent="0.2">
      <c r="C26">
        <f t="shared" si="2"/>
        <v>1990</v>
      </c>
      <c r="D26">
        <f>FuelConsump!B48</f>
        <v>69568</v>
      </c>
      <c r="E26" s="4">
        <f>'Passenger-based Activity'!AG49</f>
        <v>1408266</v>
      </c>
      <c r="F26" s="279">
        <f t="shared" si="0"/>
        <v>20.243014029438822</v>
      </c>
      <c r="G26">
        <f>FuelConsump!H48</f>
        <v>35611.040834766216</v>
      </c>
      <c r="H26">
        <f>'Passenger-based Activity'!AB49</f>
        <v>574571</v>
      </c>
      <c r="I26" s="279">
        <f t="shared" si="1"/>
        <v>16.134630904667631</v>
      </c>
    </row>
    <row r="27" spans="3:9" x14ac:dyDescent="0.2">
      <c r="C27">
        <f t="shared" si="2"/>
        <v>1991</v>
      </c>
      <c r="D27">
        <f>FuelConsump!B49</f>
        <v>64318</v>
      </c>
      <c r="E27" s="4">
        <f>'Passenger-based Activity'!AG50</f>
        <v>1358185</v>
      </c>
      <c r="F27" s="279">
        <f t="shared" si="0"/>
        <v>21.116716937715726</v>
      </c>
      <c r="G27">
        <f>FuelConsump!H49</f>
        <v>38216.904843411023</v>
      </c>
      <c r="H27">
        <f>'Passenger-based Activity'!AB50</f>
        <v>649394</v>
      </c>
      <c r="I27" s="279">
        <f t="shared" si="1"/>
        <v>16.992323231324214</v>
      </c>
    </row>
    <row r="28" spans="3:9" x14ac:dyDescent="0.2">
      <c r="C28">
        <f t="shared" si="2"/>
        <v>1992</v>
      </c>
      <c r="D28">
        <f>FuelConsump!B50</f>
        <v>65436</v>
      </c>
      <c r="E28" s="4">
        <f>'Passenger-based Activity'!AG51</f>
        <v>1371569</v>
      </c>
      <c r="F28" s="279">
        <f t="shared" si="0"/>
        <v>20.96046518735864</v>
      </c>
      <c r="G28">
        <f>FuelConsump!H50</f>
        <v>40929.421682287357</v>
      </c>
      <c r="H28">
        <f>'Passenger-based Activity'!AB51</f>
        <v>706863</v>
      </c>
      <c r="I28" s="279">
        <f t="shared" si="1"/>
        <v>17.270290440138382</v>
      </c>
    </row>
    <row r="29" spans="3:9" x14ac:dyDescent="0.2">
      <c r="C29">
        <f t="shared" si="2"/>
        <v>1993</v>
      </c>
      <c r="D29">
        <f>FuelConsump!B51</f>
        <v>67047</v>
      </c>
      <c r="E29" s="4">
        <f>'Passenger-based Activity'!AG52</f>
        <v>1374709</v>
      </c>
      <c r="F29" s="279">
        <f t="shared" si="0"/>
        <v>20.50366161051203</v>
      </c>
      <c r="G29">
        <f>FuelConsump!H51</f>
        <v>42851.206704676886</v>
      </c>
      <c r="H29">
        <f>'Passenger-based Activity'!AB52</f>
        <v>745750</v>
      </c>
      <c r="I29" s="279">
        <f t="shared" si="1"/>
        <v>17.403243860542368</v>
      </c>
    </row>
    <row r="30" spans="3:9" x14ac:dyDescent="0.2">
      <c r="C30">
        <f t="shared" si="2"/>
        <v>1994</v>
      </c>
      <c r="D30">
        <f>FuelConsump!B52</f>
        <v>67874</v>
      </c>
      <c r="E30" s="4">
        <f>'Passenger-based Activity'!AG53</f>
        <v>1406089</v>
      </c>
      <c r="F30" s="279">
        <f t="shared" si="0"/>
        <v>20.716165247370128</v>
      </c>
      <c r="G30">
        <f>FuelConsump!H52</f>
        <v>44112.396983964529</v>
      </c>
      <c r="H30">
        <f>'Passenger-based Activity'!AB53</f>
        <v>764634</v>
      </c>
      <c r="I30" s="279">
        <f t="shared" si="1"/>
        <v>17.333766747654977</v>
      </c>
    </row>
    <row r="31" spans="3:9" x14ac:dyDescent="0.2">
      <c r="C31">
        <f t="shared" si="2"/>
        <v>1995</v>
      </c>
      <c r="D31">
        <f>FuelConsump!B53</f>
        <v>68072</v>
      </c>
      <c r="E31" s="4">
        <f>'Passenger-based Activity'!AG54</f>
        <v>1438410</v>
      </c>
      <c r="F31" s="279">
        <f t="shared" si="0"/>
        <v>21.130714537548478</v>
      </c>
      <c r="G31">
        <f>FuelConsump!H53</f>
        <v>45605</v>
      </c>
      <c r="H31">
        <f>'Passenger-based Activity'!AB54</f>
        <v>790029</v>
      </c>
      <c r="I31" s="279">
        <f t="shared" si="1"/>
        <v>17.323297884003946</v>
      </c>
    </row>
    <row r="32" spans="3:9" x14ac:dyDescent="0.2">
      <c r="C32">
        <f t="shared" si="2"/>
        <v>1996</v>
      </c>
      <c r="D32">
        <f>FuelConsump!B54</f>
        <v>69221</v>
      </c>
      <c r="E32" s="4">
        <f>'Passenger-based Activity'!AG55</f>
        <v>1469854</v>
      </c>
      <c r="F32" s="279">
        <f t="shared" si="0"/>
        <v>21.234220828939193</v>
      </c>
      <c r="G32">
        <f>FuelConsump!H54</f>
        <v>47354.029000000002</v>
      </c>
      <c r="H32">
        <f>'Passenger-based Activity'!AB55</f>
        <v>816540</v>
      </c>
      <c r="I32" s="279">
        <f t="shared" si="1"/>
        <v>17.24330573856767</v>
      </c>
    </row>
    <row r="33" spans="3:9" x14ac:dyDescent="0.2">
      <c r="C33">
        <f t="shared" si="2"/>
        <v>1997</v>
      </c>
      <c r="D33">
        <f>FuelConsump!B55</f>
        <v>69892</v>
      </c>
      <c r="E33" s="4">
        <f>'Passenger-based Activity'!AG56</f>
        <v>1502556</v>
      </c>
      <c r="F33" s="279">
        <f t="shared" si="0"/>
        <v>21.498254449722427</v>
      </c>
      <c r="G33">
        <f>FuelConsump!H55</f>
        <v>49388</v>
      </c>
      <c r="H33">
        <f>'Passenger-based Activity'!AB56</f>
        <v>850739</v>
      </c>
      <c r="I33" s="279">
        <f t="shared" si="1"/>
        <v>17.225621608487891</v>
      </c>
    </row>
    <row r="34" spans="3:9" x14ac:dyDescent="0.2">
      <c r="C34">
        <f t="shared" si="2"/>
        <v>1998</v>
      </c>
      <c r="D34">
        <f>FuelConsump!B56</f>
        <v>71695</v>
      </c>
      <c r="E34" s="4">
        <f>'Passenger-based Activity'!AG57</f>
        <v>1549577</v>
      </c>
      <c r="F34" s="279">
        <f t="shared" si="0"/>
        <v>21.613459794964783</v>
      </c>
      <c r="G34">
        <f>FuelConsump!H56</f>
        <v>50462.25</v>
      </c>
      <c r="H34">
        <f>'Passenger-based Activity'!AB57</f>
        <v>868275</v>
      </c>
      <c r="I34" s="279">
        <f t="shared" si="1"/>
        <v>17.206426586210483</v>
      </c>
    </row>
    <row r="35" spans="3:9" x14ac:dyDescent="0.2">
      <c r="C35">
        <f t="shared" si="2"/>
        <v>1999</v>
      </c>
      <c r="D35">
        <f>FuelConsump!B57</f>
        <v>73283</v>
      </c>
      <c r="E35" s="4">
        <f>'Passenger-based Activity'!AG58</f>
        <v>1569100</v>
      </c>
      <c r="F35" s="279">
        <f t="shared" si="0"/>
        <v>21.411514266610265</v>
      </c>
      <c r="G35">
        <f>FuelConsump!H57</f>
        <v>52859.067999999999</v>
      </c>
      <c r="H35">
        <f>'Passenger-based Activity'!AB58</f>
        <v>901022</v>
      </c>
      <c r="I35" s="279">
        <f t="shared" si="1"/>
        <v>17.045741328621233</v>
      </c>
    </row>
    <row r="36" spans="3:9" x14ac:dyDescent="0.2">
      <c r="C36">
        <f t="shared" si="2"/>
        <v>2000</v>
      </c>
      <c r="D36">
        <f>FuelConsump!B58</f>
        <v>73065</v>
      </c>
      <c r="E36" s="4">
        <f>'Passenger-based Activity'!AG59</f>
        <v>1600287</v>
      </c>
      <c r="F36" s="279">
        <f t="shared" si="0"/>
        <v>21.902237733524945</v>
      </c>
      <c r="G36">
        <f>FuelConsump!H58</f>
        <v>52939</v>
      </c>
      <c r="H36">
        <f>'Passenger-based Activity'!AB59</f>
        <v>923059</v>
      </c>
      <c r="I36" s="279">
        <f t="shared" si="1"/>
        <v>17.436275713557112</v>
      </c>
    </row>
    <row r="37" spans="3:9" x14ac:dyDescent="0.2">
      <c r="C37">
        <f t="shared" si="2"/>
        <v>2001</v>
      </c>
      <c r="D37">
        <f>FuelConsump!B59</f>
        <v>73559</v>
      </c>
      <c r="E37" s="4">
        <f>'Passenger-based Activity'!AG60</f>
        <v>1628338</v>
      </c>
      <c r="F37" s="279">
        <f t="shared" si="0"/>
        <v>22.136489076795499</v>
      </c>
      <c r="G37">
        <f>FuelConsump!H59</f>
        <v>53522</v>
      </c>
      <c r="H37">
        <f>'Passenger-based Activity'!AB60</f>
        <v>943207</v>
      </c>
      <c r="I37" s="279">
        <f t="shared" si="1"/>
        <v>17.622790628152909</v>
      </c>
    </row>
    <row r="38" spans="3:9" x14ac:dyDescent="0.2">
      <c r="C38">
        <f t="shared" si="2"/>
        <v>2002</v>
      </c>
      <c r="D38">
        <f>FuelConsump!B60</f>
        <v>75471</v>
      </c>
      <c r="E38" s="4">
        <f>'Passenger-based Activity'!AG61</f>
        <v>1658474</v>
      </c>
      <c r="F38" s="279">
        <f t="shared" si="0"/>
        <v>21.974983768599859</v>
      </c>
      <c r="G38">
        <f>FuelConsump!H60</f>
        <v>55220</v>
      </c>
      <c r="H38">
        <f>'Passenger-based Activity'!AB61</f>
        <v>966034</v>
      </c>
      <c r="I38" s="279">
        <f t="shared" si="1"/>
        <v>17.494277435711698</v>
      </c>
    </row>
    <row r="39" spans="3:9" x14ac:dyDescent="0.2">
      <c r="C39">
        <f t="shared" si="2"/>
        <v>2003</v>
      </c>
      <c r="D39">
        <f>FuelConsump!B61</f>
        <v>75455</v>
      </c>
      <c r="E39" s="4">
        <f>'Passenger-based Activity'!AG62</f>
        <v>1672080</v>
      </c>
      <c r="F39" s="279">
        <f t="shared" si="0"/>
        <v>22.15996289178981</v>
      </c>
      <c r="G39">
        <f>FuelConsump!H61</f>
        <v>60758</v>
      </c>
      <c r="H39">
        <f>'Passenger-based Activity'!AB62</f>
        <v>984094</v>
      </c>
      <c r="I39" s="279">
        <f t="shared" si="1"/>
        <v>16.196945258237598</v>
      </c>
    </row>
    <row r="40" spans="3:9" x14ac:dyDescent="0.2">
      <c r="C40">
        <f t="shared" si="2"/>
        <v>2004</v>
      </c>
      <c r="D40">
        <f>FuelConsump!B62</f>
        <v>75402</v>
      </c>
      <c r="E40" s="4">
        <f>'Passenger-based Activity'!AG63</f>
        <v>1699890</v>
      </c>
      <c r="F40" s="279">
        <f t="shared" si="0"/>
        <v>22.544362218508795</v>
      </c>
      <c r="G40">
        <f>FuelConsump!H62</f>
        <v>63417</v>
      </c>
      <c r="H40">
        <f>'Passenger-based Activity'!AB63</f>
        <v>1027164</v>
      </c>
      <c r="I40" s="279">
        <f t="shared" si="1"/>
        <v>16.196981881829792</v>
      </c>
    </row>
    <row r="41" spans="3:9" x14ac:dyDescent="0.2">
      <c r="C41">
        <f t="shared" si="2"/>
        <v>2005</v>
      </c>
      <c r="D41">
        <f>FuelConsump!B63</f>
        <v>77418</v>
      </c>
      <c r="E41" s="4">
        <f>'Passenger-based Activity'!AG64</f>
        <v>1708421</v>
      </c>
      <c r="F41" s="279">
        <f t="shared" si="0"/>
        <v>22.067490764421709</v>
      </c>
      <c r="G41">
        <f>FuelConsump!H63</f>
        <v>58869</v>
      </c>
      <c r="H41">
        <f>'Passenger-based Activity'!AB64</f>
        <v>1041051</v>
      </c>
      <c r="I41" s="279">
        <f t="shared" si="1"/>
        <v>17.684197115629619</v>
      </c>
    </row>
    <row r="42" spans="3:9" x14ac:dyDescent="0.2">
      <c r="C42">
        <f t="shared" si="2"/>
        <v>2006</v>
      </c>
      <c r="D42">
        <f>FuelConsump!B64</f>
        <v>75009</v>
      </c>
      <c r="E42" s="4">
        <f>'Passenger-based Activity'!AG65</f>
        <v>1690534</v>
      </c>
      <c r="F42" s="279">
        <f t="shared" si="0"/>
        <v>22.537748803476916</v>
      </c>
      <c r="G42">
        <f>FuelConsump!H64</f>
        <v>60685</v>
      </c>
      <c r="H42">
        <f>'Passenger-based Activity'!AB65</f>
        <v>1082490</v>
      </c>
      <c r="I42" s="279">
        <f t="shared" si="1"/>
        <v>17.837851198813546</v>
      </c>
    </row>
    <row r="43" spans="3:9" x14ac:dyDescent="0.2">
      <c r="C43">
        <f t="shared" si="2"/>
        <v>2007</v>
      </c>
      <c r="D43">
        <f>FuelConsump!B65</f>
        <v>74377</v>
      </c>
      <c r="E43" s="4">
        <f>'Passenger-based Activity'!AG66</f>
        <v>1672467</v>
      </c>
      <c r="F43" s="279">
        <f t="shared" si="0"/>
        <v>22.486346585638032</v>
      </c>
      <c r="G43">
        <f>FuelConsump!H65</f>
        <v>61836</v>
      </c>
      <c r="H43">
        <f>'Passenger-based Activity'!AB66</f>
        <v>1112271</v>
      </c>
      <c r="I43" s="279">
        <f t="shared" si="1"/>
        <v>17.987434504172327</v>
      </c>
    </row>
    <row r="44" spans="3:9" x14ac:dyDescent="0.2">
      <c r="C44">
        <f t="shared" si="2"/>
        <v>2008</v>
      </c>
      <c r="D44">
        <f>FuelConsump!B66</f>
        <v>71497</v>
      </c>
      <c r="E44" s="4">
        <f>'Passenger-based Activity'!AG67</f>
        <v>1615900</v>
      </c>
      <c r="F44" s="279">
        <f t="shared" si="0"/>
        <v>22.600948291536707</v>
      </c>
      <c r="G44">
        <f>FuelConsump!H66</f>
        <v>61199</v>
      </c>
      <c r="H44">
        <f>'Passenger-based Activity'!AB67</f>
        <v>1108600</v>
      </c>
      <c r="I44" s="279">
        <f t="shared" si="1"/>
        <v>18.114675076390139</v>
      </c>
    </row>
    <row r="45" spans="3:9" x14ac:dyDescent="0.2">
      <c r="C45">
        <f t="shared" si="2"/>
        <v>2009</v>
      </c>
      <c r="D45">
        <f>FuelConsump!B67</f>
        <v>72179.201540778027</v>
      </c>
      <c r="E45" s="4">
        <f>'Passenger-based Activity'!AG68</f>
        <v>1622145.091734906</v>
      </c>
      <c r="F45" s="279">
        <f t="shared" si="0"/>
        <v>22.473857525543092</v>
      </c>
      <c r="G45">
        <f>FuelConsump!H67</f>
        <v>61145.657280964035</v>
      </c>
      <c r="H45">
        <f>'Passenger-based Activity'!AB68</f>
        <v>1104172.6706250175</v>
      </c>
      <c r="I45" s="279">
        <f t="shared" si="1"/>
        <v>18.058071819415545</v>
      </c>
    </row>
    <row r="46" spans="3:9" x14ac:dyDescent="0.2">
      <c r="C46">
        <f t="shared" si="2"/>
        <v>2010</v>
      </c>
      <c r="D46">
        <f>FuelConsump!B68</f>
        <v>72567.853850758373</v>
      </c>
      <c r="E46" s="4">
        <f>'Passenger-based Activity'!AG69</f>
        <v>1617279.0705891608</v>
      </c>
      <c r="F46" s="279">
        <f t="shared" si="0"/>
        <v>22.286439308446756</v>
      </c>
      <c r="G46">
        <f>FuelConsump!H68</f>
        <v>62669.61815538408</v>
      </c>
      <c r="H46">
        <f>'Passenger-based Activity'!AB69</f>
        <v>1123843.8199376056</v>
      </c>
      <c r="I46" s="279">
        <f t="shared" si="1"/>
        <v>17.932833373120751</v>
      </c>
    </row>
    <row r="47" spans="3:9" x14ac:dyDescent="0.2">
      <c r="C47">
        <f t="shared" si="2"/>
        <v>2011</v>
      </c>
      <c r="D47">
        <f>FuelConsump!B69</f>
        <v>73413.238957894398</v>
      </c>
      <c r="E47" s="4">
        <f>'Passenger-based Activity'!AG70</f>
        <v>1616657.876400342</v>
      </c>
      <c r="F47" s="279">
        <f t="shared" si="0"/>
        <v>22.021339738566279</v>
      </c>
      <c r="G47">
        <f>FuelConsump!H69</f>
        <v>63092.467683510535</v>
      </c>
      <c r="H47">
        <f>'Passenger-based Activity'!AB70</f>
        <v>1123429.6904783933</v>
      </c>
      <c r="I47" s="279">
        <f t="shared" si="1"/>
        <v>17.80608259156752</v>
      </c>
    </row>
    <row r="49" spans="4:9" x14ac:dyDescent="0.2">
      <c r="D49" s="626" t="s">
        <v>1241</v>
      </c>
      <c r="E49" s="635"/>
      <c r="F49" s="634">
        <f>F47/F21</f>
        <v>1.2631734855387828</v>
      </c>
      <c r="G49" s="635"/>
      <c r="H49" s="635"/>
      <c r="I49" s="634">
        <f>I47/I21</f>
        <v>1.2462390454585612</v>
      </c>
    </row>
    <row r="50" spans="4:9" x14ac:dyDescent="0.2">
      <c r="D50" s="626" t="s">
        <v>1244</v>
      </c>
      <c r="E50" s="635"/>
      <c r="F50" s="659">
        <f>'Passenger-based Activity'!$Z$77</f>
        <v>0.8893442622950819</v>
      </c>
      <c r="G50" s="635"/>
      <c r="H50" s="635"/>
      <c r="I50" s="659">
        <f>'Passenger-based Activity'!$AC$77</f>
        <v>0.99844961240310071</v>
      </c>
    </row>
    <row r="51" spans="4:9" x14ac:dyDescent="0.2">
      <c r="D51" s="626" t="s">
        <v>1242</v>
      </c>
      <c r="E51" s="635"/>
      <c r="F51" s="634">
        <f>F49*F50</f>
        <v>1.1233960916471961</v>
      </c>
      <c r="G51" s="635"/>
      <c r="H51" s="635"/>
      <c r="I51" s="634">
        <f>I49*I50</f>
        <v>1.2443068918997107</v>
      </c>
    </row>
  </sheetData>
  <mergeCells count="2">
    <mergeCell ref="D4:F4"/>
    <mergeCell ref="G4:I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workbookViewId="0">
      <selection activeCell="K21" sqref="K21"/>
    </sheetView>
  </sheetViews>
  <sheetFormatPr defaultRowHeight="12.75" x14ac:dyDescent="0.2"/>
  <cols>
    <col min="4" max="4" width="15" customWidth="1"/>
    <col min="5" max="5" width="12.42578125" customWidth="1"/>
    <col min="6" max="6" width="10" customWidth="1"/>
    <col min="7" max="7" width="12.7109375" customWidth="1"/>
  </cols>
  <sheetData>
    <row r="1" spans="1:9" x14ac:dyDescent="0.2">
      <c r="A1" s="8" t="s">
        <v>1245</v>
      </c>
    </row>
    <row r="3" spans="1:9" x14ac:dyDescent="0.2">
      <c r="D3" s="556" t="s">
        <v>1246</v>
      </c>
    </row>
    <row r="4" spans="1:9" x14ac:dyDescent="0.2">
      <c r="D4" s="520" t="s">
        <v>925</v>
      </c>
      <c r="E4" s="520" t="s">
        <v>922</v>
      </c>
      <c r="F4" s="520" t="s">
        <v>923</v>
      </c>
      <c r="G4" s="520" t="s">
        <v>924</v>
      </c>
    </row>
    <row r="5" spans="1:9" x14ac:dyDescent="0.2">
      <c r="C5">
        <f>1970</f>
        <v>1970</v>
      </c>
      <c r="D5" s="4">
        <f>AER11_Table2.1e!R30*0.001</f>
        <v>16098.249</v>
      </c>
      <c r="E5" s="4">
        <f>'Total_Transportation '!F31</f>
        <v>15134.086036114128</v>
      </c>
      <c r="F5">
        <f>E5-D5</f>
        <v>-964.16296388587216</v>
      </c>
      <c r="G5" s="533">
        <f>F5/D5</f>
        <v>-5.9892412142828214E-2</v>
      </c>
      <c r="H5" s="136">
        <f>D5/D20</f>
        <v>0.80138982083405075</v>
      </c>
      <c r="I5" s="136">
        <f>E5/E20</f>
        <v>0.78082192854927746</v>
      </c>
    </row>
    <row r="6" spans="1:9" x14ac:dyDescent="0.2">
      <c r="C6">
        <f>C5+1</f>
        <v>1971</v>
      </c>
      <c r="D6" s="4">
        <f>AER11_Table2.1e!R31*0.001</f>
        <v>16730.053</v>
      </c>
      <c r="E6" s="4">
        <f>'Total_Transportation '!F32</f>
        <v>15845.497141968091</v>
      </c>
      <c r="F6">
        <f t="shared" ref="F6:F45" si="0">E6-D6</f>
        <v>-884.55585803190843</v>
      </c>
      <c r="G6" s="533">
        <f t="shared" ref="G6:G45" si="1">F6/D6</f>
        <v>-5.2872268726937593E-2</v>
      </c>
    </row>
    <row r="7" spans="1:9" x14ac:dyDescent="0.2">
      <c r="C7">
        <f t="shared" ref="C7:C46" si="2">C6+1</f>
        <v>1972</v>
      </c>
      <c r="D7" s="4">
        <f>AER11_Table2.1e!R32*0.001</f>
        <v>17717.291000000001</v>
      </c>
      <c r="E7" s="4">
        <f>'Total_Transportation '!F33</f>
        <v>16940.235230057697</v>
      </c>
      <c r="F7">
        <f t="shared" si="0"/>
        <v>-777.05576994230432</v>
      </c>
      <c r="G7" s="533">
        <f t="shared" si="1"/>
        <v>-4.3858610774203811E-2</v>
      </c>
    </row>
    <row r="8" spans="1:9" x14ac:dyDescent="0.2">
      <c r="C8">
        <f t="shared" si="2"/>
        <v>1973</v>
      </c>
      <c r="D8" s="4">
        <f>AER11_Table2.1e!R33*0.001</f>
        <v>18612.78</v>
      </c>
      <c r="E8" s="4">
        <f>'Total_Transportation '!F34</f>
        <v>17696.218721265606</v>
      </c>
      <c r="F8">
        <f t="shared" si="0"/>
        <v>-916.56127873439254</v>
      </c>
      <c r="G8" s="533">
        <f t="shared" si="1"/>
        <v>-4.9243652948908902E-2</v>
      </c>
    </row>
    <row r="9" spans="1:9" x14ac:dyDescent="0.2">
      <c r="C9">
        <f t="shared" si="2"/>
        <v>1974</v>
      </c>
      <c r="D9" s="4">
        <f>AER11_Table2.1e!R34*0.001</f>
        <v>18120.419000000002</v>
      </c>
      <c r="E9" s="4">
        <f>'Total_Transportation '!F35</f>
        <v>17100.512276566347</v>
      </c>
      <c r="F9">
        <f t="shared" si="0"/>
        <v>-1019.9067234336544</v>
      </c>
      <c r="G9" s="533">
        <f t="shared" si="1"/>
        <v>-5.628494150348589E-2</v>
      </c>
    </row>
    <row r="10" spans="1:9" x14ac:dyDescent="0.2">
      <c r="C10">
        <f t="shared" si="2"/>
        <v>1975</v>
      </c>
      <c r="D10" s="4">
        <f>AER11_Table2.1e!R35*0.001</f>
        <v>18245.003000000001</v>
      </c>
      <c r="E10" s="4">
        <f>'Total_Transportation '!F36</f>
        <v>17299.890385727722</v>
      </c>
      <c r="F10">
        <f t="shared" si="0"/>
        <v>-945.11261427227873</v>
      </c>
      <c r="G10" s="533">
        <f t="shared" si="1"/>
        <v>-5.1801176150657727E-2</v>
      </c>
    </row>
    <row r="11" spans="1:9" x14ac:dyDescent="0.2">
      <c r="C11">
        <f t="shared" si="2"/>
        <v>1976</v>
      </c>
      <c r="D11" s="4">
        <f>AER11_Table2.1e!R36*0.001</f>
        <v>19100.797999999999</v>
      </c>
      <c r="E11" s="4">
        <f>'Total_Transportation '!F37</f>
        <v>18190.612691100483</v>
      </c>
      <c r="F11">
        <f t="shared" si="0"/>
        <v>-910.1853088995158</v>
      </c>
      <c r="G11" s="533">
        <f t="shared" si="1"/>
        <v>-4.7651690201609163E-2</v>
      </c>
    </row>
    <row r="12" spans="1:9" x14ac:dyDescent="0.2">
      <c r="C12">
        <f t="shared" si="2"/>
        <v>1977</v>
      </c>
      <c r="D12" s="4">
        <f>AER11_Table2.1e!R37*0.001</f>
        <v>19821.59</v>
      </c>
      <c r="E12" s="4">
        <f>'Total_Transportation '!F38</f>
        <v>18719.764953198348</v>
      </c>
      <c r="F12">
        <f t="shared" si="0"/>
        <v>-1101.8250468016522</v>
      </c>
      <c r="G12" s="533">
        <f t="shared" si="1"/>
        <v>-5.5587117219236815E-2</v>
      </c>
    </row>
    <row r="13" spans="1:9" x14ac:dyDescent="0.2">
      <c r="C13">
        <f t="shared" si="2"/>
        <v>1978</v>
      </c>
      <c r="D13" s="4">
        <f>AER11_Table2.1e!R38*0.001</f>
        <v>20617.064000000002</v>
      </c>
      <c r="E13" s="4">
        <f>'Total_Transportation '!F39</f>
        <v>19631.219860328711</v>
      </c>
      <c r="F13">
        <f t="shared" si="0"/>
        <v>-985.84413967129149</v>
      </c>
      <c r="G13" s="533">
        <f t="shared" si="1"/>
        <v>-4.7816902526532944E-2</v>
      </c>
    </row>
    <row r="14" spans="1:9" x14ac:dyDescent="0.2">
      <c r="C14">
        <f t="shared" si="2"/>
        <v>1979</v>
      </c>
      <c r="D14" s="4">
        <f>AER11_Table2.1e!R39*0.001</f>
        <v>20471.531999999999</v>
      </c>
      <c r="E14" s="4">
        <f>'Total_Transportation '!F40</f>
        <v>19444.027412857857</v>
      </c>
      <c r="F14">
        <f t="shared" si="0"/>
        <v>-1027.5045871421426</v>
      </c>
      <c r="G14" s="533">
        <f t="shared" si="1"/>
        <v>-5.0191875583231516E-2</v>
      </c>
    </row>
    <row r="15" spans="1:9" x14ac:dyDescent="0.2">
      <c r="C15">
        <f t="shared" si="2"/>
        <v>1980</v>
      </c>
      <c r="D15" s="4">
        <f>AER11_Table2.1e!R40*0.001</f>
        <v>19696.689999999999</v>
      </c>
      <c r="E15" s="4">
        <f>'Total_Transportation '!F41</f>
        <v>18523.569707188886</v>
      </c>
      <c r="F15">
        <f t="shared" si="0"/>
        <v>-1173.1202928111124</v>
      </c>
      <c r="G15" s="533">
        <f t="shared" si="1"/>
        <v>-5.9559260607295571E-2</v>
      </c>
    </row>
    <row r="16" spans="1:9" x14ac:dyDescent="0.2">
      <c r="C16">
        <f t="shared" si="2"/>
        <v>1981</v>
      </c>
      <c r="D16" s="4">
        <f>AER11_Table2.1e!R41*0.001</f>
        <v>19514.012999999999</v>
      </c>
      <c r="E16" s="4">
        <f>'Total_Transportation '!F42</f>
        <v>18487.757080546693</v>
      </c>
      <c r="F16">
        <f t="shared" si="0"/>
        <v>-1026.255919453306</v>
      </c>
      <c r="G16" s="533">
        <f t="shared" si="1"/>
        <v>-5.2590716192169498E-2</v>
      </c>
    </row>
    <row r="17" spans="3:7" x14ac:dyDescent="0.2">
      <c r="C17">
        <f t="shared" si="2"/>
        <v>1982</v>
      </c>
      <c r="D17" s="4">
        <f>AER11_Table2.1e!R42*0.001</f>
        <v>19089.227999999999</v>
      </c>
      <c r="E17" s="4">
        <f>'Total_Transportation '!F43</f>
        <v>18201.851943636262</v>
      </c>
      <c r="F17">
        <f t="shared" si="0"/>
        <v>-887.37605636373701</v>
      </c>
      <c r="G17" s="533">
        <f t="shared" si="1"/>
        <v>-4.648569634999053E-2</v>
      </c>
    </row>
    <row r="18" spans="3:7" x14ac:dyDescent="0.2">
      <c r="C18">
        <f t="shared" si="2"/>
        <v>1983</v>
      </c>
      <c r="D18" s="4">
        <f>AER11_Table2.1e!R43*0.001</f>
        <v>19176.615000000002</v>
      </c>
      <c r="E18" s="4">
        <f>'Total_Transportation '!F44</f>
        <v>18416.191950850356</v>
      </c>
      <c r="F18">
        <f t="shared" si="0"/>
        <v>-760.42304914964552</v>
      </c>
      <c r="G18" s="533">
        <f t="shared" si="1"/>
        <v>-3.9653664066867142E-2</v>
      </c>
    </row>
    <row r="19" spans="3:7" x14ac:dyDescent="0.2">
      <c r="C19">
        <f t="shared" si="2"/>
        <v>1984</v>
      </c>
      <c r="D19" s="4">
        <f>AER11_Table2.1e!R44*0.001</f>
        <v>19655.565999999999</v>
      </c>
      <c r="E19" s="4">
        <f>'Total_Transportation '!F45</f>
        <v>19040.996312089319</v>
      </c>
      <c r="F19">
        <f t="shared" si="0"/>
        <v>-614.56968791067993</v>
      </c>
      <c r="G19" s="533">
        <f t="shared" si="1"/>
        <v>-3.1266954505949102E-2</v>
      </c>
    </row>
    <row r="20" spans="3:7" x14ac:dyDescent="0.2">
      <c r="C20">
        <f t="shared" si="2"/>
        <v>1985</v>
      </c>
      <c r="D20" s="4">
        <f>AER11_Table2.1e!R45*0.001</f>
        <v>20087.913</v>
      </c>
      <c r="E20" s="4">
        <f>'Total_Transportation '!F46</f>
        <v>19382.250270855475</v>
      </c>
      <c r="F20">
        <f t="shared" si="0"/>
        <v>-705.66272914452566</v>
      </c>
      <c r="G20" s="533">
        <f t="shared" si="1"/>
        <v>-3.512872288647037E-2</v>
      </c>
    </row>
    <row r="21" spans="3:7" x14ac:dyDescent="0.2">
      <c r="C21">
        <f t="shared" si="2"/>
        <v>1986</v>
      </c>
      <c r="D21" s="4">
        <f>AER11_Table2.1e!R46*0.001</f>
        <v>20788.785</v>
      </c>
      <c r="E21" s="4">
        <f>'Total_Transportation '!F47</f>
        <v>19983.497430267213</v>
      </c>
      <c r="F21">
        <f t="shared" si="0"/>
        <v>-805.28756973278723</v>
      </c>
      <c r="G21" s="533">
        <f t="shared" si="1"/>
        <v>-3.8736634667816676E-2</v>
      </c>
    </row>
    <row r="22" spans="3:7" x14ac:dyDescent="0.2">
      <c r="C22">
        <f t="shared" si="2"/>
        <v>1987</v>
      </c>
      <c r="D22" s="4">
        <f>AER11_Table2.1e!R47*0.001</f>
        <v>21468.880000000001</v>
      </c>
      <c r="E22" s="4">
        <f>'Total_Transportation '!F48</f>
        <v>20453.71520511237</v>
      </c>
      <c r="F22">
        <f t="shared" si="0"/>
        <v>-1015.1647948876307</v>
      </c>
      <c r="G22" s="533">
        <f t="shared" si="1"/>
        <v>-4.7285410086023612E-2</v>
      </c>
    </row>
    <row r="23" spans="3:7" x14ac:dyDescent="0.2">
      <c r="C23">
        <f t="shared" si="2"/>
        <v>1988</v>
      </c>
      <c r="D23" s="4">
        <f>AER11_Table2.1e!R48*0.001</f>
        <v>22317.722000000002</v>
      </c>
      <c r="E23" s="4">
        <f>'Total_Transportation '!F49</f>
        <v>21007.13178672245</v>
      </c>
      <c r="F23">
        <f t="shared" si="0"/>
        <v>-1310.5902132775518</v>
      </c>
      <c r="G23" s="533">
        <f t="shared" si="1"/>
        <v>-5.8724192965462683E-2</v>
      </c>
    </row>
    <row r="24" spans="3:7" x14ac:dyDescent="0.2">
      <c r="C24">
        <f t="shared" si="2"/>
        <v>1989</v>
      </c>
      <c r="D24" s="4">
        <f>AER11_Table2.1e!R49*0.001</f>
        <v>22477.945</v>
      </c>
      <c r="E24" s="4">
        <f>'Total_Transportation '!F50</f>
        <v>21279.453052706012</v>
      </c>
      <c r="F24">
        <f t="shared" si="0"/>
        <v>-1198.4919472939873</v>
      </c>
      <c r="G24" s="533">
        <f t="shared" si="1"/>
        <v>-5.3318572818555579E-2</v>
      </c>
    </row>
    <row r="25" spans="3:7" x14ac:dyDescent="0.2">
      <c r="C25">
        <f t="shared" si="2"/>
        <v>1990</v>
      </c>
      <c r="D25" s="4">
        <f>AER11_Table2.1e!R50*0.001</f>
        <v>22419.624</v>
      </c>
      <c r="E25" s="4">
        <f>'Total_Transportation '!F51</f>
        <v>21366.272861748876</v>
      </c>
      <c r="F25">
        <f t="shared" si="0"/>
        <v>-1053.3511382511242</v>
      </c>
      <c r="G25" s="533">
        <f t="shared" si="1"/>
        <v>-4.6983443533715114E-2</v>
      </c>
    </row>
    <row r="26" spans="3:7" x14ac:dyDescent="0.2">
      <c r="C26">
        <f t="shared" si="2"/>
        <v>1991</v>
      </c>
      <c r="D26" s="4">
        <f>AER11_Table2.1e!R51*0.001</f>
        <v>22117.987000000001</v>
      </c>
      <c r="E26" s="4">
        <f>'Total_Transportation '!F52</f>
        <v>20788.511421639138</v>
      </c>
      <c r="F26">
        <f t="shared" si="0"/>
        <v>-1329.4755783608634</v>
      </c>
      <c r="G26" s="533">
        <f t="shared" si="1"/>
        <v>-6.0108344324502197E-2</v>
      </c>
    </row>
    <row r="27" spans="3:7" x14ac:dyDescent="0.2">
      <c r="C27">
        <f t="shared" si="2"/>
        <v>1992</v>
      </c>
      <c r="D27" s="4">
        <f>AER11_Table2.1e!R52*0.001</f>
        <v>22415.073</v>
      </c>
      <c r="E27" s="4">
        <f>'Total_Transportation '!F53</f>
        <v>21475.306000168977</v>
      </c>
      <c r="F27">
        <f t="shared" si="0"/>
        <v>-939.76699983102299</v>
      </c>
      <c r="G27" s="533">
        <f t="shared" si="1"/>
        <v>-4.1925672061430407E-2</v>
      </c>
    </row>
    <row r="28" spans="3:7" x14ac:dyDescent="0.2">
      <c r="C28">
        <f t="shared" si="2"/>
        <v>1993</v>
      </c>
      <c r="D28" s="4">
        <f>AER11_Table2.1e!R53*0.001</f>
        <v>22768.2</v>
      </c>
      <c r="E28" s="4">
        <f>'Total_Transportation '!F54</f>
        <v>22098.895705259391</v>
      </c>
      <c r="F28">
        <f t="shared" si="0"/>
        <v>-669.3042947406102</v>
      </c>
      <c r="G28" s="533">
        <f t="shared" si="1"/>
        <v>-2.9396451838116767E-2</v>
      </c>
    </row>
    <row r="29" spans="3:7" x14ac:dyDescent="0.2">
      <c r="C29">
        <f t="shared" si="2"/>
        <v>1994</v>
      </c>
      <c r="D29" s="4">
        <f>AER11_Table2.1e!R54*0.001</f>
        <v>23365.861000000001</v>
      </c>
      <c r="E29" s="4">
        <f>'Total_Transportation '!F55</f>
        <v>22826.119434014297</v>
      </c>
      <c r="F29">
        <f t="shared" si="0"/>
        <v>-539.74156598570335</v>
      </c>
      <c r="G29" s="533">
        <f t="shared" si="1"/>
        <v>-2.3099579595449247E-2</v>
      </c>
    </row>
    <row r="30" spans="3:7" x14ac:dyDescent="0.2">
      <c r="C30">
        <f t="shared" si="2"/>
        <v>1995</v>
      </c>
      <c r="D30" s="4">
        <f>AER11_Table2.1e!R55*0.001</f>
        <v>23846.327000000001</v>
      </c>
      <c r="E30" s="4">
        <f>'Total_Transportation '!F56</f>
        <v>23362.837858989747</v>
      </c>
      <c r="F30">
        <f t="shared" si="0"/>
        <v>-483.48914101025366</v>
      </c>
      <c r="G30" s="533">
        <f t="shared" si="1"/>
        <v>-2.0275203850482031E-2</v>
      </c>
    </row>
    <row r="31" spans="3:7" x14ac:dyDescent="0.2">
      <c r="C31">
        <f t="shared" si="2"/>
        <v>1996</v>
      </c>
      <c r="D31" s="4">
        <f>AER11_Table2.1e!R56*0.001</f>
        <v>24437.357</v>
      </c>
      <c r="E31" s="4">
        <f>'Total_Transportation '!F57</f>
        <v>23930.09619143662</v>
      </c>
      <c r="F31">
        <f t="shared" si="0"/>
        <v>-507.26080856338012</v>
      </c>
      <c r="G31" s="533">
        <f t="shared" si="1"/>
        <v>-2.075759700868552E-2</v>
      </c>
    </row>
    <row r="32" spans="3:7" x14ac:dyDescent="0.2">
      <c r="C32">
        <f t="shared" si="2"/>
        <v>1997</v>
      </c>
      <c r="D32" s="4">
        <f>AER11_Table2.1e!R57*0.001</f>
        <v>24749.594000000001</v>
      </c>
      <c r="E32" s="4">
        <f>'Total_Transportation '!F58</f>
        <v>24460.385329417175</v>
      </c>
      <c r="F32">
        <f t="shared" si="0"/>
        <v>-289.20867058282602</v>
      </c>
      <c r="G32" s="533">
        <f t="shared" si="1"/>
        <v>-1.1685390499045196E-2</v>
      </c>
    </row>
    <row r="33" spans="3:7" x14ac:dyDescent="0.2">
      <c r="C33">
        <f t="shared" si="2"/>
        <v>1998</v>
      </c>
      <c r="D33" s="4">
        <f>AER11_Table2.1e!R58*0.001</f>
        <v>25256.169000000002</v>
      </c>
      <c r="E33" s="4">
        <f>'Total_Transportation '!F59</f>
        <v>25102.581323386745</v>
      </c>
      <c r="F33">
        <f t="shared" si="0"/>
        <v>-153.58767661325692</v>
      </c>
      <c r="G33" s="533">
        <f t="shared" si="1"/>
        <v>-6.081194523732277E-3</v>
      </c>
    </row>
    <row r="34" spans="3:7" x14ac:dyDescent="0.2">
      <c r="C34">
        <f t="shared" si="2"/>
        <v>1999</v>
      </c>
      <c r="D34" s="4">
        <f>AER11_Table2.1e!R59*0.001</f>
        <v>25948.553</v>
      </c>
      <c r="E34" s="4">
        <f>'Total_Transportation '!F60</f>
        <v>25997.949446213839</v>
      </c>
      <c r="F34">
        <f t="shared" si="0"/>
        <v>49.396446213839226</v>
      </c>
      <c r="G34" s="533">
        <f t="shared" si="1"/>
        <v>1.9036300873439542E-3</v>
      </c>
    </row>
    <row r="35" spans="3:7" x14ac:dyDescent="0.2">
      <c r="C35">
        <f t="shared" si="2"/>
        <v>2000</v>
      </c>
      <c r="D35" s="4">
        <f>AER11_Table2.1e!R60*0.001</f>
        <v>26548.396000000001</v>
      </c>
      <c r="E35" s="4">
        <f>'Total_Transportation '!F61</f>
        <v>26280.405552643468</v>
      </c>
      <c r="F35">
        <f t="shared" si="0"/>
        <v>-267.99044735653297</v>
      </c>
      <c r="G35" s="533">
        <f t="shared" si="1"/>
        <v>-1.0094412007284092E-2</v>
      </c>
    </row>
    <row r="36" spans="3:7" x14ac:dyDescent="0.2">
      <c r="C36">
        <f t="shared" si="2"/>
        <v>2001</v>
      </c>
      <c r="D36" s="4">
        <f>AER11_Table2.1e!R61*0.001</f>
        <v>26275.280999999999</v>
      </c>
      <c r="E36" s="4">
        <f>'Total_Transportation '!F62</f>
        <v>26223.779459304747</v>
      </c>
      <c r="F36">
        <f t="shared" si="0"/>
        <v>-51.501540695251606</v>
      </c>
      <c r="G36" s="533">
        <f t="shared" si="1"/>
        <v>-1.9600757341187562E-3</v>
      </c>
    </row>
    <row r="37" spans="3:7" x14ac:dyDescent="0.2">
      <c r="C37">
        <f t="shared" si="2"/>
        <v>2002</v>
      </c>
      <c r="D37" s="4">
        <f>AER11_Table2.1e!R62*0.001</f>
        <v>26841.794000000002</v>
      </c>
      <c r="E37" s="4">
        <f>'Total_Transportation '!F63</f>
        <v>26781.498980141911</v>
      </c>
      <c r="F37">
        <f t="shared" si="0"/>
        <v>-60.295019858091109</v>
      </c>
      <c r="G37" s="533">
        <f t="shared" si="1"/>
        <v>-2.2463111019364467E-3</v>
      </c>
    </row>
    <row r="38" spans="3:7" x14ac:dyDescent="0.2">
      <c r="C38">
        <f t="shared" si="2"/>
        <v>2003</v>
      </c>
      <c r="D38" s="4">
        <f>AER11_Table2.1e!R63*0.001</f>
        <v>26994.054</v>
      </c>
      <c r="E38" s="4">
        <f>'Total_Transportation '!F64</f>
        <v>27090.596973456682</v>
      </c>
      <c r="F38">
        <f t="shared" si="0"/>
        <v>96.542973456682375</v>
      </c>
      <c r="G38" s="533">
        <f t="shared" si="1"/>
        <v>3.5764532980738046E-3</v>
      </c>
    </row>
    <row r="39" spans="3:7" x14ac:dyDescent="0.2">
      <c r="C39">
        <f t="shared" si="2"/>
        <v>2004</v>
      </c>
      <c r="D39" s="4">
        <f>AER11_Table2.1e!R64*0.001</f>
        <v>27895.467000000001</v>
      </c>
      <c r="E39" s="4">
        <f>'Total_Transportation '!F65</f>
        <v>27603.886366359202</v>
      </c>
      <c r="F39">
        <f t="shared" si="0"/>
        <v>-291.58063364079862</v>
      </c>
      <c r="G39" s="533">
        <f t="shared" si="1"/>
        <v>-1.0452617037771715E-2</v>
      </c>
    </row>
    <row r="40" spans="3:7" x14ac:dyDescent="0.2">
      <c r="C40">
        <f t="shared" si="2"/>
        <v>2005</v>
      </c>
      <c r="D40" s="4">
        <f>AER11_Table2.1e!R65*0.001</f>
        <v>28352.996999999999</v>
      </c>
      <c r="E40" s="4">
        <f>'Total_Transportation '!F66</f>
        <v>27637.904663823549</v>
      </c>
      <c r="F40">
        <f t="shared" si="0"/>
        <v>-715.09233617645077</v>
      </c>
      <c r="G40" s="533">
        <f t="shared" si="1"/>
        <v>-2.5221049336563991E-2</v>
      </c>
    </row>
    <row r="41" spans="3:7" x14ac:dyDescent="0.2">
      <c r="C41">
        <f t="shared" si="2"/>
        <v>2006</v>
      </c>
      <c r="D41" s="4">
        <f>AER11_Table2.1e!R66*0.001</f>
        <v>28829.84</v>
      </c>
      <c r="E41" s="4">
        <f>'Total_Transportation '!F67</f>
        <v>27853.081750943296</v>
      </c>
      <c r="F41">
        <f t="shared" si="0"/>
        <v>-976.75824905670379</v>
      </c>
      <c r="G41" s="533">
        <f t="shared" si="1"/>
        <v>-3.3880113419176232E-2</v>
      </c>
    </row>
    <row r="42" spans="3:7" x14ac:dyDescent="0.2">
      <c r="C42">
        <f t="shared" si="2"/>
        <v>2007</v>
      </c>
      <c r="D42" s="4">
        <f>AER11_Table2.1e!R67*0.001</f>
        <v>29116.78</v>
      </c>
      <c r="E42" s="4">
        <f>'Total_Transportation '!F68</f>
        <v>28049.494238355834</v>
      </c>
      <c r="F42">
        <f t="shared" si="0"/>
        <v>-1067.2857616441652</v>
      </c>
      <c r="G42" s="533">
        <f t="shared" si="1"/>
        <v>-3.6655349995575237E-2</v>
      </c>
    </row>
    <row r="43" spans="3:7" x14ac:dyDescent="0.2">
      <c r="C43">
        <f t="shared" si="2"/>
        <v>2008</v>
      </c>
      <c r="D43" s="4">
        <f>AER11_Table2.1e!R68*0.001</f>
        <v>28007.833000000002</v>
      </c>
      <c r="E43" s="4">
        <f>'Total_Transportation '!F69</f>
        <v>27517.87352316975</v>
      </c>
      <c r="F43">
        <f t="shared" si="0"/>
        <v>-489.95947683025224</v>
      </c>
      <c r="G43" s="533">
        <f t="shared" si="1"/>
        <v>-1.74936588928623E-2</v>
      </c>
    </row>
    <row r="44" spans="3:7" x14ac:dyDescent="0.2">
      <c r="C44">
        <f t="shared" si="2"/>
        <v>2009</v>
      </c>
      <c r="D44" s="4">
        <f>AER11_Table2.1e!R69*0.001</f>
        <v>27071.379000000001</v>
      </c>
      <c r="E44" s="4">
        <f>'Total_Transportation '!F70</f>
        <v>26701.782029177153</v>
      </c>
      <c r="F44">
        <f t="shared" si="0"/>
        <v>-369.59697082284765</v>
      </c>
      <c r="G44" s="533">
        <f t="shared" si="1"/>
        <v>-1.3652683552723621E-2</v>
      </c>
    </row>
    <row r="45" spans="3:7" x14ac:dyDescent="0.2">
      <c r="C45">
        <f t="shared" si="2"/>
        <v>2010</v>
      </c>
      <c r="D45" s="4">
        <f>AER11_Table2.1e!R70*0.001</f>
        <v>27465.649000000001</v>
      </c>
      <c r="E45" s="4">
        <f>'Total_Transportation '!F71</f>
        <v>27076.07584557568</v>
      </c>
      <c r="F45">
        <f t="shared" si="0"/>
        <v>-389.57315442432082</v>
      </c>
      <c r="G45" s="533">
        <f t="shared" si="1"/>
        <v>-1.418401416344907E-2</v>
      </c>
    </row>
    <row r="46" spans="3:7" x14ac:dyDescent="0.2">
      <c r="C46">
        <f t="shared" si="2"/>
        <v>2011</v>
      </c>
      <c r="D46" s="4">
        <f>AER11_Table2.1e!R71*0.001</f>
        <v>27079.15</v>
      </c>
      <c r="E46" s="4">
        <f>'Total_Transportation '!F72</f>
        <v>26949.613354734352</v>
      </c>
      <c r="F46">
        <f t="shared" ref="F46" si="3">E46-D46</f>
        <v>-129.53664526564899</v>
      </c>
      <c r="G46" s="533">
        <f t="shared" ref="G46" si="4">F46/D46</f>
        <v>-4.7836304044125821E-3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64"/>
  <sheetViews>
    <sheetView topLeftCell="A5" workbookViewId="0">
      <pane xSplit="1" ySplit="3" topLeftCell="F79" activePane="bottomRight" state="frozen"/>
      <selection activeCell="A5" sqref="A5"/>
      <selection pane="topRight" activeCell="B5" sqref="B5"/>
      <selection pane="bottomLeft" activeCell="A7" sqref="A7"/>
      <selection pane="bottomRight" activeCell="B104" sqref="B104:T106"/>
    </sheetView>
  </sheetViews>
  <sheetFormatPr defaultRowHeight="12.75" x14ac:dyDescent="0.2"/>
  <cols>
    <col min="1" max="1" width="5.85546875" customWidth="1"/>
    <col min="2" max="2" width="12.85546875" customWidth="1"/>
    <col min="4" max="4" width="10.140625" customWidth="1"/>
    <col min="5" max="5" width="11.140625" bestFit="1" customWidth="1"/>
    <col min="9" max="9" width="10.42578125" customWidth="1"/>
    <col min="12" max="12" width="11.140625" customWidth="1"/>
    <col min="14" max="14" width="11.140625" bestFit="1" customWidth="1"/>
    <col min="15" max="15" width="11.140625" customWidth="1"/>
    <col min="16" max="16" width="9.5703125" customWidth="1"/>
    <col min="17" max="18" width="11.140625" customWidth="1"/>
    <col min="19" max="19" width="14.42578125" customWidth="1"/>
    <col min="20" max="20" width="13.85546875" customWidth="1"/>
    <col min="25" max="25" width="11.42578125" customWidth="1"/>
    <col min="26" max="26" width="10.42578125" bestFit="1" customWidth="1"/>
    <col min="27" max="28" width="13.7109375" customWidth="1"/>
    <col min="30" max="30" width="12.85546875" customWidth="1"/>
    <col min="31" max="31" width="12.42578125" customWidth="1"/>
    <col min="32" max="33" width="12.5703125" customWidth="1"/>
    <col min="34" max="34" width="4.42578125" customWidth="1"/>
    <col min="35" max="35" width="11.7109375" customWidth="1"/>
    <col min="37" max="37" width="14.140625" hidden="1" customWidth="1"/>
    <col min="38" max="38" width="9.7109375" customWidth="1"/>
    <col min="39" max="39" width="10.5703125" customWidth="1"/>
    <col min="40" max="45" width="12" customWidth="1"/>
    <col min="48" max="48" width="11.85546875" customWidth="1"/>
    <col min="57" max="57" width="12" bestFit="1" customWidth="1"/>
  </cols>
  <sheetData>
    <row r="1" spans="1:58" ht="18" x14ac:dyDescent="0.25">
      <c r="A1" s="3" t="s">
        <v>321</v>
      </c>
    </row>
    <row r="2" spans="1:58" x14ac:dyDescent="0.2">
      <c r="A2" t="s">
        <v>322</v>
      </c>
    </row>
    <row r="4" spans="1:58" x14ac:dyDescent="0.2">
      <c r="A4" s="1"/>
      <c r="B4" s="2" t="s">
        <v>311</v>
      </c>
      <c r="C4" s="1"/>
      <c r="D4" s="1"/>
      <c r="E4" s="1"/>
      <c r="F4" s="1"/>
      <c r="G4" s="1"/>
      <c r="H4" s="1"/>
      <c r="I4" s="1"/>
      <c r="J4" s="1"/>
      <c r="K4" s="1"/>
      <c r="L4" s="1"/>
      <c r="M4" s="1"/>
      <c r="N4" s="1"/>
      <c r="O4" s="567"/>
      <c r="P4" s="567"/>
      <c r="Q4" s="567"/>
      <c r="R4" s="567"/>
      <c r="S4" s="567"/>
      <c r="T4" s="1"/>
      <c r="U4" s="1"/>
      <c r="V4" s="1"/>
      <c r="W4" s="1"/>
    </row>
    <row r="5" spans="1:58" ht="63.75" x14ac:dyDescent="0.2">
      <c r="A5" s="96"/>
      <c r="B5" s="70" t="s">
        <v>312</v>
      </c>
      <c r="C5" s="70"/>
      <c r="D5" s="70"/>
      <c r="E5" s="70"/>
      <c r="F5" s="70"/>
      <c r="G5" s="70"/>
      <c r="H5" s="70"/>
      <c r="I5" s="69" t="s">
        <v>316</v>
      </c>
      <c r="J5" s="70"/>
      <c r="K5" s="70"/>
      <c r="L5" s="70"/>
      <c r="M5" s="70"/>
      <c r="N5" s="70" t="s">
        <v>318</v>
      </c>
      <c r="O5" s="70"/>
      <c r="P5" s="70"/>
      <c r="Q5" s="70"/>
      <c r="R5" s="70"/>
      <c r="S5" s="70"/>
      <c r="T5" s="70"/>
      <c r="U5" s="71"/>
      <c r="V5" s="2"/>
      <c r="W5" s="2"/>
      <c r="Y5" s="2" t="s">
        <v>3</v>
      </c>
      <c r="AA5" s="6" t="s">
        <v>313</v>
      </c>
      <c r="AB5" s="2" t="s">
        <v>1151</v>
      </c>
      <c r="AD5" s="6" t="s">
        <v>83</v>
      </c>
      <c r="AE5" s="2" t="s">
        <v>84</v>
      </c>
      <c r="AF5" s="2" t="s">
        <v>85</v>
      </c>
      <c r="AG5" s="2" t="s">
        <v>1152</v>
      </c>
      <c r="AH5" s="2"/>
      <c r="AI5" s="6" t="s">
        <v>83</v>
      </c>
      <c r="AK5" t="s">
        <v>614</v>
      </c>
      <c r="AL5" s="2" t="s">
        <v>879</v>
      </c>
      <c r="AM5" s="2" t="s">
        <v>657</v>
      </c>
      <c r="AN5" s="2" t="s">
        <v>1265</v>
      </c>
      <c r="AO5" s="2" t="s">
        <v>1266</v>
      </c>
      <c r="AP5" s="2"/>
      <c r="AQ5" s="2"/>
      <c r="AR5" s="2"/>
      <c r="AS5" s="2"/>
      <c r="AU5" s="6" t="s">
        <v>535</v>
      </c>
      <c r="BD5" t="s">
        <v>280</v>
      </c>
    </row>
    <row r="6" spans="1:58" x14ac:dyDescent="0.2">
      <c r="A6" s="96"/>
      <c r="B6" s="70"/>
      <c r="C6" s="940" t="s">
        <v>80</v>
      </c>
      <c r="D6" s="940"/>
      <c r="E6" s="941"/>
      <c r="F6" s="941"/>
      <c r="G6" s="941"/>
      <c r="H6" s="942"/>
      <c r="I6" s="364"/>
      <c r="J6" s="363"/>
      <c r="K6" s="363"/>
      <c r="L6" s="363"/>
      <c r="M6" s="363"/>
      <c r="N6" s="363"/>
      <c r="O6" s="363"/>
      <c r="P6" s="363"/>
      <c r="Q6" s="363"/>
      <c r="R6" s="363"/>
      <c r="S6" s="363"/>
      <c r="T6" s="363"/>
      <c r="U6" s="365"/>
      <c r="V6" s="2"/>
      <c r="W6" s="2"/>
      <c r="Y6" s="2"/>
      <c r="AA6" s="6"/>
      <c r="AB6" s="6"/>
      <c r="AU6" t="s">
        <v>536</v>
      </c>
      <c r="AW6" t="s">
        <v>539</v>
      </c>
      <c r="AY6" t="s">
        <v>544</v>
      </c>
      <c r="BD6" s="943" t="s">
        <v>60</v>
      </c>
      <c r="BE6" s="943"/>
      <c r="BF6" s="943"/>
    </row>
    <row r="7" spans="1:58" ht="66.75" customHeight="1" x14ac:dyDescent="0.2">
      <c r="A7" s="95" t="s">
        <v>310</v>
      </c>
      <c r="B7" s="93" t="s">
        <v>332</v>
      </c>
      <c r="C7" s="93" t="s">
        <v>313</v>
      </c>
      <c r="D7" s="93" t="s">
        <v>82</v>
      </c>
      <c r="E7" s="93" t="s">
        <v>315</v>
      </c>
      <c r="F7" s="93" t="s">
        <v>550</v>
      </c>
      <c r="G7" s="93" t="s">
        <v>428</v>
      </c>
      <c r="H7" s="93" t="s">
        <v>551</v>
      </c>
      <c r="I7" s="84" t="s">
        <v>594</v>
      </c>
      <c r="J7" s="93" t="s">
        <v>595</v>
      </c>
      <c r="K7" s="93" t="s">
        <v>596</v>
      </c>
      <c r="L7" s="94" t="s">
        <v>659</v>
      </c>
      <c r="M7" s="94" t="s">
        <v>317</v>
      </c>
      <c r="N7" s="93" t="s">
        <v>980</v>
      </c>
      <c r="O7" s="568" t="s">
        <v>981</v>
      </c>
      <c r="P7" s="568" t="s">
        <v>982</v>
      </c>
      <c r="Q7" s="568" t="s">
        <v>985</v>
      </c>
      <c r="R7" s="568" t="s">
        <v>984</v>
      </c>
      <c r="S7" s="568" t="s">
        <v>986</v>
      </c>
      <c r="T7" s="93" t="s">
        <v>983</v>
      </c>
      <c r="U7" s="94" t="s">
        <v>320</v>
      </c>
      <c r="V7" s="2"/>
      <c r="W7" s="2"/>
      <c r="X7" s="10" t="s">
        <v>310</v>
      </c>
      <c r="Y7" s="2" t="s">
        <v>1069</v>
      </c>
      <c r="Z7" s="570" t="s">
        <v>961</v>
      </c>
      <c r="AA7" s="10" t="s">
        <v>777</v>
      </c>
      <c r="AB7" s="10"/>
      <c r="AC7" s="10" t="s">
        <v>778</v>
      </c>
      <c r="AD7" s="10" t="s">
        <v>777</v>
      </c>
      <c r="AE7" s="10" t="s">
        <v>86</v>
      </c>
      <c r="AF7" s="10" t="s">
        <v>1070</v>
      </c>
      <c r="AG7" s="10"/>
      <c r="AH7" s="10"/>
      <c r="AI7" s="10" t="s">
        <v>963</v>
      </c>
      <c r="AL7" s="10" t="s">
        <v>656</v>
      </c>
      <c r="AM7" s="10"/>
      <c r="AN7" s="10" t="s">
        <v>1026</v>
      </c>
      <c r="AO7" s="10" t="s">
        <v>1026</v>
      </c>
      <c r="AP7" s="10" t="s">
        <v>1267</v>
      </c>
      <c r="AQ7" s="10" t="s">
        <v>1269</v>
      </c>
      <c r="AR7" s="10" t="s">
        <v>1268</v>
      </c>
      <c r="AS7" s="10" t="s">
        <v>1270</v>
      </c>
      <c r="AU7" t="s">
        <v>537</v>
      </c>
      <c r="AV7" t="s">
        <v>538</v>
      </c>
      <c r="AW7" t="s">
        <v>537</v>
      </c>
      <c r="AX7" t="s">
        <v>538</v>
      </c>
      <c r="AY7" t="s">
        <v>537</v>
      </c>
      <c r="AZ7" t="s">
        <v>538</v>
      </c>
      <c r="BA7" t="s">
        <v>740</v>
      </c>
      <c r="BD7" s="701" t="s">
        <v>281</v>
      </c>
      <c r="BE7" s="701" t="s">
        <v>1263</v>
      </c>
      <c r="BF7" s="604" t="s">
        <v>1264</v>
      </c>
    </row>
    <row r="8" spans="1:58" x14ac:dyDescent="0.2">
      <c r="A8" s="30">
        <v>1949</v>
      </c>
      <c r="B8" s="158"/>
      <c r="C8" s="21"/>
      <c r="D8" s="21"/>
      <c r="E8" s="61"/>
      <c r="F8" s="36"/>
      <c r="G8" s="36"/>
      <c r="H8" s="12"/>
      <c r="I8" s="27"/>
      <c r="J8" s="36"/>
      <c r="K8" s="36"/>
      <c r="L8" s="63"/>
      <c r="M8" s="100" t="s">
        <v>325</v>
      </c>
      <c r="N8" s="36"/>
      <c r="O8" s="36"/>
      <c r="P8" s="36"/>
      <c r="Q8" s="36"/>
      <c r="R8" s="36"/>
      <c r="S8" s="36"/>
      <c r="T8" s="36"/>
      <c r="U8" s="57">
        <v>800</v>
      </c>
      <c r="X8">
        <v>1949</v>
      </c>
      <c r="Y8" s="4">
        <v>342285</v>
      </c>
      <c r="Z8" s="279">
        <f t="shared" ref="Z8:Z27" si="0">$Z$36</f>
        <v>1.9</v>
      </c>
      <c r="AD8" s="4">
        <f>AE8*Y8</f>
        <v>1108.7205590211368</v>
      </c>
      <c r="AE8" s="367">
        <f>AE$29</f>
        <v>3.2391736682037971E-3</v>
      </c>
      <c r="AF8" s="4">
        <f>Y8-AD8</f>
        <v>341176.27944097889</v>
      </c>
      <c r="AG8" s="4">
        <f>AF8</f>
        <v>341176.27944097889</v>
      </c>
      <c r="AH8" s="4"/>
      <c r="AI8" s="4"/>
    </row>
    <row r="9" spans="1:58" x14ac:dyDescent="0.2">
      <c r="A9" s="30">
        <v>1950</v>
      </c>
      <c r="B9" s="159"/>
      <c r="C9" s="21"/>
      <c r="D9" s="21"/>
      <c r="E9" s="61"/>
      <c r="F9" s="36"/>
      <c r="G9" s="36"/>
      <c r="H9" s="12"/>
      <c r="I9" s="27"/>
      <c r="J9" s="36"/>
      <c r="K9" s="36"/>
      <c r="L9" s="63"/>
      <c r="M9" s="100" t="s">
        <v>325</v>
      </c>
      <c r="N9" s="36"/>
      <c r="O9" s="36"/>
      <c r="P9" s="36"/>
      <c r="Q9" s="36"/>
      <c r="R9" s="36"/>
      <c r="S9" s="36"/>
      <c r="T9" s="36"/>
      <c r="U9" s="57">
        <v>800</v>
      </c>
      <c r="X9">
        <v>1950</v>
      </c>
      <c r="Y9" s="4">
        <v>365461</v>
      </c>
      <c r="Z9" s="279">
        <f t="shared" si="0"/>
        <v>1.9</v>
      </c>
      <c r="AD9" s="4">
        <f t="shared" ref="AD9:AD48" si="1">AE9*Y9</f>
        <v>1183.7916479554278</v>
      </c>
      <c r="AE9" s="367">
        <f t="shared" ref="AE9:AE28" si="2">AE$29</f>
        <v>3.2391736682037971E-3</v>
      </c>
      <c r="AF9" s="4">
        <f t="shared" ref="AF9:AF65" si="3">Y9-AD9</f>
        <v>364277.20835204457</v>
      </c>
      <c r="AG9" s="4">
        <f t="shared" ref="AG9:AG67" si="4">AF9</f>
        <v>364277.20835204457</v>
      </c>
      <c r="AH9" s="4"/>
      <c r="AI9" s="4" t="s">
        <v>964</v>
      </c>
    </row>
    <row r="10" spans="1:58" x14ac:dyDescent="0.2">
      <c r="A10" s="30">
        <v>1951</v>
      </c>
      <c r="B10" s="159"/>
      <c r="C10" s="21"/>
      <c r="D10" s="21"/>
      <c r="E10" s="61"/>
      <c r="F10" s="36"/>
      <c r="G10" s="36"/>
      <c r="H10" s="12"/>
      <c r="I10" s="27"/>
      <c r="J10" s="36"/>
      <c r="K10" s="36"/>
      <c r="L10" s="63"/>
      <c r="M10" s="100" t="s">
        <v>325</v>
      </c>
      <c r="N10" s="36"/>
      <c r="O10" s="36"/>
      <c r="P10" s="36"/>
      <c r="Q10" s="36"/>
      <c r="R10" s="36"/>
      <c r="S10" s="36"/>
      <c r="T10" s="36" t="s">
        <v>1157</v>
      </c>
      <c r="U10" s="57">
        <v>900</v>
      </c>
      <c r="X10">
        <v>1951</v>
      </c>
      <c r="Y10" s="4">
        <v>392131</v>
      </c>
      <c r="Z10" s="279">
        <f t="shared" si="0"/>
        <v>1.9</v>
      </c>
      <c r="AD10" s="4">
        <f t="shared" si="1"/>
        <v>1270.1804096864232</v>
      </c>
      <c r="AE10" s="367">
        <f t="shared" si="2"/>
        <v>3.2391736682037971E-3</v>
      </c>
      <c r="AF10" s="4">
        <f t="shared" si="3"/>
        <v>390860.81959031359</v>
      </c>
      <c r="AG10" s="4">
        <f t="shared" si="4"/>
        <v>390860.81959031359</v>
      </c>
      <c r="AH10" s="4"/>
      <c r="AI10" s="4" t="s">
        <v>965</v>
      </c>
    </row>
    <row r="11" spans="1:58" x14ac:dyDescent="0.2">
      <c r="A11" s="30">
        <v>1952</v>
      </c>
      <c r="B11" s="159"/>
      <c r="C11" s="21"/>
      <c r="D11" s="21"/>
      <c r="E11" s="61"/>
      <c r="F11" s="36"/>
      <c r="G11" s="36"/>
      <c r="H11" s="12"/>
      <c r="I11" s="27"/>
      <c r="J11" s="36"/>
      <c r="K11" s="36"/>
      <c r="L11" s="63"/>
      <c r="M11" s="100" t="s">
        <v>325</v>
      </c>
      <c r="N11" s="36"/>
      <c r="O11" s="36"/>
      <c r="P11" s="36"/>
      <c r="Q11" s="36"/>
      <c r="R11" s="36"/>
      <c r="S11" s="36"/>
      <c r="T11" s="36" t="s">
        <v>1158</v>
      </c>
      <c r="U11" s="57">
        <v>1000</v>
      </c>
      <c r="X11">
        <v>1952</v>
      </c>
      <c r="Y11" s="4">
        <v>410187</v>
      </c>
      <c r="Z11" s="279">
        <f t="shared" si="0"/>
        <v>1.9</v>
      </c>
      <c r="AD11" s="4">
        <f t="shared" si="1"/>
        <v>1328.666929439511</v>
      </c>
      <c r="AE11" s="367">
        <f t="shared" si="2"/>
        <v>3.2391736682037971E-3</v>
      </c>
      <c r="AF11" s="4">
        <f t="shared" si="3"/>
        <v>408858.33307056047</v>
      </c>
      <c r="AG11" s="4">
        <f t="shared" si="4"/>
        <v>408858.33307056047</v>
      </c>
      <c r="AH11" s="4"/>
      <c r="AI11" s="4" t="s">
        <v>966</v>
      </c>
    </row>
    <row r="12" spans="1:58" x14ac:dyDescent="0.2">
      <c r="A12" s="30">
        <v>1953</v>
      </c>
      <c r="B12" s="159"/>
      <c r="C12" s="21"/>
      <c r="D12" s="21"/>
      <c r="E12" s="61"/>
      <c r="F12" s="36"/>
      <c r="G12" s="36"/>
      <c r="H12" s="12"/>
      <c r="I12" s="27"/>
      <c r="J12" s="36"/>
      <c r="K12" s="36"/>
      <c r="L12" s="63"/>
      <c r="M12" s="100" t="s">
        <v>325</v>
      </c>
      <c r="N12" s="36"/>
      <c r="O12" s="36"/>
      <c r="P12" s="36"/>
      <c r="Q12" s="36"/>
      <c r="R12" s="36"/>
      <c r="S12" s="36"/>
      <c r="T12" s="640">
        <v>0.2</v>
      </c>
      <c r="U12" s="57">
        <v>1200</v>
      </c>
      <c r="X12">
        <v>1953</v>
      </c>
      <c r="Y12" s="4">
        <v>435351</v>
      </c>
      <c r="Z12" s="279">
        <f t="shared" si="0"/>
        <v>1.9</v>
      </c>
      <c r="AD12" s="4">
        <f t="shared" si="1"/>
        <v>1410.1774956261913</v>
      </c>
      <c r="AE12" s="367">
        <f t="shared" si="2"/>
        <v>3.2391736682037971E-3</v>
      </c>
      <c r="AF12" s="4">
        <f t="shared" si="3"/>
        <v>433940.82250437379</v>
      </c>
      <c r="AG12" s="4">
        <f t="shared" si="4"/>
        <v>433940.82250437379</v>
      </c>
      <c r="AH12" s="4"/>
      <c r="AI12" s="4" t="s">
        <v>967</v>
      </c>
    </row>
    <row r="13" spans="1:58" x14ac:dyDescent="0.2">
      <c r="A13" s="30">
        <v>1954</v>
      </c>
      <c r="B13" s="159"/>
      <c r="C13" s="21"/>
      <c r="D13" s="21"/>
      <c r="E13" s="61"/>
      <c r="F13" s="61"/>
      <c r="G13" s="61"/>
      <c r="H13" s="15"/>
      <c r="I13" s="28"/>
      <c r="J13" s="61"/>
      <c r="K13" s="61"/>
      <c r="L13" s="57"/>
      <c r="M13" s="100" t="s">
        <v>325</v>
      </c>
      <c r="N13" s="61"/>
      <c r="O13" s="61"/>
      <c r="P13" s="61"/>
      <c r="Q13" s="61"/>
      <c r="R13" s="61"/>
      <c r="S13" s="61"/>
      <c r="T13" s="61"/>
      <c r="U13" s="57">
        <v>1400</v>
      </c>
      <c r="V13" s="4"/>
      <c r="W13" s="4"/>
      <c r="X13">
        <v>1954</v>
      </c>
      <c r="Y13" s="4">
        <v>453152</v>
      </c>
      <c r="Z13" s="279">
        <f t="shared" si="0"/>
        <v>1.9</v>
      </c>
      <c r="AD13" s="4">
        <f t="shared" si="1"/>
        <v>1467.838026093887</v>
      </c>
      <c r="AE13" s="367">
        <f t="shared" si="2"/>
        <v>3.2391736682037971E-3</v>
      </c>
      <c r="AF13" s="4">
        <f t="shared" si="3"/>
        <v>451684.1619739061</v>
      </c>
      <c r="AG13" s="4">
        <f t="shared" si="4"/>
        <v>451684.1619739061</v>
      </c>
      <c r="AH13" s="4"/>
      <c r="AI13" s="4" t="s">
        <v>968</v>
      </c>
    </row>
    <row r="14" spans="1:58" x14ac:dyDescent="0.2">
      <c r="A14" s="30">
        <v>1955</v>
      </c>
      <c r="B14" s="159"/>
      <c r="C14" s="21"/>
      <c r="D14" s="21"/>
      <c r="E14" s="61"/>
      <c r="F14" s="36"/>
      <c r="G14" s="36"/>
      <c r="H14" s="12"/>
      <c r="I14" s="27"/>
      <c r="J14" s="36"/>
      <c r="K14" s="36"/>
      <c r="L14" s="63"/>
      <c r="M14" s="100" t="s">
        <v>325</v>
      </c>
      <c r="N14" s="36"/>
      <c r="O14" s="36"/>
      <c r="P14" s="36"/>
      <c r="Q14" s="36"/>
      <c r="R14" s="36"/>
      <c r="S14" s="36"/>
      <c r="T14" s="36"/>
      <c r="U14" s="57">
        <v>1500</v>
      </c>
      <c r="X14">
        <v>1955</v>
      </c>
      <c r="Y14" s="4">
        <v>492635</v>
      </c>
      <c r="Z14" s="279">
        <f t="shared" si="0"/>
        <v>1.9</v>
      </c>
      <c r="AD14" s="4">
        <f t="shared" si="1"/>
        <v>1595.7303200355775</v>
      </c>
      <c r="AE14" s="367">
        <f t="shared" si="2"/>
        <v>3.2391736682037971E-3</v>
      </c>
      <c r="AF14" s="4">
        <f t="shared" si="3"/>
        <v>491039.2696799644</v>
      </c>
      <c r="AG14" s="4">
        <f t="shared" si="4"/>
        <v>491039.2696799644</v>
      </c>
      <c r="AH14" s="4"/>
      <c r="AI14" s="4" t="s">
        <v>969</v>
      </c>
    </row>
    <row r="15" spans="1:58" x14ac:dyDescent="0.2">
      <c r="A15" s="30">
        <v>1956</v>
      </c>
      <c r="B15" s="159"/>
      <c r="C15" s="21"/>
      <c r="D15" s="21"/>
      <c r="E15" s="61"/>
      <c r="F15" s="36"/>
      <c r="G15" s="36"/>
      <c r="H15" s="12"/>
      <c r="I15" s="27"/>
      <c r="J15" s="36"/>
      <c r="K15" s="36"/>
      <c r="L15" s="63"/>
      <c r="M15" s="100" t="s">
        <v>325</v>
      </c>
      <c r="N15" s="36"/>
      <c r="O15" s="36"/>
      <c r="P15" s="36"/>
      <c r="Q15" s="36"/>
      <c r="R15" s="36"/>
      <c r="S15" s="36"/>
      <c r="T15" s="36"/>
      <c r="U15" s="57">
        <v>1600</v>
      </c>
      <c r="X15">
        <v>1956</v>
      </c>
      <c r="Y15" s="4">
        <v>514781</v>
      </c>
      <c r="Z15" s="279">
        <f t="shared" si="0"/>
        <v>1.9</v>
      </c>
      <c r="AD15" s="4">
        <f t="shared" si="1"/>
        <v>1667.4650600916189</v>
      </c>
      <c r="AE15" s="367">
        <f t="shared" si="2"/>
        <v>3.2391736682037971E-3</v>
      </c>
      <c r="AF15" s="4">
        <f t="shared" si="3"/>
        <v>513113.53493990836</v>
      </c>
      <c r="AG15" s="4">
        <f t="shared" si="4"/>
        <v>513113.53493990836</v>
      </c>
      <c r="AH15" s="4"/>
      <c r="AI15" s="4" t="s">
        <v>1213</v>
      </c>
    </row>
    <row r="16" spans="1:58" x14ac:dyDescent="0.2">
      <c r="A16" s="30">
        <v>1957</v>
      </c>
      <c r="B16" s="159"/>
      <c r="C16" s="21"/>
      <c r="D16" s="21"/>
      <c r="E16" s="61"/>
      <c r="F16" s="36"/>
      <c r="G16" s="36"/>
      <c r="H16" s="12"/>
      <c r="I16" s="27"/>
      <c r="J16" s="36"/>
      <c r="K16" s="36"/>
      <c r="L16" s="63"/>
      <c r="M16" s="100" t="s">
        <v>325</v>
      </c>
      <c r="N16" s="36"/>
      <c r="O16" s="36"/>
      <c r="P16" s="36"/>
      <c r="Q16" s="36"/>
      <c r="R16" s="36"/>
      <c r="S16" s="36"/>
      <c r="T16" s="36"/>
      <c r="U16" s="57">
        <v>1800</v>
      </c>
      <c r="X16">
        <v>1957</v>
      </c>
      <c r="Y16" s="4">
        <v>522747</v>
      </c>
      <c r="Z16" s="279">
        <f t="shared" si="0"/>
        <v>1.9</v>
      </c>
      <c r="AD16" s="4">
        <f t="shared" si="1"/>
        <v>1693.2683175325303</v>
      </c>
      <c r="AE16" s="367">
        <f t="shared" si="2"/>
        <v>3.2391736682037971E-3</v>
      </c>
      <c r="AF16" s="4">
        <f t="shared" si="3"/>
        <v>521053.73168246745</v>
      </c>
      <c r="AG16" s="4">
        <f t="shared" si="4"/>
        <v>521053.73168246745</v>
      </c>
      <c r="AH16" s="4"/>
      <c r="AI16" s="4" t="s">
        <v>970</v>
      </c>
    </row>
    <row r="17" spans="1:53" x14ac:dyDescent="0.2">
      <c r="A17" s="30">
        <v>1958</v>
      </c>
      <c r="B17" s="159"/>
      <c r="C17" s="21"/>
      <c r="D17" s="21"/>
      <c r="E17" s="61"/>
      <c r="F17" s="36"/>
      <c r="G17" s="36"/>
      <c r="H17" s="12"/>
      <c r="I17" s="27"/>
      <c r="J17" s="36"/>
      <c r="K17" s="36"/>
      <c r="L17" s="63"/>
      <c r="M17" s="100" t="s">
        <v>325</v>
      </c>
      <c r="N17" s="36"/>
      <c r="O17" s="36"/>
      <c r="P17" s="36"/>
      <c r="Q17" s="36"/>
      <c r="R17" s="36"/>
      <c r="S17" s="36"/>
      <c r="T17" s="61">
        <v>3168.6489999999999</v>
      </c>
      <c r="U17" s="57">
        <v>2100</v>
      </c>
      <c r="X17">
        <v>1958</v>
      </c>
      <c r="Y17" s="4">
        <v>540450</v>
      </c>
      <c r="Z17" s="279">
        <f t="shared" si="0"/>
        <v>1.9</v>
      </c>
      <c r="AD17" s="4">
        <f t="shared" si="1"/>
        <v>1750.6114089807422</v>
      </c>
      <c r="AE17" s="367">
        <f t="shared" si="2"/>
        <v>3.2391736682037971E-3</v>
      </c>
      <c r="AF17" s="4">
        <f t="shared" si="3"/>
        <v>538699.3885910192</v>
      </c>
      <c r="AG17" s="4">
        <f t="shared" si="4"/>
        <v>538699.3885910192</v>
      </c>
      <c r="AH17" s="4"/>
      <c r="AI17" s="4"/>
    </row>
    <row r="18" spans="1:53" x14ac:dyDescent="0.2">
      <c r="A18" s="30">
        <v>1959</v>
      </c>
      <c r="B18" s="159"/>
      <c r="C18" s="21"/>
      <c r="D18" s="21"/>
      <c r="E18" s="61"/>
      <c r="F18" s="36"/>
      <c r="G18" s="36"/>
      <c r="H18" s="12"/>
      <c r="I18" s="27"/>
      <c r="J18" s="36"/>
      <c r="K18" s="36"/>
      <c r="L18" s="63"/>
      <c r="M18" s="100" t="s">
        <v>325</v>
      </c>
      <c r="N18" s="36"/>
      <c r="O18" s="36"/>
      <c r="P18" s="36"/>
      <c r="Q18" s="36"/>
      <c r="R18" s="36"/>
      <c r="S18" s="36"/>
      <c r="T18" s="61">
        <v>3629.6320000000001</v>
      </c>
      <c r="U18" s="57">
        <v>2100</v>
      </c>
      <c r="X18">
        <v>1959</v>
      </c>
      <c r="Y18" s="4">
        <v>571626</v>
      </c>
      <c r="Z18" s="279">
        <f t="shared" si="0"/>
        <v>1.9</v>
      </c>
      <c r="AD18" s="4">
        <f t="shared" si="1"/>
        <v>1851.5958872606636</v>
      </c>
      <c r="AE18" s="367">
        <f t="shared" si="2"/>
        <v>3.2391736682037971E-3</v>
      </c>
      <c r="AF18" s="4">
        <f t="shared" si="3"/>
        <v>569774.40411273937</v>
      </c>
      <c r="AG18" s="4">
        <f t="shared" si="4"/>
        <v>569774.40411273937</v>
      </c>
      <c r="AH18" s="4"/>
      <c r="AI18" s="4"/>
    </row>
    <row r="19" spans="1:53" x14ac:dyDescent="0.2">
      <c r="A19" s="30">
        <v>1960</v>
      </c>
      <c r="B19" s="159"/>
      <c r="C19" s="21"/>
      <c r="D19" s="21"/>
      <c r="E19" s="61"/>
      <c r="F19" s="36"/>
      <c r="G19" s="36"/>
      <c r="H19" s="12"/>
      <c r="I19" s="27"/>
      <c r="J19" s="36"/>
      <c r="K19" s="36"/>
      <c r="L19" s="63"/>
      <c r="M19" s="100" t="s">
        <v>325</v>
      </c>
      <c r="N19" s="36"/>
      <c r="O19" s="36"/>
      <c r="P19" s="36"/>
      <c r="Q19" s="36"/>
      <c r="R19" s="36"/>
      <c r="S19" s="36"/>
      <c r="T19" s="61">
        <v>3850.3029999999999</v>
      </c>
      <c r="U19" s="57">
        <v>2300</v>
      </c>
      <c r="X19">
        <v>1960</v>
      </c>
      <c r="Y19" s="4">
        <v>587012</v>
      </c>
      <c r="Z19" s="279">
        <f t="shared" si="0"/>
        <v>1.9</v>
      </c>
      <c r="AD19" s="4">
        <f t="shared" si="1"/>
        <v>1901.4338133196472</v>
      </c>
      <c r="AE19" s="367">
        <f t="shared" si="2"/>
        <v>3.2391736682037971E-3</v>
      </c>
      <c r="AF19" s="4">
        <f t="shared" si="3"/>
        <v>585110.56618668034</v>
      </c>
      <c r="AG19" s="4">
        <f t="shared" si="4"/>
        <v>585110.56618668034</v>
      </c>
      <c r="AH19" s="4"/>
      <c r="AI19" s="4"/>
    </row>
    <row r="20" spans="1:53" x14ac:dyDescent="0.2">
      <c r="A20" s="30">
        <v>1961</v>
      </c>
      <c r="B20" s="159"/>
      <c r="C20" s="21"/>
      <c r="D20" s="21"/>
      <c r="E20" s="61"/>
      <c r="F20" s="36"/>
      <c r="G20" s="36"/>
      <c r="H20" s="12"/>
      <c r="I20" s="27"/>
      <c r="J20" s="36"/>
      <c r="K20" s="36"/>
      <c r="L20" s="63"/>
      <c r="M20" s="100" t="s">
        <v>325</v>
      </c>
      <c r="N20" s="36"/>
      <c r="O20" s="36"/>
      <c r="P20" s="36"/>
      <c r="Q20" s="36"/>
      <c r="R20" s="36"/>
      <c r="S20" s="36"/>
      <c r="T20" s="61">
        <v>4021.8009999999999</v>
      </c>
      <c r="U20" s="57">
        <v>2300</v>
      </c>
      <c r="X20">
        <v>1961</v>
      </c>
      <c r="Y20" s="4">
        <v>603827</v>
      </c>
      <c r="Z20" s="279">
        <f t="shared" si="0"/>
        <v>1.9</v>
      </c>
      <c r="AD20" s="4">
        <f t="shared" si="1"/>
        <v>1955.9005185504941</v>
      </c>
      <c r="AE20" s="367">
        <f t="shared" si="2"/>
        <v>3.2391736682037971E-3</v>
      </c>
      <c r="AF20" s="4">
        <f t="shared" si="3"/>
        <v>601871.09948144946</v>
      </c>
      <c r="AG20" s="4">
        <f t="shared" si="4"/>
        <v>601871.09948144946</v>
      </c>
      <c r="AH20" s="4"/>
      <c r="AI20" s="4"/>
    </row>
    <row r="21" spans="1:53" x14ac:dyDescent="0.2">
      <c r="A21" s="30">
        <v>1962</v>
      </c>
      <c r="B21" s="159"/>
      <c r="C21" s="21"/>
      <c r="D21" s="21"/>
      <c r="E21" s="61"/>
      <c r="F21" s="36"/>
      <c r="G21" s="36"/>
      <c r="H21" s="12"/>
      <c r="I21" s="27"/>
      <c r="J21" s="36"/>
      <c r="K21" s="36"/>
      <c r="L21" s="63"/>
      <c r="M21" s="100" t="s">
        <v>325</v>
      </c>
      <c r="N21" s="36"/>
      <c r="O21" s="36"/>
      <c r="P21" s="36"/>
      <c r="Q21" s="36"/>
      <c r="R21" s="36"/>
      <c r="S21" s="36"/>
      <c r="T21" s="61">
        <v>4457.8239999999996</v>
      </c>
      <c r="U21" s="57">
        <v>2700</v>
      </c>
      <c r="X21">
        <v>1962</v>
      </c>
      <c r="Y21" s="4">
        <v>627387</v>
      </c>
      <c r="Z21" s="279">
        <f t="shared" si="0"/>
        <v>1.9</v>
      </c>
      <c r="AD21" s="4">
        <f t="shared" si="1"/>
        <v>2032.2154501733758</v>
      </c>
      <c r="AE21" s="367">
        <f t="shared" si="2"/>
        <v>3.2391736682037971E-3</v>
      </c>
      <c r="AF21" s="4">
        <f t="shared" si="3"/>
        <v>625354.78454982664</v>
      </c>
      <c r="AG21" s="4">
        <f t="shared" si="4"/>
        <v>625354.78454982664</v>
      </c>
      <c r="AH21" s="4"/>
      <c r="AI21" s="4"/>
    </row>
    <row r="22" spans="1:53" x14ac:dyDescent="0.2">
      <c r="A22" s="30">
        <v>1963</v>
      </c>
      <c r="B22" s="159"/>
      <c r="C22" s="21"/>
      <c r="D22" s="21"/>
      <c r="E22" s="61"/>
      <c r="F22" s="36"/>
      <c r="G22" s="36"/>
      <c r="H22" s="12"/>
      <c r="I22" s="27"/>
      <c r="J22" s="36"/>
      <c r="K22" s="36"/>
      <c r="L22" s="63"/>
      <c r="M22" s="100" t="s">
        <v>325</v>
      </c>
      <c r="N22" s="36"/>
      <c r="O22" s="36"/>
      <c r="P22" s="36"/>
      <c r="Q22" s="36"/>
      <c r="R22" s="36"/>
      <c r="S22" s="36"/>
      <c r="T22" s="61">
        <v>5104.03</v>
      </c>
      <c r="U22" s="57">
        <v>3400</v>
      </c>
      <c r="X22">
        <v>1963</v>
      </c>
      <c r="Y22" s="4">
        <v>661884</v>
      </c>
      <c r="Z22" s="279">
        <f t="shared" si="0"/>
        <v>1.9</v>
      </c>
      <c r="AD22" s="4">
        <f t="shared" si="1"/>
        <v>2143.9572242054019</v>
      </c>
      <c r="AE22" s="367">
        <f t="shared" si="2"/>
        <v>3.2391736682037971E-3</v>
      </c>
      <c r="AF22" s="4">
        <f t="shared" si="3"/>
        <v>659740.04277579463</v>
      </c>
      <c r="AG22" s="4">
        <f t="shared" si="4"/>
        <v>659740.04277579463</v>
      </c>
      <c r="AH22" s="4"/>
      <c r="AI22" s="4"/>
    </row>
    <row r="23" spans="1:53" x14ac:dyDescent="0.2">
      <c r="A23" s="30">
        <v>1964</v>
      </c>
      <c r="B23" s="159"/>
      <c r="C23" s="21"/>
      <c r="D23" s="21"/>
      <c r="E23" s="61"/>
      <c r="F23" s="36"/>
      <c r="G23" s="36"/>
      <c r="H23" s="12"/>
      <c r="I23" s="27"/>
      <c r="J23" s="36"/>
      <c r="K23" s="36"/>
      <c r="L23" s="63"/>
      <c r="M23" s="100" t="s">
        <v>325</v>
      </c>
      <c r="N23" s="36"/>
      <c r="O23" s="36"/>
      <c r="P23" s="36"/>
      <c r="Q23" s="36"/>
      <c r="R23" s="36"/>
      <c r="S23" s="36"/>
      <c r="T23" s="61">
        <v>5957.8549999999996</v>
      </c>
      <c r="U23" s="57">
        <v>3700</v>
      </c>
      <c r="X23">
        <v>1964</v>
      </c>
      <c r="Y23" s="4">
        <v>695835</v>
      </c>
      <c r="Z23" s="279">
        <f t="shared" si="0"/>
        <v>1.9</v>
      </c>
      <c r="AD23" s="4">
        <f t="shared" si="1"/>
        <v>2253.9304094145891</v>
      </c>
      <c r="AE23" s="367">
        <f t="shared" si="2"/>
        <v>3.2391736682037971E-3</v>
      </c>
      <c r="AF23" s="4">
        <f t="shared" si="3"/>
        <v>693581.06959058542</v>
      </c>
      <c r="AG23" s="4">
        <f t="shared" si="4"/>
        <v>693581.06959058542</v>
      </c>
      <c r="AH23" s="4"/>
      <c r="AI23" s="4"/>
    </row>
    <row r="24" spans="1:53" x14ac:dyDescent="0.2">
      <c r="A24" s="30">
        <v>1965</v>
      </c>
      <c r="B24" s="159"/>
      <c r="C24" s="21"/>
      <c r="D24" s="21"/>
      <c r="E24" s="61"/>
      <c r="F24" s="36"/>
      <c r="G24" s="36"/>
      <c r="H24" s="12"/>
      <c r="I24" s="27"/>
      <c r="J24" s="36"/>
      <c r="K24" s="36"/>
      <c r="L24" s="63"/>
      <c r="M24" s="100" t="s">
        <v>325</v>
      </c>
      <c r="N24" s="36"/>
      <c r="O24" s="36"/>
      <c r="P24" s="36"/>
      <c r="Q24" s="36"/>
      <c r="R24" s="36"/>
      <c r="S24" s="36"/>
      <c r="T24" s="61">
        <v>7087.7619999999997</v>
      </c>
      <c r="U24" s="57">
        <v>4400</v>
      </c>
      <c r="X24">
        <v>1965</v>
      </c>
      <c r="Y24" s="4">
        <v>722696</v>
      </c>
      <c r="Z24" s="279">
        <f t="shared" si="0"/>
        <v>1.9</v>
      </c>
      <c r="AD24" s="4">
        <f t="shared" si="1"/>
        <v>2340.9378533162112</v>
      </c>
      <c r="AE24" s="367">
        <f t="shared" si="2"/>
        <v>3.2391736682037971E-3</v>
      </c>
      <c r="AF24" s="4">
        <f t="shared" si="3"/>
        <v>720355.06214668381</v>
      </c>
      <c r="AG24" s="4">
        <f t="shared" si="4"/>
        <v>720355.06214668381</v>
      </c>
      <c r="AH24" s="4"/>
      <c r="AI24" s="4"/>
    </row>
    <row r="25" spans="1:53" x14ac:dyDescent="0.2">
      <c r="A25" s="30">
        <v>1966</v>
      </c>
      <c r="B25" s="159">
        <f>AG25*Z25</f>
        <v>1472427.0537872452</v>
      </c>
      <c r="C25" s="98">
        <f>AB25*AC25</f>
        <v>173686.6</v>
      </c>
      <c r="D25" s="98">
        <f>AD25*1.1</f>
        <v>2770.2320179105973</v>
      </c>
      <c r="E25" s="61"/>
      <c r="F25" s="36"/>
      <c r="G25" s="36"/>
      <c r="H25" s="12"/>
      <c r="I25" s="28"/>
      <c r="J25" s="61"/>
      <c r="K25" s="61"/>
      <c r="L25" s="57"/>
      <c r="M25" s="100" t="s">
        <v>325</v>
      </c>
      <c r="N25" s="36"/>
      <c r="O25" s="36"/>
      <c r="P25" s="36"/>
      <c r="Q25" s="36"/>
      <c r="R25" s="36"/>
      <c r="S25" s="36"/>
      <c r="T25" s="61">
        <v>8578.0849999999991</v>
      </c>
      <c r="U25" s="57">
        <v>5700</v>
      </c>
      <c r="X25">
        <v>1966</v>
      </c>
      <c r="Y25" s="4">
        <v>777480</v>
      </c>
      <c r="Z25" s="279">
        <f t="shared" si="0"/>
        <v>1.9</v>
      </c>
      <c r="AA25" s="4">
        <v>91414</v>
      </c>
      <c r="AB25" s="4">
        <f>AA25</f>
        <v>91414</v>
      </c>
      <c r="AC25" s="279">
        <f>$AC$28</f>
        <v>1.9</v>
      </c>
      <c r="AD25" s="4">
        <f t="shared" si="1"/>
        <v>2518.3927435550881</v>
      </c>
      <c r="AE25" s="367">
        <f t="shared" si="2"/>
        <v>3.2391736682037971E-3</v>
      </c>
      <c r="AF25" s="4">
        <f t="shared" si="3"/>
        <v>774961.60725644487</v>
      </c>
      <c r="AG25" s="4">
        <f t="shared" si="4"/>
        <v>774961.60725644487</v>
      </c>
      <c r="AH25" s="4"/>
      <c r="AI25" s="4"/>
    </row>
    <row r="26" spans="1:53" x14ac:dyDescent="0.2">
      <c r="A26" s="30">
        <v>1967</v>
      </c>
      <c r="B26" s="159">
        <f t="shared" ref="B26:B70" si="5">AG26*Z26</f>
        <v>1535995.874190886</v>
      </c>
      <c r="C26" s="98">
        <f t="shared" ref="C26:C70" si="6">AB26*AC26</f>
        <v>178106</v>
      </c>
      <c r="D26" s="98">
        <f t="shared" ref="D26:D70" si="7">AD26*1.1</f>
        <v>2889.8307315922184</v>
      </c>
      <c r="E26" s="61"/>
      <c r="F26" s="36"/>
      <c r="G26" s="36"/>
      <c r="H26" s="12"/>
      <c r="I26" s="28"/>
      <c r="J26" s="61"/>
      <c r="K26" s="61"/>
      <c r="L26" s="57"/>
      <c r="M26" s="100" t="s">
        <v>325</v>
      </c>
      <c r="N26" s="36"/>
      <c r="O26" s="36"/>
      <c r="P26" s="36"/>
      <c r="Q26" s="36"/>
      <c r="R26" s="36"/>
      <c r="S26" s="36"/>
      <c r="T26" s="61">
        <v>10924.267</v>
      </c>
      <c r="U26" s="57">
        <v>7000</v>
      </c>
      <c r="X26">
        <v>1967</v>
      </c>
      <c r="Y26" s="4">
        <v>811046</v>
      </c>
      <c r="Z26" s="279">
        <f t="shared" si="0"/>
        <v>1.9</v>
      </c>
      <c r="AA26" s="4">
        <v>93740</v>
      </c>
      <c r="AB26" s="4">
        <f t="shared" ref="AB26:AB67" si="8">AA26</f>
        <v>93740</v>
      </c>
      <c r="AC26" s="279">
        <f>$AC$28</f>
        <v>1.9</v>
      </c>
      <c r="AD26" s="4">
        <f t="shared" si="1"/>
        <v>2627.1188469020167</v>
      </c>
      <c r="AE26" s="367">
        <f t="shared" si="2"/>
        <v>3.2391736682037971E-3</v>
      </c>
      <c r="AF26" s="4">
        <f t="shared" si="3"/>
        <v>808418.88115309796</v>
      </c>
      <c r="AG26" s="4">
        <f t="shared" si="4"/>
        <v>808418.88115309796</v>
      </c>
      <c r="AH26" s="4"/>
      <c r="AI26" s="4"/>
    </row>
    <row r="27" spans="1:53" x14ac:dyDescent="0.2">
      <c r="A27" s="30">
        <v>1968</v>
      </c>
      <c r="B27" s="159">
        <f t="shared" si="5"/>
        <v>1610314.1620500195</v>
      </c>
      <c r="C27" s="98">
        <f t="shared" si="6"/>
        <v>195464.4</v>
      </c>
      <c r="D27" s="98">
        <f t="shared" si="7"/>
        <v>3029.6535499886372</v>
      </c>
      <c r="E27" s="61"/>
      <c r="F27" s="36"/>
      <c r="G27" s="36"/>
      <c r="H27" s="12"/>
      <c r="I27" s="28"/>
      <c r="J27" s="61"/>
      <c r="K27" s="61"/>
      <c r="L27" s="57"/>
      <c r="M27" s="100" t="s">
        <v>325</v>
      </c>
      <c r="N27" s="36"/>
      <c r="O27" s="36"/>
      <c r="P27" s="36"/>
      <c r="Q27" s="36"/>
      <c r="R27" s="36"/>
      <c r="S27" s="36"/>
      <c r="T27" s="61">
        <v>12684.844999999999</v>
      </c>
      <c r="U27" s="57">
        <v>8200</v>
      </c>
      <c r="X27">
        <v>1968</v>
      </c>
      <c r="Y27" s="4">
        <v>850288</v>
      </c>
      <c r="Z27" s="279">
        <f t="shared" si="0"/>
        <v>1.9</v>
      </c>
      <c r="AA27" s="4">
        <v>102876</v>
      </c>
      <c r="AB27" s="4">
        <f t="shared" si="8"/>
        <v>102876</v>
      </c>
      <c r="AC27" s="279">
        <f>$AC$28</f>
        <v>1.9</v>
      </c>
      <c r="AD27" s="4">
        <f t="shared" si="1"/>
        <v>2754.2304999896701</v>
      </c>
      <c r="AE27" s="367">
        <f t="shared" si="2"/>
        <v>3.2391736682037971E-3</v>
      </c>
      <c r="AF27" s="4">
        <f t="shared" si="3"/>
        <v>847533.7695000103</v>
      </c>
      <c r="AG27" s="4">
        <f t="shared" si="4"/>
        <v>847533.7695000103</v>
      </c>
      <c r="AH27" s="4"/>
      <c r="AI27" s="4"/>
    </row>
    <row r="28" spans="1:53" x14ac:dyDescent="0.2">
      <c r="A28" s="30">
        <v>1969</v>
      </c>
      <c r="B28" s="159">
        <f t="shared" si="5"/>
        <v>1675494.6450337563</v>
      </c>
      <c r="C28" s="98">
        <f t="shared" si="6"/>
        <v>212820.9</v>
      </c>
      <c r="D28" s="98">
        <f t="shared" si="7"/>
        <v>3152.2844541410645</v>
      </c>
      <c r="E28" s="61"/>
      <c r="F28" s="36"/>
      <c r="G28" s="36"/>
      <c r="H28" s="13"/>
      <c r="I28" s="28"/>
      <c r="J28" s="61"/>
      <c r="K28" s="61"/>
      <c r="L28" s="57"/>
      <c r="M28" s="100" t="s">
        <v>325</v>
      </c>
      <c r="N28" s="36"/>
      <c r="O28" s="36"/>
      <c r="P28" s="36"/>
      <c r="Q28" s="36"/>
      <c r="R28" s="36"/>
      <c r="S28" s="36"/>
      <c r="T28" s="61">
        <v>13996.087</v>
      </c>
      <c r="U28" s="57">
        <v>8800</v>
      </c>
      <c r="X28">
        <v>1969</v>
      </c>
      <c r="Y28" s="4">
        <v>884705</v>
      </c>
      <c r="Z28" s="279">
        <v>1.9</v>
      </c>
      <c r="AA28" s="4">
        <v>112011</v>
      </c>
      <c r="AB28" s="4">
        <f t="shared" si="8"/>
        <v>112011</v>
      </c>
      <c r="AC28" s="279">
        <v>1.9</v>
      </c>
      <c r="AD28" s="4">
        <f t="shared" si="1"/>
        <v>2865.7131401282404</v>
      </c>
      <c r="AE28" s="367">
        <f t="shared" si="2"/>
        <v>3.2391736682037971E-3</v>
      </c>
      <c r="AF28" s="4">
        <f t="shared" si="3"/>
        <v>881839.2868598717</v>
      </c>
      <c r="AG28" s="4">
        <f t="shared" si="4"/>
        <v>881839.2868598717</v>
      </c>
      <c r="AH28" s="4"/>
      <c r="AI28" s="4"/>
    </row>
    <row r="29" spans="1:53" x14ac:dyDescent="0.2">
      <c r="A29" s="30">
        <v>1970</v>
      </c>
      <c r="B29" s="159">
        <f t="shared" si="5"/>
        <v>1741730</v>
      </c>
      <c r="C29" s="98">
        <f t="shared" si="6"/>
        <v>221914.80000000002</v>
      </c>
      <c r="D29" s="98">
        <f t="shared" si="7"/>
        <v>3276.9</v>
      </c>
      <c r="E29" s="779">
        <f>'Detailed data_Intercity buses'!E7</f>
        <v>25300</v>
      </c>
      <c r="F29" s="61">
        <v>18210</v>
      </c>
      <c r="G29" s="61"/>
      <c r="H29" s="778">
        <f>'Detailed data_School buses'!Y7*1000</f>
        <v>48300.000000000007</v>
      </c>
      <c r="I29" s="28">
        <v>4592</v>
      </c>
      <c r="J29" s="61">
        <f t="shared" ref="J29:K35" si="9">AY29</f>
        <v>8464.5</v>
      </c>
      <c r="K29" s="61">
        <f t="shared" si="9"/>
        <v>893</v>
      </c>
      <c r="L29" s="123">
        <f t="shared" ref="L29:L58" si="10">SUM(I29:K29)</f>
        <v>13949.5</v>
      </c>
      <c r="M29" s="160">
        <f>M30</f>
        <v>1993</v>
      </c>
      <c r="N29" s="61">
        <f>131719*1.15</f>
        <v>151476.84999999998</v>
      </c>
      <c r="O29" s="98"/>
      <c r="P29" s="573">
        <f>O29/N29</f>
        <v>0</v>
      </c>
      <c r="Q29" s="98">
        <f>P29*N29</f>
        <v>0</v>
      </c>
      <c r="R29" s="98">
        <f>N29-Q29</f>
        <v>151476.84999999998</v>
      </c>
      <c r="S29" s="98">
        <f>Q29+0.5*R29</f>
        <v>75738.424999999988</v>
      </c>
      <c r="T29" s="61">
        <f>$T$12*N29</f>
        <v>30295.369999999995</v>
      </c>
      <c r="U29" s="57">
        <v>9100</v>
      </c>
      <c r="X29">
        <v>1970</v>
      </c>
      <c r="Y29" s="4">
        <v>919679</v>
      </c>
      <c r="Z29" s="279">
        <f>Z28+(($Z$36-$Z$28)/($X$36-$X$28))</f>
        <v>1.9</v>
      </c>
      <c r="AA29" s="4">
        <v>123286</v>
      </c>
      <c r="AB29" s="4">
        <f t="shared" si="8"/>
        <v>123286</v>
      </c>
      <c r="AC29" s="279">
        <f t="shared" ref="AC29:AC34" si="11">$AC$36</f>
        <v>1.8</v>
      </c>
      <c r="AD29" s="348">
        <v>2979</v>
      </c>
      <c r="AE29" s="366">
        <f>AD29/Y29</f>
        <v>3.2391736682037971E-3</v>
      </c>
      <c r="AF29" s="4">
        <f t="shared" si="3"/>
        <v>916700</v>
      </c>
      <c r="AG29" s="4">
        <f t="shared" si="4"/>
        <v>916700</v>
      </c>
      <c r="AH29" s="4"/>
      <c r="AI29" s="4"/>
      <c r="AU29">
        <v>1881</v>
      </c>
      <c r="AV29">
        <v>235</v>
      </c>
      <c r="AY29" s="4">
        <f t="shared" ref="AY29:AY36" si="12">AU29*4.5</f>
        <v>8464.5</v>
      </c>
      <c r="AZ29" s="4">
        <f t="shared" ref="AZ29:AZ36" si="13">AV29*3.8</f>
        <v>893</v>
      </c>
      <c r="BA29" s="4">
        <f t="shared" ref="BA29:BA36" si="14">SUM(AY29:AZ29)</f>
        <v>9357.5</v>
      </c>
    </row>
    <row r="30" spans="1:53" x14ac:dyDescent="0.2">
      <c r="A30" s="30">
        <v>1971</v>
      </c>
      <c r="B30" s="159">
        <f t="shared" si="5"/>
        <v>1836109.0467169611</v>
      </c>
      <c r="C30" s="98">
        <f t="shared" si="6"/>
        <v>248166</v>
      </c>
      <c r="D30" s="98">
        <f t="shared" si="7"/>
        <v>3920.1992691277264</v>
      </c>
      <c r="E30" s="779">
        <f>'Detailed data_Intercity buses'!E8</f>
        <v>25500</v>
      </c>
      <c r="F30" s="61">
        <v>16810</v>
      </c>
      <c r="G30" s="61"/>
      <c r="H30" s="778">
        <f>'Detailed data_School buses'!Y8*1000</f>
        <v>50876</v>
      </c>
      <c r="I30" s="161">
        <f>I29+((I$34-I$29)/5)</f>
        <v>4576.2</v>
      </c>
      <c r="J30" s="61">
        <f t="shared" si="9"/>
        <v>8001</v>
      </c>
      <c r="K30" s="61">
        <f t="shared" si="9"/>
        <v>843.59999999999991</v>
      </c>
      <c r="L30" s="123">
        <f t="shared" si="10"/>
        <v>13420.800000000001</v>
      </c>
      <c r="M30" s="57">
        <v>1993</v>
      </c>
      <c r="N30" s="61">
        <f>135658*1.15</f>
        <v>156006.69999999998</v>
      </c>
      <c r="O30" s="61"/>
      <c r="P30" s="572">
        <f>0.8*P29+0.2*P34</f>
        <v>0</v>
      </c>
      <c r="Q30" s="98">
        <f t="shared" ref="Q30:Q70" si="15">P30*N30</f>
        <v>0</v>
      </c>
      <c r="R30" s="98">
        <f t="shared" ref="R30:R70" si="16">N30-Q30</f>
        <v>156006.69999999998</v>
      </c>
      <c r="S30" s="98">
        <f t="shared" ref="S30:S70" si="17">Q30+0.5*R30</f>
        <v>78003.349999999991</v>
      </c>
      <c r="T30" s="61">
        <f t="shared" ref="T30:T70" si="18">$T$12*N30</f>
        <v>31201.339999999997</v>
      </c>
      <c r="U30" s="57">
        <v>9200</v>
      </c>
      <c r="X30">
        <v>1971</v>
      </c>
      <c r="Y30" s="4">
        <v>969937</v>
      </c>
      <c r="Z30" s="279">
        <f t="shared" ref="Z30:Z35" si="19">Z29+(($Z$36-$Z$28)/($X$36-$X$28))</f>
        <v>1.9</v>
      </c>
      <c r="AA30" s="4">
        <v>137870</v>
      </c>
      <c r="AB30" s="4">
        <f t="shared" si="8"/>
        <v>137870</v>
      </c>
      <c r="AC30" s="279">
        <f t="shared" si="11"/>
        <v>1.8</v>
      </c>
      <c r="AD30" s="4">
        <f t="shared" si="1"/>
        <v>3563.8175173888421</v>
      </c>
      <c r="AE30" s="367">
        <f>0.8*AE29+0.2*AE34</f>
        <v>3.6742773163502807E-3</v>
      </c>
      <c r="AF30" s="4">
        <f t="shared" si="3"/>
        <v>966373.18248261116</v>
      </c>
      <c r="AG30" s="4">
        <f t="shared" si="4"/>
        <v>966373.18248261116</v>
      </c>
      <c r="AH30" s="4"/>
      <c r="AI30" s="4"/>
      <c r="AU30">
        <v>1778</v>
      </c>
      <c r="AV30">
        <v>222</v>
      </c>
      <c r="AY30" s="4">
        <f t="shared" si="12"/>
        <v>8001</v>
      </c>
      <c r="AZ30" s="4">
        <f t="shared" si="13"/>
        <v>843.59999999999991</v>
      </c>
      <c r="BA30" s="4">
        <f t="shared" si="14"/>
        <v>8844.6</v>
      </c>
    </row>
    <row r="31" spans="1:53" x14ac:dyDescent="0.2">
      <c r="A31" s="30">
        <v>1972</v>
      </c>
      <c r="B31" s="159">
        <f t="shared" si="5"/>
        <v>1940813.9463262551</v>
      </c>
      <c r="C31" s="98">
        <f t="shared" si="6"/>
        <v>281919.60000000003</v>
      </c>
      <c r="D31" s="98">
        <f t="shared" si="7"/>
        <v>4636.4731795365205</v>
      </c>
      <c r="E31" s="779">
        <f>'Detailed data_Intercity buses'!E9</f>
        <v>25600</v>
      </c>
      <c r="F31" s="61">
        <v>16180</v>
      </c>
      <c r="G31" s="61"/>
      <c r="H31" s="778">
        <f>'Detailed data_School buses'!Y9*1000</f>
        <v>54257</v>
      </c>
      <c r="I31" s="161">
        <f>I30+((I$34-I$29)/5)</f>
        <v>4560.3999999999996</v>
      </c>
      <c r="J31" s="61">
        <f t="shared" si="9"/>
        <v>7789.5</v>
      </c>
      <c r="K31" s="61">
        <f t="shared" si="9"/>
        <v>801.8</v>
      </c>
      <c r="L31" s="123">
        <f t="shared" si="10"/>
        <v>13151.699999999999</v>
      </c>
      <c r="M31" s="57">
        <v>3039</v>
      </c>
      <c r="N31" s="61">
        <f>152406*1.15</f>
        <v>175266.9</v>
      </c>
      <c r="O31" s="61"/>
      <c r="P31" s="572">
        <f>0.6*P29+0.4*P34</f>
        <v>0</v>
      </c>
      <c r="Q31" s="98">
        <f t="shared" si="15"/>
        <v>0</v>
      </c>
      <c r="R31" s="98">
        <f t="shared" si="16"/>
        <v>175266.9</v>
      </c>
      <c r="S31" s="98">
        <f t="shared" si="17"/>
        <v>87633.45</v>
      </c>
      <c r="T31" s="61">
        <f t="shared" si="18"/>
        <v>35053.379999999997</v>
      </c>
      <c r="U31" s="57">
        <v>10000</v>
      </c>
      <c r="X31">
        <v>1972</v>
      </c>
      <c r="Y31" s="4">
        <v>1025696</v>
      </c>
      <c r="Z31" s="279">
        <f t="shared" si="19"/>
        <v>1.9</v>
      </c>
      <c r="AA31" s="4">
        <v>156622</v>
      </c>
      <c r="AB31" s="4">
        <f t="shared" si="8"/>
        <v>156622</v>
      </c>
      <c r="AC31" s="279">
        <f t="shared" si="11"/>
        <v>1.8</v>
      </c>
      <c r="AD31" s="4">
        <f t="shared" si="1"/>
        <v>4214.9756177604731</v>
      </c>
      <c r="AE31" s="367">
        <f>0.6*AE29+0.4*AE34</f>
        <v>4.1093809644967639E-3</v>
      </c>
      <c r="AF31" s="4">
        <f t="shared" si="3"/>
        <v>1021481.0243822396</v>
      </c>
      <c r="AG31" s="4">
        <f t="shared" si="4"/>
        <v>1021481.0243822396</v>
      </c>
      <c r="AH31" s="4"/>
      <c r="AI31" s="4"/>
      <c r="AU31">
        <v>1731</v>
      </c>
      <c r="AV31">
        <v>211</v>
      </c>
      <c r="AY31" s="4">
        <f t="shared" si="12"/>
        <v>7789.5</v>
      </c>
      <c r="AZ31" s="4">
        <f t="shared" si="13"/>
        <v>801.8</v>
      </c>
      <c r="BA31" s="4">
        <f t="shared" si="14"/>
        <v>8591.2999999999993</v>
      </c>
    </row>
    <row r="32" spans="1:53" x14ac:dyDescent="0.2">
      <c r="A32" s="30">
        <v>1973</v>
      </c>
      <c r="B32" s="159">
        <f t="shared" si="5"/>
        <v>1988156.1076358787</v>
      </c>
      <c r="C32" s="98">
        <f t="shared" si="6"/>
        <v>318299.40000000002</v>
      </c>
      <c r="D32" s="98">
        <f t="shared" si="7"/>
        <v>5254.7534739647926</v>
      </c>
      <c r="E32" s="779">
        <f>'Detailed data_Intercity buses'!E10</f>
        <v>26400</v>
      </c>
      <c r="F32" s="61">
        <v>16170</v>
      </c>
      <c r="G32" s="61"/>
      <c r="H32" s="778">
        <f>'Detailed data_School buses'!Y10*1000</f>
        <v>55476</v>
      </c>
      <c r="I32" s="161">
        <f>I31+((I$34-I$29)/5)</f>
        <v>4544.5999999999995</v>
      </c>
      <c r="J32" s="61">
        <f t="shared" si="9"/>
        <v>7834.5</v>
      </c>
      <c r="K32" s="61">
        <f t="shared" si="9"/>
        <v>786.59999999999991</v>
      </c>
      <c r="L32" s="123">
        <f t="shared" si="10"/>
        <v>13165.699999999999</v>
      </c>
      <c r="M32" s="57">
        <v>3807</v>
      </c>
      <c r="N32" s="61">
        <v>174352</v>
      </c>
      <c r="O32" s="61"/>
      <c r="P32" s="572">
        <f>0.4*P29+0.6*P34</f>
        <v>0</v>
      </c>
      <c r="Q32" s="98">
        <f t="shared" si="15"/>
        <v>0</v>
      </c>
      <c r="R32" s="98">
        <f t="shared" si="16"/>
        <v>174352</v>
      </c>
      <c r="S32" s="98">
        <f t="shared" si="17"/>
        <v>87176</v>
      </c>
      <c r="T32" s="61">
        <f t="shared" si="18"/>
        <v>34870.400000000001</v>
      </c>
      <c r="U32" s="57">
        <v>10700</v>
      </c>
      <c r="X32">
        <v>1973</v>
      </c>
      <c r="Y32" s="4">
        <v>1051175</v>
      </c>
      <c r="Z32" s="279">
        <f t="shared" si="19"/>
        <v>1.9</v>
      </c>
      <c r="AA32" s="4">
        <v>176833</v>
      </c>
      <c r="AB32" s="4">
        <f t="shared" si="8"/>
        <v>176833</v>
      </c>
      <c r="AC32" s="279">
        <f t="shared" si="11"/>
        <v>1.8</v>
      </c>
      <c r="AD32" s="4">
        <f t="shared" si="1"/>
        <v>4777.0486126952655</v>
      </c>
      <c r="AE32" s="367">
        <f>0.4*AE29+0.6*AE34</f>
        <v>4.5444846126432474E-3</v>
      </c>
      <c r="AF32" s="4">
        <f t="shared" si="3"/>
        <v>1046397.9513873047</v>
      </c>
      <c r="AG32" s="4">
        <f t="shared" si="4"/>
        <v>1046397.9513873047</v>
      </c>
      <c r="AH32" s="4"/>
      <c r="AI32" s="4"/>
      <c r="AU32">
        <v>1741</v>
      </c>
      <c r="AV32">
        <v>207</v>
      </c>
      <c r="AY32" s="4">
        <f t="shared" si="12"/>
        <v>7834.5</v>
      </c>
      <c r="AZ32" s="4">
        <f t="shared" si="13"/>
        <v>786.59999999999991</v>
      </c>
      <c r="BA32" s="4">
        <f t="shared" si="14"/>
        <v>8621.1</v>
      </c>
    </row>
    <row r="33" spans="1:53" x14ac:dyDescent="0.2">
      <c r="A33" s="30">
        <v>1974</v>
      </c>
      <c r="B33" s="159">
        <f t="shared" si="5"/>
        <v>1914541.0626846373</v>
      </c>
      <c r="C33" s="98">
        <f t="shared" si="6"/>
        <v>328962.60000000003</v>
      </c>
      <c r="D33" s="98">
        <f t="shared" si="7"/>
        <v>5547.090024683589</v>
      </c>
      <c r="E33" s="779">
        <f>'Detailed data_Intercity buses'!E11</f>
        <v>27700</v>
      </c>
      <c r="F33" s="61">
        <v>17910</v>
      </c>
      <c r="G33" s="61"/>
      <c r="H33" s="778">
        <f>'Detailed data_School buses'!Y11*1000</f>
        <v>56350</v>
      </c>
      <c r="I33" s="161">
        <f>I32+((I$34-I$29)/5)</f>
        <v>4528.7999999999993</v>
      </c>
      <c r="J33" s="61">
        <f t="shared" si="9"/>
        <v>7767</v>
      </c>
      <c r="K33" s="61">
        <f t="shared" si="9"/>
        <v>570</v>
      </c>
      <c r="L33" s="123">
        <f t="shared" si="10"/>
        <v>12865.8</v>
      </c>
      <c r="M33" s="57">
        <v>4259</v>
      </c>
      <c r="N33" s="61">
        <v>174052</v>
      </c>
      <c r="O33" s="61"/>
      <c r="P33" s="572">
        <f>0.2*P29+0.8*P34</f>
        <v>0</v>
      </c>
      <c r="Q33" s="98">
        <f t="shared" si="15"/>
        <v>0</v>
      </c>
      <c r="R33" s="98">
        <f t="shared" si="16"/>
        <v>174052</v>
      </c>
      <c r="S33" s="98">
        <f t="shared" si="17"/>
        <v>87026</v>
      </c>
      <c r="T33" s="61">
        <f t="shared" si="18"/>
        <v>34810.400000000001</v>
      </c>
      <c r="U33" s="57">
        <v>11200</v>
      </c>
      <c r="X33">
        <v>1974</v>
      </c>
      <c r="Y33" s="4">
        <v>1012696</v>
      </c>
      <c r="Z33" s="279">
        <f t="shared" si="19"/>
        <v>1.9</v>
      </c>
      <c r="AA33" s="4">
        <v>182757</v>
      </c>
      <c r="AB33" s="4">
        <f t="shared" si="8"/>
        <v>182757</v>
      </c>
      <c r="AC33" s="279">
        <f t="shared" si="11"/>
        <v>1.8</v>
      </c>
      <c r="AD33" s="4">
        <f t="shared" si="1"/>
        <v>5042.8091133487169</v>
      </c>
      <c r="AE33" s="367">
        <f>0.2*AE29+0.8*AE34</f>
        <v>4.9795882607897302E-3</v>
      </c>
      <c r="AF33" s="4">
        <f t="shared" si="3"/>
        <v>1007653.1908866513</v>
      </c>
      <c r="AG33" s="4">
        <f t="shared" si="4"/>
        <v>1007653.1908866513</v>
      </c>
      <c r="AH33" s="4"/>
      <c r="AI33" s="4"/>
      <c r="AU33">
        <v>1726</v>
      </c>
      <c r="AV33">
        <v>150</v>
      </c>
      <c r="AY33" s="4">
        <f t="shared" si="12"/>
        <v>7767</v>
      </c>
      <c r="AZ33" s="4">
        <f t="shared" si="13"/>
        <v>570</v>
      </c>
      <c r="BA33" s="4">
        <f t="shared" si="14"/>
        <v>8337</v>
      </c>
    </row>
    <row r="34" spans="1:53" x14ac:dyDescent="0.2">
      <c r="A34" s="30">
        <v>1975</v>
      </c>
      <c r="B34" s="159">
        <f t="shared" si="5"/>
        <v>1964505</v>
      </c>
      <c r="C34" s="98">
        <f t="shared" si="6"/>
        <v>361260</v>
      </c>
      <c r="D34" s="98">
        <f t="shared" si="7"/>
        <v>6191.9000000000005</v>
      </c>
      <c r="E34" s="779">
        <f>'Detailed data_Intercity buses'!E12</f>
        <v>25400</v>
      </c>
      <c r="F34" s="61">
        <v>18300</v>
      </c>
      <c r="G34" s="61"/>
      <c r="H34" s="778">
        <f>'Detailed data_School buses'!Y12*1000</f>
        <v>57500</v>
      </c>
      <c r="I34" s="28">
        <v>4513</v>
      </c>
      <c r="J34" s="61">
        <f t="shared" si="9"/>
        <v>7528.5</v>
      </c>
      <c r="K34" s="61">
        <f t="shared" si="9"/>
        <v>471.2</v>
      </c>
      <c r="L34" s="123">
        <f t="shared" si="10"/>
        <v>12512.7</v>
      </c>
      <c r="M34" s="57">
        <v>3753</v>
      </c>
      <c r="N34" s="61">
        <v>173324</v>
      </c>
      <c r="O34" s="98"/>
      <c r="P34" s="267">
        <f t="shared" ref="P34:P70" si="20">O34/N34</f>
        <v>0</v>
      </c>
      <c r="Q34" s="98">
        <f t="shared" si="15"/>
        <v>0</v>
      </c>
      <c r="R34" s="98">
        <f t="shared" si="16"/>
        <v>173324</v>
      </c>
      <c r="S34" s="98">
        <f t="shared" si="17"/>
        <v>86662</v>
      </c>
      <c r="T34" s="61">
        <f t="shared" si="18"/>
        <v>34664.800000000003</v>
      </c>
      <c r="U34" s="57">
        <v>11400</v>
      </c>
      <c r="X34">
        <v>1975</v>
      </c>
      <c r="Y34" s="4">
        <v>1039579</v>
      </c>
      <c r="Z34" s="279">
        <f t="shared" si="19"/>
        <v>1.9</v>
      </c>
      <c r="AA34" s="4">
        <v>200700</v>
      </c>
      <c r="AB34" s="4">
        <f t="shared" si="8"/>
        <v>200700</v>
      </c>
      <c r="AC34" s="279">
        <f t="shared" si="11"/>
        <v>1.8</v>
      </c>
      <c r="AD34" s="4">
        <v>5629</v>
      </c>
      <c r="AE34" s="129">
        <f>AD34/Y34</f>
        <v>5.4146919089362137E-3</v>
      </c>
      <c r="AF34" s="4">
        <f t="shared" si="3"/>
        <v>1033950</v>
      </c>
      <c r="AG34" s="4">
        <f t="shared" si="4"/>
        <v>1033950</v>
      </c>
      <c r="AH34" s="4"/>
      <c r="AI34" s="4"/>
      <c r="AU34">
        <v>1673</v>
      </c>
      <c r="AV34">
        <v>124</v>
      </c>
      <c r="AY34" s="4">
        <f t="shared" si="12"/>
        <v>7528.5</v>
      </c>
      <c r="AZ34" s="4">
        <f t="shared" si="13"/>
        <v>471.2</v>
      </c>
      <c r="BA34" s="4">
        <f t="shared" si="14"/>
        <v>7999.7</v>
      </c>
    </row>
    <row r="35" spans="1:53" x14ac:dyDescent="0.2">
      <c r="A35" s="30">
        <v>1976</v>
      </c>
      <c r="B35" s="159">
        <f t="shared" si="5"/>
        <v>2047339.4697646284</v>
      </c>
      <c r="C35" s="98">
        <f t="shared" si="6"/>
        <v>406501.2</v>
      </c>
      <c r="D35" s="98">
        <f t="shared" si="7"/>
        <v>7338.0017152151613</v>
      </c>
      <c r="E35" s="779">
        <f>'Detailed data_Intercity buses'!E13</f>
        <v>25100</v>
      </c>
      <c r="F35" s="61">
        <v>18890</v>
      </c>
      <c r="G35" s="61"/>
      <c r="H35" s="778">
        <f>'Detailed data_School buses'!Y13*1000</f>
        <v>60269.824604853537</v>
      </c>
      <c r="I35" s="162">
        <f>(I34+I36)/2</f>
        <v>5340</v>
      </c>
      <c r="J35" s="62">
        <f t="shared" si="9"/>
        <v>7344</v>
      </c>
      <c r="K35" s="62">
        <f t="shared" si="9"/>
        <v>425.59999999999997</v>
      </c>
      <c r="L35" s="124">
        <f t="shared" si="10"/>
        <v>13109.6</v>
      </c>
      <c r="M35" s="57">
        <v>4268</v>
      </c>
      <c r="N35" s="61">
        <v>191823</v>
      </c>
      <c r="O35" s="61"/>
      <c r="P35" s="572">
        <f>0.8*P34+0.2*P39</f>
        <v>0</v>
      </c>
      <c r="Q35" s="98">
        <f t="shared" si="15"/>
        <v>0</v>
      </c>
      <c r="R35" s="98">
        <f t="shared" si="16"/>
        <v>191823</v>
      </c>
      <c r="S35" s="98">
        <f t="shared" si="17"/>
        <v>95911.5</v>
      </c>
      <c r="T35" s="61">
        <f t="shared" si="18"/>
        <v>38364.6</v>
      </c>
      <c r="U35" s="57">
        <v>12100</v>
      </c>
      <c r="X35">
        <v>1976</v>
      </c>
      <c r="Y35" s="4">
        <v>1084218</v>
      </c>
      <c r="Z35" s="279">
        <f t="shared" si="19"/>
        <v>1.9</v>
      </c>
      <c r="AA35" s="4">
        <v>225834</v>
      </c>
      <c r="AB35" s="4">
        <f t="shared" si="8"/>
        <v>225834</v>
      </c>
      <c r="AC35" s="279">
        <f>$AC$36</f>
        <v>1.8</v>
      </c>
      <c r="AD35" s="4">
        <f t="shared" si="1"/>
        <v>6670.9106501956003</v>
      </c>
      <c r="AE35" s="367">
        <f>0.8*AE34+0.2*AE39</f>
        <v>6.1527392555700052E-3</v>
      </c>
      <c r="AF35" s="4">
        <f t="shared" si="3"/>
        <v>1077547.0893498044</v>
      </c>
      <c r="AG35" s="4">
        <f t="shared" si="4"/>
        <v>1077547.0893498044</v>
      </c>
      <c r="AH35" s="4"/>
      <c r="AI35" s="4"/>
      <c r="AU35">
        <v>1632</v>
      </c>
      <c r="AV35">
        <v>112</v>
      </c>
      <c r="AY35" s="4">
        <f t="shared" si="12"/>
        <v>7344</v>
      </c>
      <c r="AZ35" s="4">
        <f t="shared" si="13"/>
        <v>425.59999999999997</v>
      </c>
      <c r="BA35" s="4">
        <f t="shared" si="14"/>
        <v>7769.6</v>
      </c>
    </row>
    <row r="36" spans="1:53" x14ac:dyDescent="0.2">
      <c r="A36" s="30">
        <v>1977</v>
      </c>
      <c r="B36" s="159">
        <f t="shared" si="5"/>
        <v>2105018.9178264611</v>
      </c>
      <c r="C36" s="98">
        <f t="shared" si="6"/>
        <v>451063.8</v>
      </c>
      <c r="D36" s="98">
        <f t="shared" si="7"/>
        <v>8456.037047838312</v>
      </c>
      <c r="E36" s="779">
        <f>'Detailed data_Intercity buses'!E14</f>
        <v>26000</v>
      </c>
      <c r="F36" s="61">
        <f>19730</f>
        <v>19730</v>
      </c>
      <c r="G36" s="61"/>
      <c r="H36" s="778">
        <f>'Detailed data_School buses'!Y14*1000</f>
        <v>62879.859521512801</v>
      </c>
      <c r="I36" s="28">
        <v>6167</v>
      </c>
      <c r="J36" s="61">
        <v>9682</v>
      </c>
      <c r="K36" s="61">
        <v>389</v>
      </c>
      <c r="L36" s="123">
        <f t="shared" si="10"/>
        <v>16238</v>
      </c>
      <c r="M36" s="57">
        <v>4204</v>
      </c>
      <c r="N36" s="61">
        <v>206082</v>
      </c>
      <c r="O36" s="61"/>
      <c r="P36" s="572">
        <f>0.6*P34+0.4*P39</f>
        <v>0</v>
      </c>
      <c r="Q36" s="98">
        <f t="shared" si="15"/>
        <v>0</v>
      </c>
      <c r="R36" s="98">
        <f t="shared" si="16"/>
        <v>206082</v>
      </c>
      <c r="S36" s="98">
        <f t="shared" si="17"/>
        <v>103041</v>
      </c>
      <c r="T36" s="61">
        <f t="shared" si="18"/>
        <v>41216.400000000001</v>
      </c>
      <c r="U36" s="57">
        <v>12800</v>
      </c>
      <c r="X36">
        <v>1977</v>
      </c>
      <c r="Y36" s="4">
        <v>1115592</v>
      </c>
      <c r="Z36" s="368">
        <v>1.9</v>
      </c>
      <c r="AA36" s="4">
        <v>250591</v>
      </c>
      <c r="AB36" s="4">
        <f t="shared" si="8"/>
        <v>250591</v>
      </c>
      <c r="AC36" s="279">
        <v>1.8</v>
      </c>
      <c r="AD36" s="4">
        <f t="shared" si="1"/>
        <v>7687.3064071257377</v>
      </c>
      <c r="AE36" s="367">
        <f>0.6*AE34+0.4*AE39</f>
        <v>6.8907866022037967E-3</v>
      </c>
      <c r="AF36" s="4">
        <f t="shared" si="3"/>
        <v>1107904.6935928743</v>
      </c>
      <c r="AG36" s="4">
        <f t="shared" si="4"/>
        <v>1107904.6935928743</v>
      </c>
      <c r="AH36" s="4"/>
      <c r="AI36" s="4"/>
      <c r="AU36">
        <v>2149</v>
      </c>
      <c r="AV36">
        <v>103</v>
      </c>
      <c r="AW36" s="136">
        <f t="shared" ref="AW36:AX39" si="21">J36/AU36</f>
        <v>4.5053513261982321</v>
      </c>
      <c r="AX36" s="136">
        <f t="shared" si="21"/>
        <v>3.7766990291262137</v>
      </c>
      <c r="AY36" s="4">
        <f t="shared" si="12"/>
        <v>9670.5</v>
      </c>
      <c r="AZ36" s="4">
        <f t="shared" si="13"/>
        <v>391.4</v>
      </c>
      <c r="BA36" s="4">
        <f t="shared" si="14"/>
        <v>10061.9</v>
      </c>
    </row>
    <row r="37" spans="1:53" x14ac:dyDescent="0.2">
      <c r="A37" s="30">
        <v>1978</v>
      </c>
      <c r="B37" s="159">
        <f t="shared" si="5"/>
        <v>2156162.1787142432</v>
      </c>
      <c r="C37" s="98">
        <f t="shared" si="6"/>
        <v>507602.1</v>
      </c>
      <c r="D37" s="98">
        <f t="shared" si="7"/>
        <v>9681.2389810616314</v>
      </c>
      <c r="E37" s="779">
        <f>'Detailed data_Intercity buses'!E15</f>
        <v>25600</v>
      </c>
      <c r="F37" s="61">
        <f>20708</f>
        <v>20708</v>
      </c>
      <c r="G37" s="61"/>
      <c r="H37" s="778">
        <f>'Detailed data_School buses'!Y15*1000</f>
        <v>64377.135051278201</v>
      </c>
      <c r="I37" s="28">
        <v>6213</v>
      </c>
      <c r="J37" s="61">
        <v>10330</v>
      </c>
      <c r="K37" s="61">
        <v>392</v>
      </c>
      <c r="L37" s="123">
        <f t="shared" si="10"/>
        <v>16935</v>
      </c>
      <c r="M37" s="57">
        <v>4154</v>
      </c>
      <c r="N37" s="61">
        <v>236998</v>
      </c>
      <c r="O37" s="61"/>
      <c r="P37" s="572">
        <f>0.4*P34+0.6*P39</f>
        <v>0</v>
      </c>
      <c r="Q37" s="98">
        <f t="shared" si="15"/>
        <v>0</v>
      </c>
      <c r="R37" s="98">
        <f t="shared" si="16"/>
        <v>236998</v>
      </c>
      <c r="S37" s="98">
        <f t="shared" si="17"/>
        <v>118499</v>
      </c>
      <c r="T37" s="61">
        <f t="shared" si="18"/>
        <v>47399.600000000006</v>
      </c>
      <c r="U37" s="57">
        <v>14100</v>
      </c>
      <c r="V37" s="6" t="s">
        <v>551</v>
      </c>
      <c r="X37">
        <v>1978</v>
      </c>
      <c r="Y37" s="4">
        <v>1153666</v>
      </c>
      <c r="Z37" s="279">
        <f>Z36+((Z$42-Z$36)/($X$42-$X$36))</f>
        <v>1.8833333333333333</v>
      </c>
      <c r="AA37" s="4">
        <v>279414</v>
      </c>
      <c r="AB37" s="4">
        <f t="shared" si="8"/>
        <v>279414</v>
      </c>
      <c r="AC37" s="279">
        <f>AC36+((AC$42-AC$36)/($X$42-$X$36))</f>
        <v>1.8166666666666667</v>
      </c>
      <c r="AD37" s="4">
        <f t="shared" si="1"/>
        <v>8801.1263464196636</v>
      </c>
      <c r="AE37" s="367">
        <f>0.4*AE34+0.6*AE39</f>
        <v>7.6288339488375873E-3</v>
      </c>
      <c r="AF37" s="4">
        <f t="shared" si="3"/>
        <v>1144864.8736535804</v>
      </c>
      <c r="AG37" s="4">
        <f t="shared" si="4"/>
        <v>1144864.8736535804</v>
      </c>
      <c r="AH37" s="4"/>
      <c r="AI37" s="4"/>
      <c r="AU37">
        <v>2285</v>
      </c>
      <c r="AV37">
        <v>104</v>
      </c>
      <c r="AW37" s="136">
        <f t="shared" si="21"/>
        <v>4.5207877461706785</v>
      </c>
      <c r="AX37" s="136">
        <f t="shared" si="21"/>
        <v>3.7692307692307692</v>
      </c>
    </row>
    <row r="38" spans="1:53" x14ac:dyDescent="0.2">
      <c r="A38" s="30">
        <v>1979</v>
      </c>
      <c r="B38" s="159">
        <f t="shared" si="5"/>
        <v>2077389.1442460096</v>
      </c>
      <c r="C38" s="98">
        <f t="shared" si="6"/>
        <v>535159.16666666663</v>
      </c>
      <c r="D38" s="98">
        <f t="shared" si="7"/>
        <v>10328.954283601508</v>
      </c>
      <c r="E38" s="779">
        <f>'Detailed data_Intercity buses'!E16</f>
        <v>27700</v>
      </c>
      <c r="F38" s="61">
        <f>21393</f>
        <v>21393</v>
      </c>
      <c r="G38" s="61"/>
      <c r="H38" s="778">
        <f>'Detailed data_School buses'!Y16*1000</f>
        <v>67769.869536210012</v>
      </c>
      <c r="I38" s="28">
        <v>6492</v>
      </c>
      <c r="J38" s="61">
        <v>10760</v>
      </c>
      <c r="K38" s="61">
        <v>407</v>
      </c>
      <c r="L38" s="123">
        <f t="shared" si="10"/>
        <v>17659</v>
      </c>
      <c r="M38" s="57">
        <v>4867</v>
      </c>
      <c r="N38" s="61">
        <v>269719</v>
      </c>
      <c r="O38" s="61"/>
      <c r="P38" s="572">
        <f>0.2*P34+0.8*P39</f>
        <v>0</v>
      </c>
      <c r="Q38" s="98">
        <f t="shared" si="15"/>
        <v>0</v>
      </c>
      <c r="R38" s="98">
        <f t="shared" si="16"/>
        <v>269719</v>
      </c>
      <c r="S38" s="98">
        <f t="shared" si="17"/>
        <v>134859.5</v>
      </c>
      <c r="T38" s="61">
        <f t="shared" si="18"/>
        <v>53943.8</v>
      </c>
      <c r="U38" s="57">
        <v>15500</v>
      </c>
      <c r="V38" s="6" t="s">
        <v>779</v>
      </c>
      <c r="X38">
        <v>1979</v>
      </c>
      <c r="Y38" s="4">
        <v>1122277</v>
      </c>
      <c r="Z38" s="279">
        <f>Z37+((Z$42-Z$36)/($X$42-$X$36))</f>
        <v>1.8666666666666667</v>
      </c>
      <c r="AA38" s="4">
        <v>291905</v>
      </c>
      <c r="AB38" s="4">
        <f t="shared" si="8"/>
        <v>291905</v>
      </c>
      <c r="AC38" s="279">
        <f>AC37+((AC$42-AC$36)/($X$42-$X$36))</f>
        <v>1.8333333333333333</v>
      </c>
      <c r="AD38" s="4">
        <f t="shared" si="1"/>
        <v>9389.958439637734</v>
      </c>
      <c r="AE38" s="367">
        <f>0.2*AE34+0.8*AE39</f>
        <v>8.3668812954713796E-3</v>
      </c>
      <c r="AF38" s="4">
        <f t="shared" si="3"/>
        <v>1112887.0415603623</v>
      </c>
      <c r="AG38" s="4">
        <f t="shared" si="4"/>
        <v>1112887.0415603623</v>
      </c>
      <c r="AH38" s="4"/>
      <c r="AI38" s="4"/>
      <c r="AU38">
        <v>2381</v>
      </c>
      <c r="AV38">
        <v>107</v>
      </c>
      <c r="AW38" s="136">
        <f t="shared" si="21"/>
        <v>4.5191096178076435</v>
      </c>
      <c r="AX38" s="136">
        <f t="shared" si="21"/>
        <v>3.8037383177570092</v>
      </c>
    </row>
    <row r="39" spans="1:53" x14ac:dyDescent="0.2">
      <c r="A39" s="30">
        <v>1980</v>
      </c>
      <c r="B39" s="159">
        <f t="shared" si="5"/>
        <v>2056452.6</v>
      </c>
      <c r="C39" s="98">
        <f t="shared" si="6"/>
        <v>538229.75</v>
      </c>
      <c r="D39" s="98">
        <f t="shared" si="7"/>
        <v>11235.400000000001</v>
      </c>
      <c r="E39" s="779">
        <f>'Detailed data_Intercity buses'!E17</f>
        <v>27400</v>
      </c>
      <c r="F39" s="61">
        <f>21790</f>
        <v>21790</v>
      </c>
      <c r="G39" s="61"/>
      <c r="H39" s="778">
        <f>'Detailed data_School buses'!Y17*1000</f>
        <v>69000</v>
      </c>
      <c r="I39" s="28">
        <v>6516</v>
      </c>
      <c r="J39" s="61">
        <v>10558</v>
      </c>
      <c r="K39" s="61">
        <v>381</v>
      </c>
      <c r="L39" s="123">
        <f t="shared" si="10"/>
        <v>17455</v>
      </c>
      <c r="M39" s="57">
        <v>4053</v>
      </c>
      <c r="N39" s="61">
        <v>267722</v>
      </c>
      <c r="O39" s="98"/>
      <c r="P39" s="267">
        <f t="shared" si="20"/>
        <v>0</v>
      </c>
      <c r="Q39" s="98">
        <f t="shared" si="15"/>
        <v>0</v>
      </c>
      <c r="R39" s="98">
        <f t="shared" si="16"/>
        <v>267722</v>
      </c>
      <c r="S39" s="98">
        <f t="shared" si="17"/>
        <v>133861</v>
      </c>
      <c r="T39" s="61">
        <f t="shared" si="18"/>
        <v>53544.4</v>
      </c>
      <c r="U39" s="57">
        <v>14700</v>
      </c>
      <c r="V39" s="163">
        <f>(H39-H40)/H40</f>
        <v>-3.3762250532728438E-2</v>
      </c>
      <c r="W39" s="163">
        <f>AVERAGE(V39:V49)</f>
        <v>-2.36405177869306E-2</v>
      </c>
      <c r="X39">
        <v>1980</v>
      </c>
      <c r="Y39" s="4">
        <v>1121810</v>
      </c>
      <c r="Z39" s="279">
        <f>Z38+((Z$42-Z$36)/($X$42-$X$36))</f>
        <v>1.85</v>
      </c>
      <c r="AA39" s="4">
        <v>290935</v>
      </c>
      <c r="AB39" s="4">
        <f t="shared" si="8"/>
        <v>290935</v>
      </c>
      <c r="AC39" s="279">
        <f>AC38+((AC$42-AC$36)/($X$42-$X$36))</f>
        <v>1.8499999999999999</v>
      </c>
      <c r="AD39" s="4">
        <v>10214</v>
      </c>
      <c r="AE39" s="129">
        <f>AD39/Y39</f>
        <v>9.1049286421051694E-3</v>
      </c>
      <c r="AF39" s="4">
        <f t="shared" si="3"/>
        <v>1111596</v>
      </c>
      <c r="AG39" s="4">
        <f t="shared" si="4"/>
        <v>1111596</v>
      </c>
      <c r="AH39" s="4"/>
      <c r="AI39" s="4"/>
      <c r="AU39">
        <v>2108</v>
      </c>
      <c r="AV39">
        <v>133</v>
      </c>
      <c r="AW39" s="136">
        <f t="shared" si="21"/>
        <v>5.0085388994307403</v>
      </c>
      <c r="AX39" s="136">
        <f t="shared" si="21"/>
        <v>2.8646616541353382</v>
      </c>
    </row>
    <row r="40" spans="1:53" x14ac:dyDescent="0.2">
      <c r="A40" s="30">
        <v>1981</v>
      </c>
      <c r="B40" s="159">
        <f t="shared" si="5"/>
        <v>2079061.7240439162</v>
      </c>
      <c r="C40" s="98">
        <f t="shared" si="6"/>
        <v>553173.6</v>
      </c>
      <c r="D40" s="98">
        <f t="shared" si="7"/>
        <v>10987.165573650378</v>
      </c>
      <c r="E40" s="779">
        <f>'Detailed data_Intercity buses'!E18</f>
        <v>27100</v>
      </c>
      <c r="F40" s="61">
        <f>21012</f>
        <v>21012</v>
      </c>
      <c r="G40" s="61"/>
      <c r="H40" s="778">
        <f>'Detailed data_School buses'!Y18*1000</f>
        <v>71410.99593556831</v>
      </c>
      <c r="I40" s="28">
        <v>6236</v>
      </c>
      <c r="J40" s="61">
        <v>10244</v>
      </c>
      <c r="K40" s="61">
        <v>346</v>
      </c>
      <c r="L40" s="123">
        <f t="shared" si="10"/>
        <v>16826</v>
      </c>
      <c r="M40" s="57">
        <v>4397</v>
      </c>
      <c r="N40" s="61">
        <v>260063</v>
      </c>
      <c r="O40" s="61"/>
      <c r="P40" s="572">
        <f>0.8*P39+0.2*P44</f>
        <v>0</v>
      </c>
      <c r="Q40" s="98">
        <f t="shared" si="15"/>
        <v>0</v>
      </c>
      <c r="R40" s="98">
        <f t="shared" si="16"/>
        <v>260063</v>
      </c>
      <c r="S40" s="98">
        <f t="shared" si="17"/>
        <v>130031.5</v>
      </c>
      <c r="T40" s="61">
        <f t="shared" si="18"/>
        <v>52012.600000000006</v>
      </c>
      <c r="U40" s="57">
        <v>14600</v>
      </c>
      <c r="V40" s="163">
        <f t="shared" ref="V40:V49" si="22">(H40-H41)/H41</f>
        <v>-2.1207733574392224E-2</v>
      </c>
      <c r="X40">
        <f>X39+1</f>
        <v>1981</v>
      </c>
      <c r="Y40" s="4">
        <v>1144022</v>
      </c>
      <c r="Z40" s="279">
        <f>Z39+((Z$42-Z$36)/($X$42-$X$36))</f>
        <v>1.8333333333333335</v>
      </c>
      <c r="AA40" s="4">
        <v>296343</v>
      </c>
      <c r="AB40" s="4">
        <f t="shared" si="8"/>
        <v>296343</v>
      </c>
      <c r="AC40" s="279">
        <f>AC39+((AC$42-AC$36)/($X$42-$X$36))</f>
        <v>1.8666666666666665</v>
      </c>
      <c r="AD40" s="4">
        <f t="shared" si="1"/>
        <v>9988.3323396821615</v>
      </c>
      <c r="AE40" s="367">
        <f>0.8*AE39+0.2*AE44</f>
        <v>8.7308918357183359E-3</v>
      </c>
      <c r="AF40" s="4">
        <f t="shared" si="3"/>
        <v>1134033.6676603178</v>
      </c>
      <c r="AG40" s="4">
        <f t="shared" si="4"/>
        <v>1134033.6676603178</v>
      </c>
      <c r="AH40" s="4"/>
      <c r="AI40" s="4"/>
    </row>
    <row r="41" spans="1:53" x14ac:dyDescent="0.2">
      <c r="A41" s="30">
        <v>1982</v>
      </c>
      <c r="B41" s="159">
        <f t="shared" si="5"/>
        <v>2110661.3148659449</v>
      </c>
      <c r="C41" s="98">
        <f t="shared" si="6"/>
        <v>576565.54999999993</v>
      </c>
      <c r="D41" s="98">
        <f t="shared" si="7"/>
        <v>10770.191916033511</v>
      </c>
      <c r="E41" s="779">
        <f>'Detailed data_Intercity buses'!E19</f>
        <v>26900</v>
      </c>
      <c r="F41" s="61">
        <f>19987</f>
        <v>19987</v>
      </c>
      <c r="G41" s="61"/>
      <c r="H41" s="778">
        <f>'Detailed data_School buses'!Y19*1000</f>
        <v>72958.275606681898</v>
      </c>
      <c r="I41" s="28">
        <v>6027</v>
      </c>
      <c r="J41" s="61">
        <v>10049</v>
      </c>
      <c r="K41" s="61">
        <v>379</v>
      </c>
      <c r="L41" s="123">
        <f t="shared" si="10"/>
        <v>16455</v>
      </c>
      <c r="M41" s="57">
        <v>3993</v>
      </c>
      <c r="N41" s="61">
        <v>272435</v>
      </c>
      <c r="O41" s="61"/>
      <c r="P41" s="572">
        <f>0.6*P39+0.4*P44</f>
        <v>0</v>
      </c>
      <c r="Q41" s="98">
        <f t="shared" si="15"/>
        <v>0</v>
      </c>
      <c r="R41" s="98">
        <f t="shared" si="16"/>
        <v>272435</v>
      </c>
      <c r="S41" s="98">
        <f t="shared" si="17"/>
        <v>136217.5</v>
      </c>
      <c r="T41" s="61">
        <f t="shared" si="18"/>
        <v>54487</v>
      </c>
      <c r="U41" s="57">
        <v>13100</v>
      </c>
      <c r="V41" s="163">
        <f t="shared" si="22"/>
        <v>-6.0867235008405587E-2</v>
      </c>
      <c r="X41">
        <f t="shared" ref="X41:X62" si="23">X40+1</f>
        <v>1982</v>
      </c>
      <c r="Y41" s="4">
        <v>1171623</v>
      </c>
      <c r="Z41" s="279">
        <f>Z40+((Z$42-Z$36)/($X$42-$X$36))</f>
        <v>1.8166666666666669</v>
      </c>
      <c r="AA41" s="4">
        <v>306141</v>
      </c>
      <c r="AB41" s="4">
        <f t="shared" si="8"/>
        <v>306141</v>
      </c>
      <c r="AC41" s="279">
        <f>AC40+((AC$42-AC$36)/($X$42-$X$36))</f>
        <v>1.8833333333333331</v>
      </c>
      <c r="AD41" s="4">
        <f t="shared" si="1"/>
        <v>9791.0835600304636</v>
      </c>
      <c r="AE41" s="367">
        <f>0.6*AE39+0.4*AE44</f>
        <v>8.3568550293315023E-3</v>
      </c>
      <c r="AF41" s="4">
        <f t="shared" si="3"/>
        <v>1161831.9164399696</v>
      </c>
      <c r="AG41" s="4">
        <f t="shared" si="4"/>
        <v>1161831.9164399696</v>
      </c>
      <c r="AH41" s="4"/>
      <c r="AI41" s="4"/>
      <c r="AU41" t="s">
        <v>454</v>
      </c>
    </row>
    <row r="42" spans="1:53" x14ac:dyDescent="0.2">
      <c r="A42" s="30">
        <v>1983</v>
      </c>
      <c r="B42" s="159">
        <f t="shared" si="5"/>
        <v>2149567.5089947754</v>
      </c>
      <c r="C42" s="98">
        <f t="shared" si="6"/>
        <v>622521.69999999995</v>
      </c>
      <c r="D42" s="98">
        <f t="shared" si="7"/>
        <v>10570.811169859506</v>
      </c>
      <c r="E42" s="779">
        <f>'Detailed data_Intercity buses'!E20</f>
        <v>26500</v>
      </c>
      <c r="F42" s="61">
        <f>20047</f>
        <v>20047</v>
      </c>
      <c r="G42" s="61"/>
      <c r="H42" s="778">
        <f>'Detailed data_School buses'!Y20*1000</f>
        <v>77686.859969511235</v>
      </c>
      <c r="I42" s="58">
        <v>6097</v>
      </c>
      <c r="J42" s="62">
        <v>10350</v>
      </c>
      <c r="K42" s="62">
        <v>391</v>
      </c>
      <c r="L42" s="124">
        <f t="shared" si="10"/>
        <v>16838</v>
      </c>
      <c r="M42" s="57">
        <v>4227</v>
      </c>
      <c r="N42" s="61">
        <v>295144</v>
      </c>
      <c r="O42" s="61"/>
      <c r="P42" s="572">
        <f>0.4*P39+0.6*P44</f>
        <v>0</v>
      </c>
      <c r="Q42" s="98">
        <f t="shared" si="15"/>
        <v>0</v>
      </c>
      <c r="R42" s="98">
        <f t="shared" si="16"/>
        <v>295144</v>
      </c>
      <c r="S42" s="98">
        <f t="shared" si="17"/>
        <v>147572</v>
      </c>
      <c r="T42" s="61">
        <f t="shared" si="18"/>
        <v>59028.800000000003</v>
      </c>
      <c r="U42" s="57">
        <v>12700</v>
      </c>
      <c r="V42" s="163">
        <f t="shared" si="22"/>
        <v>-1.6874868979874166E-3</v>
      </c>
      <c r="X42">
        <f t="shared" si="23"/>
        <v>1983</v>
      </c>
      <c r="Y42" s="4">
        <v>1203814</v>
      </c>
      <c r="Z42" s="279">
        <v>1.8</v>
      </c>
      <c r="AA42" s="4">
        <v>327643</v>
      </c>
      <c r="AB42" s="4">
        <f t="shared" si="8"/>
        <v>327643</v>
      </c>
      <c r="AC42" s="279">
        <v>1.9</v>
      </c>
      <c r="AD42" s="4">
        <f t="shared" si="1"/>
        <v>9609.8283362359143</v>
      </c>
      <c r="AE42" s="367">
        <f>0.4*AE39+0.6*AE44</f>
        <v>7.9828182229446688E-3</v>
      </c>
      <c r="AF42" s="4">
        <f t="shared" si="3"/>
        <v>1194204.1716637642</v>
      </c>
      <c r="AG42" s="4">
        <f t="shared" si="4"/>
        <v>1194204.1716637642</v>
      </c>
      <c r="AH42" s="4"/>
      <c r="AI42" s="4"/>
      <c r="AU42" t="s">
        <v>540</v>
      </c>
    </row>
    <row r="43" spans="1:53" x14ac:dyDescent="0.2">
      <c r="A43" s="30">
        <v>1984</v>
      </c>
      <c r="B43" s="159">
        <f t="shared" si="5"/>
        <v>2172522.2706935951</v>
      </c>
      <c r="C43" s="98">
        <f t="shared" si="6"/>
        <v>669982.65714285709</v>
      </c>
      <c r="D43" s="98">
        <f t="shared" si="7"/>
        <v>10343.451262848466</v>
      </c>
      <c r="E43" s="779">
        <f>'Detailed data_Intercity buses'!E21</f>
        <v>24600</v>
      </c>
      <c r="F43" s="61">
        <f>21595</f>
        <v>21595</v>
      </c>
      <c r="G43" s="61">
        <v>349</v>
      </c>
      <c r="H43" s="778">
        <f>'Detailed data_School buses'!Y21*1000</f>
        <v>77818.177123832967</v>
      </c>
      <c r="I43" s="28">
        <v>6207</v>
      </c>
      <c r="J43" s="61">
        <v>10111</v>
      </c>
      <c r="K43" s="61">
        <v>416</v>
      </c>
      <c r="L43" s="123">
        <f t="shared" si="10"/>
        <v>16734</v>
      </c>
      <c r="M43" s="57">
        <v>4427</v>
      </c>
      <c r="N43" s="61">
        <v>319504</v>
      </c>
      <c r="O43" s="61"/>
      <c r="P43" s="572">
        <f>0.2*P39+0.8*P44</f>
        <v>0</v>
      </c>
      <c r="Q43" s="98">
        <f t="shared" si="15"/>
        <v>0</v>
      </c>
      <c r="R43" s="98">
        <f t="shared" si="16"/>
        <v>319504</v>
      </c>
      <c r="S43" s="98">
        <f t="shared" si="17"/>
        <v>159752</v>
      </c>
      <c r="T43" s="61">
        <f t="shared" si="18"/>
        <v>63900.800000000003</v>
      </c>
      <c r="U43" s="57">
        <v>13000</v>
      </c>
      <c r="V43" s="163">
        <f t="shared" si="22"/>
        <v>-1.873578730161175E-2</v>
      </c>
      <c r="X43">
        <f t="shared" si="23"/>
        <v>1984</v>
      </c>
      <c r="Y43" s="4">
        <v>1235827</v>
      </c>
      <c r="Z43" s="279">
        <f t="shared" ref="Z43:Z48" si="24">Z42+((Z$49-Z$42)/($X$49-$X$42))</f>
        <v>1.7714285714285716</v>
      </c>
      <c r="AA43" s="4">
        <v>358006</v>
      </c>
      <c r="AB43" s="4">
        <f t="shared" si="8"/>
        <v>358006</v>
      </c>
      <c r="AC43" s="279">
        <f t="shared" ref="AC43:AC48" si="25">AC42+((AC$49-AC$42)/($X$49-$X$42))</f>
        <v>1.8714285714285714</v>
      </c>
      <c r="AD43" s="4">
        <f t="shared" si="1"/>
        <v>9403.1375116804229</v>
      </c>
      <c r="AE43" s="367">
        <f>0.2*AE39+0.8*AE44</f>
        <v>7.6087814165578371E-3</v>
      </c>
      <c r="AF43" s="4">
        <f t="shared" si="3"/>
        <v>1226423.8624883196</v>
      </c>
      <c r="AG43" s="4">
        <f t="shared" si="4"/>
        <v>1226423.8624883196</v>
      </c>
      <c r="AH43" s="4"/>
      <c r="AI43" s="4"/>
      <c r="AU43" t="s">
        <v>541</v>
      </c>
    </row>
    <row r="44" spans="1:53" x14ac:dyDescent="0.2">
      <c r="A44" s="30">
        <v>1985</v>
      </c>
      <c r="B44" s="159">
        <f t="shared" si="5"/>
        <v>2172990.8000000003</v>
      </c>
      <c r="C44" s="98">
        <f t="shared" si="6"/>
        <v>720485.27142857143</v>
      </c>
      <c r="D44" s="98">
        <f t="shared" si="7"/>
        <v>9994.6</v>
      </c>
      <c r="E44" s="779">
        <f>'Detailed data_Intercity buses'!E22</f>
        <v>23800</v>
      </c>
      <c r="F44" s="61">
        <f>21161</f>
        <v>21161</v>
      </c>
      <c r="G44" s="61">
        <v>364</v>
      </c>
      <c r="H44" s="778">
        <f>'Detailed data_School buses'!Y22*1000</f>
        <v>79303.999999999985</v>
      </c>
      <c r="I44" s="28">
        <v>6534</v>
      </c>
      <c r="J44" s="61">
        <v>10427</v>
      </c>
      <c r="K44" s="61">
        <v>350</v>
      </c>
      <c r="L44" s="123">
        <f t="shared" si="10"/>
        <v>17311</v>
      </c>
      <c r="M44" s="57">
        <v>4785</v>
      </c>
      <c r="N44" s="61">
        <v>351073</v>
      </c>
      <c r="O44" s="98"/>
      <c r="P44" s="267">
        <f t="shared" si="20"/>
        <v>0</v>
      </c>
      <c r="Q44" s="98">
        <f t="shared" si="15"/>
        <v>0</v>
      </c>
      <c r="R44" s="98">
        <f t="shared" si="16"/>
        <v>351073</v>
      </c>
      <c r="S44" s="98">
        <f t="shared" si="17"/>
        <v>175536.5</v>
      </c>
      <c r="T44" s="61">
        <f t="shared" si="18"/>
        <v>70214.600000000006</v>
      </c>
      <c r="U44" s="57">
        <v>12300</v>
      </c>
      <c r="V44" s="163">
        <f t="shared" si="22"/>
        <v>-5.5254401197160248E-3</v>
      </c>
      <c r="X44">
        <f t="shared" si="23"/>
        <v>1985</v>
      </c>
      <c r="Y44" s="4">
        <v>1255884</v>
      </c>
      <c r="Z44" s="279">
        <f t="shared" si="24"/>
        <v>1.7428571428571431</v>
      </c>
      <c r="AA44" s="4">
        <v>390961</v>
      </c>
      <c r="AB44" s="4">
        <f t="shared" si="8"/>
        <v>390961</v>
      </c>
      <c r="AC44" s="279">
        <f t="shared" si="25"/>
        <v>1.842857142857143</v>
      </c>
      <c r="AD44" s="4">
        <v>9086</v>
      </c>
      <c r="AE44" s="129">
        <f>AD44/Y44</f>
        <v>7.2347446101710027E-3</v>
      </c>
      <c r="AF44" s="4">
        <f t="shared" si="3"/>
        <v>1246798</v>
      </c>
      <c r="AG44" s="4">
        <f t="shared" si="4"/>
        <v>1246798</v>
      </c>
      <c r="AH44" s="4"/>
      <c r="AI44" s="4"/>
      <c r="AL44" s="4">
        <v>94925</v>
      </c>
      <c r="AM44" s="4">
        <f>E44+F44+H44</f>
        <v>124264.99999999999</v>
      </c>
      <c r="AN44" s="4"/>
      <c r="AO44" s="4"/>
      <c r="AP44" s="4"/>
      <c r="AQ44" s="4"/>
      <c r="AR44" s="4"/>
      <c r="AS44" s="4"/>
      <c r="AU44" t="s">
        <v>542</v>
      </c>
    </row>
    <row r="45" spans="1:53" x14ac:dyDescent="0.2">
      <c r="A45" s="30">
        <v>1986</v>
      </c>
      <c r="B45" s="159">
        <f t="shared" si="5"/>
        <v>2177885.3745528562</v>
      </c>
      <c r="C45" s="98">
        <f t="shared" si="6"/>
        <v>769102.92857142864</v>
      </c>
      <c r="D45" s="98">
        <f t="shared" si="7"/>
        <v>10043.951328584088</v>
      </c>
      <c r="E45" s="779">
        <f>'Detailed data_Intercity buses'!E23</f>
        <v>23700</v>
      </c>
      <c r="F45" s="61">
        <f>21395</f>
        <v>21395</v>
      </c>
      <c r="G45" s="61">
        <v>402</v>
      </c>
      <c r="H45" s="778">
        <f>'Detailed data_School buses'!Y23*1000</f>
        <v>79744.62414558568</v>
      </c>
      <c r="I45" s="28">
        <v>6723</v>
      </c>
      <c r="J45" s="61">
        <v>10649</v>
      </c>
      <c r="K45" s="61">
        <v>361</v>
      </c>
      <c r="L45" s="123">
        <f t="shared" si="10"/>
        <v>17733</v>
      </c>
      <c r="M45" s="57">
        <v>5011</v>
      </c>
      <c r="N45" s="61">
        <v>378923</v>
      </c>
      <c r="O45" s="61"/>
      <c r="P45" s="572">
        <f>0.8*P44+0.2*P49</f>
        <v>0</v>
      </c>
      <c r="Q45" s="98">
        <f t="shared" si="15"/>
        <v>0</v>
      </c>
      <c r="R45" s="98">
        <f t="shared" si="16"/>
        <v>378923</v>
      </c>
      <c r="S45" s="98">
        <f t="shared" si="17"/>
        <v>189461.5</v>
      </c>
      <c r="T45" s="61">
        <f t="shared" si="18"/>
        <v>75784.600000000006</v>
      </c>
      <c r="U45" s="57">
        <v>12400</v>
      </c>
      <c r="V45" s="163">
        <f t="shared" si="22"/>
        <v>-2.3841032194807668E-2</v>
      </c>
      <c r="X45">
        <f t="shared" si="23"/>
        <v>1986</v>
      </c>
      <c r="Y45" s="4">
        <v>1279564</v>
      </c>
      <c r="Z45" s="279">
        <f t="shared" si="24"/>
        <v>1.7142857142857146</v>
      </c>
      <c r="AA45" s="4">
        <v>423915</v>
      </c>
      <c r="AB45" s="4">
        <f t="shared" si="8"/>
        <v>423915</v>
      </c>
      <c r="AC45" s="279">
        <f t="shared" si="25"/>
        <v>1.8142857142857145</v>
      </c>
      <c r="AD45" s="4">
        <f t="shared" si="1"/>
        <v>9130.8648441673522</v>
      </c>
      <c r="AE45" s="367">
        <f>0.8*AE44+0.2*AE49</f>
        <v>7.1359188318578454E-3</v>
      </c>
      <c r="AF45" s="4">
        <f t="shared" si="3"/>
        <v>1270433.1351558326</v>
      </c>
      <c r="AG45" s="4">
        <f t="shared" si="4"/>
        <v>1270433.1351558326</v>
      </c>
      <c r="AH45" s="4"/>
      <c r="AI45" s="4"/>
      <c r="AL45" s="4"/>
      <c r="AM45" s="4">
        <f t="shared" ref="AM45:AM70" si="26">E45+F45+H45</f>
        <v>124839.62414558568</v>
      </c>
      <c r="AN45" s="4"/>
      <c r="AO45" s="4"/>
      <c r="AP45" s="4"/>
      <c r="AQ45" s="4"/>
      <c r="AR45" s="4"/>
      <c r="AS45" s="4"/>
      <c r="AU45" t="s">
        <v>543</v>
      </c>
    </row>
    <row r="46" spans="1:53" x14ac:dyDescent="0.2">
      <c r="A46" s="30">
        <v>1987</v>
      </c>
      <c r="B46" s="159">
        <f t="shared" si="5"/>
        <v>2218670.4182444559</v>
      </c>
      <c r="C46" s="98">
        <f t="shared" si="6"/>
        <v>815839.28571428591</v>
      </c>
      <c r="D46" s="98">
        <f t="shared" si="7"/>
        <v>10260.340637092526</v>
      </c>
      <c r="E46" s="779">
        <f>'Detailed data_Intercity buses'!E24</f>
        <v>23000</v>
      </c>
      <c r="F46" s="61">
        <f>20970</f>
        <v>20970</v>
      </c>
      <c r="G46" s="61">
        <v>374</v>
      </c>
      <c r="H46" s="778">
        <f>'Detailed data_School buses'!Y24*1000</f>
        <v>81692.251749614574</v>
      </c>
      <c r="I46" s="28">
        <v>6818</v>
      </c>
      <c r="J46" s="61">
        <v>11198</v>
      </c>
      <c r="K46" s="61">
        <v>405</v>
      </c>
      <c r="L46" s="123">
        <f t="shared" si="10"/>
        <v>18421</v>
      </c>
      <c r="M46" s="57">
        <v>5361</v>
      </c>
      <c r="N46" s="61">
        <v>417830</v>
      </c>
      <c r="O46" s="61"/>
      <c r="P46" s="572">
        <f>0.6*P44+0.4*P49</f>
        <v>0</v>
      </c>
      <c r="Q46" s="98">
        <f t="shared" si="15"/>
        <v>0</v>
      </c>
      <c r="R46" s="98">
        <f t="shared" si="16"/>
        <v>417830</v>
      </c>
      <c r="S46" s="98">
        <f t="shared" si="17"/>
        <v>208915</v>
      </c>
      <c r="T46" s="61">
        <f t="shared" si="18"/>
        <v>83566</v>
      </c>
      <c r="U46" s="57">
        <v>12100</v>
      </c>
      <c r="V46" s="163">
        <f t="shared" si="22"/>
        <v>-3.2294961958601889E-2</v>
      </c>
      <c r="X46">
        <f t="shared" si="23"/>
        <v>1987</v>
      </c>
      <c r="Y46" s="4">
        <v>1325488</v>
      </c>
      <c r="Z46" s="279">
        <f t="shared" si="24"/>
        <v>1.6857142857142862</v>
      </c>
      <c r="AA46" s="4">
        <v>456870</v>
      </c>
      <c r="AB46" s="4">
        <f t="shared" si="8"/>
        <v>456870</v>
      </c>
      <c r="AC46" s="279">
        <f t="shared" si="25"/>
        <v>1.785714285714286</v>
      </c>
      <c r="AD46" s="4">
        <f t="shared" si="1"/>
        <v>9327.5823973568404</v>
      </c>
      <c r="AE46" s="367">
        <f>0.6*AE44+0.4*AE49</f>
        <v>7.0370930535446873E-3</v>
      </c>
      <c r="AF46" s="4">
        <f t="shared" si="3"/>
        <v>1316160.4176026431</v>
      </c>
      <c r="AG46" s="4">
        <f t="shared" si="4"/>
        <v>1316160.4176026431</v>
      </c>
      <c r="AH46" s="4"/>
      <c r="AI46" s="4"/>
      <c r="AL46" s="4"/>
      <c r="AM46" s="4">
        <f t="shared" si="26"/>
        <v>125662.25174961457</v>
      </c>
      <c r="AN46" s="4"/>
      <c r="AO46" s="4"/>
      <c r="AP46" s="4"/>
      <c r="AQ46" s="4"/>
      <c r="AR46" s="4"/>
      <c r="AS46" s="4"/>
    </row>
    <row r="47" spans="1:53" x14ac:dyDescent="0.2">
      <c r="A47" s="30">
        <v>1988</v>
      </c>
      <c r="B47" s="159">
        <f t="shared" si="5"/>
        <v>2271475.7821010691</v>
      </c>
      <c r="C47" s="98">
        <f t="shared" si="6"/>
        <v>882449.44285714312</v>
      </c>
      <c r="D47" s="98">
        <f t="shared" si="7"/>
        <v>10534.541191532275</v>
      </c>
      <c r="E47" s="779">
        <f>'Detailed data_Intercity buses'!E25</f>
        <v>23100</v>
      </c>
      <c r="F47" s="61">
        <f>20753</f>
        <v>20753</v>
      </c>
      <c r="G47" s="61">
        <v>441</v>
      </c>
      <c r="H47" s="778">
        <f>'Detailed data_School buses'!Y25*1000</f>
        <v>84418.545463974122</v>
      </c>
      <c r="I47" s="28">
        <v>6964</v>
      </c>
      <c r="J47" s="61">
        <v>11300</v>
      </c>
      <c r="K47" s="61">
        <v>477</v>
      </c>
      <c r="L47" s="123">
        <f t="shared" si="10"/>
        <v>18741</v>
      </c>
      <c r="M47" s="57">
        <v>5686</v>
      </c>
      <c r="N47" s="98">
        <v>437648.54</v>
      </c>
      <c r="O47" s="98"/>
      <c r="P47" s="572">
        <f>0.4*P44+0.6*P49</f>
        <v>0</v>
      </c>
      <c r="Q47" s="98">
        <f t="shared" si="15"/>
        <v>0</v>
      </c>
      <c r="R47" s="98">
        <f t="shared" si="16"/>
        <v>437648.54</v>
      </c>
      <c r="S47" s="98">
        <f t="shared" si="17"/>
        <v>218824.27</v>
      </c>
      <c r="T47" s="61">
        <f t="shared" si="18"/>
        <v>87529.707999999999</v>
      </c>
      <c r="U47" s="57">
        <v>12600</v>
      </c>
      <c r="V47" s="163">
        <f t="shared" si="22"/>
        <v>-2.5107542969795237E-2</v>
      </c>
      <c r="X47">
        <f t="shared" si="23"/>
        <v>1988</v>
      </c>
      <c r="Y47" s="4">
        <v>1380295</v>
      </c>
      <c r="Z47" s="279">
        <f t="shared" si="24"/>
        <v>1.6571428571428577</v>
      </c>
      <c r="AA47" s="4">
        <v>502207</v>
      </c>
      <c r="AB47" s="4">
        <f t="shared" si="8"/>
        <v>502207</v>
      </c>
      <c r="AC47" s="279">
        <f t="shared" si="25"/>
        <v>1.7571428571428576</v>
      </c>
      <c r="AD47" s="4">
        <f t="shared" si="1"/>
        <v>9576.855628665704</v>
      </c>
      <c r="AE47" s="367">
        <f>0.4*AE44+0.6*AE49</f>
        <v>6.9382672752315291E-3</v>
      </c>
      <c r="AF47" s="4">
        <f t="shared" si="3"/>
        <v>1370718.1443713342</v>
      </c>
      <c r="AG47" s="4">
        <f t="shared" si="4"/>
        <v>1370718.1443713342</v>
      </c>
      <c r="AH47" s="4"/>
      <c r="AI47" s="4"/>
      <c r="AL47" s="4"/>
      <c r="AM47" s="4">
        <f t="shared" si="26"/>
        <v>128271.54546397412</v>
      </c>
      <c r="AN47" s="4"/>
      <c r="AO47" s="4"/>
      <c r="AP47" s="4"/>
      <c r="AQ47" s="4"/>
      <c r="AR47" s="4"/>
      <c r="AS47" s="4"/>
    </row>
    <row r="48" spans="1:53" x14ac:dyDescent="0.2">
      <c r="A48" s="30">
        <v>1989</v>
      </c>
      <c r="B48" s="159">
        <f t="shared" si="5"/>
        <v>2283155.3556746719</v>
      </c>
      <c r="C48" s="98">
        <f t="shared" si="6"/>
        <v>927335.35714285739</v>
      </c>
      <c r="D48" s="98">
        <f t="shared" si="7"/>
        <v>10619.950991669799</v>
      </c>
      <c r="E48" s="779">
        <f>'Detailed data_Intercity buses'!E26</f>
        <v>24000</v>
      </c>
      <c r="F48" s="61">
        <f>20768</f>
        <v>20768</v>
      </c>
      <c r="G48" s="61">
        <v>428</v>
      </c>
      <c r="H48" s="778">
        <f>'Detailed data_School buses'!Y26*1000</f>
        <v>86592.674766544646</v>
      </c>
      <c r="I48" s="28">
        <v>7211</v>
      </c>
      <c r="J48" s="61">
        <v>12030</v>
      </c>
      <c r="K48" s="61">
        <v>509</v>
      </c>
      <c r="L48" s="123">
        <f t="shared" si="10"/>
        <v>19750</v>
      </c>
      <c r="M48" s="57">
        <v>5859</v>
      </c>
      <c r="N48" s="98">
        <v>447480.42099999997</v>
      </c>
      <c r="O48" s="98"/>
      <c r="P48" s="572">
        <f>0.2*P44+0.8*P49</f>
        <v>0</v>
      </c>
      <c r="Q48" s="98">
        <f t="shared" si="15"/>
        <v>0</v>
      </c>
      <c r="R48" s="98">
        <f t="shared" si="16"/>
        <v>447480.42099999997</v>
      </c>
      <c r="S48" s="98">
        <f t="shared" si="17"/>
        <v>223740.21049999999</v>
      </c>
      <c r="T48" s="61">
        <f t="shared" si="18"/>
        <v>89496.084199999998</v>
      </c>
      <c r="U48" s="57">
        <v>13100</v>
      </c>
      <c r="V48" s="163">
        <f t="shared" si="22"/>
        <v>-9.2371308175669842E-3</v>
      </c>
      <c r="X48">
        <f t="shared" si="23"/>
        <v>1989</v>
      </c>
      <c r="Y48" s="4">
        <v>1411592</v>
      </c>
      <c r="Z48" s="279">
        <f t="shared" si="24"/>
        <v>1.6285714285714292</v>
      </c>
      <c r="AA48" s="4">
        <v>536475</v>
      </c>
      <c r="AB48" s="4">
        <f t="shared" si="8"/>
        <v>536475</v>
      </c>
      <c r="AC48" s="279">
        <f t="shared" si="25"/>
        <v>1.7285714285714291</v>
      </c>
      <c r="AD48" s="4">
        <f t="shared" si="1"/>
        <v>9654.5009015179985</v>
      </c>
      <c r="AE48" s="367">
        <f>0.2*AE44+0.8*AE49</f>
        <v>6.8394414969183718E-3</v>
      </c>
      <c r="AF48" s="4">
        <f t="shared" si="3"/>
        <v>1401937.4990984821</v>
      </c>
      <c r="AG48" s="4">
        <f t="shared" si="4"/>
        <v>1401937.4990984821</v>
      </c>
      <c r="AH48" s="4"/>
      <c r="AI48" s="4"/>
      <c r="AL48" s="4"/>
      <c r="AM48" s="4">
        <f t="shared" si="26"/>
        <v>131360.67476654466</v>
      </c>
      <c r="AN48" s="4"/>
      <c r="AO48" s="4"/>
      <c r="AP48" s="4"/>
      <c r="AQ48" s="4"/>
      <c r="AR48" s="4"/>
      <c r="AS48" s="4"/>
    </row>
    <row r="49" spans="1:59" x14ac:dyDescent="0.2">
      <c r="A49" s="30">
        <v>1990</v>
      </c>
      <c r="B49" s="159">
        <f t="shared" si="5"/>
        <v>2253225.6</v>
      </c>
      <c r="C49" s="98">
        <f t="shared" si="6"/>
        <v>976770.7</v>
      </c>
      <c r="D49" s="98">
        <f t="shared" si="7"/>
        <v>10512.7</v>
      </c>
      <c r="E49" s="779">
        <f>'Detailed data_Intercity buses'!E27</f>
        <v>23000</v>
      </c>
      <c r="F49" s="61">
        <f>20981</f>
        <v>20981</v>
      </c>
      <c r="G49" s="61">
        <v>431</v>
      </c>
      <c r="H49" s="778">
        <f>'Detailed data_School buses'!Y27*1000</f>
        <v>87400</v>
      </c>
      <c r="I49" s="28">
        <v>7082</v>
      </c>
      <c r="J49" s="61">
        <v>11475</v>
      </c>
      <c r="K49" s="61">
        <v>571</v>
      </c>
      <c r="L49" s="123">
        <f t="shared" si="10"/>
        <v>19128</v>
      </c>
      <c r="M49" s="57">
        <v>6057</v>
      </c>
      <c r="N49" s="98">
        <v>472235.647</v>
      </c>
      <c r="O49" s="98"/>
      <c r="P49" s="267">
        <f t="shared" si="20"/>
        <v>0</v>
      </c>
      <c r="Q49" s="98">
        <f t="shared" si="15"/>
        <v>0</v>
      </c>
      <c r="R49" s="98">
        <f t="shared" si="16"/>
        <v>472235.647</v>
      </c>
      <c r="S49" s="98">
        <f t="shared" si="17"/>
        <v>236117.8235</v>
      </c>
      <c r="T49" s="61">
        <f t="shared" si="18"/>
        <v>94447.129400000005</v>
      </c>
      <c r="U49" s="57">
        <v>13000</v>
      </c>
      <c r="V49" s="163">
        <f t="shared" si="22"/>
        <v>-2.7779094280623372E-2</v>
      </c>
      <c r="X49">
        <f t="shared" si="23"/>
        <v>1990</v>
      </c>
      <c r="Y49" s="4">
        <v>1417823</v>
      </c>
      <c r="Z49" s="279">
        <v>1.6</v>
      </c>
      <c r="AA49" s="4">
        <v>574571</v>
      </c>
      <c r="AB49" s="4">
        <f t="shared" si="8"/>
        <v>574571</v>
      </c>
      <c r="AC49" s="279">
        <v>1.7</v>
      </c>
      <c r="AD49" s="4">
        <v>9557</v>
      </c>
      <c r="AE49" s="129">
        <f>AD49/Y49</f>
        <v>6.7406157186052137E-3</v>
      </c>
      <c r="AF49" s="4">
        <f t="shared" si="3"/>
        <v>1408266</v>
      </c>
      <c r="AG49" s="4">
        <f t="shared" si="4"/>
        <v>1408266</v>
      </c>
      <c r="AH49" s="4"/>
      <c r="AI49" s="4"/>
      <c r="AL49" s="4">
        <v>121398</v>
      </c>
      <c r="AM49" s="4">
        <f t="shared" si="26"/>
        <v>131381</v>
      </c>
      <c r="AN49" s="4"/>
      <c r="AO49" s="4"/>
      <c r="AP49" s="4"/>
      <c r="AQ49" s="4"/>
      <c r="AR49" s="4"/>
      <c r="AS49" s="4"/>
    </row>
    <row r="50" spans="1:59" x14ac:dyDescent="0.2">
      <c r="A50" s="30">
        <v>1991</v>
      </c>
      <c r="B50" s="159">
        <f t="shared" si="5"/>
        <v>2173096</v>
      </c>
      <c r="C50" s="98">
        <f t="shared" si="6"/>
        <v>1090981.92</v>
      </c>
      <c r="D50" s="98">
        <f t="shared" si="7"/>
        <v>10095.800000000001</v>
      </c>
      <c r="E50" s="779">
        <f>'Detailed data_Intercity buses'!E28</f>
        <v>23100</v>
      </c>
      <c r="F50" s="61">
        <f>21090</f>
        <v>21090</v>
      </c>
      <c r="G50" s="61">
        <v>454</v>
      </c>
      <c r="H50" s="778">
        <f>'Detailed data_School buses'!Y28*1000</f>
        <v>89897.264588576203</v>
      </c>
      <c r="I50" s="28">
        <v>7344</v>
      </c>
      <c r="J50" s="61">
        <v>10528</v>
      </c>
      <c r="K50" s="61">
        <v>662</v>
      </c>
      <c r="L50" s="123">
        <f t="shared" si="10"/>
        <v>18534</v>
      </c>
      <c r="M50" s="57">
        <v>6273</v>
      </c>
      <c r="N50" s="98">
        <v>463296.38099999999</v>
      </c>
      <c r="O50" s="98"/>
      <c r="P50" s="572">
        <f>0.8*P49+0.2*P54</f>
        <v>0</v>
      </c>
      <c r="Q50" s="98">
        <f t="shared" si="15"/>
        <v>0</v>
      </c>
      <c r="R50" s="98">
        <f t="shared" si="16"/>
        <v>463296.38099999999</v>
      </c>
      <c r="S50" s="98">
        <f t="shared" si="17"/>
        <v>231648.1905</v>
      </c>
      <c r="T50" s="61">
        <f t="shared" si="18"/>
        <v>92659.276200000008</v>
      </c>
      <c r="U50" s="57">
        <v>12100</v>
      </c>
      <c r="V50" s="163"/>
      <c r="X50">
        <f t="shared" si="23"/>
        <v>1991</v>
      </c>
      <c r="Y50" s="4">
        <v>1367363</v>
      </c>
      <c r="Z50" s="279">
        <f>Z49+((Z$54-Z$49)/($X$54-$X$49))</f>
        <v>1.6</v>
      </c>
      <c r="AA50" s="4">
        <v>649394</v>
      </c>
      <c r="AB50" s="4">
        <f t="shared" si="8"/>
        <v>649394</v>
      </c>
      <c r="AC50" s="279">
        <f>AC49+((AC$54-AC$49)/($X$54-$X$49))</f>
        <v>1.68</v>
      </c>
      <c r="AD50" s="4">
        <v>9178</v>
      </c>
      <c r="AE50" s="129">
        <f t="shared" ref="AE50:AE68" si="27">AD50/Y50</f>
        <v>6.7121898135315931E-3</v>
      </c>
      <c r="AF50" s="4">
        <f t="shared" si="3"/>
        <v>1358185</v>
      </c>
      <c r="AG50" s="4">
        <f t="shared" si="4"/>
        <v>1358185</v>
      </c>
      <c r="AH50" s="4"/>
      <c r="AI50" s="4"/>
      <c r="AL50" s="4">
        <v>121906</v>
      </c>
      <c r="AM50" s="4">
        <f t="shared" si="26"/>
        <v>134087.26458857622</v>
      </c>
      <c r="AN50" s="4"/>
      <c r="AO50" s="4"/>
      <c r="AP50" s="4"/>
      <c r="AQ50" s="4"/>
      <c r="AR50" s="4"/>
      <c r="AS50" s="4"/>
    </row>
    <row r="51" spans="1:59" x14ac:dyDescent="0.2">
      <c r="A51" s="30">
        <v>1992</v>
      </c>
      <c r="B51" s="159">
        <f t="shared" si="5"/>
        <v>2194510.4</v>
      </c>
      <c r="C51" s="98">
        <f t="shared" si="6"/>
        <v>1173392.5799999998</v>
      </c>
      <c r="D51" s="98">
        <f t="shared" si="7"/>
        <v>10512.7</v>
      </c>
      <c r="E51" s="779">
        <f>'Detailed data_Intercity buses'!E29</f>
        <v>22600</v>
      </c>
      <c r="F51" s="61">
        <f>20336</f>
        <v>20336</v>
      </c>
      <c r="G51" s="61">
        <v>495</v>
      </c>
      <c r="H51" s="778">
        <f>'Detailed data_School buses'!Y29*1000</f>
        <v>93789.913998459844</v>
      </c>
      <c r="I51" s="28">
        <v>7320</v>
      </c>
      <c r="J51" s="61">
        <v>10737</v>
      </c>
      <c r="K51" s="61">
        <v>701</v>
      </c>
      <c r="L51" s="123">
        <f t="shared" si="10"/>
        <v>18758</v>
      </c>
      <c r="M51" s="57">
        <v>6091</v>
      </c>
      <c r="N51" s="98">
        <v>493715</v>
      </c>
      <c r="O51" s="98"/>
      <c r="P51" s="572">
        <f>0.6*P49+0.4*P54</f>
        <v>0</v>
      </c>
      <c r="Q51" s="98">
        <f t="shared" si="15"/>
        <v>0</v>
      </c>
      <c r="R51" s="98">
        <f t="shared" si="16"/>
        <v>493715</v>
      </c>
      <c r="S51" s="98">
        <f t="shared" si="17"/>
        <v>246857.5</v>
      </c>
      <c r="T51" s="61">
        <f t="shared" si="18"/>
        <v>98743</v>
      </c>
      <c r="U51" s="57">
        <v>10800</v>
      </c>
      <c r="V51" s="163"/>
      <c r="X51">
        <f t="shared" si="23"/>
        <v>1992</v>
      </c>
      <c r="Y51" s="4">
        <v>1381126</v>
      </c>
      <c r="Z51" s="279">
        <f>Z50+((Z$54-Z$49)/($X$54-$X$49))</f>
        <v>1.6</v>
      </c>
      <c r="AA51" s="4">
        <v>706863</v>
      </c>
      <c r="AB51" s="4">
        <f t="shared" si="8"/>
        <v>706863</v>
      </c>
      <c r="AC51" s="279">
        <f>AC50+((AC$54-AC$49)/($X$54-$X$49))</f>
        <v>1.66</v>
      </c>
      <c r="AD51" s="4">
        <v>9557</v>
      </c>
      <c r="AE51" s="129">
        <f t="shared" si="27"/>
        <v>6.919716231538614E-3</v>
      </c>
      <c r="AF51" s="4">
        <f t="shared" si="3"/>
        <v>1371569</v>
      </c>
      <c r="AG51" s="4">
        <f t="shared" si="4"/>
        <v>1371569</v>
      </c>
      <c r="AH51" s="4"/>
      <c r="AI51" s="4"/>
      <c r="AL51" s="4">
        <v>122496</v>
      </c>
      <c r="AM51" s="4">
        <f t="shared" si="26"/>
        <v>136725.91399845984</v>
      </c>
      <c r="AN51" s="4"/>
      <c r="AO51" s="4"/>
      <c r="AP51" s="4"/>
      <c r="AQ51" s="4"/>
      <c r="AR51" s="4"/>
      <c r="AS51" s="4"/>
    </row>
    <row r="52" spans="1:59" x14ac:dyDescent="0.2">
      <c r="A52" s="30">
        <v>1993</v>
      </c>
      <c r="B52" s="159">
        <f t="shared" si="5"/>
        <v>2199534.4</v>
      </c>
      <c r="C52" s="98">
        <f t="shared" si="6"/>
        <v>1223030</v>
      </c>
      <c r="D52" s="98">
        <f t="shared" si="7"/>
        <v>10896.6</v>
      </c>
      <c r="E52" s="779">
        <f>'Detailed data_Intercity buses'!E30</f>
        <v>24700</v>
      </c>
      <c r="F52" s="61">
        <f>20247</f>
        <v>20247</v>
      </c>
      <c r="G52" s="61">
        <v>562</v>
      </c>
      <c r="H52" s="778">
        <f>'Detailed data_School buses'!Y30*1000</f>
        <v>97113.865602069432</v>
      </c>
      <c r="I52" s="28">
        <v>6940</v>
      </c>
      <c r="J52" s="61">
        <v>10231</v>
      </c>
      <c r="K52" s="61">
        <v>705</v>
      </c>
      <c r="L52" s="123">
        <f t="shared" si="10"/>
        <v>17876</v>
      </c>
      <c r="M52" s="57">
        <v>6199</v>
      </c>
      <c r="N52" s="98">
        <v>505996</v>
      </c>
      <c r="O52" s="98"/>
      <c r="P52" s="572">
        <f>0.4*P49+0.6*P54</f>
        <v>0</v>
      </c>
      <c r="Q52" s="98">
        <f t="shared" si="15"/>
        <v>0</v>
      </c>
      <c r="R52" s="98">
        <f t="shared" si="16"/>
        <v>505996</v>
      </c>
      <c r="S52" s="98">
        <f t="shared" si="17"/>
        <v>252998</v>
      </c>
      <c r="T52" s="61">
        <f t="shared" si="18"/>
        <v>101199.20000000001</v>
      </c>
      <c r="U52" s="57">
        <v>9900</v>
      </c>
      <c r="X52">
        <f t="shared" si="23"/>
        <v>1993</v>
      </c>
      <c r="Y52" s="4">
        <v>1384615</v>
      </c>
      <c r="Z52" s="279">
        <f>Z51+((Z$54-Z$49)/($X$54-$X$49))</f>
        <v>1.6</v>
      </c>
      <c r="AA52" s="4">
        <v>745750</v>
      </c>
      <c r="AB52" s="4">
        <f t="shared" si="8"/>
        <v>745750</v>
      </c>
      <c r="AC52" s="279">
        <f>AC51+((AC$54-AC$49)/($X$54-$X$49))</f>
        <v>1.64</v>
      </c>
      <c r="AD52" s="4">
        <v>9906</v>
      </c>
      <c r="AE52" s="129">
        <f t="shared" si="27"/>
        <v>7.1543353206486998E-3</v>
      </c>
      <c r="AF52" s="4">
        <f t="shared" si="3"/>
        <v>1374709</v>
      </c>
      <c r="AG52" s="4">
        <f t="shared" si="4"/>
        <v>1374709</v>
      </c>
      <c r="AH52" s="4"/>
      <c r="AI52" s="4"/>
      <c r="AL52" s="4">
        <v>129852</v>
      </c>
      <c r="AM52" s="4">
        <f t="shared" si="26"/>
        <v>142060.86560206942</v>
      </c>
      <c r="AN52" s="4"/>
      <c r="AO52" s="4"/>
      <c r="AP52" s="4"/>
      <c r="AQ52" s="4"/>
      <c r="AR52" s="4"/>
      <c r="AS52" s="4"/>
    </row>
    <row r="53" spans="1:59" x14ac:dyDescent="0.2">
      <c r="A53" s="30">
        <v>1994</v>
      </c>
      <c r="B53" s="159">
        <f t="shared" si="5"/>
        <v>2249742.4</v>
      </c>
      <c r="C53" s="98">
        <f t="shared" si="6"/>
        <v>1238707.0799999998</v>
      </c>
      <c r="D53" s="98">
        <f t="shared" si="7"/>
        <v>11264</v>
      </c>
      <c r="E53" s="779">
        <f>'Detailed data_Intercity buses'!E31</f>
        <v>28100</v>
      </c>
      <c r="F53" s="61">
        <f>18832</f>
        <v>18832</v>
      </c>
      <c r="G53" s="61">
        <v>577</v>
      </c>
      <c r="H53" s="778">
        <f>'Detailed data_School buses'!Y31*1000</f>
        <v>101200.00000000001</v>
      </c>
      <c r="I53" s="28">
        <v>7996</v>
      </c>
      <c r="J53" s="61">
        <v>10668</v>
      </c>
      <c r="K53" s="61">
        <v>833</v>
      </c>
      <c r="L53" s="123">
        <f t="shared" si="10"/>
        <v>19497</v>
      </c>
      <c r="M53" s="57">
        <v>5921</v>
      </c>
      <c r="N53" s="98">
        <v>537506.37800000003</v>
      </c>
      <c r="O53" s="98"/>
      <c r="P53" s="572">
        <f>0.2*P49+0.8*P54</f>
        <v>0</v>
      </c>
      <c r="Q53" s="98">
        <f t="shared" si="15"/>
        <v>0</v>
      </c>
      <c r="R53" s="98">
        <f t="shared" si="16"/>
        <v>537506.37800000003</v>
      </c>
      <c r="S53" s="98">
        <f t="shared" si="17"/>
        <v>268753.18900000001</v>
      </c>
      <c r="T53" s="61">
        <f t="shared" si="18"/>
        <v>107501.27560000001</v>
      </c>
      <c r="U53" s="57">
        <v>9800</v>
      </c>
      <c r="X53">
        <f t="shared" si="23"/>
        <v>1994</v>
      </c>
      <c r="Y53" s="4">
        <v>1416329</v>
      </c>
      <c r="Z53" s="279">
        <f>Z52+((Z$54-Z$49)/($X$54-$X$49))</f>
        <v>1.6</v>
      </c>
      <c r="AA53" s="4">
        <v>764634</v>
      </c>
      <c r="AB53" s="4">
        <f t="shared" si="8"/>
        <v>764634</v>
      </c>
      <c r="AC53" s="279">
        <f>AC52+((AC$54-AC$49)/($X$54-$X$49))</f>
        <v>1.6199999999999999</v>
      </c>
      <c r="AD53" s="4">
        <v>10240</v>
      </c>
      <c r="AE53" s="129">
        <f t="shared" si="27"/>
        <v>7.229958576008823E-3</v>
      </c>
      <c r="AF53" s="4">
        <f t="shared" si="3"/>
        <v>1406089</v>
      </c>
      <c r="AG53" s="4">
        <f t="shared" si="4"/>
        <v>1406089</v>
      </c>
      <c r="AH53" s="4"/>
      <c r="AI53" s="4"/>
      <c r="AL53" s="4">
        <v>135871</v>
      </c>
      <c r="AM53" s="4">
        <f t="shared" si="26"/>
        <v>148132</v>
      </c>
      <c r="AN53" s="4"/>
      <c r="AO53" s="4"/>
      <c r="AP53" s="4"/>
      <c r="AQ53" s="4"/>
      <c r="AR53" s="4"/>
      <c r="AS53" s="4"/>
    </row>
    <row r="54" spans="1:59" x14ac:dyDescent="0.2">
      <c r="A54" s="30">
        <v>1995</v>
      </c>
      <c r="B54" s="159">
        <f t="shared" si="5"/>
        <v>2301456</v>
      </c>
      <c r="C54" s="98">
        <f t="shared" si="6"/>
        <v>1264046.4000000001</v>
      </c>
      <c r="D54" s="98">
        <f t="shared" si="7"/>
        <v>10776.7</v>
      </c>
      <c r="E54" s="779">
        <f>'Detailed data_Intercity buses'!E32</f>
        <v>28100</v>
      </c>
      <c r="F54" s="61">
        <f>18818</f>
        <v>18818</v>
      </c>
      <c r="G54" s="61">
        <v>607</v>
      </c>
      <c r="H54" s="778">
        <f>'Detailed data_School buses'!Y32*1000</f>
        <v>105633.46684221395</v>
      </c>
      <c r="I54" s="28">
        <v>8244</v>
      </c>
      <c r="J54" s="61">
        <v>10559</v>
      </c>
      <c r="K54" s="61">
        <v>860</v>
      </c>
      <c r="L54" s="123">
        <f t="shared" si="10"/>
        <v>19663</v>
      </c>
      <c r="M54" s="57">
        <v>5545</v>
      </c>
      <c r="N54" s="98">
        <v>558757.05099999998</v>
      </c>
      <c r="O54" s="98"/>
      <c r="P54" s="267">
        <f t="shared" si="20"/>
        <v>0</v>
      </c>
      <c r="Q54" s="98">
        <f t="shared" si="15"/>
        <v>0</v>
      </c>
      <c r="R54" s="98">
        <f t="shared" si="16"/>
        <v>558757.05099999998</v>
      </c>
      <c r="S54" s="98">
        <f t="shared" si="17"/>
        <v>279378.52549999999</v>
      </c>
      <c r="T54" s="61">
        <f t="shared" si="18"/>
        <v>111751.4102</v>
      </c>
      <c r="U54" s="57">
        <v>10800</v>
      </c>
      <c r="X54">
        <f t="shared" si="23"/>
        <v>1995</v>
      </c>
      <c r="Y54" s="4">
        <v>1448207</v>
      </c>
      <c r="Z54" s="279">
        <v>1.6</v>
      </c>
      <c r="AA54" s="4">
        <v>790029</v>
      </c>
      <c r="AB54" s="4">
        <f t="shared" si="8"/>
        <v>790029</v>
      </c>
      <c r="AC54" s="279">
        <v>1.6</v>
      </c>
      <c r="AD54" s="4">
        <v>9797</v>
      </c>
      <c r="AE54" s="129">
        <f t="shared" si="27"/>
        <v>6.7649168937865926E-3</v>
      </c>
      <c r="AF54" s="4">
        <f t="shared" si="3"/>
        <v>1438410</v>
      </c>
      <c r="AG54" s="4">
        <f t="shared" si="4"/>
        <v>1438410</v>
      </c>
      <c r="AH54" s="4"/>
      <c r="AI54" s="4"/>
      <c r="AL54" s="4">
        <v>136104</v>
      </c>
      <c r="AM54" s="4">
        <f t="shared" si="26"/>
        <v>152551.46684221394</v>
      </c>
      <c r="AN54" s="4"/>
      <c r="AO54" s="4"/>
      <c r="AP54" s="4"/>
      <c r="AQ54" s="4"/>
      <c r="AR54" s="4"/>
      <c r="AS54" s="4"/>
      <c r="BD54">
        <v>4110.5</v>
      </c>
      <c r="BF54" s="279">
        <v>545.16</v>
      </c>
      <c r="BG54" s="125">
        <f>BD54/BF54</f>
        <v>7.5399882603272435</v>
      </c>
    </row>
    <row r="55" spans="1:59" x14ac:dyDescent="0.2">
      <c r="A55" s="30">
        <v>1996</v>
      </c>
      <c r="B55" s="159">
        <f t="shared" si="5"/>
        <v>2344417.1300000004</v>
      </c>
      <c r="C55" s="98">
        <f t="shared" si="6"/>
        <v>1322794.8</v>
      </c>
      <c r="D55" s="98">
        <f t="shared" si="7"/>
        <v>10912</v>
      </c>
      <c r="E55" s="779">
        <f>'Detailed data_Intercity buses'!E33</f>
        <v>28800</v>
      </c>
      <c r="F55" s="61">
        <f>19096</f>
        <v>19096</v>
      </c>
      <c r="G55" s="61">
        <v>656</v>
      </c>
      <c r="H55" s="778">
        <f>'Detailed data_School buses'!Y33*1000</f>
        <v>108506.81612789549</v>
      </c>
      <c r="I55" s="28">
        <v>8351</v>
      </c>
      <c r="J55" s="61">
        <v>11530</v>
      </c>
      <c r="K55" s="61">
        <v>957</v>
      </c>
      <c r="L55" s="123">
        <f t="shared" si="10"/>
        <v>20838</v>
      </c>
      <c r="M55" s="57">
        <v>5050</v>
      </c>
      <c r="N55" s="98">
        <v>596163.69700000004</v>
      </c>
      <c r="O55" s="98">
        <v>419281.55100000004</v>
      </c>
      <c r="P55" s="267">
        <f t="shared" si="20"/>
        <v>0.70329936745544575</v>
      </c>
      <c r="Q55" s="98">
        <f t="shared" si="15"/>
        <v>419281.55100000004</v>
      </c>
      <c r="R55" s="98">
        <f t="shared" si="16"/>
        <v>176882.14600000001</v>
      </c>
      <c r="S55" s="98">
        <f t="shared" si="17"/>
        <v>507722.62400000007</v>
      </c>
      <c r="T55" s="61">
        <f t="shared" si="18"/>
        <v>119232.73940000002</v>
      </c>
      <c r="U55" s="57">
        <v>12000</v>
      </c>
      <c r="X55">
        <f t="shared" si="23"/>
        <v>1996</v>
      </c>
      <c r="Y55" s="4">
        <f>1469854+9920</f>
        <v>1479774</v>
      </c>
      <c r="Z55" s="279">
        <f>Z54+((Z$60-Z$54)/($X$60-$X$54))</f>
        <v>1.5950000000000002</v>
      </c>
      <c r="AA55" s="4">
        <v>816540</v>
      </c>
      <c r="AB55" s="4">
        <f t="shared" si="8"/>
        <v>816540</v>
      </c>
      <c r="AC55" s="279">
        <f>AC54+((AC$60-AC$54)/($X$60-$X$54))</f>
        <v>1.62</v>
      </c>
      <c r="AD55" s="4">
        <v>9920</v>
      </c>
      <c r="AE55" s="129">
        <f t="shared" si="27"/>
        <v>6.7037263798390839E-3</v>
      </c>
      <c r="AF55" s="4">
        <f t="shared" si="3"/>
        <v>1469854</v>
      </c>
      <c r="AG55" s="4">
        <f t="shared" si="4"/>
        <v>1469854</v>
      </c>
      <c r="AH55" s="4"/>
      <c r="AI55" s="4"/>
      <c r="AL55" s="4">
        <v>139136</v>
      </c>
      <c r="AM55" s="4">
        <f t="shared" si="26"/>
        <v>156402.81612789549</v>
      </c>
      <c r="AN55" s="4"/>
      <c r="AO55" s="4"/>
      <c r="AP55" s="4"/>
      <c r="AQ55" s="4"/>
      <c r="AR55" s="4"/>
      <c r="AS55" s="4"/>
      <c r="BD55">
        <v>4156.3</v>
      </c>
      <c r="BF55" s="279">
        <v>545.16</v>
      </c>
      <c r="BG55" s="125">
        <f t="shared" ref="BG55:BG66" si="28">BD55/BF55</f>
        <v>7.6240002934918198</v>
      </c>
    </row>
    <row r="56" spans="1:59" x14ac:dyDescent="0.2">
      <c r="A56" s="30">
        <v>1997</v>
      </c>
      <c r="B56" s="159">
        <f t="shared" si="5"/>
        <v>2389064.0400000005</v>
      </c>
      <c r="C56" s="98">
        <f t="shared" si="6"/>
        <v>1395211.9600000002</v>
      </c>
      <c r="D56" s="98">
        <f t="shared" si="7"/>
        <v>11089.1</v>
      </c>
      <c r="E56" s="779">
        <f>'Detailed data_Intercity buses'!E34</f>
        <v>30600</v>
      </c>
      <c r="F56" s="61">
        <v>19604</v>
      </c>
      <c r="G56" s="61">
        <v>754</v>
      </c>
      <c r="H56" s="778">
        <f>'Detailed data_School buses'!Y34*1000</f>
        <v>106467.28748178053</v>
      </c>
      <c r="I56" s="28">
        <v>8038</v>
      </c>
      <c r="J56" s="61">
        <v>12056</v>
      </c>
      <c r="K56" s="61">
        <v>1035</v>
      </c>
      <c r="L56" s="123">
        <f t="shared" si="10"/>
        <v>21129</v>
      </c>
      <c r="M56" s="57">
        <v>5166</v>
      </c>
      <c r="N56" s="98">
        <v>619968.58200000005</v>
      </c>
      <c r="O56" s="98">
        <v>439262.66800000001</v>
      </c>
      <c r="P56" s="267">
        <f t="shared" si="20"/>
        <v>0.70852407807981466</v>
      </c>
      <c r="Q56" s="98">
        <f t="shared" si="15"/>
        <v>439262.66800000001</v>
      </c>
      <c r="R56" s="98">
        <f t="shared" si="16"/>
        <v>180705.91400000005</v>
      </c>
      <c r="S56" s="98">
        <f t="shared" si="17"/>
        <v>529615.625</v>
      </c>
      <c r="T56" s="61">
        <f t="shared" si="18"/>
        <v>123993.71640000002</v>
      </c>
      <c r="U56" s="57">
        <v>12500</v>
      </c>
      <c r="X56">
        <f t="shared" si="23"/>
        <v>1997</v>
      </c>
      <c r="Y56" s="4">
        <f>1502556+10081</f>
        <v>1512637</v>
      </c>
      <c r="Z56" s="279">
        <f>Z55+((Z$60-Z$54)/($X$60-$X$54))</f>
        <v>1.5900000000000003</v>
      </c>
      <c r="AA56" s="4">
        <v>850739</v>
      </c>
      <c r="AB56" s="4">
        <f t="shared" si="8"/>
        <v>850739</v>
      </c>
      <c r="AC56" s="279">
        <f>AC55+((AC$60-AC$54)/($X$60-$X$54))</f>
        <v>1.6400000000000001</v>
      </c>
      <c r="AD56" s="4">
        <v>10081</v>
      </c>
      <c r="AE56" s="129">
        <f t="shared" si="27"/>
        <v>6.6645203046071201E-3</v>
      </c>
      <c r="AF56" s="4">
        <f t="shared" si="3"/>
        <v>1502556</v>
      </c>
      <c r="AG56" s="4">
        <f t="shared" si="4"/>
        <v>1502556</v>
      </c>
      <c r="AH56" s="4"/>
      <c r="AI56" s="4"/>
      <c r="AL56" s="4">
        <v>145060</v>
      </c>
      <c r="AM56" s="4">
        <f t="shared" si="26"/>
        <v>156671.28748178051</v>
      </c>
      <c r="AN56" s="4"/>
      <c r="AO56" s="4"/>
      <c r="AP56" s="4"/>
      <c r="AQ56" s="4"/>
      <c r="AR56" s="4"/>
      <c r="AS56" s="4"/>
      <c r="BD56">
        <v>4309.7</v>
      </c>
      <c r="BF56" s="279">
        <v>544.74</v>
      </c>
      <c r="BG56" s="125">
        <f t="shared" si="28"/>
        <v>7.91148070639204</v>
      </c>
    </row>
    <row r="57" spans="1:59" x14ac:dyDescent="0.2">
      <c r="A57" s="30">
        <v>1998</v>
      </c>
      <c r="B57" s="159">
        <f t="shared" si="5"/>
        <v>2456079.5450000009</v>
      </c>
      <c r="C57" s="98">
        <f t="shared" si="6"/>
        <v>1441336.5000000002</v>
      </c>
      <c r="D57" s="98">
        <f t="shared" si="7"/>
        <v>11311.300000000001</v>
      </c>
      <c r="E57" s="779">
        <f>'Detailed data_Intercity buses'!E35</f>
        <v>33638.969870129869</v>
      </c>
      <c r="F57" s="61">
        <v>20360</v>
      </c>
      <c r="G57" s="61">
        <v>735</v>
      </c>
      <c r="H57" s="778">
        <f>'Detailed data_School buses'!Y35*1000</f>
        <v>106795.06630816526</v>
      </c>
      <c r="I57" s="28">
        <v>8704</v>
      </c>
      <c r="J57" s="61">
        <v>12284</v>
      </c>
      <c r="K57" s="61">
        <v>1128</v>
      </c>
      <c r="L57" s="123">
        <f t="shared" si="10"/>
        <v>22116</v>
      </c>
      <c r="M57" s="57">
        <v>5304</v>
      </c>
      <c r="N57" s="98">
        <v>635517.39500000002</v>
      </c>
      <c r="O57" s="98">
        <v>449103.76</v>
      </c>
      <c r="P57" s="267">
        <f t="shared" si="20"/>
        <v>0.70667422093143495</v>
      </c>
      <c r="Q57" s="98">
        <f t="shared" si="15"/>
        <v>449103.76</v>
      </c>
      <c r="R57" s="98">
        <f t="shared" si="16"/>
        <v>186413.63500000001</v>
      </c>
      <c r="S57" s="98">
        <f t="shared" si="17"/>
        <v>542310.57750000001</v>
      </c>
      <c r="T57" s="61">
        <f t="shared" si="18"/>
        <v>127103.47900000001</v>
      </c>
      <c r="U57" s="57">
        <v>13100</v>
      </c>
      <c r="X57">
        <f t="shared" si="23"/>
        <v>1998</v>
      </c>
      <c r="Y57" s="4">
        <f>1549577+10283</f>
        <v>1559860</v>
      </c>
      <c r="Z57" s="279">
        <f>Z56+((Z$60-Z$54)/($X$60-$X$54))</f>
        <v>1.5850000000000004</v>
      </c>
      <c r="AA57" s="4">
        <v>868275</v>
      </c>
      <c r="AB57" s="4">
        <f t="shared" si="8"/>
        <v>868275</v>
      </c>
      <c r="AC57" s="279">
        <f>AC56+((AC$60-AC$54)/($X$60-$X$54))</f>
        <v>1.6600000000000001</v>
      </c>
      <c r="AD57" s="4">
        <v>10283</v>
      </c>
      <c r="AE57" s="129">
        <f t="shared" si="27"/>
        <v>6.592258279589194E-3</v>
      </c>
      <c r="AF57" s="4">
        <f t="shared" si="3"/>
        <v>1549577</v>
      </c>
      <c r="AG57" s="4">
        <f t="shared" si="4"/>
        <v>1549577</v>
      </c>
      <c r="AH57" s="4"/>
      <c r="AI57" s="4"/>
      <c r="AL57" s="4">
        <v>148558</v>
      </c>
      <c r="AM57" s="4">
        <f t="shared" si="26"/>
        <v>160794.03617829512</v>
      </c>
      <c r="AN57" s="4"/>
      <c r="AO57" s="4"/>
      <c r="AP57" s="4"/>
      <c r="AQ57" s="4"/>
      <c r="AR57" s="4"/>
      <c r="AS57" s="4"/>
      <c r="BD57" s="412">
        <f>0.67*BD56+0.33*BD59</f>
        <v>4246.6040000000003</v>
      </c>
      <c r="BF57" s="279">
        <v>550.20000000000005</v>
      </c>
      <c r="BG57" s="125">
        <f t="shared" si="28"/>
        <v>7.718291530352599</v>
      </c>
    </row>
    <row r="58" spans="1:59" x14ac:dyDescent="0.2">
      <c r="A58" s="30">
        <v>1999</v>
      </c>
      <c r="B58" s="159">
        <f t="shared" si="5"/>
        <v>2479178.0000000009</v>
      </c>
      <c r="C58" s="98">
        <f t="shared" si="6"/>
        <v>1513716.9600000002</v>
      </c>
      <c r="D58" s="98">
        <f t="shared" si="7"/>
        <v>11642.400000000001</v>
      </c>
      <c r="E58" s="779">
        <f>'Detailed data_Intercity buses'!E36</f>
        <v>36818.414545454543</v>
      </c>
      <c r="F58" s="98">
        <v>21205</v>
      </c>
      <c r="G58" s="98">
        <v>813</v>
      </c>
      <c r="H58" s="778">
        <f>'Detailed data_School buses'!Y36*1000</f>
        <v>107122.84513455001</v>
      </c>
      <c r="I58" s="28">
        <v>8766</v>
      </c>
      <c r="J58" s="61">
        <v>12902</v>
      </c>
      <c r="K58" s="61">
        <v>1206</v>
      </c>
      <c r="L58" s="123">
        <f t="shared" si="10"/>
        <v>22874</v>
      </c>
      <c r="M58" s="57">
        <v>5330</v>
      </c>
      <c r="N58" s="98">
        <v>668626</v>
      </c>
      <c r="O58" s="98">
        <v>473081.98100000003</v>
      </c>
      <c r="P58" s="267">
        <f t="shared" si="20"/>
        <v>0.70754350115011988</v>
      </c>
      <c r="Q58" s="98">
        <f t="shared" si="15"/>
        <v>473081.98100000003</v>
      </c>
      <c r="R58" s="98">
        <f t="shared" si="16"/>
        <v>195544.01899999997</v>
      </c>
      <c r="S58" s="98">
        <f t="shared" si="17"/>
        <v>570853.99050000007</v>
      </c>
      <c r="T58" s="61">
        <f t="shared" si="18"/>
        <v>133725.20000000001</v>
      </c>
      <c r="U58" s="253">
        <v>14100</v>
      </c>
      <c r="V58" s="4"/>
      <c r="X58">
        <f t="shared" si="23"/>
        <v>1999</v>
      </c>
      <c r="Y58" s="4">
        <f>1569100+10584</f>
        <v>1579684</v>
      </c>
      <c r="Z58" s="279">
        <f>Z57+((Z$60-Z$54)/($X$60-$X$54))</f>
        <v>1.5800000000000005</v>
      </c>
      <c r="AA58" s="4">
        <v>901022</v>
      </c>
      <c r="AB58" s="4">
        <f t="shared" si="8"/>
        <v>901022</v>
      </c>
      <c r="AC58" s="279">
        <f>AC57+((AC$60-AC$54)/($X$60-$X$54))</f>
        <v>1.6800000000000002</v>
      </c>
      <c r="AD58" s="4">
        <v>10584</v>
      </c>
      <c r="AE58" s="129">
        <f t="shared" si="27"/>
        <v>6.7000741920536008E-3</v>
      </c>
      <c r="AF58" s="4">
        <f t="shared" si="3"/>
        <v>1569100</v>
      </c>
      <c r="AG58" s="4">
        <f t="shared" si="4"/>
        <v>1569100</v>
      </c>
      <c r="AH58" s="4"/>
      <c r="AI58" s="4"/>
      <c r="AL58" s="4">
        <v>162445</v>
      </c>
      <c r="AM58" s="4">
        <f t="shared" si="26"/>
        <v>165146.25968000456</v>
      </c>
      <c r="AN58" s="4"/>
      <c r="AO58" s="4"/>
      <c r="AP58" s="4"/>
      <c r="AQ58" s="4"/>
      <c r="AR58" s="4"/>
      <c r="AS58" s="4"/>
      <c r="BD58" s="412">
        <f>0.33*BD56+0.67*BD59</f>
        <v>4181.5959999999995</v>
      </c>
      <c r="BF58" s="279">
        <v>555.66</v>
      </c>
      <c r="BG58" s="125">
        <f t="shared" si="28"/>
        <v>7.5254580138933873</v>
      </c>
    </row>
    <row r="59" spans="1:59" x14ac:dyDescent="0.2">
      <c r="A59" s="252">
        <v>2000</v>
      </c>
      <c r="B59" s="159">
        <f t="shared" si="5"/>
        <v>2520452.0250000008</v>
      </c>
      <c r="C59" s="98">
        <f t="shared" si="6"/>
        <v>1569200.3000000003</v>
      </c>
      <c r="D59" s="98">
        <f t="shared" si="7"/>
        <v>11515.900000000001</v>
      </c>
      <c r="E59" s="780">
        <f>'Detailed data_Intercity buses'!E37</f>
        <v>40138.334025974022</v>
      </c>
      <c r="F59" s="98">
        <v>21241</v>
      </c>
      <c r="G59" s="98">
        <v>839</v>
      </c>
      <c r="H59" s="778">
        <f>'Detailed data_School buses'!Y37*1000</f>
        <v>110432.33951617683</v>
      </c>
      <c r="I59" s="98">
        <v>9402</v>
      </c>
      <c r="J59" s="98">
        <v>13844</v>
      </c>
      <c r="K59" s="98">
        <v>1356</v>
      </c>
      <c r="L59" s="98">
        <f t="shared" ref="L59:L64" si="29">SUM(I59:K59)</f>
        <v>24602</v>
      </c>
      <c r="M59" s="61">
        <v>5498</v>
      </c>
      <c r="N59" s="98">
        <v>708926.27800000005</v>
      </c>
      <c r="O59" s="98">
        <v>500439.71899999998</v>
      </c>
      <c r="P59" s="267">
        <f t="shared" si="20"/>
        <v>0.70591221475359101</v>
      </c>
      <c r="Q59" s="98">
        <f t="shared" si="15"/>
        <v>500439.71899999998</v>
      </c>
      <c r="R59" s="98">
        <f t="shared" si="16"/>
        <v>208486.55900000007</v>
      </c>
      <c r="S59" s="98">
        <f t="shared" si="17"/>
        <v>604682.99849999999</v>
      </c>
      <c r="T59" s="61">
        <f t="shared" si="18"/>
        <v>141785.2556</v>
      </c>
      <c r="U59" s="254">
        <v>15200</v>
      </c>
      <c r="X59">
        <f t="shared" si="23"/>
        <v>2000</v>
      </c>
      <c r="Y59" s="4">
        <f>1600287+10469</f>
        <v>1610756</v>
      </c>
      <c r="Z59" s="279">
        <f>Z58+((Z$60-Z$54)/($X$60-$X$54))</f>
        <v>1.5750000000000006</v>
      </c>
      <c r="AA59" s="4">
        <v>923059</v>
      </c>
      <c r="AB59" s="4">
        <f t="shared" si="8"/>
        <v>923059</v>
      </c>
      <c r="AC59" s="279">
        <f>AC58+((AC$60-AC$54)/($X$60-$X$54))</f>
        <v>1.7000000000000002</v>
      </c>
      <c r="AD59" s="4">
        <v>10469</v>
      </c>
      <c r="AE59" s="129">
        <f t="shared" si="27"/>
        <v>6.4994325645845799E-3</v>
      </c>
      <c r="AF59" s="4">
        <f t="shared" si="3"/>
        <v>1600287</v>
      </c>
      <c r="AG59" s="4">
        <f t="shared" si="4"/>
        <v>1600287</v>
      </c>
      <c r="AH59" s="4"/>
      <c r="AI59" s="4"/>
      <c r="AL59" s="4">
        <v>313897</v>
      </c>
      <c r="AM59" s="4">
        <f t="shared" si="26"/>
        <v>171811.67354215085</v>
      </c>
      <c r="AN59" s="4"/>
      <c r="AO59" s="4"/>
      <c r="AP59" s="4"/>
      <c r="AQ59" s="4"/>
      <c r="AR59" s="4"/>
      <c r="AS59" s="4"/>
      <c r="BD59">
        <v>4118.5</v>
      </c>
      <c r="BF59" s="279">
        <v>577.08000000000004</v>
      </c>
      <c r="BG59" s="125">
        <f t="shared" si="28"/>
        <v>7.136792125875095</v>
      </c>
    </row>
    <row r="60" spans="1:59" x14ac:dyDescent="0.2">
      <c r="A60" s="215">
        <v>2001</v>
      </c>
      <c r="B60" s="159">
        <f t="shared" si="5"/>
        <v>2556490.66</v>
      </c>
      <c r="C60" s="98">
        <f t="shared" si="6"/>
        <v>1622316.04</v>
      </c>
      <c r="D60" s="98">
        <f t="shared" si="7"/>
        <v>10596.300000000001</v>
      </c>
      <c r="E60" s="780">
        <f>'Detailed data_Intercity buses'!E38</f>
        <v>43598.728311688305</v>
      </c>
      <c r="F60" s="98">
        <v>22022</v>
      </c>
      <c r="G60" s="98">
        <v>855</v>
      </c>
      <c r="H60" s="778">
        <f>'Detailed data_School buses'!Y38*1000</f>
        <v>113865.93632835365</v>
      </c>
      <c r="I60" s="98">
        <v>9548</v>
      </c>
      <c r="J60" s="98">
        <v>14178</v>
      </c>
      <c r="K60" s="98">
        <v>1437</v>
      </c>
      <c r="L60" s="98">
        <f t="shared" si="29"/>
        <v>25163</v>
      </c>
      <c r="M60" s="278">
        <v>5559</v>
      </c>
      <c r="N60" s="98">
        <v>664849.11699999997</v>
      </c>
      <c r="O60" s="98">
        <v>473624.68700000003</v>
      </c>
      <c r="P60" s="267">
        <f t="shared" si="20"/>
        <v>0.71237920738638816</v>
      </c>
      <c r="Q60" s="98">
        <f t="shared" si="15"/>
        <v>473624.68700000003</v>
      </c>
      <c r="R60" s="98">
        <f t="shared" si="16"/>
        <v>191224.42999999993</v>
      </c>
      <c r="S60" s="98">
        <f t="shared" si="17"/>
        <v>569236.902</v>
      </c>
      <c r="T60" s="61">
        <f t="shared" si="18"/>
        <v>132969.82339999999</v>
      </c>
      <c r="U60" s="254">
        <v>15900</v>
      </c>
      <c r="W60">
        <f>AD60*1.1</f>
        <v>10596.300000000001</v>
      </c>
      <c r="X60">
        <f t="shared" si="23"/>
        <v>2001</v>
      </c>
      <c r="Y60" s="4">
        <f>1628332+9639</f>
        <v>1637971</v>
      </c>
      <c r="Z60" s="279">
        <v>1.57</v>
      </c>
      <c r="AA60" s="4">
        <v>943207</v>
      </c>
      <c r="AB60" s="4">
        <f t="shared" si="8"/>
        <v>943207</v>
      </c>
      <c r="AC60" s="279">
        <v>1.72</v>
      </c>
      <c r="AD60" s="4">
        <v>9633</v>
      </c>
      <c r="AE60" s="129">
        <f t="shared" si="27"/>
        <v>5.8810565022213461E-3</v>
      </c>
      <c r="AF60" s="4">
        <f t="shared" si="3"/>
        <v>1628338</v>
      </c>
      <c r="AG60" s="4">
        <f t="shared" si="4"/>
        <v>1628338</v>
      </c>
      <c r="AH60" s="4"/>
      <c r="AI60" s="4"/>
      <c r="AL60" s="4">
        <v>275231</v>
      </c>
      <c r="AM60" s="4">
        <f t="shared" si="26"/>
        <v>179486.66464004194</v>
      </c>
      <c r="AN60" s="163">
        <v>594.6</v>
      </c>
      <c r="AO60" s="163"/>
      <c r="AP60" s="163"/>
      <c r="AQ60" s="163"/>
      <c r="AR60" s="163"/>
      <c r="AS60" s="163"/>
      <c r="BD60" s="412">
        <f>0.67*BD59+0.33*BD62</f>
        <v>4171.2669999999998</v>
      </c>
      <c r="BF60" s="279">
        <v>538.08000000000004</v>
      </c>
      <c r="BG60" s="125">
        <f t="shared" si="28"/>
        <v>7.7521316532857556</v>
      </c>
    </row>
    <row r="61" spans="1:59" x14ac:dyDescent="0.2">
      <c r="A61" s="215">
        <v>2002</v>
      </c>
      <c r="B61" s="159">
        <f t="shared" si="5"/>
        <v>2603804.1800000002</v>
      </c>
      <c r="C61" s="98">
        <f t="shared" si="6"/>
        <v>1676068.99</v>
      </c>
      <c r="D61" s="98">
        <f t="shared" si="7"/>
        <v>10507.2</v>
      </c>
      <c r="E61" s="780">
        <f>'Detailed data_Intercity buses'!E39</f>
        <v>47199.597402597399</v>
      </c>
      <c r="F61" s="98">
        <v>21841</v>
      </c>
      <c r="G61" s="98">
        <v>853</v>
      </c>
      <c r="H61" s="778">
        <f>'Detailed data_School buses'!Y39*1000</f>
        <v>114734.90472436075</v>
      </c>
      <c r="I61" s="98">
        <v>9504</v>
      </c>
      <c r="J61" s="98">
        <v>13663</v>
      </c>
      <c r="K61" s="98">
        <v>1432</v>
      </c>
      <c r="L61" s="98">
        <f t="shared" si="29"/>
        <v>24599</v>
      </c>
      <c r="M61" s="278">
        <v>5468</v>
      </c>
      <c r="N61" s="98">
        <v>655213.94200000004</v>
      </c>
      <c r="O61" s="98">
        <v>472340.12599999999</v>
      </c>
      <c r="P61" s="267">
        <f t="shared" si="20"/>
        <v>0.72089449830418895</v>
      </c>
      <c r="Q61" s="98">
        <f t="shared" si="15"/>
        <v>472340.12599999999</v>
      </c>
      <c r="R61" s="98">
        <f t="shared" si="16"/>
        <v>182873.81600000005</v>
      </c>
      <c r="S61" s="98">
        <f t="shared" si="17"/>
        <v>563777.03399999999</v>
      </c>
      <c r="T61" s="61">
        <f t="shared" si="18"/>
        <v>131042.78840000002</v>
      </c>
      <c r="U61" s="255">
        <f>'Passenger-based Energy Use'!$O60/'Passenger-based Energy Use'!O59*U60</f>
        <v>13628.066527134715</v>
      </c>
      <c r="X61">
        <f t="shared" si="23"/>
        <v>2002</v>
      </c>
      <c r="Y61" s="277">
        <f>1658474+9552</f>
        <v>1668026</v>
      </c>
      <c r="Z61" s="320">
        <f t="shared" ref="Z61:Z66" si="30">Z60</f>
        <v>1.57</v>
      </c>
      <c r="AA61" s="277">
        <v>966034</v>
      </c>
      <c r="AB61" s="4">
        <f t="shared" si="8"/>
        <v>966034</v>
      </c>
      <c r="AC61" s="320">
        <f t="shared" ref="AC61:AC67" si="31">AC60+AC$74</f>
        <v>1.7349999999999999</v>
      </c>
      <c r="AD61" s="4">
        <v>9552</v>
      </c>
      <c r="AE61" s="129">
        <f t="shared" si="27"/>
        <v>5.7265294425866264E-3</v>
      </c>
      <c r="AF61" s="4">
        <f t="shared" si="3"/>
        <v>1658474</v>
      </c>
      <c r="AG61" s="4">
        <f t="shared" si="4"/>
        <v>1658474</v>
      </c>
      <c r="AH61" s="4"/>
      <c r="AI61" s="4"/>
      <c r="AL61" s="4">
        <v>282739</v>
      </c>
      <c r="AM61" s="4">
        <f t="shared" si="26"/>
        <v>183775.50212695816</v>
      </c>
      <c r="AN61" s="163">
        <v>585.6</v>
      </c>
      <c r="AO61" s="163"/>
      <c r="AP61" s="163"/>
      <c r="AQ61" s="163"/>
      <c r="AR61" s="163"/>
      <c r="AS61" s="163"/>
      <c r="BD61" s="412">
        <f>0.33*BD59+0.67*BD62</f>
        <v>4225.6329999999998</v>
      </c>
      <c r="BF61" s="279">
        <v>520.04</v>
      </c>
      <c r="BG61" s="125">
        <f t="shared" si="28"/>
        <v>8.1255922621336829</v>
      </c>
    </row>
    <row r="62" spans="1:59" x14ac:dyDescent="0.2">
      <c r="A62" s="215">
        <v>2003</v>
      </c>
      <c r="B62" s="159">
        <f t="shared" si="5"/>
        <v>2625165.6</v>
      </c>
      <c r="C62" s="98">
        <f t="shared" si="6"/>
        <v>1722164.5</v>
      </c>
      <c r="D62" s="98">
        <f t="shared" si="7"/>
        <v>10533.6</v>
      </c>
      <c r="E62" s="780">
        <f>'Detailed data_Intercity buses'!E40</f>
        <v>50940.941298701298</v>
      </c>
      <c r="F62" s="276">
        <v>21262</v>
      </c>
      <c r="G62" s="276">
        <v>930</v>
      </c>
      <c r="H62" s="778">
        <f>'Detailed data_School buses'!Y40*1000</f>
        <v>117648.48189616863</v>
      </c>
      <c r="I62" s="4">
        <v>9559</v>
      </c>
      <c r="J62" s="277">
        <v>13606</v>
      </c>
      <c r="K62" s="4">
        <v>1476</v>
      </c>
      <c r="L62" s="4">
        <f t="shared" si="29"/>
        <v>24641</v>
      </c>
      <c r="M62" s="4">
        <v>5680</v>
      </c>
      <c r="N62" s="4">
        <v>673930.80900000001</v>
      </c>
      <c r="O62" s="4">
        <v>498204.04000000004</v>
      </c>
      <c r="P62" s="267">
        <f t="shared" si="20"/>
        <v>0.73925102302304746</v>
      </c>
      <c r="Q62" s="98">
        <f t="shared" si="15"/>
        <v>498204.04</v>
      </c>
      <c r="R62" s="98">
        <f t="shared" si="16"/>
        <v>175726.76900000003</v>
      </c>
      <c r="S62" s="98">
        <f t="shared" si="17"/>
        <v>586067.42449999996</v>
      </c>
      <c r="T62" s="61">
        <f t="shared" si="18"/>
        <v>134786.1618</v>
      </c>
      <c r="U62" s="255">
        <f>'Passenger-based Energy Use'!$O61/'Passenger-based Energy Use'!O60*U61</f>
        <v>13618.274465919616</v>
      </c>
      <c r="X62">
        <f t="shared" si="23"/>
        <v>2003</v>
      </c>
      <c r="Y62" s="4">
        <f>1672079+9577</f>
        <v>1681656</v>
      </c>
      <c r="Z62" s="320">
        <f t="shared" si="30"/>
        <v>1.57</v>
      </c>
      <c r="AA62" s="4">
        <v>984094</v>
      </c>
      <c r="AB62" s="4">
        <f t="shared" si="8"/>
        <v>984094</v>
      </c>
      <c r="AC62" s="320">
        <f t="shared" si="31"/>
        <v>1.75</v>
      </c>
      <c r="AD62" s="4">
        <v>9576</v>
      </c>
      <c r="AE62" s="129">
        <f t="shared" si="27"/>
        <v>5.6943869614237393E-3</v>
      </c>
      <c r="AF62" s="4">
        <f t="shared" si="3"/>
        <v>1672080</v>
      </c>
      <c r="AG62" s="4">
        <f t="shared" si="4"/>
        <v>1672080</v>
      </c>
      <c r="AH62" s="4"/>
      <c r="AI62" s="4"/>
      <c r="AL62" s="4">
        <v>283699</v>
      </c>
      <c r="AM62" s="4">
        <f t="shared" si="26"/>
        <v>189851.42319486995</v>
      </c>
      <c r="AN62" s="163">
        <v>547.5</v>
      </c>
      <c r="AO62" s="163"/>
      <c r="AP62" s="163"/>
      <c r="AQ62" s="163"/>
      <c r="AR62" s="163"/>
      <c r="AS62" s="163"/>
      <c r="BD62">
        <v>4278.3999999999996</v>
      </c>
      <c r="BF62" s="279">
        <v>515.72</v>
      </c>
      <c r="BG62" s="125">
        <f t="shared" si="28"/>
        <v>8.2959745598386707</v>
      </c>
    </row>
    <row r="63" spans="1:59" x14ac:dyDescent="0.2">
      <c r="A63" s="215">
        <v>2004</v>
      </c>
      <c r="B63" s="159">
        <f t="shared" si="5"/>
        <v>2668827.3000000003</v>
      </c>
      <c r="C63" s="98">
        <f t="shared" si="6"/>
        <v>1812944.4600000002</v>
      </c>
      <c r="D63" s="98">
        <f t="shared" si="7"/>
        <v>11134.2</v>
      </c>
      <c r="E63" s="780">
        <f>'Detailed data_Intercity buses'!E41</f>
        <v>54822.760000000009</v>
      </c>
      <c r="F63" s="276">
        <f>21376973000/1000000</f>
        <v>21376.973000000002</v>
      </c>
      <c r="G63" s="276">
        <v>962</v>
      </c>
      <c r="H63" s="778">
        <f>'Detailed data_School buses'!Y41*1000</f>
        <v>116470.6803987772</v>
      </c>
      <c r="I63" s="277">
        <v>9719</v>
      </c>
      <c r="J63" s="277">
        <v>14354</v>
      </c>
      <c r="K63" s="277">
        <v>1576</v>
      </c>
      <c r="L63" s="277">
        <f t="shared" si="29"/>
        <v>25649</v>
      </c>
      <c r="M63" s="4">
        <v>5511</v>
      </c>
      <c r="N63" s="4">
        <v>752299.86900000006</v>
      </c>
      <c r="O63" s="4">
        <v>548619.86499999999</v>
      </c>
      <c r="P63" s="267">
        <f t="shared" si="20"/>
        <v>0.72925689290529427</v>
      </c>
      <c r="Q63" s="98">
        <f t="shared" si="15"/>
        <v>548619.86499999999</v>
      </c>
      <c r="R63" s="98">
        <f t="shared" si="16"/>
        <v>203680.00400000007</v>
      </c>
      <c r="S63" s="98">
        <f t="shared" si="17"/>
        <v>650459.86700000009</v>
      </c>
      <c r="T63" s="61">
        <f t="shared" si="18"/>
        <v>150459.97380000001</v>
      </c>
      <c r="U63" s="255">
        <f>'Passenger-based Energy Use'!$O62/'Passenger-based Energy Use'!O61*U62</f>
        <v>16943.041346697322</v>
      </c>
      <c r="X63">
        <f>X62+1</f>
        <v>2004</v>
      </c>
      <c r="Y63" s="4">
        <f>1699890+10122</f>
        <v>1710012</v>
      </c>
      <c r="Z63" s="320">
        <f t="shared" si="30"/>
        <v>1.57</v>
      </c>
      <c r="AA63" s="4">
        <v>1027164</v>
      </c>
      <c r="AB63" s="4">
        <f t="shared" si="8"/>
        <v>1027164</v>
      </c>
      <c r="AC63" s="320">
        <f t="shared" si="31"/>
        <v>1.7650000000000001</v>
      </c>
      <c r="AD63" s="4">
        <v>10122</v>
      </c>
      <c r="AE63" s="129">
        <f t="shared" si="27"/>
        <v>5.9192567069704773E-3</v>
      </c>
      <c r="AF63" s="4">
        <f t="shared" si="3"/>
        <v>1699890</v>
      </c>
      <c r="AG63" s="4">
        <f t="shared" si="4"/>
        <v>1699890</v>
      </c>
      <c r="AH63" s="4"/>
      <c r="AI63" s="4"/>
      <c r="AL63" s="4">
        <v>286714</v>
      </c>
      <c r="AM63" s="4">
        <f t="shared" si="26"/>
        <v>192670.41339877719</v>
      </c>
      <c r="AN63" s="163">
        <v>534</v>
      </c>
      <c r="AO63" s="163"/>
      <c r="AP63" s="163"/>
      <c r="AQ63" s="163"/>
      <c r="AR63" s="163"/>
      <c r="AS63" s="163"/>
      <c r="BD63" s="412">
        <f>0.5*BD62+0.5*BD64</f>
        <v>4091.2</v>
      </c>
      <c r="BF63" s="279">
        <v>517.09</v>
      </c>
      <c r="BG63" s="125">
        <f t="shared" si="28"/>
        <v>7.9119689028989146</v>
      </c>
    </row>
    <row r="64" spans="1:59" x14ac:dyDescent="0.2">
      <c r="A64" s="215">
        <v>2005</v>
      </c>
      <c r="B64" s="159">
        <f t="shared" si="5"/>
        <v>2682220.9700000002</v>
      </c>
      <c r="C64" s="98">
        <f t="shared" si="6"/>
        <v>1853070.7800000003</v>
      </c>
      <c r="D64" s="98">
        <f t="shared" si="7"/>
        <v>11499.400000000001</v>
      </c>
      <c r="E64" s="780">
        <f>'Detailed data_Intercity buses'!E42</f>
        <v>57582.400000000009</v>
      </c>
      <c r="F64" s="276">
        <f>21824943000/1000000</f>
        <v>21824.942999999999</v>
      </c>
      <c r="G64" s="276">
        <v>1058</v>
      </c>
      <c r="H64" s="778">
        <f>'Detailed data_School buses'!Y42*1000</f>
        <v>115013.08025061726</v>
      </c>
      <c r="I64" s="277">
        <v>9473</v>
      </c>
      <c r="J64" s="277">
        <v>14418</v>
      </c>
      <c r="K64" s="277">
        <v>1700</v>
      </c>
      <c r="L64" s="277">
        <f t="shared" si="29"/>
        <v>25591</v>
      </c>
      <c r="M64" s="4">
        <v>5381</v>
      </c>
      <c r="N64" s="4">
        <f>795117318/1000</f>
        <v>795117.31799999997</v>
      </c>
      <c r="O64" s="4">
        <v>573638.80700000003</v>
      </c>
      <c r="P64" s="267">
        <f t="shared" si="20"/>
        <v>0.72145178329520432</v>
      </c>
      <c r="Q64" s="98">
        <f t="shared" si="15"/>
        <v>573638.80700000003</v>
      </c>
      <c r="R64" s="98">
        <f t="shared" si="16"/>
        <v>221478.51099999994</v>
      </c>
      <c r="S64" s="98">
        <f t="shared" si="17"/>
        <v>684378.0625</v>
      </c>
      <c r="T64" s="61">
        <f t="shared" si="18"/>
        <v>159023.46360000002</v>
      </c>
      <c r="U64" s="255">
        <f>'Passenger-based Energy Use'!$O63/'Passenger-based Energy Use'!O62*U63</f>
        <v>23343.368691172054</v>
      </c>
      <c r="X64">
        <f>X63+1</f>
        <v>2005</v>
      </c>
      <c r="Y64" s="4">
        <f>1708421+10454</f>
        <v>1718875</v>
      </c>
      <c r="Z64" s="320">
        <f t="shared" si="30"/>
        <v>1.57</v>
      </c>
      <c r="AA64" s="4">
        <v>1041051</v>
      </c>
      <c r="AB64" s="4">
        <f t="shared" si="8"/>
        <v>1041051</v>
      </c>
      <c r="AC64" s="320">
        <f t="shared" si="31"/>
        <v>1.7800000000000002</v>
      </c>
      <c r="AD64" s="4">
        <v>10454</v>
      </c>
      <c r="AE64" s="129">
        <f t="shared" si="27"/>
        <v>6.0818849538215401E-3</v>
      </c>
      <c r="AF64" s="4">
        <f t="shared" si="3"/>
        <v>1708421</v>
      </c>
      <c r="AG64" s="4">
        <f t="shared" si="4"/>
        <v>1708421</v>
      </c>
      <c r="AH64" s="4"/>
      <c r="AI64" s="4"/>
      <c r="AL64" s="4">
        <v>278864</v>
      </c>
      <c r="AM64" s="4">
        <f t="shared" si="26"/>
        <v>194420.42325061728</v>
      </c>
      <c r="BD64">
        <v>3904</v>
      </c>
      <c r="BF64" s="279">
        <v>530.70000000000005</v>
      </c>
      <c r="BG64" s="125">
        <f t="shared" si="28"/>
        <v>7.3563218390804588</v>
      </c>
    </row>
    <row r="65" spans="1:59" x14ac:dyDescent="0.2">
      <c r="A65" s="215">
        <v>2006</v>
      </c>
      <c r="B65" s="159">
        <f t="shared" si="5"/>
        <v>2654138.38</v>
      </c>
      <c r="C65" s="98">
        <f t="shared" si="6"/>
        <v>1943069.5500000005</v>
      </c>
      <c r="D65" s="98">
        <f t="shared" si="7"/>
        <v>13253.900000000001</v>
      </c>
      <c r="E65" s="780">
        <f>'Detailed data_Intercity buses'!E43</f>
        <v>61103.000000000015</v>
      </c>
      <c r="F65" s="276">
        <v>22821</v>
      </c>
      <c r="G65" s="276">
        <v>1078</v>
      </c>
      <c r="H65" s="778">
        <f>'Detailed data_School buses'!Y43*1000</f>
        <v>116493.56270970704</v>
      </c>
      <c r="I65" s="348">
        <v>10361</v>
      </c>
      <c r="J65" s="348">
        <v>14721</v>
      </c>
      <c r="K65" s="348">
        <v>1866</v>
      </c>
      <c r="L65" s="348">
        <f t="shared" ref="L65:L70" si="32">SUM(I65:K65)</f>
        <v>26948</v>
      </c>
      <c r="M65" s="348">
        <v>5410</v>
      </c>
      <c r="N65" s="4">
        <f>810086402/1000</f>
        <v>810086.402</v>
      </c>
      <c r="O65" s="4">
        <v>577596.30099999998</v>
      </c>
      <c r="P65" s="267">
        <f t="shared" si="20"/>
        <v>0.71300579737419167</v>
      </c>
      <c r="Q65" s="98">
        <f t="shared" si="15"/>
        <v>577596.30099999998</v>
      </c>
      <c r="R65" s="98">
        <f t="shared" si="16"/>
        <v>232490.10100000002</v>
      </c>
      <c r="S65" s="98">
        <f t="shared" si="17"/>
        <v>693841.35149999999</v>
      </c>
      <c r="T65" s="61">
        <f t="shared" si="18"/>
        <v>162017.28040000002</v>
      </c>
      <c r="U65" s="255">
        <f>'Passenger-based Energy Use'!$O64/'Passenger-based Energy Use'!O63*U64</f>
        <v>24684.646098988542</v>
      </c>
      <c r="X65">
        <f>X64+1</f>
        <v>2006</v>
      </c>
      <c r="Y65" s="4">
        <f>1690534+12049</f>
        <v>1702583</v>
      </c>
      <c r="Z65" s="320">
        <f t="shared" si="30"/>
        <v>1.57</v>
      </c>
      <c r="AA65" s="4">
        <v>1082490</v>
      </c>
      <c r="AB65" s="4">
        <f t="shared" si="8"/>
        <v>1082490</v>
      </c>
      <c r="AC65" s="320">
        <f t="shared" si="31"/>
        <v>1.7950000000000004</v>
      </c>
      <c r="AD65" s="4">
        <v>12049</v>
      </c>
      <c r="AE65" s="129">
        <f t="shared" si="27"/>
        <v>7.0768943423022545E-3</v>
      </c>
      <c r="AF65" s="4">
        <f t="shared" si="3"/>
        <v>1690534</v>
      </c>
      <c r="AG65" s="4">
        <f t="shared" si="4"/>
        <v>1690534</v>
      </c>
      <c r="AH65" s="4"/>
      <c r="AI65" s="4"/>
      <c r="AL65" s="4">
        <v>297631</v>
      </c>
      <c r="AM65" s="4">
        <f t="shared" si="26"/>
        <v>200417.56270970707</v>
      </c>
      <c r="AN65" s="4"/>
      <c r="AO65" s="4"/>
      <c r="AP65" s="4"/>
      <c r="AQ65" s="4"/>
      <c r="AR65" s="4"/>
      <c r="AS65" s="4"/>
      <c r="BD65" s="412">
        <f>0.5*BD64+0.5*BD66</f>
        <v>4038.15</v>
      </c>
      <c r="BF65" s="279">
        <v>515.72</v>
      </c>
      <c r="BG65" s="125">
        <f t="shared" si="28"/>
        <v>7.8301209958892422</v>
      </c>
    </row>
    <row r="66" spans="1:59" x14ac:dyDescent="0.2">
      <c r="A66" s="215">
        <v>2007</v>
      </c>
      <c r="B66" s="159">
        <f t="shared" si="5"/>
        <v>2625773.19</v>
      </c>
      <c r="C66" s="98">
        <f t="shared" si="6"/>
        <v>2013210.5100000005</v>
      </c>
      <c r="D66" s="98">
        <f t="shared" si="7"/>
        <v>23535.600000000002</v>
      </c>
      <c r="E66" s="780">
        <f>'Detailed data_Intercity buses'!E44</f>
        <v>65495.999999999993</v>
      </c>
      <c r="F66" s="361">
        <v>20976</v>
      </c>
      <c r="G66" s="361">
        <v>1502</v>
      </c>
      <c r="H66" s="778">
        <f>'Detailed data_School buses'!Y44*1000</f>
        <v>113601.60685962898</v>
      </c>
      <c r="I66" s="277">
        <v>11153</v>
      </c>
      <c r="J66" s="277">
        <v>16138</v>
      </c>
      <c r="K66" s="277">
        <v>1932</v>
      </c>
      <c r="L66" s="348">
        <f t="shared" si="32"/>
        <v>29223</v>
      </c>
      <c r="M66" s="277">
        <v>5784</v>
      </c>
      <c r="N66" s="348">
        <f>842006759/1000</f>
        <v>842006.75899999996</v>
      </c>
      <c r="O66" s="348">
        <v>595343.19400000002</v>
      </c>
      <c r="P66" s="267">
        <f t="shared" si="20"/>
        <v>0.7070527494423593</v>
      </c>
      <c r="Q66" s="98">
        <f t="shared" si="15"/>
        <v>595343.19400000002</v>
      </c>
      <c r="R66" s="98">
        <f t="shared" si="16"/>
        <v>246663.56499999994</v>
      </c>
      <c r="S66" s="98">
        <f t="shared" si="17"/>
        <v>718674.97649999999</v>
      </c>
      <c r="T66" s="61">
        <f t="shared" si="18"/>
        <v>168401.3518</v>
      </c>
      <c r="U66" s="255">
        <f>'Passenger-based Energy Use'!$O65/'Passenger-based Energy Use'!O64*U65</f>
        <v>23357.211245057366</v>
      </c>
      <c r="X66">
        <v>2007</v>
      </c>
      <c r="Y66" s="4">
        <f>2104416+21396</f>
        <v>2125812</v>
      </c>
      <c r="Z66" s="320">
        <f t="shared" si="30"/>
        <v>1.57</v>
      </c>
      <c r="AA66" s="4">
        <v>1112271</v>
      </c>
      <c r="AB66" s="4">
        <f t="shared" si="8"/>
        <v>1112271</v>
      </c>
      <c r="AC66" s="320">
        <f t="shared" si="31"/>
        <v>1.8100000000000005</v>
      </c>
      <c r="AD66" s="348">
        <v>21396</v>
      </c>
      <c r="AE66" s="129">
        <f t="shared" si="27"/>
        <v>1.0064859921761661E-2</v>
      </c>
      <c r="AF66" s="4">
        <v>1672467</v>
      </c>
      <c r="AG66" s="4">
        <f t="shared" si="4"/>
        <v>1672467</v>
      </c>
      <c r="AH66" s="4"/>
      <c r="AI66" s="4"/>
      <c r="AL66" s="4">
        <v>307753</v>
      </c>
      <c r="AM66" s="4">
        <f t="shared" si="26"/>
        <v>200073.60685962898</v>
      </c>
      <c r="AN66" s="4"/>
      <c r="AO66" s="4"/>
      <c r="AP66" s="4"/>
      <c r="AQ66" s="4"/>
      <c r="AR66" s="4"/>
      <c r="AS66" s="4"/>
      <c r="BD66">
        <v>4172.3</v>
      </c>
      <c r="BF66" s="279">
        <v>530.70000000000005</v>
      </c>
      <c r="BG66" s="125">
        <f t="shared" si="28"/>
        <v>7.8618805351422649</v>
      </c>
    </row>
    <row r="67" spans="1:59" x14ac:dyDescent="0.2">
      <c r="A67" s="215">
        <v>2008</v>
      </c>
      <c r="B67" s="159">
        <f t="shared" si="5"/>
        <v>2504645</v>
      </c>
      <c r="C67" s="98">
        <f t="shared" si="6"/>
        <v>2023195.0000000007</v>
      </c>
      <c r="D67" s="98">
        <f t="shared" si="7"/>
        <v>22892.100000000002</v>
      </c>
      <c r="E67" s="780">
        <f>'Detailed data_Intercity buses'!E45</f>
        <v>64750</v>
      </c>
      <c r="F67" s="361">
        <v>21757</v>
      </c>
      <c r="G67" s="361">
        <v>1412</v>
      </c>
      <c r="H67" s="778">
        <f>'Detailed data_School buses'!Y45*1000</f>
        <v>109272.13289129717</v>
      </c>
      <c r="I67" s="277">
        <v>11049</v>
      </c>
      <c r="J67" s="277">
        <v>16848</v>
      </c>
      <c r="K67" s="277">
        <v>2093</v>
      </c>
      <c r="L67" s="348">
        <f t="shared" si="32"/>
        <v>29990</v>
      </c>
      <c r="M67" s="277">
        <v>6179</v>
      </c>
      <c r="N67" s="348">
        <f>823782903/1000</f>
        <v>823782.90300000005</v>
      </c>
      <c r="O67" s="348">
        <v>570931.83900000004</v>
      </c>
      <c r="P67" s="267">
        <f t="shared" si="20"/>
        <v>0.69306104426398862</v>
      </c>
      <c r="Q67" s="98">
        <f t="shared" si="15"/>
        <v>570931.83900000004</v>
      </c>
      <c r="R67" s="98">
        <f t="shared" si="16"/>
        <v>252851.06400000001</v>
      </c>
      <c r="S67" s="98">
        <f t="shared" si="17"/>
        <v>697357.37100000004</v>
      </c>
      <c r="T67" s="61">
        <f t="shared" si="18"/>
        <v>164756.58060000002</v>
      </c>
      <c r="U67" s="255">
        <f>'Passenger-based Energy Use'!$O66/'Passenger-based Energy Use'!O65*U66</f>
        <v>25498.868315773121</v>
      </c>
      <c r="X67">
        <v>2008</v>
      </c>
      <c r="Y67" s="348">
        <f>2024757+20811</f>
        <v>2045568</v>
      </c>
      <c r="Z67" s="320">
        <v>1.55</v>
      </c>
      <c r="AA67" s="4">
        <v>1108600</v>
      </c>
      <c r="AB67" s="4">
        <f t="shared" si="8"/>
        <v>1108600</v>
      </c>
      <c r="AC67" s="320">
        <f t="shared" si="31"/>
        <v>1.8250000000000006</v>
      </c>
      <c r="AD67" s="348">
        <v>20811</v>
      </c>
      <c r="AE67" s="129">
        <f t="shared" si="27"/>
        <v>1.0173702365308804E-2</v>
      </c>
      <c r="AF67" s="4">
        <v>1615900</v>
      </c>
      <c r="AG67" s="4">
        <f t="shared" si="4"/>
        <v>1615900</v>
      </c>
      <c r="AH67" s="4"/>
      <c r="AI67" s="4"/>
      <c r="AL67" s="4">
        <v>314278</v>
      </c>
      <c r="AM67" s="4">
        <f t="shared" si="26"/>
        <v>195779.13289129717</v>
      </c>
      <c r="AN67" s="4"/>
      <c r="AO67" s="4"/>
      <c r="AP67" s="4"/>
      <c r="AQ67" s="4"/>
      <c r="AR67" s="4"/>
      <c r="AS67" s="4"/>
      <c r="BF67" s="279">
        <v>540.89</v>
      </c>
    </row>
    <row r="68" spans="1:59" x14ac:dyDescent="0.2">
      <c r="A68" s="215">
        <v>2009</v>
      </c>
      <c r="B68" s="159">
        <f t="shared" si="5"/>
        <v>2514324.8921891041</v>
      </c>
      <c r="C68" s="98">
        <f t="shared" si="6"/>
        <v>2031677.7139500324</v>
      </c>
      <c r="D68" s="98">
        <f t="shared" si="7"/>
        <v>22904.2</v>
      </c>
      <c r="E68" s="780">
        <f>'Detailed data_Intercity buses'!E46</f>
        <v>64600</v>
      </c>
      <c r="F68" s="361">
        <v>21477</v>
      </c>
      <c r="G68" s="361">
        <v>1477</v>
      </c>
      <c r="H68" s="778">
        <f>'Detailed data_School buses'!Y46*1000</f>
        <v>112313.37452179336</v>
      </c>
      <c r="I68" s="277">
        <v>11232</v>
      </c>
      <c r="J68" s="277">
        <v>16805</v>
      </c>
      <c r="K68" s="277">
        <v>2199</v>
      </c>
      <c r="L68" s="348">
        <f t="shared" si="32"/>
        <v>30236</v>
      </c>
      <c r="M68" s="277">
        <v>5914</v>
      </c>
      <c r="N68" s="348">
        <f>779996828/1000</f>
        <v>779996.82799999998</v>
      </c>
      <c r="O68" s="348">
        <v>541653.39399999997</v>
      </c>
      <c r="P68" s="267">
        <f t="shared" si="20"/>
        <v>0.69443025222148724</v>
      </c>
      <c r="Q68" s="98">
        <f t="shared" si="15"/>
        <v>541653.39399999997</v>
      </c>
      <c r="R68" s="98">
        <f t="shared" si="16"/>
        <v>238343.43400000001</v>
      </c>
      <c r="S68" s="98">
        <f t="shared" si="17"/>
        <v>660825.11100000003</v>
      </c>
      <c r="T68" s="61">
        <f t="shared" si="18"/>
        <v>155999.36559999999</v>
      </c>
      <c r="U68" s="255">
        <f>'Passenger-based Energy Use'!$O67/'Passenger-based Energy Use'!O66*U67</f>
        <v>20182.00057224412</v>
      </c>
      <c r="X68">
        <v>2009</v>
      </c>
      <c r="Y68" s="4">
        <f>2013436+20800</f>
        <v>2034236</v>
      </c>
      <c r="Z68" s="320">
        <v>1.55</v>
      </c>
      <c r="AA68" s="4">
        <v>1066500</v>
      </c>
      <c r="AB68" s="516">
        <f>Passenger_vehicles!D63*1000</f>
        <v>1104172.6706250175</v>
      </c>
      <c r="AC68" s="474">
        <v>1.84</v>
      </c>
      <c r="AD68" s="4">
        <v>20822</v>
      </c>
      <c r="AE68" s="129">
        <f t="shared" si="27"/>
        <v>1.0235783852021103E-2</v>
      </c>
      <c r="AF68" s="4">
        <v>1566800</v>
      </c>
      <c r="AG68" s="516">
        <f>Passenger_vehicles!C63*1000</f>
        <v>1622145.091734906</v>
      </c>
      <c r="AH68" s="4"/>
      <c r="AI68" s="4"/>
      <c r="AL68" s="4">
        <v>305014</v>
      </c>
      <c r="AM68" s="4">
        <f t="shared" si="26"/>
        <v>198390.37452179336</v>
      </c>
      <c r="AN68" s="4"/>
      <c r="AO68" s="5">
        <f>601.3*AR68</f>
        <v>544.86119531307565</v>
      </c>
      <c r="AP68" s="5">
        <f>69.3*AR68</f>
        <v>62.795411334103022</v>
      </c>
      <c r="AQ68" s="5">
        <f>2150*AR68</f>
        <v>1948.1981871330663</v>
      </c>
      <c r="AR68" s="50">
        <f>36888/40709</f>
        <v>0.90613869168979833</v>
      </c>
      <c r="AS68" s="5">
        <v>6.1</v>
      </c>
      <c r="BF68" s="279">
        <v>556</v>
      </c>
    </row>
    <row r="69" spans="1:59" x14ac:dyDescent="0.2">
      <c r="A69" s="215">
        <v>2010</v>
      </c>
      <c r="B69" s="159">
        <f t="shared" si="5"/>
        <v>2506782.5594131993</v>
      </c>
      <c r="C69" s="98">
        <f t="shared" si="6"/>
        <v>2067872.6286851945</v>
      </c>
      <c r="D69" s="98">
        <f t="shared" si="7"/>
        <v>20364.300000000003</v>
      </c>
      <c r="E69" s="780">
        <f>'Detailed data_Intercity buses'!E47</f>
        <v>62523.569726596084</v>
      </c>
      <c r="F69" s="361">
        <v>21013</v>
      </c>
      <c r="G69" s="361">
        <v>1494</v>
      </c>
      <c r="H69" s="778">
        <f>'Detailed data_School buses'!Y47*1000</f>
        <v>109319.20309357041</v>
      </c>
      <c r="I69" s="277">
        <v>10874</v>
      </c>
      <c r="J69" s="277">
        <v>16407</v>
      </c>
      <c r="K69" s="277">
        <v>2173</v>
      </c>
      <c r="L69" s="348">
        <f t="shared" si="32"/>
        <v>29454</v>
      </c>
      <c r="M69" s="277">
        <v>6420</v>
      </c>
      <c r="N69" s="348">
        <f>809051358/1000</f>
        <v>809051.35800000001</v>
      </c>
      <c r="O69" s="348">
        <v>555667.85100000002</v>
      </c>
      <c r="P69" s="267">
        <f t="shared" si="20"/>
        <v>0.68681406378654153</v>
      </c>
      <c r="Q69" s="98">
        <f t="shared" si="15"/>
        <v>555667.85100000002</v>
      </c>
      <c r="R69" s="98">
        <f t="shared" si="16"/>
        <v>253383.50699999998</v>
      </c>
      <c r="S69" s="98">
        <f t="shared" si="17"/>
        <v>682359.60450000002</v>
      </c>
      <c r="T69" s="61">
        <f t="shared" si="18"/>
        <v>161810.27160000001</v>
      </c>
      <c r="U69" s="255">
        <f>'Passenger-based Energy Use'!$O68/'Passenger-based Energy Use'!O67*U68</f>
        <v>21305.106079572943</v>
      </c>
      <c r="X69">
        <v>2010</v>
      </c>
      <c r="Y69" s="4"/>
      <c r="Z69" s="320">
        <v>1.55</v>
      </c>
      <c r="AA69" s="4">
        <v>1085500</v>
      </c>
      <c r="AB69" s="516">
        <f>Passenger_vehicles!D64*1000</f>
        <v>1123843.8199376056</v>
      </c>
      <c r="AC69" s="474">
        <v>1.84</v>
      </c>
      <c r="AD69" s="4">
        <v>18513</v>
      </c>
      <c r="AE69" s="129" t="s">
        <v>325</v>
      </c>
      <c r="AF69" s="4">
        <v>1562100</v>
      </c>
      <c r="AG69" s="516">
        <f>Passenger_vehicles!C64*1000</f>
        <v>1617279.0705891608</v>
      </c>
      <c r="AH69" s="4"/>
      <c r="AI69" s="4"/>
      <c r="AL69" s="4">
        <v>291914</v>
      </c>
      <c r="AM69" s="4">
        <f t="shared" si="26"/>
        <v>192855.77282016649</v>
      </c>
      <c r="AN69" s="4"/>
      <c r="AO69" s="5">
        <f>627*AR69</f>
        <v>562.58336862559474</v>
      </c>
      <c r="AP69" s="5">
        <f>76.2*AR69</f>
        <v>68.371375899952668</v>
      </c>
      <c r="AQ69" s="5">
        <f>2170*AR69</f>
        <v>1947.0588674920903</v>
      </c>
      <c r="AR69" s="50">
        <f>36017/40141</f>
        <v>0.89726215091801398</v>
      </c>
      <c r="AS69" s="125">
        <v>6.3</v>
      </c>
      <c r="AT69" s="125">
        <f>2.17/345*1000</f>
        <v>6.2898550724637676</v>
      </c>
      <c r="BF69" s="279">
        <v>532.15</v>
      </c>
    </row>
    <row r="70" spans="1:59" x14ac:dyDescent="0.2">
      <c r="A70" s="215">
        <v>2011</v>
      </c>
      <c r="B70" s="159">
        <f t="shared" si="5"/>
        <v>2505819.70842053</v>
      </c>
      <c r="C70" s="98">
        <f t="shared" si="6"/>
        <v>2067110.6304802438</v>
      </c>
      <c r="D70" s="98">
        <f t="shared" si="7"/>
        <v>20396.2</v>
      </c>
      <c r="E70" s="780">
        <f>'Detailed data_Intercity buses'!E48</f>
        <v>68371.375899952662</v>
      </c>
      <c r="F70" s="361">
        <v>21414</v>
      </c>
      <c r="G70" s="361">
        <v>1580</v>
      </c>
      <c r="H70" s="778">
        <f>'Detailed data_School buses'!Y48*1000</f>
        <v>101858.87089622582</v>
      </c>
      <c r="I70" s="277">
        <v>11427</v>
      </c>
      <c r="J70" s="277">
        <v>17317</v>
      </c>
      <c r="K70" s="277">
        <v>2203</v>
      </c>
      <c r="L70" s="348">
        <f t="shared" si="32"/>
        <v>30947</v>
      </c>
      <c r="M70" s="277">
        <v>6670</v>
      </c>
      <c r="N70" s="348">
        <v>825916</v>
      </c>
      <c r="O70" s="348">
        <v>566622</v>
      </c>
      <c r="P70" s="267">
        <f t="shared" si="20"/>
        <v>0.68605281893073877</v>
      </c>
      <c r="Q70" s="98">
        <f t="shared" si="15"/>
        <v>566622</v>
      </c>
      <c r="R70" s="98">
        <f t="shared" si="16"/>
        <v>259294</v>
      </c>
      <c r="S70" s="98">
        <f t="shared" si="17"/>
        <v>696269</v>
      </c>
      <c r="T70" s="61">
        <f t="shared" si="18"/>
        <v>165183.20000000001</v>
      </c>
      <c r="U70" s="255">
        <f>'Passenger-based Energy Use'!$O69/'Passenger-based Energy Use'!O68*U69</f>
        <v>21874.933163485206</v>
      </c>
      <c r="X70">
        <v>2011</v>
      </c>
      <c r="Y70" s="4"/>
      <c r="Z70" s="320">
        <v>1.55</v>
      </c>
      <c r="AA70" s="4">
        <v>1085100</v>
      </c>
      <c r="AB70" s="516">
        <f>Passenger_vehicles!D65*1000</f>
        <v>1123429.6904783933</v>
      </c>
      <c r="AC70" s="474">
        <v>1.84</v>
      </c>
      <c r="AD70" s="4">
        <v>18542</v>
      </c>
      <c r="AE70" s="129" t="s">
        <v>325</v>
      </c>
      <c r="AF70" s="4">
        <v>1561500</v>
      </c>
      <c r="AG70" s="516">
        <f>Passenger_vehicles!C65*1000</f>
        <v>1616657.876400342</v>
      </c>
      <c r="AH70" s="4"/>
      <c r="AI70" s="4"/>
      <c r="AL70" s="4">
        <v>292192</v>
      </c>
      <c r="AM70" s="4">
        <f t="shared" si="26"/>
        <v>191644.24679617849</v>
      </c>
      <c r="AN70" s="4"/>
      <c r="AS70" s="279"/>
      <c r="BF70" s="279">
        <v>532.15</v>
      </c>
    </row>
    <row r="71" spans="1:59" x14ac:dyDescent="0.2">
      <c r="A71" s="215">
        <v>2012</v>
      </c>
      <c r="B71" s="98"/>
      <c r="C71" s="98"/>
      <c r="D71" s="98"/>
      <c r="E71" s="780">
        <f>'Detailed data_Intercity buses'!E49</f>
        <v>67571.333350165369</v>
      </c>
      <c r="F71" s="361">
        <v>22089</v>
      </c>
      <c r="G71" s="361"/>
      <c r="H71" s="251"/>
      <c r="I71" s="277"/>
      <c r="J71" s="277"/>
      <c r="K71" s="277"/>
      <c r="L71" s="348"/>
      <c r="M71" s="277"/>
      <c r="N71" s="348">
        <v>832712</v>
      </c>
      <c r="O71" s="348"/>
      <c r="P71" s="267"/>
      <c r="Q71" s="98"/>
      <c r="R71" s="98"/>
      <c r="S71" s="98"/>
      <c r="T71" s="61"/>
      <c r="U71" s="255"/>
      <c r="Y71" s="4"/>
      <c r="Z71" s="320"/>
      <c r="AA71" s="4"/>
      <c r="AB71" s="50"/>
      <c r="AC71" s="474"/>
      <c r="AE71" s="129"/>
      <c r="AF71" s="4"/>
      <c r="AG71" s="4"/>
      <c r="AH71" s="4"/>
      <c r="AI71" s="4"/>
      <c r="AL71" s="4"/>
      <c r="AM71" s="4"/>
      <c r="AN71" s="4"/>
      <c r="AO71" s="4"/>
      <c r="AP71" s="4"/>
      <c r="AQ71" s="4"/>
      <c r="AR71" s="4"/>
      <c r="AS71" s="4"/>
    </row>
    <row r="72" spans="1:59" x14ac:dyDescent="0.2">
      <c r="A72" s="215">
        <v>2013</v>
      </c>
      <c r="B72" s="98"/>
      <c r="C72" s="98"/>
      <c r="D72" s="98"/>
      <c r="E72" s="251"/>
      <c r="F72" s="361"/>
      <c r="G72" s="361"/>
      <c r="H72" s="251"/>
      <c r="I72" s="277"/>
      <c r="J72" s="277"/>
      <c r="K72" s="277"/>
      <c r="L72" s="348"/>
      <c r="M72" s="277"/>
      <c r="N72" s="348"/>
      <c r="O72" s="348"/>
      <c r="P72" s="267"/>
      <c r="Q72" s="98"/>
      <c r="R72" s="98"/>
      <c r="S72" s="98"/>
      <c r="T72" s="61"/>
      <c r="U72" s="255"/>
      <c r="Y72" s="4"/>
      <c r="Z72" s="320"/>
      <c r="AA72" s="4"/>
      <c r="AB72" s="50"/>
      <c r="AC72" s="474"/>
      <c r="AE72" s="129"/>
      <c r="AF72" s="4"/>
      <c r="AG72" s="4"/>
      <c r="AH72" s="4"/>
      <c r="AI72" s="4"/>
      <c r="AL72" s="4"/>
      <c r="AM72" s="4"/>
      <c r="AN72" s="4"/>
      <c r="AO72" s="4"/>
      <c r="AP72" s="4"/>
      <c r="AQ72" s="4"/>
      <c r="AR72" s="4"/>
      <c r="AS72" s="4"/>
      <c r="BD72">
        <v>3703</v>
      </c>
      <c r="BE72" s="4">
        <v>28784331</v>
      </c>
      <c r="BF72" t="s">
        <v>1262</v>
      </c>
    </row>
    <row r="73" spans="1:59" x14ac:dyDescent="0.2">
      <c r="A73" s="215"/>
      <c r="B73" s="98"/>
      <c r="C73" s="98"/>
      <c r="D73" s="98"/>
      <c r="E73" s="251"/>
      <c r="F73" s="361"/>
      <c r="G73" s="361"/>
      <c r="H73" s="251"/>
      <c r="I73" s="277"/>
      <c r="J73" s="277"/>
      <c r="K73" s="277"/>
      <c r="L73" s="348"/>
      <c r="M73" s="277"/>
      <c r="N73" s="348"/>
      <c r="O73" s="348"/>
      <c r="P73" s="267"/>
      <c r="Q73" s="98"/>
      <c r="R73" s="98"/>
      <c r="S73" s="98"/>
      <c r="T73" s="61"/>
      <c r="U73" s="255"/>
      <c r="Y73" s="4"/>
      <c r="Z73" s="320"/>
      <c r="AA73" s="4"/>
      <c r="AB73" s="50"/>
      <c r="AC73" s="474"/>
      <c r="AE73" s="129"/>
      <c r="AF73" s="4"/>
      <c r="AG73" s="4"/>
      <c r="AH73" s="4"/>
      <c r="AI73" s="4"/>
      <c r="AL73" s="4"/>
      <c r="AM73" s="4"/>
      <c r="AN73" s="4"/>
      <c r="AO73" s="4"/>
      <c r="AP73" s="4"/>
      <c r="AQ73" s="4"/>
      <c r="AR73" s="4"/>
      <c r="AS73" s="4"/>
    </row>
    <row r="74" spans="1:59" ht="14.25" x14ac:dyDescent="0.2">
      <c r="B74" s="207" t="s">
        <v>632</v>
      </c>
      <c r="C74" s="61"/>
      <c r="D74" s="61"/>
      <c r="E74" s="4"/>
      <c r="F74" s="50"/>
      <c r="G74" s="50"/>
      <c r="H74" s="4"/>
      <c r="I74" s="4"/>
      <c r="J74" s="303"/>
      <c r="K74" s="4"/>
      <c r="L74" s="4"/>
      <c r="M74" s="265"/>
      <c r="N74" s="265"/>
      <c r="O74" s="348">
        <v>566620.049</v>
      </c>
      <c r="P74" s="265"/>
      <c r="Q74" s="265"/>
      <c r="R74" s="265"/>
      <c r="S74" s="265"/>
      <c r="T74" s="265"/>
      <c r="U74" s="4"/>
      <c r="V74" s="4"/>
      <c r="AB74" s="556" t="s">
        <v>1154</v>
      </c>
      <c r="AC74" s="136">
        <f>(AC68-AC60)/8</f>
        <v>1.5000000000000013E-2</v>
      </c>
      <c r="BD74" t="s">
        <v>282</v>
      </c>
    </row>
    <row r="75" spans="1:59" x14ac:dyDescent="0.2">
      <c r="B75" s="36"/>
      <c r="C75" s="61"/>
      <c r="D75" s="61"/>
      <c r="E75" s="4"/>
      <c r="F75" s="50"/>
      <c r="G75" s="50"/>
      <c r="H75" s="4"/>
      <c r="I75" s="4"/>
      <c r="J75" s="4"/>
      <c r="K75" s="4"/>
      <c r="L75" s="4"/>
      <c r="M75" s="4"/>
      <c r="N75" s="4"/>
      <c r="O75" s="4"/>
      <c r="P75" s="4"/>
      <c r="Q75" s="4"/>
      <c r="R75" s="4"/>
      <c r="S75" s="4"/>
      <c r="T75" s="4"/>
      <c r="U75" s="4"/>
      <c r="V75" s="4"/>
      <c r="AE75" s="373" t="s">
        <v>613</v>
      </c>
      <c r="AF75" s="373"/>
      <c r="AG75" s="373"/>
      <c r="AH75" s="373"/>
      <c r="AI75" s="373"/>
      <c r="AJ75" s="373"/>
      <c r="AK75" s="373"/>
      <c r="AL75" s="373"/>
      <c r="AM75" s="373"/>
      <c r="AN75" s="373"/>
      <c r="AO75" s="373"/>
      <c r="AP75" s="373"/>
      <c r="AQ75" s="373"/>
      <c r="AR75" s="373"/>
      <c r="AS75" s="373"/>
    </row>
    <row r="76" spans="1:59" x14ac:dyDescent="0.2">
      <c r="B76" s="207" t="s">
        <v>334</v>
      </c>
      <c r="C76" s="36"/>
      <c r="D76" s="36"/>
      <c r="Z76" s="136"/>
    </row>
    <row r="77" spans="1:59" x14ac:dyDescent="0.2">
      <c r="B77" s="569" t="s">
        <v>1195</v>
      </c>
      <c r="C77" s="36"/>
      <c r="D77" s="36"/>
      <c r="Y77" s="556" t="s">
        <v>1243</v>
      </c>
      <c r="Z77" s="136">
        <f>Z70/Z44</f>
        <v>0.8893442622950819</v>
      </c>
      <c r="AC77" s="136">
        <f>AC70/AC44</f>
        <v>0.99844961240310071</v>
      </c>
      <c r="BC77" t="s">
        <v>61</v>
      </c>
    </row>
    <row r="78" spans="1:59" x14ac:dyDescent="0.2">
      <c r="B78" s="36" t="s">
        <v>780</v>
      </c>
      <c r="C78" s="36"/>
      <c r="D78" s="36"/>
      <c r="BC78" t="s">
        <v>57</v>
      </c>
      <c r="BD78">
        <f>92337309/483247</f>
        <v>191.07683855254146</v>
      </c>
    </row>
    <row r="79" spans="1:59" x14ac:dyDescent="0.2">
      <c r="B79" s="143" t="s">
        <v>203</v>
      </c>
      <c r="C79" s="36"/>
      <c r="D79" s="36"/>
      <c r="BC79" t="s">
        <v>58</v>
      </c>
      <c r="BD79">
        <f>55281208/283040</f>
        <v>195.31235161107972</v>
      </c>
    </row>
    <row r="80" spans="1:59" x14ac:dyDescent="0.2">
      <c r="B80" s="264"/>
      <c r="C80" s="264" t="s">
        <v>1208</v>
      </c>
      <c r="H80" t="s">
        <v>1216</v>
      </c>
      <c r="BC80" t="s">
        <v>59</v>
      </c>
      <c r="BD80">
        <f>26102311/102606</f>
        <v>254.39361245931036</v>
      </c>
    </row>
    <row r="81" spans="2:58" x14ac:dyDescent="0.2">
      <c r="B81" s="569" t="s">
        <v>1156</v>
      </c>
      <c r="C81" s="36"/>
      <c r="D81" s="36"/>
    </row>
    <row r="82" spans="2:58" x14ac:dyDescent="0.2">
      <c r="B82" s="36"/>
      <c r="C82" s="36"/>
      <c r="D82" s="569" t="s">
        <v>1196</v>
      </c>
      <c r="BC82" t="s">
        <v>62</v>
      </c>
      <c r="BE82">
        <v>22347109</v>
      </c>
    </row>
    <row r="83" spans="2:58" x14ac:dyDescent="0.2">
      <c r="B83" s="571" t="s">
        <v>1214</v>
      </c>
      <c r="C83" s="36"/>
      <c r="D83" s="36"/>
      <c r="BC83" t="s">
        <v>64</v>
      </c>
      <c r="BE83">
        <v>270</v>
      </c>
    </row>
    <row r="84" spans="2:58" x14ac:dyDescent="0.2">
      <c r="B84" s="143" t="s">
        <v>204</v>
      </c>
      <c r="C84" s="36"/>
      <c r="D84" s="36" t="s">
        <v>1203</v>
      </c>
      <c r="E84" t="s">
        <v>202</v>
      </c>
      <c r="F84" s="264" t="s">
        <v>1211</v>
      </c>
      <c r="G84" s="264"/>
      <c r="Q84" t="s">
        <v>1199</v>
      </c>
      <c r="BC84" t="s">
        <v>63</v>
      </c>
      <c r="BE84">
        <v>1</v>
      </c>
    </row>
    <row r="85" spans="2:58" x14ac:dyDescent="0.2">
      <c r="B85" s="143" t="s">
        <v>205</v>
      </c>
      <c r="C85" s="36"/>
      <c r="D85" s="36" t="s">
        <v>1204</v>
      </c>
      <c r="E85" t="s">
        <v>202</v>
      </c>
      <c r="F85" s="264" t="s">
        <v>1211</v>
      </c>
      <c r="G85" s="264"/>
      <c r="Q85" t="s">
        <v>1200</v>
      </c>
      <c r="BE85">
        <f>BE82*BE83</f>
        <v>6033719430</v>
      </c>
    </row>
    <row r="86" spans="2:58" x14ac:dyDescent="0.2">
      <c r="B86" s="143"/>
      <c r="C86" s="36"/>
      <c r="D86" s="36"/>
      <c r="E86" t="s">
        <v>1217</v>
      </c>
      <c r="F86" s="264"/>
      <c r="G86" s="264"/>
    </row>
    <row r="87" spans="2:58" x14ac:dyDescent="0.2">
      <c r="B87" s="496" t="s">
        <v>1215</v>
      </c>
      <c r="C87" s="36"/>
      <c r="D87" s="36"/>
      <c r="F87" s="264"/>
      <c r="G87" s="264"/>
    </row>
    <row r="88" spans="2:58" x14ac:dyDescent="0.2">
      <c r="B88" s="496" t="s">
        <v>204</v>
      </c>
      <c r="C88" s="36"/>
      <c r="D88" s="36" t="s">
        <v>1203</v>
      </c>
      <c r="E88" s="556" t="s">
        <v>1071</v>
      </c>
      <c r="F88" s="264"/>
      <c r="G88" s="264"/>
    </row>
    <row r="89" spans="2:58" x14ac:dyDescent="0.2">
      <c r="B89" s="143" t="s">
        <v>205</v>
      </c>
      <c r="C89" s="36"/>
      <c r="D89" s="36" t="s">
        <v>1204</v>
      </c>
      <c r="E89" s="556" t="s">
        <v>1072</v>
      </c>
      <c r="F89" s="264"/>
      <c r="G89" s="264"/>
    </row>
    <row r="90" spans="2:58" x14ac:dyDescent="0.2">
      <c r="B90" s="143"/>
      <c r="C90" s="36"/>
      <c r="D90" s="36"/>
      <c r="E90" s="556"/>
      <c r="F90" s="264"/>
      <c r="G90" s="264"/>
    </row>
    <row r="91" spans="2:58" x14ac:dyDescent="0.2">
      <c r="B91" s="496" t="s">
        <v>1201</v>
      </c>
      <c r="C91" s="36"/>
      <c r="D91" s="36"/>
      <c r="E91" s="556"/>
      <c r="F91" s="264"/>
      <c r="G91" s="264"/>
    </row>
    <row r="92" spans="2:58" x14ac:dyDescent="0.2">
      <c r="B92" s="496" t="s">
        <v>204</v>
      </c>
      <c r="C92" s="36"/>
      <c r="D92" s="36" t="s">
        <v>1203</v>
      </c>
      <c r="E92" s="556" t="s">
        <v>1202</v>
      </c>
      <c r="F92" s="264"/>
      <c r="G92" s="264"/>
    </row>
    <row r="93" spans="2:58" x14ac:dyDescent="0.2">
      <c r="B93" s="143" t="s">
        <v>205</v>
      </c>
      <c r="C93" s="36"/>
      <c r="D93" s="36" t="s">
        <v>1204</v>
      </c>
      <c r="E93" s="556" t="s">
        <v>1202</v>
      </c>
      <c r="F93" s="264"/>
      <c r="G93" s="264"/>
      <c r="BE93">
        <f>BE85*0.000001</f>
        <v>6033.7194300000001</v>
      </c>
      <c r="BF93" t="s">
        <v>68</v>
      </c>
    </row>
    <row r="94" spans="2:58" x14ac:dyDescent="0.2">
      <c r="B94" s="143"/>
      <c r="C94" s="36"/>
    </row>
    <row r="95" spans="2:58" x14ac:dyDescent="0.2">
      <c r="B95" s="207" t="s">
        <v>81</v>
      </c>
      <c r="C95" s="36"/>
      <c r="D95" s="36"/>
    </row>
    <row r="96" spans="2:58" x14ac:dyDescent="0.2">
      <c r="B96" s="639" t="s">
        <v>1212</v>
      </c>
      <c r="D96" s="36" t="s">
        <v>1205</v>
      </c>
      <c r="E96" s="36" t="s">
        <v>971</v>
      </c>
      <c r="F96" s="36"/>
      <c r="G96" s="36"/>
      <c r="I96" s="264" t="s">
        <v>1211</v>
      </c>
    </row>
    <row r="97" spans="2:58" x14ac:dyDescent="0.2">
      <c r="B97" t="s">
        <v>1209</v>
      </c>
      <c r="E97" s="321" t="s">
        <v>1207</v>
      </c>
    </row>
    <row r="98" spans="2:58" x14ac:dyDescent="0.2">
      <c r="B98" t="s">
        <v>1210</v>
      </c>
      <c r="E98" s="321" t="s">
        <v>1208</v>
      </c>
    </row>
    <row r="99" spans="2:58" x14ac:dyDescent="0.2">
      <c r="E99" s="571" t="s">
        <v>1238</v>
      </c>
    </row>
    <row r="102" spans="2:58" x14ac:dyDescent="0.2">
      <c r="B102" s="207" t="s">
        <v>533</v>
      </c>
      <c r="C102" s="36"/>
      <c r="D102" s="36"/>
      <c r="E102" s="264"/>
    </row>
    <row r="103" spans="2:58" x14ac:dyDescent="0.2">
      <c r="B103" s="209" t="s">
        <v>552</v>
      </c>
      <c r="C103" s="36"/>
      <c r="D103" s="36"/>
      <c r="BC103" t="s">
        <v>65</v>
      </c>
    </row>
    <row r="104" spans="2:58" x14ac:dyDescent="0.2">
      <c r="B104" s="208" t="s">
        <v>781</v>
      </c>
      <c r="C104" s="36"/>
      <c r="D104" s="36"/>
      <c r="BC104" t="s">
        <v>66</v>
      </c>
      <c r="BE104">
        <v>4172257584</v>
      </c>
    </row>
    <row r="105" spans="2:58" x14ac:dyDescent="0.2">
      <c r="B105" s="569" t="s">
        <v>1424</v>
      </c>
      <c r="C105" s="571" t="s">
        <v>1425</v>
      </c>
      <c r="M105" s="264" t="s">
        <v>1426</v>
      </c>
      <c r="P105" s="305"/>
    </row>
    <row r="106" spans="2:58" x14ac:dyDescent="0.2">
      <c r="B106" s="143"/>
      <c r="C106" s="571" t="s">
        <v>1427</v>
      </c>
      <c r="D106" s="569"/>
      <c r="E106" s="36"/>
      <c r="BC106" t="s">
        <v>67</v>
      </c>
      <c r="BE106">
        <v>20</v>
      </c>
    </row>
    <row r="107" spans="2:58" x14ac:dyDescent="0.2">
      <c r="B107" s="785"/>
      <c r="C107" s="569"/>
      <c r="D107" s="36"/>
      <c r="L107" s="305"/>
      <c r="BE107">
        <f>BE104*BE106*0.000001</f>
        <v>83445.151679999995</v>
      </c>
      <c r="BF107" t="s">
        <v>69</v>
      </c>
    </row>
    <row r="108" spans="2:58" x14ac:dyDescent="0.2">
      <c r="B108" s="362" t="s">
        <v>416</v>
      </c>
      <c r="C108" s="36"/>
      <c r="D108" s="36"/>
      <c r="H108" s="264"/>
      <c r="K108" s="305"/>
    </row>
    <row r="109" spans="2:58" x14ac:dyDescent="0.2">
      <c r="B109" s="36" t="s">
        <v>625</v>
      </c>
      <c r="C109" s="36"/>
      <c r="D109" s="36"/>
    </row>
    <row r="111" spans="2:58" x14ac:dyDescent="0.2">
      <c r="B111" s="781" t="s">
        <v>534</v>
      </c>
    </row>
    <row r="112" spans="2:58" x14ac:dyDescent="0.2">
      <c r="B112" s="556" t="s">
        <v>1360</v>
      </c>
    </row>
    <row r="115" spans="2:13" x14ac:dyDescent="0.2">
      <c r="B115" s="782" t="s">
        <v>563</v>
      </c>
      <c r="C115" s="36"/>
      <c r="D115" s="36"/>
    </row>
    <row r="116" spans="2:13" x14ac:dyDescent="0.2">
      <c r="B116" s="556" t="s">
        <v>1361</v>
      </c>
    </row>
    <row r="117" spans="2:13" x14ac:dyDescent="0.2">
      <c r="B117" s="208"/>
      <c r="C117" s="36"/>
      <c r="D117" s="36"/>
    </row>
    <row r="118" spans="2:13" x14ac:dyDescent="0.2">
      <c r="B118" s="143"/>
      <c r="C118" s="143"/>
      <c r="D118" s="36"/>
      <c r="K118" s="264"/>
    </row>
    <row r="119" spans="2:13" x14ac:dyDescent="0.2">
      <c r="B119" s="143"/>
      <c r="C119" s="36"/>
      <c r="D119" s="36"/>
      <c r="K119" s="264"/>
    </row>
    <row r="120" spans="2:13" x14ac:dyDescent="0.2">
      <c r="B120" s="117" t="s">
        <v>442</v>
      </c>
      <c r="C120" s="36"/>
      <c r="D120" s="36"/>
      <c r="K120" s="264"/>
    </row>
    <row r="121" spans="2:13" x14ac:dyDescent="0.2">
      <c r="B121" s="571" t="s">
        <v>1074</v>
      </c>
      <c r="C121" s="36" t="s">
        <v>1075</v>
      </c>
      <c r="D121" s="36"/>
      <c r="J121" s="264" t="s">
        <v>1073</v>
      </c>
      <c r="M121" s="305"/>
    </row>
    <row r="122" spans="2:13" x14ac:dyDescent="0.2">
      <c r="B122" s="143" t="s">
        <v>429</v>
      </c>
      <c r="C122" s="36"/>
      <c r="D122" s="36"/>
    </row>
    <row r="123" spans="2:13" x14ac:dyDescent="0.2">
      <c r="K123" s="264"/>
    </row>
    <row r="124" spans="2:13" x14ac:dyDescent="0.2">
      <c r="B124" s="143"/>
      <c r="C124" s="36"/>
      <c r="D124" s="36"/>
      <c r="K124" s="264"/>
    </row>
    <row r="125" spans="2:13" x14ac:dyDescent="0.2">
      <c r="B125" s="207" t="s">
        <v>335</v>
      </c>
      <c r="C125" s="36"/>
      <c r="D125" s="36"/>
    </row>
    <row r="126" spans="2:13" x14ac:dyDescent="0.2">
      <c r="B126" s="36" t="s">
        <v>1</v>
      </c>
      <c r="C126" s="36"/>
      <c r="D126" s="36"/>
    </row>
    <row r="127" spans="2:13" x14ac:dyDescent="0.2">
      <c r="B127" s="36" t="s">
        <v>324</v>
      </c>
      <c r="C127" s="36"/>
      <c r="D127" s="36"/>
    </row>
    <row r="128" spans="2:13" x14ac:dyDescent="0.2">
      <c r="B128" s="36" t="s">
        <v>638</v>
      </c>
      <c r="C128" s="36"/>
      <c r="D128" s="36"/>
    </row>
    <row r="129" spans="2:13" x14ac:dyDescent="0.2">
      <c r="B129" s="569" t="s">
        <v>1056</v>
      </c>
      <c r="C129" s="569" t="s">
        <v>1078</v>
      </c>
      <c r="D129" s="36"/>
    </row>
    <row r="130" spans="2:13" x14ac:dyDescent="0.2">
      <c r="B130" s="262"/>
      <c r="C130" s="36" t="s">
        <v>361</v>
      </c>
      <c r="D130" s="36"/>
      <c r="E130" s="264" t="s">
        <v>362</v>
      </c>
      <c r="K130" s="556" t="s">
        <v>987</v>
      </c>
    </row>
    <row r="131" spans="2:13" x14ac:dyDescent="0.2">
      <c r="B131" s="36" t="s">
        <v>2</v>
      </c>
      <c r="C131" s="36"/>
      <c r="D131" s="36"/>
    </row>
    <row r="132" spans="2:13" x14ac:dyDescent="0.2">
      <c r="B132">
        <v>2011</v>
      </c>
      <c r="C132" t="s">
        <v>1079</v>
      </c>
    </row>
    <row r="133" spans="2:13" x14ac:dyDescent="0.2">
      <c r="B133" s="36"/>
      <c r="C133" s="36"/>
      <c r="D133" s="36"/>
    </row>
    <row r="134" spans="2:13" x14ac:dyDescent="0.2">
      <c r="B134" s="207" t="s">
        <v>98</v>
      </c>
      <c r="C134" s="36"/>
      <c r="D134" s="36"/>
    </row>
    <row r="135" spans="2:13" x14ac:dyDescent="0.2">
      <c r="B135" s="208" t="s">
        <v>7</v>
      </c>
      <c r="C135" s="36"/>
      <c r="D135" s="36"/>
    </row>
    <row r="136" spans="2:13" x14ac:dyDescent="0.2">
      <c r="B136" s="571" t="s">
        <v>1076</v>
      </c>
      <c r="C136" s="36"/>
      <c r="D136" s="36"/>
      <c r="M136" s="264" t="s">
        <v>1073</v>
      </c>
    </row>
    <row r="137" spans="2:13" x14ac:dyDescent="0.2">
      <c r="B137" s="143" t="s">
        <v>547</v>
      </c>
      <c r="C137" s="36"/>
      <c r="D137" s="569" t="s">
        <v>1218</v>
      </c>
      <c r="E137" s="36"/>
    </row>
    <row r="138" spans="2:13" x14ac:dyDescent="0.2">
      <c r="B138" s="304"/>
      <c r="C138" s="36"/>
      <c r="D138" s="36"/>
    </row>
    <row r="139" spans="2:13" x14ac:dyDescent="0.2">
      <c r="B139" s="207" t="s">
        <v>545</v>
      </c>
      <c r="C139" s="36"/>
      <c r="D139" s="36"/>
    </row>
    <row r="140" spans="2:13" x14ac:dyDescent="0.2">
      <c r="B140" s="12" t="s">
        <v>874</v>
      </c>
      <c r="C140" s="36" t="s">
        <v>546</v>
      </c>
      <c r="D140" s="36"/>
    </row>
    <row r="141" spans="2:13" x14ac:dyDescent="0.2">
      <c r="B141" s="571" t="s">
        <v>1058</v>
      </c>
      <c r="C141" s="571" t="s">
        <v>1221</v>
      </c>
      <c r="M141" s="264" t="s">
        <v>1073</v>
      </c>
    </row>
    <row r="142" spans="2:13" x14ac:dyDescent="0.2">
      <c r="B142" s="302"/>
      <c r="C142" s="36"/>
      <c r="D142" s="36"/>
      <c r="K142" s="127"/>
    </row>
    <row r="143" spans="2:13" x14ac:dyDescent="0.2">
      <c r="B143" s="207" t="s">
        <v>333</v>
      </c>
      <c r="C143" s="36"/>
      <c r="D143" s="36"/>
    </row>
    <row r="144" spans="2:13" x14ac:dyDescent="0.2">
      <c r="B144" s="601"/>
      <c r="C144" s="304"/>
      <c r="D144" s="36"/>
    </row>
    <row r="145" spans="2:22" x14ac:dyDescent="0.2">
      <c r="B145" s="569" t="s">
        <v>1219</v>
      </c>
      <c r="C145" s="569" t="s">
        <v>1220</v>
      </c>
      <c r="D145" s="36"/>
    </row>
    <row r="146" spans="2:22" x14ac:dyDescent="0.2">
      <c r="B146" s="36" t="s">
        <v>415</v>
      </c>
      <c r="C146" t="s">
        <v>412</v>
      </c>
    </row>
    <row r="147" spans="2:22" x14ac:dyDescent="0.2">
      <c r="B147" s="36"/>
      <c r="C147" t="s">
        <v>413</v>
      </c>
    </row>
    <row r="148" spans="2:22" x14ac:dyDescent="0.2">
      <c r="B148" s="36" t="s">
        <v>414</v>
      </c>
      <c r="C148" s="36"/>
      <c r="D148" s="264" t="s">
        <v>1206</v>
      </c>
    </row>
    <row r="149" spans="2:22" x14ac:dyDescent="0.2">
      <c r="B149" s="12" t="s">
        <v>817</v>
      </c>
      <c r="C149" s="304"/>
      <c r="D149" s="304"/>
    </row>
    <row r="150" spans="2:22" x14ac:dyDescent="0.2">
      <c r="B150" s="36" t="s">
        <v>553</v>
      </c>
      <c r="C150" s="36"/>
      <c r="D150" s="36"/>
    </row>
    <row r="151" spans="2:22" x14ac:dyDescent="0.2">
      <c r="B151" s="36"/>
      <c r="C151" s="36"/>
      <c r="D151" s="36"/>
    </row>
    <row r="152" spans="2:22" x14ac:dyDescent="0.2">
      <c r="B152" s="207" t="s">
        <v>320</v>
      </c>
      <c r="C152" s="36"/>
      <c r="D152" s="36"/>
    </row>
    <row r="153" spans="2:22" x14ac:dyDescent="0.2">
      <c r="B153" s="36" t="s">
        <v>8</v>
      </c>
      <c r="C153" s="36"/>
      <c r="D153" s="36"/>
    </row>
    <row r="154" spans="2:22" x14ac:dyDescent="0.2">
      <c r="B154" s="143" t="s">
        <v>460</v>
      </c>
      <c r="C154" s="36" t="s">
        <v>461</v>
      </c>
      <c r="D154" s="36"/>
    </row>
    <row r="155" spans="2:22" x14ac:dyDescent="0.2">
      <c r="B155" s="571" t="s">
        <v>1222</v>
      </c>
      <c r="C155" s="569" t="s">
        <v>1027</v>
      </c>
      <c r="D155" s="36"/>
    </row>
    <row r="156" spans="2:22" x14ac:dyDescent="0.2">
      <c r="B156" s="571" t="s">
        <v>1028</v>
      </c>
      <c r="C156" s="36" t="s">
        <v>211</v>
      </c>
      <c r="D156" s="36"/>
      <c r="N156" s="321" t="s">
        <v>210</v>
      </c>
      <c r="O156" s="321"/>
      <c r="P156" s="321"/>
      <c r="Q156" s="321"/>
      <c r="R156" s="321"/>
      <c r="S156" s="321"/>
      <c r="V156" s="264" t="s">
        <v>212</v>
      </c>
    </row>
    <row r="157" spans="2:22" x14ac:dyDescent="0.2">
      <c r="B157" s="36"/>
      <c r="C157" s="36"/>
      <c r="D157" s="36"/>
    </row>
    <row r="158" spans="2:22" x14ac:dyDescent="0.2">
      <c r="B158" s="36"/>
      <c r="C158" s="36"/>
      <c r="D158" s="36"/>
    </row>
    <row r="159" spans="2:22" x14ac:dyDescent="0.2">
      <c r="B159" s="36"/>
      <c r="C159" s="36"/>
      <c r="D159" s="36"/>
    </row>
    <row r="160" spans="2:22" x14ac:dyDescent="0.2">
      <c r="B160" s="36"/>
      <c r="C160" s="36"/>
      <c r="D160" s="36"/>
    </row>
    <row r="161" spans="2:4" x14ac:dyDescent="0.2">
      <c r="B161" s="36"/>
      <c r="C161" s="36"/>
      <c r="D161" s="36"/>
    </row>
    <row r="162" spans="2:4" x14ac:dyDescent="0.2">
      <c r="B162" s="36"/>
      <c r="C162" s="36"/>
      <c r="D162" s="36"/>
    </row>
    <row r="163" spans="2:4" x14ac:dyDescent="0.2">
      <c r="B163" s="36"/>
      <c r="C163" s="36"/>
      <c r="D163" s="36"/>
    </row>
    <row r="164" spans="2:4" x14ac:dyDescent="0.2">
      <c r="B164" s="36"/>
      <c r="C164" s="36"/>
      <c r="D164" s="36"/>
    </row>
  </sheetData>
  <mergeCells count="2">
    <mergeCell ref="C6:H6"/>
    <mergeCell ref="BD6:BF6"/>
  </mergeCells>
  <phoneticPr fontId="0" type="noConversion"/>
  <hyperlinks>
    <hyperlink ref="E130" r:id="rId1"/>
    <hyperlink ref="N156" r:id="rId2"/>
    <hyperlink ref="V156" r:id="rId3"/>
    <hyperlink ref="J121" r:id="rId4"/>
    <hyperlink ref="E97" r:id="rId5"/>
    <hyperlink ref="E98" r:id="rId6"/>
    <hyperlink ref="M105" r:id="rId7"/>
  </hyperlinks>
  <pageMargins left="0.75" right="0.75" top="1" bottom="1" header="0.5" footer="0.5"/>
  <pageSetup orientation="portrait" horizontalDpi="4294967292" r:id="rId8"/>
  <headerFooter alignWithMargins="0"/>
  <legacyDrawing r:id="rId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2"/>
  <sheetViews>
    <sheetView workbookViewId="0">
      <selection activeCell="A12" sqref="A12"/>
    </sheetView>
  </sheetViews>
  <sheetFormatPr defaultRowHeight="12.75" x14ac:dyDescent="0.2"/>
  <cols>
    <col min="1" max="1" width="5.5703125" customWidth="1"/>
    <col min="2" max="3" width="11.42578125" customWidth="1"/>
    <col min="4" max="4" width="9.5703125" customWidth="1"/>
    <col min="5" max="6" width="9.85546875" customWidth="1"/>
    <col min="9" max="9" width="11" customWidth="1"/>
    <col min="10" max="10" width="9.5703125" customWidth="1"/>
    <col min="12" max="12" width="13.28515625" customWidth="1"/>
    <col min="13" max="13" width="10.7109375" bestFit="1" customWidth="1"/>
    <col min="18" max="18" width="17.140625" customWidth="1"/>
    <col min="22" max="22" width="11.140625" bestFit="1" customWidth="1"/>
    <col min="27" max="27" width="11.28515625" customWidth="1"/>
    <col min="31" max="37" width="12.28515625" customWidth="1"/>
    <col min="38" max="38" width="16.7109375" customWidth="1"/>
    <col min="43" max="43" width="11.140625" customWidth="1"/>
  </cols>
  <sheetData>
    <row r="1" spans="1:47" ht="18" x14ac:dyDescent="0.25">
      <c r="A1" s="3" t="s">
        <v>1035</v>
      </c>
    </row>
    <row r="2" spans="1:47" x14ac:dyDescent="0.2">
      <c r="A2" t="s">
        <v>323</v>
      </c>
    </row>
    <row r="4" spans="1:47" x14ac:dyDescent="0.2">
      <c r="A4" s="1"/>
      <c r="B4" s="2" t="s">
        <v>311</v>
      </c>
      <c r="C4" s="2"/>
      <c r="D4" s="1"/>
      <c r="E4" s="1"/>
      <c r="F4" s="1"/>
      <c r="G4" s="1"/>
      <c r="H4" s="1"/>
      <c r="I4" s="1"/>
      <c r="J4" s="1"/>
      <c r="K4" s="1"/>
      <c r="L4" s="1"/>
      <c r="M4" s="1"/>
      <c r="N4" s="1"/>
      <c r="O4" s="1"/>
    </row>
    <row r="5" spans="1:47" x14ac:dyDescent="0.2">
      <c r="A5" s="96"/>
      <c r="B5" s="70" t="s">
        <v>312</v>
      </c>
      <c r="C5" s="70"/>
      <c r="D5" s="70"/>
      <c r="E5" s="70"/>
      <c r="F5" s="70"/>
      <c r="G5" s="70"/>
      <c r="H5" s="70"/>
      <c r="I5" s="69" t="s">
        <v>316</v>
      </c>
      <c r="J5" s="70"/>
      <c r="K5" s="70"/>
      <c r="L5" s="70"/>
      <c r="M5" s="71"/>
      <c r="N5" s="70" t="s">
        <v>318</v>
      </c>
      <c r="O5" s="71"/>
      <c r="AK5" s="10"/>
    </row>
    <row r="6" spans="1:47" ht="41.25" customHeight="1" x14ac:dyDescent="0.2">
      <c r="A6" s="95" t="s">
        <v>310</v>
      </c>
      <c r="B6" s="91" t="s">
        <v>332</v>
      </c>
      <c r="C6" s="91" t="s">
        <v>81</v>
      </c>
      <c r="D6" s="91" t="s">
        <v>313</v>
      </c>
      <c r="E6" s="91" t="s">
        <v>314</v>
      </c>
      <c r="F6" s="84" t="s">
        <v>439</v>
      </c>
      <c r="G6" s="84" t="s">
        <v>315</v>
      </c>
      <c r="H6" s="84" t="s">
        <v>551</v>
      </c>
      <c r="I6" s="84" t="s">
        <v>594</v>
      </c>
      <c r="J6" s="93" t="s">
        <v>595</v>
      </c>
      <c r="K6" s="93" t="s">
        <v>596</v>
      </c>
      <c r="L6" s="94" t="s">
        <v>659</v>
      </c>
      <c r="M6" s="94" t="s">
        <v>333</v>
      </c>
      <c r="N6" s="93" t="s">
        <v>319</v>
      </c>
      <c r="O6" s="94" t="s">
        <v>320</v>
      </c>
      <c r="AK6" s="10"/>
      <c r="AU6" s="2"/>
    </row>
    <row r="7" spans="1:47" x14ac:dyDescent="0.2">
      <c r="A7" s="30">
        <v>1949</v>
      </c>
      <c r="B7" s="64"/>
      <c r="C7" s="64"/>
      <c r="D7" s="64"/>
      <c r="E7" s="64"/>
      <c r="F7" s="35"/>
      <c r="G7" s="35"/>
      <c r="H7" s="34"/>
      <c r="I7" s="35"/>
      <c r="J7" s="97"/>
      <c r="K7" s="97"/>
      <c r="L7" s="33"/>
      <c r="M7" s="33"/>
      <c r="N7" s="97"/>
      <c r="O7" s="33"/>
      <c r="AK7" s="12"/>
    </row>
    <row r="8" spans="1:47" x14ac:dyDescent="0.2">
      <c r="A8" s="30">
        <v>1950</v>
      </c>
      <c r="B8" s="64"/>
      <c r="C8" s="64"/>
      <c r="D8" s="64"/>
      <c r="E8" s="64"/>
      <c r="F8" s="35"/>
      <c r="G8" s="35"/>
      <c r="H8" s="34"/>
      <c r="I8" s="35"/>
      <c r="J8" s="97"/>
      <c r="K8" s="97"/>
      <c r="L8" s="33"/>
      <c r="M8" s="33"/>
      <c r="N8" s="97"/>
      <c r="O8" s="33"/>
      <c r="AK8" s="12"/>
    </row>
    <row r="9" spans="1:47" x14ac:dyDescent="0.2">
      <c r="A9" s="30">
        <v>1951</v>
      </c>
      <c r="B9" s="64"/>
      <c r="C9" s="64"/>
      <c r="D9" s="64"/>
      <c r="E9" s="64"/>
      <c r="F9" s="35"/>
      <c r="G9" s="35"/>
      <c r="H9" s="34"/>
      <c r="I9" s="35"/>
      <c r="J9" s="97"/>
      <c r="K9" s="97"/>
      <c r="L9" s="33"/>
      <c r="M9" s="33"/>
      <c r="N9" s="97"/>
      <c r="O9" s="33"/>
      <c r="AK9" s="12"/>
    </row>
    <row r="10" spans="1:47" x14ac:dyDescent="0.2">
      <c r="A10" s="30">
        <v>1952</v>
      </c>
      <c r="B10" s="64"/>
      <c r="C10" s="64"/>
      <c r="D10" s="64"/>
      <c r="E10" s="64"/>
      <c r="F10" s="35"/>
      <c r="G10" s="35"/>
      <c r="H10" s="34"/>
      <c r="I10" s="35"/>
      <c r="J10" s="97"/>
      <c r="K10" s="97"/>
      <c r="L10" s="33"/>
      <c r="M10" s="33"/>
      <c r="N10" s="97"/>
      <c r="O10" s="33"/>
      <c r="AK10" s="12"/>
    </row>
    <row r="11" spans="1:47" x14ac:dyDescent="0.2">
      <c r="A11" s="30">
        <v>1953</v>
      </c>
      <c r="B11" s="64"/>
      <c r="C11" s="64"/>
      <c r="D11" s="64"/>
      <c r="E11" s="64"/>
      <c r="F11" s="35"/>
      <c r="G11" s="35"/>
      <c r="H11" s="34"/>
      <c r="I11" s="35"/>
      <c r="J11" s="97"/>
      <c r="K11" s="97"/>
      <c r="L11" s="33"/>
      <c r="M11" s="33"/>
      <c r="N11" s="97"/>
      <c r="O11" s="33"/>
      <c r="AK11" s="12"/>
      <c r="AQ11" s="9"/>
      <c r="AR11" s="9"/>
    </row>
    <row r="12" spans="1:47" x14ac:dyDescent="0.2">
      <c r="A12" s="30">
        <v>1954</v>
      </c>
      <c r="B12" s="64"/>
      <c r="C12" s="64"/>
      <c r="D12" s="64"/>
      <c r="E12" s="64"/>
      <c r="F12" s="35"/>
      <c r="G12" s="35"/>
      <c r="H12" s="34"/>
      <c r="I12" s="35"/>
      <c r="J12" s="97"/>
      <c r="K12" s="97"/>
      <c r="L12" s="33"/>
      <c r="M12" s="33"/>
      <c r="N12" s="97"/>
      <c r="O12" s="33"/>
      <c r="AK12" s="12"/>
      <c r="AR12" s="9"/>
    </row>
    <row r="13" spans="1:47" x14ac:dyDescent="0.2">
      <c r="A13" s="30">
        <v>1955</v>
      </c>
      <c r="B13" s="64"/>
      <c r="C13" s="64"/>
      <c r="D13" s="64"/>
      <c r="E13" s="64"/>
      <c r="F13" s="35"/>
      <c r="G13" s="35"/>
      <c r="H13" s="34"/>
      <c r="I13" s="35"/>
      <c r="J13" s="97"/>
      <c r="K13" s="97"/>
      <c r="L13" s="33"/>
      <c r="M13" s="33"/>
      <c r="N13" s="97"/>
      <c r="O13" s="33"/>
      <c r="AK13" s="12"/>
      <c r="AR13" s="9"/>
    </row>
    <row r="14" spans="1:47" x14ac:dyDescent="0.2">
      <c r="A14" s="30">
        <v>1956</v>
      </c>
      <c r="B14" s="64"/>
      <c r="C14" s="64"/>
      <c r="D14" s="64"/>
      <c r="E14" s="64"/>
      <c r="F14" s="35"/>
      <c r="G14" s="35"/>
      <c r="H14" s="34"/>
      <c r="I14" s="35"/>
      <c r="J14" s="97"/>
      <c r="K14" s="97"/>
      <c r="L14" s="33"/>
      <c r="M14" s="33"/>
      <c r="N14" s="97"/>
      <c r="O14" s="33"/>
      <c r="AK14" s="12"/>
      <c r="AR14" s="9"/>
    </row>
    <row r="15" spans="1:47" x14ac:dyDescent="0.2">
      <c r="A15" s="30">
        <v>1957</v>
      </c>
      <c r="B15" s="64"/>
      <c r="C15" s="64"/>
      <c r="D15" s="64"/>
      <c r="E15" s="64"/>
      <c r="F15" s="35"/>
      <c r="G15" s="35"/>
      <c r="H15" s="34"/>
      <c r="I15" s="35"/>
      <c r="J15" s="97"/>
      <c r="K15" s="97"/>
      <c r="L15" s="33"/>
      <c r="M15" s="33"/>
      <c r="N15" s="97"/>
      <c r="O15" s="33"/>
      <c r="AK15" s="12"/>
      <c r="AR15" s="9"/>
    </row>
    <row r="16" spans="1:47" x14ac:dyDescent="0.2">
      <c r="A16" s="30">
        <v>1958</v>
      </c>
      <c r="B16" s="64"/>
      <c r="C16" s="64"/>
      <c r="D16" s="64"/>
      <c r="E16" s="64"/>
      <c r="F16" s="35"/>
      <c r="G16" s="35"/>
      <c r="H16" s="34"/>
      <c r="I16" s="35"/>
      <c r="J16" s="97"/>
      <c r="K16" s="97"/>
      <c r="L16" s="33"/>
      <c r="M16" s="33"/>
      <c r="N16" s="97"/>
      <c r="O16" s="33"/>
      <c r="AK16" s="12"/>
      <c r="AN16" s="4"/>
      <c r="AQ16" s="9"/>
      <c r="AR16" s="9"/>
    </row>
    <row r="17" spans="1:44" x14ac:dyDescent="0.2">
      <c r="A17" s="30">
        <v>1959</v>
      </c>
      <c r="B17" s="64"/>
      <c r="C17" s="64"/>
      <c r="D17" s="64"/>
      <c r="E17" s="64"/>
      <c r="F17" s="35"/>
      <c r="G17" s="35"/>
      <c r="H17" s="34"/>
      <c r="I17" s="35"/>
      <c r="J17" s="97"/>
      <c r="K17" s="97"/>
      <c r="L17" s="33"/>
      <c r="M17" s="33"/>
      <c r="N17" s="97"/>
      <c r="O17" s="33"/>
      <c r="AK17" s="12"/>
      <c r="AR17" s="9"/>
    </row>
    <row r="18" spans="1:44" x14ac:dyDescent="0.2">
      <c r="A18" s="30">
        <v>1960</v>
      </c>
      <c r="B18" s="64"/>
      <c r="C18" s="64"/>
      <c r="D18" s="64"/>
      <c r="E18" s="64"/>
      <c r="F18" s="35"/>
      <c r="G18" s="35"/>
      <c r="H18" s="34"/>
      <c r="I18" s="35"/>
      <c r="J18" s="97"/>
      <c r="K18" s="97"/>
      <c r="L18" s="33"/>
      <c r="M18" s="33"/>
      <c r="N18" s="97"/>
      <c r="O18" s="33"/>
      <c r="AK18" s="12"/>
      <c r="AR18" s="9"/>
    </row>
    <row r="19" spans="1:44" x14ac:dyDescent="0.2">
      <c r="A19" s="30">
        <v>1961</v>
      </c>
      <c r="B19" s="64"/>
      <c r="C19" s="64"/>
      <c r="D19" s="64"/>
      <c r="E19" s="64"/>
      <c r="F19" s="35"/>
      <c r="G19" s="35"/>
      <c r="H19" s="34"/>
      <c r="I19" s="35"/>
      <c r="J19" s="97"/>
      <c r="K19" s="97"/>
      <c r="L19" s="33"/>
      <c r="M19" s="33"/>
      <c r="N19" s="97"/>
      <c r="O19" s="109"/>
      <c r="AK19" s="12"/>
      <c r="AR19" s="9"/>
    </row>
    <row r="20" spans="1:44" x14ac:dyDescent="0.2">
      <c r="A20" s="30">
        <v>1962</v>
      </c>
      <c r="B20" s="64"/>
      <c r="C20" s="64"/>
      <c r="D20" s="64"/>
      <c r="E20" s="64"/>
      <c r="F20" s="35"/>
      <c r="G20" s="35"/>
      <c r="H20" s="34"/>
      <c r="I20" s="35"/>
      <c r="J20" s="97"/>
      <c r="K20" s="97"/>
      <c r="L20" s="33"/>
      <c r="M20" s="33"/>
      <c r="N20" s="97"/>
      <c r="O20" s="109">
        <f>((FuelConsump!AR20*'Fuel Heat Content'!$D$9)+(FuelConsump!AS20*'Fuel Heat Content'!$D$11))/1000000</f>
        <v>31.668199999999999</v>
      </c>
      <c r="AK20" s="12"/>
      <c r="AR20" s="9"/>
    </row>
    <row r="21" spans="1:44" x14ac:dyDescent="0.2">
      <c r="A21" s="30">
        <v>1963</v>
      </c>
      <c r="B21" s="64"/>
      <c r="C21" s="64"/>
      <c r="D21" s="64"/>
      <c r="E21" s="64"/>
      <c r="F21" s="35"/>
      <c r="G21" s="34"/>
      <c r="H21" s="34"/>
      <c r="I21" s="35"/>
      <c r="J21" s="97"/>
      <c r="K21" s="97"/>
      <c r="L21" s="33"/>
      <c r="M21" s="33"/>
      <c r="N21" s="97"/>
      <c r="O21" s="109">
        <f>((FuelConsump!AR21*'Fuel Heat Content'!$D$9)+(FuelConsump!AS21*'Fuel Heat Content'!$D$11))/1000000</f>
        <v>34.369999999999997</v>
      </c>
      <c r="AK21" s="21"/>
      <c r="AQ21" s="9"/>
      <c r="AR21" s="9"/>
    </row>
    <row r="22" spans="1:44" x14ac:dyDescent="0.2">
      <c r="A22" s="30">
        <v>1964</v>
      </c>
      <c r="B22" s="64"/>
      <c r="C22" s="64"/>
      <c r="D22" s="64"/>
      <c r="E22" s="64"/>
      <c r="F22" s="35"/>
      <c r="G22" s="34"/>
      <c r="H22" s="34"/>
      <c r="I22" s="35"/>
      <c r="J22" s="97"/>
      <c r="K22" s="97"/>
      <c r="L22" s="33"/>
      <c r="M22" s="33"/>
      <c r="N22" s="97"/>
      <c r="O22" s="109">
        <f>((FuelConsump!AR22*'Fuel Heat Content'!$D$9)+(FuelConsump!AS22*'Fuel Heat Content'!$D$11))/1000000</f>
        <v>37.0274</v>
      </c>
      <c r="AK22" s="21"/>
      <c r="AR22" s="9"/>
    </row>
    <row r="23" spans="1:44" x14ac:dyDescent="0.2">
      <c r="A23" s="30">
        <v>1965</v>
      </c>
      <c r="B23" s="64"/>
      <c r="C23" s="64"/>
      <c r="D23" s="64"/>
      <c r="E23" s="64">
        <f>((FuelConsump!U23*'Fuel Heat Content'!$D$7)+(FuelConsump!V23*'Fuel Heat Content'!$D$7)+(FuelConsump!W23*'Fuel Heat Content'!$D$6)+(FuelConsump!X23*'Fuel Heat Content'!$D$16)+(FuelConsump!Z23*'Fuel Heat Content'!$D$17)+(FuelConsump!AA23*'Fuel Heat Content'!$D$14)+(FuelConsump!Y23*'Fuel Heat Content'!$D$19))/1000000</f>
        <v>45.89058</v>
      </c>
      <c r="F23" s="64"/>
      <c r="G23" s="34"/>
      <c r="H23" s="34"/>
      <c r="I23" s="35"/>
      <c r="J23" s="97"/>
      <c r="K23" s="97"/>
      <c r="L23" s="33"/>
      <c r="M23" s="33"/>
      <c r="N23" s="97"/>
      <c r="O23" s="109">
        <f>((FuelConsump!AR23*'Fuel Heat Content'!$D$9)+(FuelConsump!AS23*'Fuel Heat Content'!$D$11))/1000000</f>
        <v>42.6584</v>
      </c>
      <c r="AK23" s="21"/>
      <c r="AR23" s="9"/>
    </row>
    <row r="24" spans="1:44" x14ac:dyDescent="0.2">
      <c r="A24" s="30">
        <v>1966</v>
      </c>
      <c r="B24" s="64"/>
      <c r="C24" s="64"/>
      <c r="D24" s="64"/>
      <c r="E24" s="64">
        <f>((FuelConsump!U24*'Fuel Heat Content'!$D$7)+(FuelConsump!V24*'Fuel Heat Content'!$D$7)+(FuelConsump!W24*'Fuel Heat Content'!$D$6)+(FuelConsump!X24*'Fuel Heat Content'!$D$16)+(FuelConsump!Z24*'Fuel Heat Content'!$D$17)+(FuelConsump!AA24*'Fuel Heat Content'!$D$14)+(FuelConsump!Y24*'Fuel Heat Content'!$D$19))/1000000</f>
        <v>45.007199999999997</v>
      </c>
      <c r="F24" s="64"/>
      <c r="G24" s="34"/>
      <c r="H24" s="34"/>
      <c r="I24" s="35"/>
      <c r="J24" s="97"/>
      <c r="K24" s="97"/>
      <c r="L24" s="33"/>
      <c r="M24" s="33"/>
      <c r="N24" s="97"/>
      <c r="O24" s="109">
        <f>((FuelConsump!AR24*'Fuel Heat Content'!$D$9)+(FuelConsump!AS24*'Fuel Heat Content'!$D$11))/1000000</f>
        <v>56.28</v>
      </c>
      <c r="AK24" s="21"/>
      <c r="AR24" s="9"/>
    </row>
    <row r="25" spans="1:44" x14ac:dyDescent="0.2">
      <c r="A25" s="30">
        <v>1967</v>
      </c>
      <c r="B25" s="64"/>
      <c r="C25" s="64"/>
      <c r="D25" s="64"/>
      <c r="E25" s="64">
        <f>((FuelConsump!U25*'Fuel Heat Content'!$D$7)+(FuelConsump!V25*'Fuel Heat Content'!$D$7)+(FuelConsump!W25*'Fuel Heat Content'!$D$6)+(FuelConsump!X25*'Fuel Heat Content'!$D$16)+(FuelConsump!Z25*'Fuel Heat Content'!$D$17)+(FuelConsump!AA25*'Fuel Heat Content'!$D$14)+(FuelConsump!Y25*'Fuel Heat Content'!$D$19))/1000000</f>
        <v>44.715609999999998</v>
      </c>
      <c r="F25" s="64"/>
      <c r="G25" s="34"/>
      <c r="H25" s="34"/>
      <c r="I25" s="35"/>
      <c r="J25" s="97"/>
      <c r="K25" s="97"/>
      <c r="L25" s="33"/>
      <c r="M25" s="33"/>
      <c r="N25" s="97"/>
      <c r="O25" s="109">
        <f>((FuelConsump!AR25*'Fuel Heat Content'!$D$9)+(FuelConsump!AS25*'Fuel Heat Content'!$D$11))/1000000</f>
        <v>61.099200000000003</v>
      </c>
      <c r="AK25" s="21"/>
      <c r="AR25" s="9"/>
    </row>
    <row r="26" spans="1:44" x14ac:dyDescent="0.2">
      <c r="A26" s="30">
        <v>1968</v>
      </c>
      <c r="B26" s="64"/>
      <c r="C26" s="64"/>
      <c r="D26" s="64"/>
      <c r="E26" s="64">
        <f>((FuelConsump!U26*'Fuel Heat Content'!$D$7)+(FuelConsump!V26*'Fuel Heat Content'!$D$7)+(FuelConsump!W26*'Fuel Heat Content'!$D$6)+(FuelConsump!X26*'Fuel Heat Content'!$D$16)+(FuelConsump!Z26*'Fuel Heat Content'!$D$17)+(FuelConsump!AA26*'Fuel Heat Content'!$D$14)+(FuelConsump!Y26*'Fuel Heat Content'!$D$19))/1000000</f>
        <v>43.744039999999998</v>
      </c>
      <c r="F26" s="64"/>
      <c r="G26" s="34"/>
      <c r="H26" s="34"/>
      <c r="I26" s="35"/>
      <c r="J26" s="97"/>
      <c r="K26" s="97"/>
      <c r="L26" s="33"/>
      <c r="M26" s="33"/>
      <c r="N26" s="97"/>
      <c r="O26" s="109">
        <f>((FuelConsump!AR26*'Fuel Heat Content'!$D$9)+(FuelConsump!AS26*'Fuel Heat Content'!$D$11))/1000000</f>
        <v>75.024000000000001</v>
      </c>
      <c r="AK26" s="21"/>
    </row>
    <row r="27" spans="1:44" x14ac:dyDescent="0.2">
      <c r="A27" s="30">
        <v>1969</v>
      </c>
      <c r="B27" s="64"/>
      <c r="C27" s="64"/>
      <c r="D27" s="64"/>
      <c r="E27" s="64">
        <f>((FuelConsump!U27*'Fuel Heat Content'!$D$7)+(FuelConsump!V27*'Fuel Heat Content'!$D$7)+(FuelConsump!W27*'Fuel Heat Content'!$D$6)+(FuelConsump!X27*'Fuel Heat Content'!$D$16)+(FuelConsump!Z27*'Fuel Heat Content'!$D$17)+(FuelConsump!AA27*'Fuel Heat Content'!$D$14)+(FuelConsump!Y27*'Fuel Heat Content'!$D$19))/1000000</f>
        <v>42.976059999999997</v>
      </c>
      <c r="F27" s="64"/>
      <c r="G27" s="34"/>
      <c r="H27" s="34"/>
      <c r="I27" s="35"/>
      <c r="J27" s="97"/>
      <c r="K27" s="97"/>
      <c r="L27" s="33"/>
      <c r="M27" s="33"/>
      <c r="N27" s="97"/>
      <c r="O27" s="109">
        <f>((FuelConsump!AR27*'Fuel Heat Content'!$D$9)+(FuelConsump!AS27*'Fuel Heat Content'!$D$11))/1000000</f>
        <v>85.424400000000006</v>
      </c>
      <c r="AK27" s="21"/>
    </row>
    <row r="28" spans="1:44" x14ac:dyDescent="0.2">
      <c r="A28" s="30">
        <v>1970</v>
      </c>
      <c r="B28" s="64">
        <f>((FuelConsump!C28*'Fuel Heat Content'!$D$6)+(FuelConsump!D28*'Fuel Heat Content'!$D$8)+(FuelConsump!E28*'Fuel Heat Content'!$D$7))/1000000</f>
        <v>8479.358268</v>
      </c>
      <c r="C28" s="64">
        <f>((FuelConsump!F28*'Fuel Heat Content'!$D$6))/1000000</f>
        <v>7.4474999999999998</v>
      </c>
      <c r="D28" s="64">
        <f>((FuelConsump!I28*'Fuel Heat Content'!$D$6)+(FuelConsump!J28*'Fuel Heat Content'!$D$8)+     (FuelConsump!K28*'Fuel Heat Content'!$D$7)+(FuelConsump!L28*'Fuel Heat Content'!$D$14))/1000000</f>
        <v>1538.5592776743999</v>
      </c>
      <c r="E28" s="64">
        <f>((FuelConsump!U28*'Fuel Heat Content'!$D$7)+(FuelConsump!V28*'Fuel Heat Content'!$D$7)+(FuelConsump!W28*'Fuel Heat Content'!$D$6)+(FuelConsump!X28*'Fuel Heat Content'!$D$16)+(FuelConsump!Z28*'Fuel Heat Content'!$D$17)+(FuelConsump!AA28*'Fuel Heat Content'!$D$14)+(FuelConsump!Y28*'Fuel Heat Content'!$D$19))/1000000</f>
        <v>42.182220000000001</v>
      </c>
      <c r="F28" s="64"/>
      <c r="G28" s="34">
        <f>'Detailed data_Intercity buses'!Y7</f>
        <v>26.617190476190473</v>
      </c>
      <c r="H28" s="34">
        <f>'Detailed data_School buses'!W7</f>
        <v>41.182520399999994</v>
      </c>
      <c r="I28" s="166">
        <f>((FuelConsump!AZ28*'Fuel Heat Content'!$D$7)+(FuelConsump!BA28*'Fuel Heat Content'!$D$21))/1000000</f>
        <v>17.199416849999999</v>
      </c>
      <c r="J28" s="97">
        <f>(FuelConsump!BB28*'Fuel Heat Content'!$D$21)/1000000</f>
        <v>23.376479</v>
      </c>
      <c r="K28" s="97">
        <f>(FuelConsump!BC28*'Fuel Heat Content'!$D$21)/1000000</f>
        <v>1.6232230000000001</v>
      </c>
      <c r="L28" s="33">
        <f>SUM(I28:K28)</f>
        <v>42.199118849999998</v>
      </c>
      <c r="M28" s="33">
        <f>FuelConsump!$AY$28</f>
        <v>6.0882916259852333</v>
      </c>
      <c r="N28" s="97">
        <f>(1-'Freight-based Energy Use'!K28)*(FuelConsump!AP28+1*FuelConsump!AQ28)*'Fuel Heat Content'!$D$11/1000000</f>
        <v>1211.3189464035624</v>
      </c>
      <c r="O28" s="109">
        <f>((FuelConsump!AR28*'Fuel Heat Content'!$D$9)+(FuelConsump!AS28*'Fuel Heat Content'!$D$11))/1000000</f>
        <v>94.310199999999995</v>
      </c>
      <c r="P28" s="129"/>
      <c r="Q28" s="97"/>
      <c r="AK28" s="21"/>
    </row>
    <row r="29" spans="1:44" x14ac:dyDescent="0.2">
      <c r="A29" s="30">
        <v>1971</v>
      </c>
      <c r="B29" s="64">
        <f>((FuelConsump!C29*'Fuel Heat Content'!$D$6)+(FuelConsump!D29*'Fuel Heat Content'!$D$8)+(FuelConsump!E29*'Fuel Heat Content'!$D$7))/1000000</f>
        <v>8926.0695216000004</v>
      </c>
      <c r="C29" s="64">
        <f>((FuelConsump!F29*'Fuel Heat Content'!$D$6))/1000000</f>
        <v>9.0175000000000001</v>
      </c>
      <c r="D29" s="64">
        <f>((FuelConsump!I29*'Fuel Heat Content'!$D$6)+(FuelConsump!J29*'Fuel Heat Content'!$D$8)+     (FuelConsump!K29*'Fuel Heat Content'!$D$7)+(FuelConsump!L29*'Fuel Heat Content'!$D$14))/1000000</f>
        <v>1684.8746345264001</v>
      </c>
      <c r="E29" s="64">
        <f>((FuelConsump!U29*'Fuel Heat Content'!$D$7)+(FuelConsump!V29*'Fuel Heat Content'!$D$7)+(FuelConsump!W29*'Fuel Heat Content'!$D$6)+(FuelConsump!X29*'Fuel Heat Content'!$D$16)+(FuelConsump!Z29*'Fuel Heat Content'!$D$17)+(FuelConsump!AA29*'Fuel Heat Content'!$D$14)+(FuelConsump!Y29*'Fuel Heat Content'!$D$19))/1000000</f>
        <v>39.29316</v>
      </c>
      <c r="F29" s="64"/>
      <c r="G29" s="34">
        <f>'Detailed data_Intercity buses'!Y8</f>
        <v>27.108520325203251</v>
      </c>
      <c r="H29" s="34">
        <f>'Detailed data_School buses'!W8</f>
        <v>42.998589979581098</v>
      </c>
      <c r="I29" s="167">
        <f>((FuelConsump!AZ29*'Fuel Heat Content'!$D$7)+(FuelConsump!BA29*'Fuel Heat Content'!$D$21))/1000000</f>
        <v>16.514112194999999</v>
      </c>
      <c r="J29" s="168">
        <f>(FuelConsump!BB29*'Fuel Heat Content'!$D$21)/1000000</f>
        <v>23.386818000000002</v>
      </c>
      <c r="K29" s="97">
        <f>(FuelConsump!BC29*'Fuel Heat Content'!$D$21)/1000000</f>
        <v>1.5818669999999999</v>
      </c>
      <c r="L29" s="33">
        <f>SUM(I29:K29)</f>
        <v>41.482797195000003</v>
      </c>
      <c r="M29" s="169">
        <f>FuelConsump!AY29</f>
        <v>6.0882916259852333</v>
      </c>
      <c r="N29" s="97">
        <f>(1-'Freight-based Energy Use'!K29)*(FuelConsump!AP29+1*FuelConsump!AQ29)*'Fuel Heat Content'!$D$11/1000000</f>
        <v>1194.540556612111</v>
      </c>
      <c r="O29" s="109">
        <f>((FuelConsump!AR29*'Fuel Heat Content'!$D$9)+(FuelConsump!AS29*'Fuel Heat Content'!$D$11))/1000000</f>
        <v>91.571600000000004</v>
      </c>
      <c r="Q29" s="97"/>
      <c r="AK29" s="21"/>
    </row>
    <row r="30" spans="1:44" x14ac:dyDescent="0.2">
      <c r="A30" s="30">
        <v>1972</v>
      </c>
      <c r="B30" s="64">
        <f>((FuelConsump!C30*'Fuel Heat Content'!$D$6)+(FuelConsump!D30*'Fuel Heat Content'!$D$8)+(FuelConsump!E30*'Fuel Heat Content'!$D$7))/1000000</f>
        <v>9505.6493797000003</v>
      </c>
      <c r="C30" s="64">
        <f>((FuelConsump!F30*'Fuel Heat Content'!$D$6))/1000000</f>
        <v>10.827500000000001</v>
      </c>
      <c r="D30" s="64">
        <f>((FuelConsump!I30*'Fuel Heat Content'!$D$6)+(FuelConsump!J30*'Fuel Heat Content'!$D$8)+     (FuelConsump!K30*'Fuel Heat Content'!$D$7)+(FuelConsump!L30*'Fuel Heat Content'!$D$14))/1000000</f>
        <v>1893.0128043655998</v>
      </c>
      <c r="E30" s="64">
        <f>((FuelConsump!U30*'Fuel Heat Content'!$D$7)+(FuelConsump!V30*'Fuel Heat Content'!$D$7)+(FuelConsump!W30*'Fuel Heat Content'!$D$6)+(FuelConsump!X30*'Fuel Heat Content'!$D$16)+(FuelConsump!Z30*'Fuel Heat Content'!$D$17)+(FuelConsump!AA30*'Fuel Heat Content'!$D$14)+(FuelConsump!Y30*'Fuel Heat Content'!$D$19))/1000000</f>
        <v>37.575775</v>
      </c>
      <c r="F30" s="64"/>
      <c r="G30" s="34">
        <f>'Detailed data_Intercity buses'!Y9</f>
        <v>27.323899999999998</v>
      </c>
      <c r="H30" s="34">
        <f>'Detailed data_School buses'!W9</f>
        <v>45.457535132332204</v>
      </c>
      <c r="I30" s="167">
        <f>((FuelConsump!AZ30*'Fuel Heat Content'!$D$7)+(FuelConsump!BA30*'Fuel Heat Content'!$D$21))/1000000</f>
        <v>15.82880754</v>
      </c>
      <c r="J30" s="168">
        <f>(FuelConsump!BB30*'Fuel Heat Content'!$D$21)/1000000</f>
        <v>22.218510999999999</v>
      </c>
      <c r="K30" s="97">
        <f>(FuelConsump!BC30*'Fuel Heat Content'!$D$21)/1000000</f>
        <v>1.5094939999999999</v>
      </c>
      <c r="L30" s="33">
        <f>SUM(I30:K30)</f>
        <v>39.556812539999996</v>
      </c>
      <c r="M30" s="169">
        <f>FuelConsump!AY30</f>
        <v>9.2836519073603228</v>
      </c>
      <c r="N30" s="97">
        <f>(1-'Freight-based Energy Use'!K30)*(FuelConsump!AP30+1*FuelConsump!AQ30)*'Fuel Heat Content'!$D$11/1000000</f>
        <v>1213.7764852041644</v>
      </c>
      <c r="O30" s="109">
        <f>((FuelConsump!AR30*'Fuel Heat Content'!$D$9)+(FuelConsump!AS30*'Fuel Heat Content'!$D$11))/1000000</f>
        <v>103.2718</v>
      </c>
      <c r="Q30" s="97"/>
      <c r="AK30" s="21"/>
    </row>
    <row r="31" spans="1:44" x14ac:dyDescent="0.2">
      <c r="A31" s="30">
        <v>1973</v>
      </c>
      <c r="B31" s="64">
        <f>((FuelConsump!C31*'Fuel Heat Content'!$D$6)+(FuelConsump!D31*'Fuel Heat Content'!$D$8)+(FuelConsump!E31*'Fuel Heat Content'!$D$7))/1000000</f>
        <v>9799.4890498999994</v>
      </c>
      <c r="C31" s="64">
        <f>((FuelConsump!F31*'Fuel Heat Content'!$D$6))/1000000</f>
        <v>12.984999999999999</v>
      </c>
      <c r="D31" s="64">
        <f>((FuelConsump!I31*'Fuel Heat Content'!$D$6)+(FuelConsump!J31*'Fuel Heat Content'!$D$8)+     (FuelConsump!K31*'Fuel Heat Content'!$D$7)+(FuelConsump!L31*'Fuel Heat Content'!$D$14))/1000000</f>
        <v>2102.6616148688004</v>
      </c>
      <c r="E31" s="64">
        <f>((FuelConsump!U31*'Fuel Heat Content'!$D$7)+(FuelConsump!V31*'Fuel Heat Content'!$D$7)+(FuelConsump!W31*'Fuel Heat Content'!$D$6)+(FuelConsump!X31*'Fuel Heat Content'!$D$16)+(FuelConsump!Z31*'Fuel Heat Content'!$D$17)+(FuelConsump!AA31*'Fuel Heat Content'!$D$14)+(FuelConsump!Y31*'Fuel Heat Content'!$D$19))/1000000</f>
        <v>40.736893999999999</v>
      </c>
      <c r="F31" s="64"/>
      <c r="G31" s="34">
        <f>'Detailed data_Intercity buses'!Y10</f>
        <v>27.231433333333335</v>
      </c>
      <c r="H31" s="34">
        <f>'Detailed data_School buses'!W10</f>
        <v>46.078348442355193</v>
      </c>
      <c r="I31" s="167">
        <f>((FuelConsump!AZ31*'Fuel Heat Content'!$D$7)+(FuelConsump!BA31*'Fuel Heat Content'!$D$21))/1000000</f>
        <v>15.143502885</v>
      </c>
      <c r="J31" s="168">
        <f>(FuelConsump!BB31*'Fuel Heat Content'!$D$21)/1000000</f>
        <v>21.691222</v>
      </c>
      <c r="K31" s="97">
        <f>(FuelConsump!BC31*'Fuel Heat Content'!$D$21)/1000000</f>
        <v>1.44746</v>
      </c>
      <c r="L31" s="33">
        <f>SUM(I31:K31)</f>
        <v>38.282184884999999</v>
      </c>
      <c r="M31" s="169">
        <f>FuelConsump!AY31</f>
        <v>11.629767295597482</v>
      </c>
      <c r="N31" s="97">
        <f>(1-'Freight-based Energy Use'!K31)*(FuelConsump!AP31+1*FuelConsump!AQ31)*'Fuel Heat Content'!$D$11/1000000</f>
        <v>1254.1770139687792</v>
      </c>
      <c r="O31" s="109">
        <f>((FuelConsump!AR31*'Fuel Heat Content'!$D$9)+(FuelConsump!AS31*'Fuel Heat Content'!$D$11))/1000000</f>
        <v>90.4422</v>
      </c>
      <c r="Q31" s="97"/>
      <c r="AK31" s="21"/>
    </row>
    <row r="32" spans="1:44" x14ac:dyDescent="0.2">
      <c r="A32" s="30">
        <v>1974</v>
      </c>
      <c r="B32" s="64">
        <f>((FuelConsump!C32*'Fuel Heat Content'!$D$6)+(FuelConsump!D32*'Fuel Heat Content'!$D$8)+(FuelConsump!E32*'Fuel Heat Content'!$D$7))/1000000</f>
        <v>9304.0484324999998</v>
      </c>
      <c r="C32" s="64">
        <f>((FuelConsump!F32*'Fuel Heat Content'!$D$6))/1000000</f>
        <v>13.612500000000001</v>
      </c>
      <c r="D32" s="64">
        <f>((FuelConsump!I32*'Fuel Heat Content'!$D$6)+(FuelConsump!J32*'Fuel Heat Content'!$D$8)+     (FuelConsump!K32*'Fuel Heat Content'!$D$7)+(FuelConsump!L32*'Fuel Heat Content'!$D$14))/1000000</f>
        <v>2081.3096024728002</v>
      </c>
      <c r="E32" s="64">
        <f>((FuelConsump!U32*'Fuel Heat Content'!$D$7)+(FuelConsump!V32*'Fuel Heat Content'!$D$7)+(FuelConsump!W32*'Fuel Heat Content'!$D$6)+(FuelConsump!X32*'Fuel Heat Content'!$D$16)+(FuelConsump!Z32*'Fuel Heat Content'!$D$17)+(FuelConsump!AA32*'Fuel Heat Content'!$D$14)+(FuelConsump!Y32*'Fuel Heat Content'!$D$19))/1000000</f>
        <v>44.816631999999998</v>
      </c>
      <c r="F32" s="64"/>
      <c r="G32" s="170">
        <f>'Detailed data_Intercity buses'!Y11</f>
        <v>26.317856418918918</v>
      </c>
      <c r="H32" s="34">
        <f>'Detailed data_School buses'!W11</f>
        <v>46.404445744186042</v>
      </c>
      <c r="I32" s="35">
        <f>((FuelConsump!AZ32*'Fuel Heat Content'!$D$7)+(FuelConsump!BA32*'Fuel Heat Content'!$D$21))/1000000</f>
        <v>14.458198230000001</v>
      </c>
      <c r="J32" s="97">
        <f>(FuelConsump!BB32*'Fuel Heat Content'!$D$21)/1000000</f>
        <v>25.717864846153848</v>
      </c>
      <c r="K32" s="97">
        <f>(FuelConsump!BC32*'Fuel Heat Content'!$D$21)/1000000</f>
        <v>1.4737051538461541</v>
      </c>
      <c r="L32" s="33">
        <f>SUM(I32:K32)</f>
        <v>41.649768230000006</v>
      </c>
      <c r="M32" s="33">
        <f>FuelConsump!AY32</f>
        <v>11.223132075471696</v>
      </c>
      <c r="N32" s="97">
        <f>(1-'Freight-based Energy Use'!K32)*(FuelConsump!AP32+1*FuelConsump!AQ32)*'Fuel Heat Content'!$D$11/1000000</f>
        <v>1221.9900769069611</v>
      </c>
      <c r="O32" s="109">
        <f>((FuelConsump!AR32*'Fuel Heat Content'!$D$9)+(FuelConsump!AS32*'Fuel Heat Content'!$D$11))/1000000</f>
        <v>101.4436</v>
      </c>
      <c r="Q32" s="97"/>
      <c r="AK32" s="21"/>
    </row>
    <row r="33" spans="1:37" x14ac:dyDescent="0.2">
      <c r="A33" s="30">
        <v>1975</v>
      </c>
      <c r="B33" s="64">
        <f>((FuelConsump!C33*'Fuel Heat Content'!$D$6)+(FuelConsump!D33*'Fuel Heat Content'!$D$8)+(FuelConsump!E33*'Fuel Heat Content'!$D$7))/1000000</f>
        <v>9297.9715400000005</v>
      </c>
      <c r="C33" s="64">
        <f>((FuelConsump!F33*'Fuel Heat Content'!$D$6))/1000000</f>
        <v>14.0725</v>
      </c>
      <c r="D33" s="64">
        <f>((FuelConsump!I33*'Fuel Heat Content'!$D$6)+(FuelConsump!J33*'Fuel Heat Content'!$D$8)+     (FuelConsump!K33*'Fuel Heat Content'!$D$7)+(FuelConsump!L33*'Fuel Heat Content'!$D$14))/1000000</f>
        <v>2384.1230461829705</v>
      </c>
      <c r="E33" s="64">
        <f>((FuelConsump!U33*'Fuel Heat Content'!$D$7)+(FuelConsump!V33*'Fuel Heat Content'!$D$7)+(FuelConsump!W33*'Fuel Heat Content'!$D$6)+(FuelConsump!X33*'Fuel Heat Content'!$D$16)+(FuelConsump!Z33*'Fuel Heat Content'!$D$17)+(FuelConsump!AA33*'Fuel Heat Content'!$D$14)+(FuelConsump!Y33*'Fuel Heat Content'!$D$19))/1000000</f>
        <v>51.258822000000002</v>
      </c>
      <c r="F33" s="64"/>
      <c r="G33" s="34">
        <f>'Detailed data_Intercity buses'!Y12</f>
        <v>24.798247972972973</v>
      </c>
      <c r="H33" s="34">
        <f>'Detailed data_School buses'!W12</f>
        <v>46.950380399999993</v>
      </c>
      <c r="I33" s="35">
        <f>((FuelConsump!AZ33*'Fuel Heat Content'!$D$7)+(FuelConsump!BA33*'Fuel Heat Content'!$D$21))/1000000</f>
        <v>14.328358240000002</v>
      </c>
      <c r="J33" s="97">
        <f>(FuelConsump!BB33*'Fuel Heat Content'!$D$21)/1000000</f>
        <v>25.857043692307695</v>
      </c>
      <c r="K33" s="97">
        <f>(FuelConsump!BC33*'Fuel Heat Content'!$D$21)/1000000</f>
        <v>1.499950307692308</v>
      </c>
      <c r="L33" s="33">
        <f t="shared" ref="L33:L57" si="0">SUM(I33:K33)</f>
        <v>41.685352240000007</v>
      </c>
      <c r="M33" s="33">
        <f>FuelConsump!AY33</f>
        <v>11.20880503144654</v>
      </c>
      <c r="N33" s="97">
        <f>(1-'Freight-based Energy Use'!K33)*(FuelConsump!AP33+1*FuelConsump!AQ33)*'Fuel Heat Content'!$D$11/1000000</f>
        <v>1226.573556294881</v>
      </c>
      <c r="O33" s="109">
        <f>((FuelConsump!AR33*'Fuel Heat Content'!$D$9)+(FuelConsump!AS33*'Fuel Heat Content'!$D$11))/1000000</f>
        <v>110.67740000000001</v>
      </c>
      <c r="Q33" s="97"/>
      <c r="AK33" s="21"/>
    </row>
    <row r="34" spans="1:37" x14ac:dyDescent="0.2">
      <c r="A34" s="30">
        <v>1976</v>
      </c>
      <c r="B34" s="64">
        <f>((FuelConsump!C34*'Fuel Heat Content'!$D$6)+(FuelConsump!D34*'Fuel Heat Content'!$D$8)+(FuelConsump!E34*'Fuel Heat Content'!$D$7))/1000000</f>
        <v>9825.7410803999992</v>
      </c>
      <c r="C34" s="64">
        <f>((FuelConsump!F34*'Fuel Heat Content'!$D$6))/1000000</f>
        <v>15.0075</v>
      </c>
      <c r="D34" s="64">
        <f>((FuelConsump!I34*'Fuel Heat Content'!$D$6)+(FuelConsump!J34*'Fuel Heat Content'!$D$8)+     (FuelConsump!K34*'Fuel Heat Content'!$D$7)+(FuelConsump!L34*'Fuel Heat Content'!$D$14))/1000000</f>
        <v>2602.4389000179413</v>
      </c>
      <c r="E34" s="64">
        <f>((FuelConsump!U34*'Fuel Heat Content'!$D$7)+(FuelConsump!V34*'Fuel Heat Content'!$D$7)+(FuelConsump!W34*'Fuel Heat Content'!$D$6)+(FuelConsump!X34*'Fuel Heat Content'!$D$16)+(FuelConsump!Z34*'Fuel Heat Content'!$D$17)+(FuelConsump!AA34*'Fuel Heat Content'!$D$14)+(FuelConsump!Y34*'Fuel Heat Content'!$D$19))/1000000</f>
        <v>54.6302369</v>
      </c>
      <c r="F34" s="64"/>
      <c r="G34" s="34">
        <f>'Detailed data_Intercity buses'!Y13</f>
        <v>25.045120962199309</v>
      </c>
      <c r="H34" s="34">
        <f>'Detailed data_School buses'!W13</f>
        <v>48.431966053153033</v>
      </c>
      <c r="I34" s="35">
        <f>((FuelConsump!AZ34*'Fuel Heat Content'!$D$7)+(FuelConsump!BA34*'Fuel Heat Content'!$D$21))/1000000</f>
        <v>13.47791627</v>
      </c>
      <c r="J34" s="97">
        <f>(FuelConsump!BB34*'Fuel Heat Content'!$D$21)/1000000</f>
        <v>25.107068538461537</v>
      </c>
      <c r="K34" s="97">
        <f>(FuelConsump!BC34*'Fuel Heat Content'!$D$21)/1000000</f>
        <v>1.5261954615384616</v>
      </c>
      <c r="L34" s="33">
        <f t="shared" si="0"/>
        <v>40.111180269999998</v>
      </c>
      <c r="M34" s="33">
        <f>FuelConsump!AY34</f>
        <v>11.792421383647797</v>
      </c>
      <c r="N34" s="97">
        <f>(1-'Freight-based Energy Use'!K34)*(FuelConsump!AP34+1*FuelConsump!AQ34)*'Fuel Heat Content'!$D$11/1000000</f>
        <v>1199.9251760678098</v>
      </c>
      <c r="O34" s="109">
        <f>((FuelConsump!AR34*'Fuel Heat Content'!$D$9)+(FuelConsump!AS34*'Fuel Heat Content'!$D$11))/1000000</f>
        <v>118.7514</v>
      </c>
      <c r="P34" s="136"/>
      <c r="Q34" s="97"/>
      <c r="AK34" s="21"/>
    </row>
    <row r="35" spans="1:37" x14ac:dyDescent="0.2">
      <c r="A35" s="30">
        <v>1977</v>
      </c>
      <c r="B35" s="64">
        <f>((FuelConsump!C35*'Fuel Heat Content'!$D$6)+(FuelConsump!D35*'Fuel Heat Content'!$D$8)+(FuelConsump!E35*'Fuel Heat Content'!$D$7))/1000000</f>
        <v>9927.9911240000001</v>
      </c>
      <c r="C35" s="64">
        <f>((FuelConsump!F35*'Fuel Heat Content'!$D$6))/1000000</f>
        <v>15.8725</v>
      </c>
      <c r="D35" s="64">
        <f>((FuelConsump!I35*'Fuel Heat Content'!$D$6)+(FuelConsump!J35*'Fuel Heat Content'!$D$8)+     (FuelConsump!K35*'Fuel Heat Content'!$D$7)+(FuelConsump!L35*'Fuel Heat Content'!$D$14))/1000000</f>
        <v>2796.7048512053425</v>
      </c>
      <c r="E35" s="64">
        <f>((FuelConsump!U35*'Fuel Heat Content'!$D$7)+(FuelConsump!V35*'Fuel Heat Content'!$D$7)+(FuelConsump!W35*'Fuel Heat Content'!$D$6)+(FuelConsump!X35*'Fuel Heat Content'!$D$16)+(FuelConsump!Z35*'Fuel Heat Content'!$D$17)+(FuelConsump!AA35*'Fuel Heat Content'!$D$14)+(FuelConsump!Y35*'Fuel Heat Content'!$D$19))/1000000</f>
        <v>56.886685399999998</v>
      </c>
      <c r="F35" s="64"/>
      <c r="G35" s="34">
        <f>'Detailed data_Intercity buses'!Y14</f>
        <v>25.03075888501742</v>
      </c>
      <c r="H35" s="34">
        <f>'Detailed data_School buses'!W14</f>
        <v>49.740914536857431</v>
      </c>
      <c r="I35" s="35">
        <f>((FuelConsump!AZ35*'Fuel Heat Content'!$D$7)+(FuelConsump!BA35*'Fuel Heat Content'!$D$21))/1000000</f>
        <v>14.886911899999998</v>
      </c>
      <c r="J35" s="97">
        <f>(FuelConsump!BB35*'Fuel Heat Content'!$D$21)/1000000</f>
        <v>22.258276384615385</v>
      </c>
      <c r="K35" s="97">
        <f>(FuelConsump!BC35*'Fuel Heat Content'!$D$21)/1000000</f>
        <v>1.5524406153846158</v>
      </c>
      <c r="L35" s="33">
        <f t="shared" si="0"/>
        <v>38.697628900000005</v>
      </c>
      <c r="M35" s="33">
        <f>FuelConsump!AY35</f>
        <v>12.199056603773583</v>
      </c>
      <c r="N35" s="97">
        <f>(1-'Freight-based Energy Use'!K35)*(FuelConsump!AP35+1*FuelConsump!AQ35)*'Fuel Heat Content'!$D$11/1000000</f>
        <v>1144.2799709038948</v>
      </c>
      <c r="O35" s="109">
        <f>((FuelConsump!AR35*'Fuel Heat Content'!$D$9)+(FuelConsump!AS35*'Fuel Heat Content'!$D$11))/1000000</f>
        <v>127.1712</v>
      </c>
      <c r="AK35" s="21"/>
    </row>
    <row r="36" spans="1:37" x14ac:dyDescent="0.2">
      <c r="A36" s="30">
        <v>1978</v>
      </c>
      <c r="B36" s="64">
        <f>((FuelConsump!C36*'Fuel Heat Content'!$D$6)+(FuelConsump!D36*'Fuel Heat Content'!$D$8)+(FuelConsump!E36*'Fuel Heat Content'!$D$7))/1000000</f>
        <v>10133.431822799999</v>
      </c>
      <c r="C36" s="64">
        <f>((FuelConsump!F36*'Fuel Heat Content'!$D$6))/1000000</f>
        <v>17.895</v>
      </c>
      <c r="D36" s="64">
        <f>((FuelConsump!I36*'Fuel Heat Content'!$D$6)+(FuelConsump!J36*'Fuel Heat Content'!$D$8)+     (FuelConsump!K36*'Fuel Heat Content'!$D$7)+(FuelConsump!L36*'Fuel Heat Content'!$D$14))/1000000</f>
        <v>3019.549139111673</v>
      </c>
      <c r="E36" s="64">
        <f>((FuelConsump!U36*'Fuel Heat Content'!$D$7)+(FuelConsump!V36*'Fuel Heat Content'!$D$7)+(FuelConsump!W36*'Fuel Heat Content'!$D$6)+(FuelConsump!X36*'Fuel Heat Content'!$D$16)+(FuelConsump!Z36*'Fuel Heat Content'!$D$17)+(FuelConsump!AA36*'Fuel Heat Content'!$D$14)+(FuelConsump!Y36*'Fuel Heat Content'!$D$19))/1000000</f>
        <v>59.696257899999999</v>
      </c>
      <c r="F36" s="64"/>
      <c r="G36" s="34">
        <f>'Detailed data_Intercity buses'!Y15</f>
        <v>26.978325423728812</v>
      </c>
      <c r="H36" s="34">
        <f>'Detailed data_School buses'!W15</f>
        <v>50.142921214766957</v>
      </c>
      <c r="I36" s="35">
        <f>((FuelConsump!AZ36*'Fuel Heat Content'!$D$7)+(FuelConsump!BA36*'Fuel Heat Content'!$D$21))/1000000</f>
        <v>15.373915199999999</v>
      </c>
      <c r="J36" s="97">
        <f>(FuelConsump!BB36*'Fuel Heat Content'!$D$21)/1000000</f>
        <v>21.404911230769233</v>
      </c>
      <c r="K36" s="97">
        <f>(FuelConsump!BC36*'Fuel Heat Content'!$D$21)/1000000</f>
        <v>1.5786857692307696</v>
      </c>
      <c r="L36" s="33">
        <f t="shared" si="0"/>
        <v>38.357512199999995</v>
      </c>
      <c r="M36" s="33">
        <f>FuelConsump!AY36</f>
        <v>12.443037735849055</v>
      </c>
      <c r="N36" s="97">
        <f>(1-'Freight-based Energy Use'!K36)*(FuelConsump!AP36+1*FuelConsump!AQ36)*'Fuel Heat Content'!$D$11/1000000</f>
        <v>1189.7515190020088</v>
      </c>
      <c r="O36" s="109">
        <f>((FuelConsump!AR36*'Fuel Heat Content'!$D$9)+(FuelConsump!AS36*'Fuel Heat Content'!$D$11))/1000000</f>
        <v>165.26859999999999</v>
      </c>
      <c r="AK36" s="21"/>
    </row>
    <row r="37" spans="1:37" x14ac:dyDescent="0.2">
      <c r="A37" s="30">
        <v>1979</v>
      </c>
      <c r="B37" s="64">
        <f>((FuelConsump!C37*'Fuel Heat Content'!$D$6)+(FuelConsump!D37*'Fuel Heat Content'!$D$8)+(FuelConsump!E37*'Fuel Heat Content'!$D$7))/1000000</f>
        <v>9629.1105467999987</v>
      </c>
      <c r="C37" s="64">
        <f>((FuelConsump!F37*'Fuel Heat Content'!$D$6))/1000000</f>
        <v>21.592500000000001</v>
      </c>
      <c r="D37" s="64">
        <f>((FuelConsump!I37*'Fuel Heat Content'!$D$6)+(FuelConsump!J37*'Fuel Heat Content'!$D$8)+     (FuelConsump!K37*'Fuel Heat Content'!$D$7)+(FuelConsump!L37*'Fuel Heat Content'!$D$14))/1000000</f>
        <v>3055.3683677780482</v>
      </c>
      <c r="E37" s="64">
        <f>((FuelConsump!U37*'Fuel Heat Content'!$D$7)+(FuelConsump!V37*'Fuel Heat Content'!$D$7)+(FuelConsump!W37*'Fuel Heat Content'!$D$6)+(FuelConsump!X37*'Fuel Heat Content'!$D$16)+(FuelConsump!Z37*'Fuel Heat Content'!$D$17)+(FuelConsump!AA37*'Fuel Heat Content'!$D$14)+(FuelConsump!Y37*'Fuel Heat Content'!$D$19))/1000000</f>
        <v>59.824504399999995</v>
      </c>
      <c r="F37" s="64"/>
      <c r="G37" s="34">
        <f>'Detailed data_Intercity buses'!Y16</f>
        <v>28.100133333333332</v>
      </c>
      <c r="H37" s="34">
        <f>'Detailed data_School buses'!W16</f>
        <v>51.986783077938107</v>
      </c>
      <c r="I37" s="167">
        <f>((FuelConsump!AZ37*'Fuel Heat Content'!$D$7)+(FuelConsump!BA37*'Fuel Heat Content'!$D$21))/1000000</f>
        <v>15.786957599999999</v>
      </c>
      <c r="J37" s="97">
        <f>(FuelConsump!BB37*'Fuel Heat Content'!$D$21)/1000000</f>
        <v>23.963416076923071</v>
      </c>
      <c r="K37" s="97">
        <f>(FuelConsump!BC37*'Fuel Heat Content'!$D$21)/1000000</f>
        <v>1.6049309230769238</v>
      </c>
      <c r="L37" s="33">
        <f t="shared" si="0"/>
        <v>41.35530459999999</v>
      </c>
      <c r="M37" s="169">
        <f>FuelConsump!AY37</f>
        <v>13.744270440251569</v>
      </c>
      <c r="N37" s="97">
        <f>(1-'Freight-based Energy Use'!K37)*(FuelConsump!AP37+1*FuelConsump!AQ37)*'Fuel Heat Content'!$D$11/1000000</f>
        <v>1265.8590244979316</v>
      </c>
      <c r="O37" s="109">
        <f>((FuelConsump!AR37*'Fuel Heat Content'!$D$9)+(FuelConsump!AS37*'Fuel Heat Content'!$D$11))/1000000</f>
        <v>167.874</v>
      </c>
      <c r="AK37" s="21"/>
    </row>
    <row r="38" spans="1:37" x14ac:dyDescent="0.2">
      <c r="A38" s="30">
        <v>1980</v>
      </c>
      <c r="B38" s="64">
        <f>((FuelConsump!C38*'Fuel Heat Content'!$D$6)+(FuelConsump!D38*'Fuel Heat Content'!$D$8)+(FuelConsump!E38*'Fuel Heat Content'!$D$7))/1000000</f>
        <v>8799.8798127000009</v>
      </c>
      <c r="C38" s="64">
        <f>((FuelConsump!F38*'Fuel Heat Content'!$D$6))/1000000</f>
        <v>25.535</v>
      </c>
      <c r="D38" s="64">
        <f>((FuelConsump!I38*'Fuel Heat Content'!$D$6)+(FuelConsump!J38*'Fuel Heat Content'!$D$8)+     (FuelConsump!K38*'Fuel Heat Content'!$D$7)+(FuelConsump!L38*'Fuel Heat Content'!$D$14))/1000000</f>
        <v>2974.8195911379362</v>
      </c>
      <c r="E38" s="64">
        <f>((FuelConsump!U38*'Fuel Heat Content'!$D$7)+(FuelConsump!V38*'Fuel Heat Content'!$D$7)+(FuelConsump!W38*'Fuel Heat Content'!$D$6)+(FuelConsump!X38*'Fuel Heat Content'!$D$16)+(FuelConsump!Z38*'Fuel Heat Content'!$D$17)+(FuelConsump!AA38*'Fuel Heat Content'!$D$14)+(FuelConsump!Y38*'Fuel Heat Content'!$D$19))/1000000</f>
        <v>61.260179999999998</v>
      </c>
      <c r="F38" s="64"/>
      <c r="G38" s="34">
        <f>'Detailed data_Intercity buses'!Y17</f>
        <v>29.299999999999997</v>
      </c>
      <c r="H38" s="34">
        <f>'Detailed data_School buses'!W17</f>
        <v>52.141454399999994</v>
      </c>
      <c r="I38" s="35">
        <f>((FuelConsump!AZ38*'Fuel Heat Content'!$D$7)+(FuelConsump!BA38*'Fuel Heat Content'!$D$21))/1000000</f>
        <v>16.2</v>
      </c>
      <c r="J38" s="97">
        <f>(FuelConsump!BB38*'Fuel Heat Content'!$D$21)/1000000</f>
        <v>23.658017923076919</v>
      </c>
      <c r="K38" s="97">
        <f>(FuelConsump!BC38*'Fuel Heat Content'!$D$21)/1000000</f>
        <v>1.6311760769230774</v>
      </c>
      <c r="L38" s="33">
        <f t="shared" si="0"/>
        <v>41.489193999999991</v>
      </c>
      <c r="M38" s="33">
        <f>FuelConsump!AY38</f>
        <v>11.630188679245281</v>
      </c>
      <c r="N38" s="97">
        <f>(1-'Freight-based Energy Use'!K38)*(FuelConsump!AP38+1*FuelConsump!AQ38)*'Fuel Heat Content'!$D$11/1000000</f>
        <v>1208.1100126947761</v>
      </c>
      <c r="O38" s="109">
        <f>((FuelConsump!AR38*'Fuel Heat Content'!$D$9)+(FuelConsump!AS38*'Fuel Heat Content'!$D$11))/1000000</f>
        <v>165.91399999999999</v>
      </c>
      <c r="AK38" s="21"/>
    </row>
    <row r="39" spans="1:37" x14ac:dyDescent="0.2">
      <c r="A39" s="30">
        <v>1981</v>
      </c>
      <c r="B39" s="64">
        <f>((FuelConsump!C39*'Fuel Heat Content'!$D$6)+(FuelConsump!D39*'Fuel Heat Content'!$D$8)+(FuelConsump!E39*'Fuel Heat Content'!$D$7))/1000000</f>
        <v>8692.8797152000006</v>
      </c>
      <c r="C39" s="64">
        <f>((FuelConsump!F39*'Fuel Heat Content'!$D$6))/1000000</f>
        <v>26.725000000000001</v>
      </c>
      <c r="D39" s="64">
        <f>((FuelConsump!I39*'Fuel Heat Content'!$D$6)+(FuelConsump!J39*'Fuel Heat Content'!$D$8)+     (FuelConsump!K39*'Fuel Heat Content'!$D$7)+(FuelConsump!L39*'Fuel Heat Content'!$D$14))/1000000</f>
        <v>2962.7644171707007</v>
      </c>
      <c r="E39" s="64">
        <f>((FuelConsump!U39*'Fuel Heat Content'!$D$7)+(FuelConsump!V39*'Fuel Heat Content'!$D$7)+(FuelConsump!W39*'Fuel Heat Content'!$D$6)+(FuelConsump!X39*'Fuel Heat Content'!$D$16)+(FuelConsump!Z39*'Fuel Heat Content'!$D$17)+(FuelConsump!AA39*'Fuel Heat Content'!$D$14)+(FuelConsump!Y39*'Fuel Heat Content'!$D$19))/1000000</f>
        <v>63.603265</v>
      </c>
      <c r="F39" s="64"/>
      <c r="G39" s="34">
        <f>'Detailed data_Intercity buses'!Y18</f>
        <v>28.561040973030327</v>
      </c>
      <c r="H39" s="34">
        <f>'Detailed data_School buses'!W18</f>
        <v>53.676989111275631</v>
      </c>
      <c r="I39" s="171">
        <f>((FuelConsump!AZ39*'Fuel Heat Content'!$D$7)+(FuelConsump!BA39*'Fuel Heat Content'!$D$21))/1000000</f>
        <v>15.6</v>
      </c>
      <c r="J39" s="97">
        <f>(FuelConsump!BB39*'Fuel Heat Content'!$D$21)/1000000</f>
        <v>25.792623769230769</v>
      </c>
      <c r="K39" s="97">
        <f>(FuelConsump!BC39*'Fuel Heat Content'!$D$21)/1000000</f>
        <v>1.6574212307692315</v>
      </c>
      <c r="L39" s="33">
        <f t="shared" si="0"/>
        <v>43.050044999999997</v>
      </c>
      <c r="M39" s="33">
        <f>FuelConsump!AY39</f>
        <v>10.703144654088048</v>
      </c>
      <c r="N39" s="97">
        <f>(1-'Freight-based Energy Use'!K39)*(FuelConsump!AP39+1*FuelConsump!AQ39)*'Fuel Heat Content'!$D$11/1000000</f>
        <v>1240.5126264696532</v>
      </c>
      <c r="O39" s="109">
        <f>((FuelConsump!AR39*'Fuel Heat Content'!$D$9)+(FuelConsump!AS39*'Fuel Heat Content'!$D$11))/1000000</f>
        <v>161.24279999999999</v>
      </c>
      <c r="AK39" s="21"/>
    </row>
    <row r="40" spans="1:37" x14ac:dyDescent="0.2">
      <c r="A40" s="30">
        <v>1982</v>
      </c>
      <c r="B40" s="64">
        <f>((FuelConsump!C40*'Fuel Heat Content'!$D$6)+(FuelConsump!D40*'Fuel Heat Content'!$D$8)+(FuelConsump!E40*'Fuel Heat Content'!$D$7))/1000000</f>
        <v>8697.5969654</v>
      </c>
      <c r="C40" s="64">
        <f>((FuelConsump!F40*'Fuel Heat Content'!$D$6))/1000000</f>
        <v>24.774999999999999</v>
      </c>
      <c r="D40" s="64">
        <f>((FuelConsump!I40*'Fuel Heat Content'!$D$6)+(FuelConsump!J40*'Fuel Heat Content'!$D$8)+     (FuelConsump!K40*'Fuel Heat Content'!$D$7)+(FuelConsump!L40*'Fuel Heat Content'!$D$14))/1000000</f>
        <v>2837.3584772859203</v>
      </c>
      <c r="E40" s="64">
        <f>((FuelConsump!U40*'Fuel Heat Content'!$D$7)+(FuelConsump!V40*'Fuel Heat Content'!$D$7)+(FuelConsump!W40*'Fuel Heat Content'!$D$6)+(FuelConsump!X40*'Fuel Heat Content'!$D$16)+(FuelConsump!Z40*'Fuel Heat Content'!$D$17)+(FuelConsump!AA40*'Fuel Heat Content'!$D$14)+(FuelConsump!Y40*'Fuel Heat Content'!$D$19))/1000000</f>
        <v>64.652833000000001</v>
      </c>
      <c r="F40" s="64"/>
      <c r="G40" s="34">
        <f>'Detailed data_Intercity buses'!Y19</f>
        <v>28.050196415195717</v>
      </c>
      <c r="H40" s="34">
        <f>'Detailed data_School buses'!W19</f>
        <v>54.550515249048367</v>
      </c>
      <c r="I40" s="35">
        <f>((FuelConsump!AZ40*'Fuel Heat Content'!$D$7)+(FuelConsump!BA40*'Fuel Heat Content'!$D$21))/1000000</f>
        <v>15.3</v>
      </c>
      <c r="J40" s="97">
        <f>(FuelConsump!BB40*'Fuel Heat Content'!$D$21)/1000000</f>
        <v>26.459091615384615</v>
      </c>
      <c r="K40" s="97">
        <f>(FuelConsump!BC40*'Fuel Heat Content'!$D$21)/1000000</f>
        <v>1.6836663846153854</v>
      </c>
      <c r="L40" s="33">
        <f t="shared" si="0"/>
        <v>43.442758000000005</v>
      </c>
      <c r="M40" s="33">
        <f>FuelConsump!AY40</f>
        <v>10.281761006289306</v>
      </c>
      <c r="N40" s="97">
        <f>(1-'Freight-based Energy Use'!K40)*(FuelConsump!AP40+1*FuelConsump!AQ40)*'Fuel Heat Content'!$D$11/1000000</f>
        <v>1228.0592712157463</v>
      </c>
      <c r="O40" s="109">
        <f>((FuelConsump!AR40*'Fuel Heat Content'!$D$9)+(FuelConsump!AS40*'Fuel Heat Content'!$D$11))/1000000</f>
        <v>173.59460000000001</v>
      </c>
      <c r="S40" t="s">
        <v>440</v>
      </c>
      <c r="V40" t="s">
        <v>979</v>
      </c>
      <c r="AK40" s="21"/>
    </row>
    <row r="41" spans="1:37" x14ac:dyDescent="0.2">
      <c r="A41" s="30">
        <v>1983</v>
      </c>
      <c r="B41" s="64">
        <f>((FuelConsump!C41*'Fuel Heat Content'!$D$6)+(FuelConsump!D41*'Fuel Heat Content'!$D$8)+(FuelConsump!E41*'Fuel Heat Content'!$D$7))/1000000</f>
        <v>8801.9375163999994</v>
      </c>
      <c r="C41" s="64">
        <f>((FuelConsump!F41*'Fuel Heat Content'!$D$6))/1000000</f>
        <v>21.9</v>
      </c>
      <c r="D41" s="64">
        <f>((FuelConsump!I41*'Fuel Heat Content'!$D$6)+(FuelConsump!J41*'Fuel Heat Content'!$D$8)+     (FuelConsump!K41*'Fuel Heat Content'!$D$7)+(FuelConsump!L41*'Fuel Heat Content'!$D$14))/1000000</f>
        <v>2990.7511385096491</v>
      </c>
      <c r="E41" s="64">
        <f>((FuelConsump!U41*'Fuel Heat Content'!$D$7)+(FuelConsump!V41*'Fuel Heat Content'!$D$7)+(FuelConsump!W41*'Fuel Heat Content'!$D$6)+(FuelConsump!X41*'Fuel Heat Content'!$D$16)+(FuelConsump!Z41*'Fuel Heat Content'!$D$17)+(FuelConsump!AA41*'Fuel Heat Content'!$D$14)+(FuelConsump!Y41*'Fuel Heat Content'!$D$19))/1000000</f>
        <v>63.638562</v>
      </c>
      <c r="F41" s="64"/>
      <c r="G41" s="34">
        <f>'Detailed data_Intercity buses'!Y20</f>
        <v>28.143603158664185</v>
      </c>
      <c r="H41" s="34">
        <f>'Detailed data_School buses'!W20</f>
        <v>57.781020384618401</v>
      </c>
      <c r="I41" s="171">
        <f>((FuelConsump!AZ41*'Fuel Heat Content'!$D$7)+(FuelConsump!BA41*'Fuel Heat Content'!$D$21))/1000000</f>
        <v>18.857719500000002</v>
      </c>
      <c r="J41" s="97">
        <f>(FuelConsump!BB41*'Fuel Heat Content'!$D$21)/1000000</f>
        <v>28.583358461538463</v>
      </c>
      <c r="K41" s="97">
        <f>(FuelConsump!BC41*'Fuel Heat Content'!$D$21)/1000000</f>
        <v>1.7099115384615395</v>
      </c>
      <c r="L41" s="33">
        <f t="shared" si="0"/>
        <v>49.150989500000009</v>
      </c>
      <c r="M41" s="33">
        <f>FuelConsump!AY41</f>
        <v>10.281761006289306</v>
      </c>
      <c r="N41" s="97">
        <f>(1-'Freight-based Energy Use'!K41)*(FuelConsump!AP41+1*FuelConsump!AQ41)*'Fuel Heat Content'!$D$11/1000000</f>
        <v>1259.3013205534492</v>
      </c>
      <c r="O41" s="109">
        <f>((FuelConsump!AR41*'Fuel Heat Content'!$D$9)+(FuelConsump!AS41*'Fuel Heat Content'!$D$11))/1000000</f>
        <v>134.20060000000001</v>
      </c>
      <c r="S41" t="s">
        <v>441</v>
      </c>
      <c r="AK41" s="21"/>
    </row>
    <row r="42" spans="1:37" x14ac:dyDescent="0.2">
      <c r="A42" s="30">
        <v>1984</v>
      </c>
      <c r="B42" s="64">
        <f>((FuelConsump!C42*'Fuel Heat Content'!$D$6)+(FuelConsump!D42*'Fuel Heat Content'!$D$8)+(FuelConsump!E42*'Fuel Heat Content'!$D$7))/1000000</f>
        <v>8836.8815921000005</v>
      </c>
      <c r="C42" s="64">
        <f>((FuelConsump!F42*'Fuel Heat Content'!$D$6))/1000000</f>
        <v>22.715</v>
      </c>
      <c r="D42" s="64">
        <f>((FuelConsump!I42*'Fuel Heat Content'!$D$6)+(FuelConsump!J42*'Fuel Heat Content'!$D$8)+     (FuelConsump!K42*'Fuel Heat Content'!$D$7)+(FuelConsump!L42*'Fuel Heat Content'!$D$14))/1000000</f>
        <v>3196.8480317081207</v>
      </c>
      <c r="E42" s="64">
        <f>((FuelConsump!U42*'Fuel Heat Content'!$D$7)+(FuelConsump!V42*'Fuel Heat Content'!$D$7)+(FuelConsump!W42*'Fuel Heat Content'!$D$6)+(FuelConsump!X42*'Fuel Heat Content'!$D$16)+(FuelConsump!Z42*'Fuel Heat Content'!$D$17)+(FuelConsump!AA42*'Fuel Heat Content'!$D$14)+(FuelConsump!Y42*'Fuel Heat Content'!$D$19))/1000000</f>
        <v>71.050296299999999</v>
      </c>
      <c r="F42" s="64">
        <f>((FuelConsump!AB42*'Fuel Heat Content'!$D$7)+(FuelConsump!AC42*'Fuel Heat Content'!$D$15)+(FuelConsump!AD42*'Fuel Heat Content'!$D$6)+(FuelConsump!AE42*'Fuel Heat Content'!$D$14)+(FuelConsump!AF42*'Fuel Heat Content'!$D$19)+(FuelConsump!AG42*'Fuel Heat Content'!$D$8))/1000000</f>
        <v>7.0616049999999992</v>
      </c>
      <c r="G42" s="34">
        <f>'Detailed data_Intercity buses'!Y21</f>
        <v>24.567267026524188</v>
      </c>
      <c r="H42" s="34">
        <f>'Detailed data_School buses'!W21</f>
        <v>57.576334360246427</v>
      </c>
      <c r="I42" s="35">
        <f>((FuelConsump!AZ42*'Fuel Heat Content'!$D$7)+(FuelConsump!BA42*'Fuel Heat Content'!$D$21))/1000000</f>
        <v>17.404423000000001</v>
      </c>
      <c r="J42" s="97">
        <f>(FuelConsump!BB42*'Fuel Heat Content'!$D$21)/1000000</f>
        <v>30.232031307692303</v>
      </c>
      <c r="K42" s="97">
        <f>(FuelConsump!BC42*'Fuel Heat Content'!$D$21)/1000000</f>
        <v>1.7361566923076934</v>
      </c>
      <c r="L42" s="33">
        <f t="shared" si="0"/>
        <v>49.372610999999999</v>
      </c>
      <c r="M42" s="169">
        <f>FuelConsump!AY42</f>
        <v>10.871698113207547</v>
      </c>
      <c r="N42" s="97">
        <f>(1-'Freight-based Energy Use'!K42)*(FuelConsump!AP42+1*FuelConsump!AQ42)*'Fuel Heat Content'!$D$11/1000000</f>
        <v>1403.3309989803945</v>
      </c>
      <c r="O42" s="109">
        <f>((FuelConsump!AR42*'Fuel Heat Content'!$D$9)+(FuelConsump!AS42*'Fuel Heat Content'!$D$11))/1000000</f>
        <v>155.33197999999999</v>
      </c>
      <c r="S42" s="4">
        <f>F42/'Passenger-based Activity'!$G43*1000000</f>
        <v>20233.825214899713</v>
      </c>
      <c r="V42" s="97">
        <f>(1-'Freight-based Energy Use'!K68)</f>
        <v>0.82129159389299056</v>
      </c>
      <c r="AK42" s="21"/>
    </row>
    <row r="43" spans="1:37" x14ac:dyDescent="0.2">
      <c r="A43" s="30">
        <v>1985</v>
      </c>
      <c r="B43" s="64">
        <f>((FuelConsump!C43*'Fuel Heat Content'!$D$6)+(FuelConsump!D43*'Fuel Heat Content'!$D$8)+(FuelConsump!E43*'Fuel Heat Content'!$D$7))/1000000</f>
        <v>8931.8687164000021</v>
      </c>
      <c r="C43" s="64">
        <f>((FuelConsump!F43*'Fuel Heat Content'!$D$6))/1000000</f>
        <v>23.4925</v>
      </c>
      <c r="D43" s="64">
        <f>((FuelConsump!I43*'Fuel Heat Content'!$D$6)+(FuelConsump!J43*'Fuel Heat Content'!$D$8)+     (FuelConsump!K43*'Fuel Heat Content'!$D$7)+(FuelConsump!L43*'Fuel Heat Content'!$D$14))/1000000</f>
        <v>3413.8126605388788</v>
      </c>
      <c r="E43" s="64">
        <f>((FuelConsump!U43*'Fuel Heat Content'!$D$7)+(FuelConsump!V43*'Fuel Heat Content'!$D$7)+(FuelConsump!W43*'Fuel Heat Content'!$D$6)+(FuelConsump!X43*'Fuel Heat Content'!$D$16)+(FuelConsump!Z43*'Fuel Heat Content'!$D$17)+(FuelConsump!AA43*'Fuel Heat Content'!$D$14)+(FuelConsump!Y43*'Fuel Heat Content'!$D$19))/1000000</f>
        <v>72.615601899999987</v>
      </c>
      <c r="F43" s="64">
        <f>((FuelConsump!AB43*'Fuel Heat Content'!$D$7)+(FuelConsump!AC43*'Fuel Heat Content'!$D$15)+(FuelConsump!AD43*'Fuel Heat Content'!$D$6)+(FuelConsump!AE43*'Fuel Heat Content'!$D$14)+(FuelConsump!AF43*'Fuel Heat Content'!$D$19)+(FuelConsump!AG43*'Fuel Heat Content'!$D$8))/1000000</f>
        <v>6.6880249999999997</v>
      </c>
      <c r="G43" s="34">
        <f>'Detailed data_Intercity buses'!Y22</f>
        <v>23.390866565957946</v>
      </c>
      <c r="H43" s="34">
        <f>'Detailed data_School buses'!W22</f>
        <v>58.370743199999986</v>
      </c>
      <c r="I43" s="35">
        <f>((FuelConsump!AZ43*'Fuel Heat Content'!$D$7)+(FuelConsump!BA43*'Fuel Heat Content'!$D$21))/1000000</f>
        <v>18.463673399999998</v>
      </c>
      <c r="J43" s="97">
        <f>(FuelConsump!BB43*'Fuel Heat Content'!$D$21)/1000000</f>
        <v>28.510190153846153</v>
      </c>
      <c r="K43" s="97">
        <f>(FuelConsump!BC43*'Fuel Heat Content'!$D$21)/1000000</f>
        <v>1.7624018461538471</v>
      </c>
      <c r="L43" s="33">
        <f t="shared" si="0"/>
        <v>48.736265400000001</v>
      </c>
      <c r="M43" s="33">
        <f>FuelConsump!AY43</f>
        <v>10.871698113207547</v>
      </c>
      <c r="N43" s="97">
        <f>(1-'Freight-based Energy Use'!K43)*(FuelConsump!AP43+1*FuelConsump!AQ43)*'Fuel Heat Content'!$D$11/1000000</f>
        <v>1507.1777428273399</v>
      </c>
      <c r="O43" s="109">
        <f>((FuelConsump!AR43*'Fuel Heat Content'!$D$9)+(FuelConsump!AS43*'Fuel Heat Content'!$D$11))/1000000</f>
        <v>143.88919999999999</v>
      </c>
      <c r="S43" s="4">
        <f>F43/'Passenger-based Activity'!$G44*1000000</f>
        <v>18373.695054945056</v>
      </c>
      <c r="V43" s="97">
        <f>(FuelConsump!AP68)</f>
        <v>11255.8</v>
      </c>
      <c r="AK43" s="21"/>
    </row>
    <row r="44" spans="1:37" x14ac:dyDescent="0.2">
      <c r="A44" s="30">
        <v>1986</v>
      </c>
      <c r="B44" s="64">
        <f>((FuelConsump!C44*'Fuel Heat Content'!$D$6)+(FuelConsump!D44*'Fuel Heat Content'!$D$8)+(FuelConsump!E44*'Fuel Heat Content'!$D$7))/1000000</f>
        <v>9138.9862386000004</v>
      </c>
      <c r="C44" s="64">
        <f>((FuelConsump!F44*'Fuel Heat Content'!$D$6))/1000000</f>
        <v>23.4925</v>
      </c>
      <c r="D44" s="64">
        <f>((FuelConsump!I44*'Fuel Heat Content'!$D$6)+(FuelConsump!J44*'Fuel Heat Content'!$D$8)+     (FuelConsump!K44*'Fuel Heat Content'!$D$7)+(FuelConsump!L44*'Fuel Heat Content'!$D$14))/1000000</f>
        <v>3627.3966628612002</v>
      </c>
      <c r="E44" s="64">
        <f>((FuelConsump!U44*'Fuel Heat Content'!$D$7)+(FuelConsump!V44*'Fuel Heat Content'!$D$7)+(FuelConsump!W44*'Fuel Heat Content'!$D$6)+(FuelConsump!X44*'Fuel Heat Content'!$D$16)+(FuelConsump!Z44*'Fuel Heat Content'!$D$17)+(FuelConsump!AA44*'Fuel Heat Content'!$D$14)+(FuelConsump!Y44*'Fuel Heat Content'!$D$19))/1000000</f>
        <v>76.353920400000007</v>
      </c>
      <c r="F44" s="64">
        <f>((FuelConsump!AB44*'Fuel Heat Content'!$D$7)+(FuelConsump!AC44*'Fuel Heat Content'!$D$15)+(FuelConsump!AD44*'Fuel Heat Content'!$D$6)+(FuelConsump!AE44*'Fuel Heat Content'!$D$14)+(FuelConsump!AF44*'Fuel Heat Content'!$D$19)+(FuelConsump!AG44*'Fuel Heat Content'!$D$8))/1000000</f>
        <v>6.2415799999999999</v>
      </c>
      <c r="G44" s="34">
        <f>'Detailed data_Intercity buses'!Y23</f>
        <v>23.654564788063507</v>
      </c>
      <c r="H44" s="34">
        <f>'Detailed data_School buses'!W23</f>
        <v>58.785924020130437</v>
      </c>
      <c r="I44" s="35">
        <f>((FuelConsump!AZ44*'Fuel Heat Content'!$D$7)+(FuelConsump!BA44*'Fuel Heat Content'!$D$21))/1000000</f>
        <v>19.6707596</v>
      </c>
      <c r="J44" s="97">
        <f>(FuelConsump!BB44*'Fuel Heat Content'!$D$21)/1000000</f>
        <v>31.699373999999999</v>
      </c>
      <c r="K44" s="97">
        <f>(FuelConsump!BC44*'Fuel Heat Content'!$D$21)/1000000</f>
        <v>1.7886470000000001</v>
      </c>
      <c r="L44" s="33">
        <f t="shared" si="0"/>
        <v>53.1587806</v>
      </c>
      <c r="M44" s="33">
        <f>FuelConsump!AY44</f>
        <v>10.450314465408805</v>
      </c>
      <c r="N44" s="97">
        <f>(1-'Freight-based Energy Use'!K44)*(FuelConsump!AP44+1*FuelConsump!AQ44)*'Fuel Heat Content'!$D$11/1000000</f>
        <v>1613.2202565852003</v>
      </c>
      <c r="O44" s="109">
        <f>((FuelConsump!AR44*'Fuel Heat Content'!$D$9)+(FuelConsump!AS44*'Fuel Heat Content'!$D$11))/1000000</f>
        <v>147.94721999999999</v>
      </c>
      <c r="S44" s="4">
        <f>F44/'Passenger-based Activity'!$G45*1000000</f>
        <v>15526.3184079602</v>
      </c>
      <c r="V44" s="97">
        <f>(FuelConsump!AQ68)</f>
        <v>6027.9</v>
      </c>
      <c r="AK44" s="21"/>
    </row>
    <row r="45" spans="1:37" x14ac:dyDescent="0.2">
      <c r="A45" s="30">
        <v>1987</v>
      </c>
      <c r="B45" s="64">
        <f>((FuelConsump!C45*'Fuel Heat Content'!$D$6)+(FuelConsump!D45*'Fuel Heat Content'!$D$8)+(FuelConsump!E45*'Fuel Heat Content'!$D$7))/1000000</f>
        <v>9158.6250180000006</v>
      </c>
      <c r="C45" s="64">
        <f>((FuelConsump!F45*'Fuel Heat Content'!$D$6))/1000000</f>
        <v>23.765000000000001</v>
      </c>
      <c r="D45" s="64">
        <f>((FuelConsump!I45*'Fuel Heat Content'!$D$6)+(FuelConsump!J45*'Fuel Heat Content'!$D$8)+     (FuelConsump!K45*'Fuel Heat Content'!$D$7)+(FuelConsump!L45*'Fuel Heat Content'!$D$14))/1000000</f>
        <v>3819.136351307186</v>
      </c>
      <c r="E45" s="64">
        <f>((FuelConsump!U45*'Fuel Heat Content'!$D$7)+(FuelConsump!V45*'Fuel Heat Content'!$D$7)+(FuelConsump!W45*'Fuel Heat Content'!$D$6)+(FuelConsump!X45*'Fuel Heat Content'!$D$16)+(FuelConsump!Z45*'Fuel Heat Content'!$D$17)+(FuelConsump!AA45*'Fuel Heat Content'!$D$14)+(FuelConsump!Y45*'Fuel Heat Content'!$D$19))/1000000</f>
        <v>75.607651799999999</v>
      </c>
      <c r="F45" s="64">
        <f>((FuelConsump!AB45*'Fuel Heat Content'!$D$7)+(FuelConsump!AC45*'Fuel Heat Content'!$D$15)+(FuelConsump!AD45*'Fuel Heat Content'!$D$6)+(FuelConsump!AE45*'Fuel Heat Content'!$D$14)+(FuelConsump!AF45*'Fuel Heat Content'!$D$19)+(FuelConsump!AG45*'Fuel Heat Content'!$D$8))/1000000</f>
        <v>5.9472300000000002</v>
      </c>
      <c r="G45" s="34">
        <f>'Detailed data_Intercity buses'!Y24</f>
        <v>23.917659717054548</v>
      </c>
      <c r="H45" s="34">
        <f>'Detailed data_School buses'!W24</f>
        <v>60.31504346679715</v>
      </c>
      <c r="I45" s="35">
        <f>((FuelConsump!AZ45*'Fuel Heat Content'!$D$7)+(FuelConsump!BA45*'Fuel Heat Content'!$D$21))/1000000</f>
        <v>19.0976328</v>
      </c>
      <c r="J45" s="97">
        <f>(FuelConsump!BB45*'Fuel Heat Content'!$D$21)/1000000</f>
        <v>33.281241000000001</v>
      </c>
      <c r="K45" s="97">
        <f>(FuelConsump!BC45*'Fuel Heat Content'!$D$21)/1000000</f>
        <v>1.9747490000000001</v>
      </c>
      <c r="L45" s="33">
        <f t="shared" si="0"/>
        <v>54.353622800000004</v>
      </c>
      <c r="M45" s="33">
        <f>FuelConsump!AY45</f>
        <v>11.040251572327044</v>
      </c>
      <c r="N45" s="97">
        <f>(1-'Freight-based Energy Use'!K45)*(FuelConsump!AP45+1*FuelConsump!AQ45)*'Fuel Heat Content'!$D$11/1000000</f>
        <v>1689.2896288100676</v>
      </c>
      <c r="O45" s="109">
        <f>((FuelConsump!AR45*'Fuel Heat Content'!$D$9)+(FuelConsump!AS45*'Fuel Heat Content'!$D$11))/1000000</f>
        <v>139.11086</v>
      </c>
      <c r="S45" s="4">
        <f>F45/'Passenger-based Activity'!$G46*1000000</f>
        <v>15901.684491978609</v>
      </c>
      <c r="V45" s="766"/>
      <c r="W45" s="36"/>
      <c r="AK45" s="21"/>
    </row>
    <row r="46" spans="1:37" x14ac:dyDescent="0.2">
      <c r="A46" s="30">
        <v>1988</v>
      </c>
      <c r="B46" s="64">
        <f>((FuelConsump!C46*'Fuel Heat Content'!$D$6)+(FuelConsump!D46*'Fuel Heat Content'!$D$8)+(FuelConsump!E46*'Fuel Heat Content'!$D$7))/1000000</f>
        <v>9157.9300449999992</v>
      </c>
      <c r="C46" s="64">
        <f>((FuelConsump!F46*'Fuel Heat Content'!$D$6))/1000000</f>
        <v>25.06</v>
      </c>
      <c r="D46" s="64">
        <f>((FuelConsump!I46*'Fuel Heat Content'!$D$6)+(FuelConsump!J46*'Fuel Heat Content'!$D$8)+     (FuelConsump!K46*'Fuel Heat Content'!$D$7)+(FuelConsump!L46*'Fuel Heat Content'!$D$14))/1000000</f>
        <v>4076.4127005315622</v>
      </c>
      <c r="E46" s="64">
        <f>((FuelConsump!U46*'Fuel Heat Content'!$D$7)+(FuelConsump!V46*'Fuel Heat Content'!$D$7)+(FuelConsump!W46*'Fuel Heat Content'!$D$6)+(FuelConsump!X46*'Fuel Heat Content'!$D$16)+(FuelConsump!Z46*'Fuel Heat Content'!$D$17)+(FuelConsump!AA46*'Fuel Heat Content'!$D$14)+(FuelConsump!Y46*'Fuel Heat Content'!$D$19))/1000000</f>
        <v>76.903664600000013</v>
      </c>
      <c r="F46" s="64">
        <f>((FuelConsump!AB46*'Fuel Heat Content'!$D$7)+(FuelConsump!AC46*'Fuel Heat Content'!$D$15)+(FuelConsump!AD46*'Fuel Heat Content'!$D$6)+(FuelConsump!AE46*'Fuel Heat Content'!$D$14)+(FuelConsump!AF46*'Fuel Heat Content'!$D$19)+(FuelConsump!AG46*'Fuel Heat Content'!$D$8))/1000000</f>
        <v>6.6062450000000004</v>
      </c>
      <c r="G46" s="34">
        <f>'Detailed data_Intercity buses'!Y25</f>
        <v>24.18015342090132</v>
      </c>
      <c r="H46" s="34">
        <f>'Detailed data_School buses'!W25</f>
        <v>62.424709742177832</v>
      </c>
      <c r="I46" s="35">
        <f>((FuelConsump!AZ46*'Fuel Heat Content'!$D$7)+(FuelConsump!BA46*'Fuel Heat Content'!$D$21))/1000000</f>
        <v>19.713694800000003</v>
      </c>
      <c r="J46" s="97">
        <f>(FuelConsump!BB46*'Fuel Heat Content'!$D$21)/1000000</f>
        <v>33.663784</v>
      </c>
      <c r="K46" s="97">
        <f>(FuelConsump!BC46*'Fuel Heat Content'!$D$21)/1000000</f>
        <v>2.5123769999999999</v>
      </c>
      <c r="L46" s="33">
        <f t="shared" si="0"/>
        <v>55.889855800000007</v>
      </c>
      <c r="M46" s="33">
        <f>FuelConsump!AY46</f>
        <v>11.377358490566039</v>
      </c>
      <c r="N46" s="97">
        <f>(1-'Freight-based Energy Use'!K46)*(FuelConsump!AP46+1*FuelConsump!AQ46)*'Fuel Heat Content'!$D$11/1000000</f>
        <v>1755.8668811502225</v>
      </c>
      <c r="O46" s="109">
        <f>((FuelConsump!AR46*'Fuel Heat Content'!$D$9)+(FuelConsump!AS46*'Fuel Heat Content'!$D$11))/1000000</f>
        <v>148.5496</v>
      </c>
      <c r="S46" s="4">
        <f>F46/'Passenger-based Activity'!$G47*1000000</f>
        <v>14980.14739229025</v>
      </c>
      <c r="V46" s="766"/>
      <c r="W46" s="36"/>
      <c r="AK46" s="21"/>
    </row>
    <row r="47" spans="1:37" x14ac:dyDescent="0.2">
      <c r="A47" s="30">
        <v>1989</v>
      </c>
      <c r="B47" s="64">
        <f>((FuelConsump!C47*'Fuel Heat Content'!$D$6)+(FuelConsump!D47*'Fuel Heat Content'!$D$8)+(FuelConsump!E47*'Fuel Heat Content'!$D$7))/1000000</f>
        <v>9232.4876125999999</v>
      </c>
      <c r="C47" s="64">
        <f>((FuelConsump!F47*'Fuel Heat Content'!$D$6))/1000000</f>
        <v>25.927499999999998</v>
      </c>
      <c r="D47" s="64">
        <f>((FuelConsump!I47*'Fuel Heat Content'!$D$6)+(FuelConsump!J47*'Fuel Heat Content'!$D$8)+     (FuelConsump!K47*'Fuel Heat Content'!$D$7)+(FuelConsump!L47*'Fuel Heat Content'!$D$14))/1000000</f>
        <v>4156.9182413421986</v>
      </c>
      <c r="E47" s="64">
        <f>((FuelConsump!U47*'Fuel Heat Content'!$D$7)+(FuelConsump!V47*'Fuel Heat Content'!$D$7)+(FuelConsump!W47*'Fuel Heat Content'!$D$6)+(FuelConsump!X47*'Fuel Heat Content'!$D$16)+(FuelConsump!Z47*'Fuel Heat Content'!$D$17)+(FuelConsump!AA47*'Fuel Heat Content'!$D$14)+(FuelConsump!Y47*'Fuel Heat Content'!$D$19))/1000000</f>
        <v>76.695337199999983</v>
      </c>
      <c r="F47" s="64">
        <f>((FuelConsump!AB47*'Fuel Heat Content'!$D$7)+(FuelConsump!AC47*'Fuel Heat Content'!$D$15)+(FuelConsump!AD47*'Fuel Heat Content'!$D$6)+(FuelConsump!AE47*'Fuel Heat Content'!$D$14)+(FuelConsump!AF47*'Fuel Heat Content'!$D$19)+(FuelConsump!AG47*'Fuel Heat Content'!$D$8))/1000000</f>
        <v>6.4815100000000001</v>
      </c>
      <c r="G47" s="34">
        <f>'Detailed data_Intercity buses'!Y26</f>
        <v>24.44204795813339</v>
      </c>
      <c r="H47" s="34">
        <f>'Detailed data_School buses'!W26</f>
        <v>64.131996088434406</v>
      </c>
      <c r="I47" s="35">
        <f>((FuelConsump!AZ47*'Fuel Heat Content'!$D$7)+(FuelConsump!BA47*'Fuel Heat Content'!$D$21))/1000000</f>
        <v>20.652296199999999</v>
      </c>
      <c r="J47" s="97">
        <f>(FuelConsump!BB47*'Fuel Heat Content'!$D$21)/1000000</f>
        <v>33.973953999999999</v>
      </c>
      <c r="K47" s="97">
        <f>(FuelConsump!BC47*'Fuel Heat Content'!$D$21)/1000000</f>
        <v>2.5020380000000002</v>
      </c>
      <c r="L47" s="33">
        <f t="shared" si="0"/>
        <v>57.1282882</v>
      </c>
      <c r="M47" s="33">
        <f>FuelConsump!AY47</f>
        <v>12.89433962264151</v>
      </c>
      <c r="N47" s="97">
        <f>(1-'Freight-based Energy Use'!K47)*(FuelConsump!AP47+1*FuelConsump!AQ47)*'Fuel Heat Content'!$D$11/1000000</f>
        <v>1765.0256184387435</v>
      </c>
      <c r="O47" s="109">
        <f>((FuelConsump!AR47*'Fuel Heat Content'!$D$9)+(FuelConsump!AS47*'Fuel Heat Content'!$D$11))/1000000</f>
        <v>134.08456000000001</v>
      </c>
      <c r="S47" s="4">
        <f>F47/'Passenger-based Activity'!$G48*1000000</f>
        <v>15143.714953271028</v>
      </c>
      <c r="V47" s="766"/>
      <c r="W47" s="36"/>
      <c r="AK47" s="21"/>
    </row>
    <row r="48" spans="1:37" x14ac:dyDescent="0.2">
      <c r="A48" s="30">
        <v>1990</v>
      </c>
      <c r="B48" s="64">
        <f>((FuelConsump!C48*'Fuel Heat Content'!$D$6)+(FuelConsump!D48*'Fuel Heat Content'!$D$8)+(FuelConsump!E48*'Fuel Heat Content'!$D$7))/1000000</f>
        <v>8688.041420800002</v>
      </c>
      <c r="C48" s="64">
        <f>((FuelConsump!F48*'Fuel Heat Content'!$D$6))/1000000</f>
        <v>23.892499999999998</v>
      </c>
      <c r="D48" s="64">
        <f>((FuelConsump!I48*'Fuel Heat Content'!$D$6)+(FuelConsump!J48*'Fuel Heat Content'!$D$8)+     (FuelConsump!K48*'Fuel Heat Content'!$D$7)+(FuelConsump!L48*'Fuel Heat Content'!$D$14))/1000000</f>
        <v>4449.6387244489579</v>
      </c>
      <c r="E48" s="64">
        <f>((FuelConsump!U48*'Fuel Heat Content'!$D$7)+(FuelConsump!V48*'Fuel Heat Content'!$D$7)+(FuelConsump!W48*'Fuel Heat Content'!$D$6)+(FuelConsump!X48*'Fuel Heat Content'!$D$16)+(FuelConsump!Z48*'Fuel Heat Content'!$D$17)+(FuelConsump!AA48*'Fuel Heat Content'!$D$14)+(FuelConsump!Y48*'Fuel Heat Content'!$D$19))/1000000</f>
        <v>78.359043699999987</v>
      </c>
      <c r="F48" s="64">
        <f>((FuelConsump!AB48*'Fuel Heat Content'!$D$7)+(FuelConsump!AC48*'Fuel Heat Content'!$D$15)+(FuelConsump!AD48*'Fuel Heat Content'!$D$6)+(FuelConsump!AE48*'Fuel Heat Content'!$D$14)+(FuelConsump!AF48*'Fuel Heat Content'!$D$19)+(FuelConsump!AG48*'Fuel Heat Content'!$D$8))/1000000</f>
        <v>5.8304749999999999</v>
      </c>
      <c r="G48" s="34">
        <f>'Detailed data_Intercity buses'!Y27</f>
        <v>24.703345377893466</v>
      </c>
      <c r="H48" s="34">
        <f>'Detailed data_School buses'!W27</f>
        <v>64.830746399999995</v>
      </c>
      <c r="I48" s="35">
        <f>((FuelConsump!AZ48*'Fuel Heat Content'!$D$7)+(FuelConsump!BA48*'Fuel Heat Content'!$D$21))/1000000</f>
        <v>19.982468699999998</v>
      </c>
      <c r="J48" s="97">
        <f>(FuelConsump!BB48*'Fuel Heat Content'!$D$21)/1000000</f>
        <v>33.953276000000002</v>
      </c>
      <c r="K48" s="97">
        <f>(FuelConsump!BC48*'Fuel Heat Content'!$D$21)/1000000</f>
        <v>2.4710209999999999</v>
      </c>
      <c r="L48" s="33">
        <f t="shared" si="0"/>
        <v>56.406765700000001</v>
      </c>
      <c r="M48" s="33">
        <f>FuelConsump!AY48</f>
        <v>12.81006289308176</v>
      </c>
      <c r="N48" s="97">
        <f>(1-'Freight-based Energy Use'!K48)*(FuelConsump!AP48+1*FuelConsump!AQ48)*'Fuel Heat Content'!$D$11/1000000</f>
        <v>1885.5012156097546</v>
      </c>
      <c r="O48" s="109">
        <f>((FuelConsump!AR48*'Fuel Heat Content'!$D$9)+(FuelConsump!AS48*'Fuel Heat Content'!$D$11))/1000000</f>
        <v>131.93559999999999</v>
      </c>
      <c r="S48" s="4">
        <f>F48/'Passenger-based Activity'!$G49*1000000</f>
        <v>13527.784222737819</v>
      </c>
      <c r="V48" s="766"/>
      <c r="W48" s="36"/>
      <c r="AK48" s="21"/>
    </row>
    <row r="49" spans="1:37" x14ac:dyDescent="0.2">
      <c r="A49" s="30">
        <v>1991</v>
      </c>
      <c r="B49" s="64">
        <f>((FuelConsump!C49*'Fuel Heat Content'!$D$6)+(FuelConsump!D49*'Fuel Heat Content'!$D$8)+(FuelConsump!E49*'Fuel Heat Content'!$D$7))/1000000</f>
        <v>8029.2275751999996</v>
      </c>
      <c r="C49" s="64">
        <f>((FuelConsump!F49*'Fuel Heat Content'!$D$6))/1000000</f>
        <v>22.945</v>
      </c>
      <c r="D49" s="64">
        <f>((FuelConsump!I49*'Fuel Heat Content'!$D$6)+(FuelConsump!J49*'Fuel Heat Content'!$D$8)+     (FuelConsump!K49*'Fuel Heat Content'!$D$7)+(FuelConsump!L49*'Fuel Heat Content'!$D$14))/1000000</f>
        <v>4775.4162748513309</v>
      </c>
      <c r="E49" s="64">
        <f>((FuelConsump!U49*'Fuel Heat Content'!$D$7)+(FuelConsump!V49*'Fuel Heat Content'!$D$7)+(FuelConsump!W49*'Fuel Heat Content'!$D$6)+(FuelConsump!X49*'Fuel Heat Content'!$D$16)+(FuelConsump!Z49*'Fuel Heat Content'!$D$17)+(FuelConsump!AA49*'Fuel Heat Content'!$D$14)+(FuelConsump!Y49*'Fuel Heat Content'!$D$19))/1000000</f>
        <v>79.705820700000004</v>
      </c>
      <c r="F49" s="64">
        <f>((FuelConsump!AB49*'Fuel Heat Content'!$D$7)+(FuelConsump!AC49*'Fuel Heat Content'!$D$15)+(FuelConsump!AD49*'Fuel Heat Content'!$D$6)+(FuelConsump!AE49*'Fuel Heat Content'!$D$14)+(FuelConsump!AF49*'Fuel Heat Content'!$D$19)+(FuelConsump!AG49*'Fuel Heat Content'!$D$8))/1000000</f>
        <v>6.2602549999999999</v>
      </c>
      <c r="G49" s="34">
        <f>'Detailed data_Intercity buses'!Y28</f>
        <v>26.044677752952744</v>
      </c>
      <c r="H49" s="34">
        <f>'Detailed data_School buses'!W28</f>
        <v>66.664251034070517</v>
      </c>
      <c r="I49" s="35">
        <f>((FuelConsump!AZ49*'Fuel Heat Content'!$D$7)+(FuelConsump!BA49*'Fuel Heat Content'!$D$21))/1000000</f>
        <v>20.343511500000002</v>
      </c>
      <c r="J49" s="97">
        <f>(FuelConsump!BB49*'Fuel Heat Content'!$D$21)/1000000</f>
        <v>33.581071999999999</v>
      </c>
      <c r="K49" s="97">
        <f>(FuelConsump!BC49*'Fuel Heat Content'!$D$21)/1000000</f>
        <v>2.8328859999999998</v>
      </c>
      <c r="L49" s="33">
        <f t="shared" si="0"/>
        <v>56.757469499999999</v>
      </c>
      <c r="M49" s="33">
        <f>FuelConsump!AY49</f>
        <v>12.81006289308176</v>
      </c>
      <c r="N49" s="97">
        <f>(1-'Freight-based Energy Use'!K49)*(FuelConsump!AP49+1*FuelConsump!AQ49)*'Fuel Heat Content'!$D$11/1000000</f>
        <v>1706.763013354732</v>
      </c>
      <c r="O49" s="109">
        <f>((FuelConsump!AR49*'Fuel Heat Content'!$D$9)+(FuelConsump!AS49*'Fuel Heat Content'!$D$11))/1000000</f>
        <v>120.44580000000001</v>
      </c>
      <c r="S49" s="4">
        <f>F49/'Passenger-based Activity'!$G50*1000000</f>
        <v>13789.107929515418</v>
      </c>
      <c r="V49" s="36"/>
      <c r="W49" s="36"/>
      <c r="AK49" s="21"/>
    </row>
    <row r="50" spans="1:37" x14ac:dyDescent="0.2">
      <c r="A50" s="30">
        <v>1992</v>
      </c>
      <c r="B50" s="64">
        <f>((FuelConsump!C50*'Fuel Heat Content'!$D$6)+(FuelConsump!D50*'Fuel Heat Content'!$D$8)+(FuelConsump!E50*'Fuel Heat Content'!$D$7))/1000000</f>
        <v>8169.0629579999986</v>
      </c>
      <c r="C50" s="64">
        <f>((FuelConsump!F50*'Fuel Heat Content'!$D$6))/1000000</f>
        <v>23.892499999999998</v>
      </c>
      <c r="D50" s="64">
        <f>((FuelConsump!I50*'Fuel Heat Content'!$D$6)+(FuelConsump!J50*'Fuel Heat Content'!$D$8)+     (FuelConsump!K50*'Fuel Heat Content'!$D$7)+(FuelConsump!L50*'Fuel Heat Content'!$D$14))/1000000</f>
        <v>5117.2868976135105</v>
      </c>
      <c r="E50" s="64">
        <f>((FuelConsump!U50*'Fuel Heat Content'!$D$7)+(FuelConsump!V50*'Fuel Heat Content'!$D$7)+(FuelConsump!W50*'Fuel Heat Content'!$D$6)+(FuelConsump!X50*'Fuel Heat Content'!$D$16)+(FuelConsump!Z50*'Fuel Heat Content'!$D$17)+(FuelConsump!AA50*'Fuel Heat Content'!$D$14)+(FuelConsump!Y50*'Fuel Heat Content'!$D$19))/1000000</f>
        <v>82.625603199999986</v>
      </c>
      <c r="F50" s="64">
        <f>((FuelConsump!AB50*'Fuel Heat Content'!$D$7)+(FuelConsump!AC50*'Fuel Heat Content'!$D$15)+(FuelConsump!AD50*'Fuel Heat Content'!$D$6)+(FuelConsump!AE50*'Fuel Heat Content'!$D$14)+(FuelConsump!AF50*'Fuel Heat Content'!$D$19)+(FuelConsump!AG50*'Fuel Heat Content'!$D$8))/1000000</f>
        <v>6.0009050000000004</v>
      </c>
      <c r="G50" s="34">
        <f>'Detailed data_Intercity buses'!Y29</f>
        <v>27.382958857685725</v>
      </c>
      <c r="H50" s="34">
        <f>'Detailed data_School buses'!W29</f>
        <v>69.531186056359061</v>
      </c>
      <c r="I50" s="35">
        <f>((FuelConsump!AZ50*'Fuel Heat Content'!$D$7)+(FuelConsump!BA50*'Fuel Heat Content'!$D$21))/1000000</f>
        <v>19.242739699999998</v>
      </c>
      <c r="J50" s="97">
        <f>(FuelConsump!BB50*'Fuel Heat Content'!$D$21)/1000000</f>
        <v>33.012427000000002</v>
      </c>
      <c r="K50" s="97">
        <f>(FuelConsump!BC50*'Fuel Heat Content'!$D$21)/1000000</f>
        <v>3.0706829999999998</v>
      </c>
      <c r="L50" s="33">
        <f t="shared" si="0"/>
        <v>55.325849700000006</v>
      </c>
      <c r="M50" s="33">
        <f>FuelConsump!AY50</f>
        <v>12.978616352201259</v>
      </c>
      <c r="N50" s="97">
        <f>(1-'Freight-based Energy Use'!K50)*(FuelConsump!AP50+1*FuelConsump!AQ50)*'Fuel Heat Content'!$D$11/1000000</f>
        <v>1824.4371342141158</v>
      </c>
      <c r="O50" s="109">
        <f>((FuelConsump!AR50*'Fuel Heat Content'!$D$9)+(FuelConsump!AS50*'Fuel Heat Content'!$D$11))/1000000</f>
        <v>104.4328</v>
      </c>
      <c r="S50" s="4">
        <f>F50/'Passenger-based Activity'!$G51*1000000</f>
        <v>12123.040404040405</v>
      </c>
      <c r="V50" s="36"/>
      <c r="W50" s="36"/>
      <c r="AK50" s="21"/>
    </row>
    <row r="51" spans="1:37" x14ac:dyDescent="0.2">
      <c r="A51" s="30">
        <v>1993</v>
      </c>
      <c r="B51" s="64">
        <f>((FuelConsump!C51*'Fuel Heat Content'!$D$6)+(FuelConsump!D51*'Fuel Heat Content'!$D$8)+(FuelConsump!E51*'Fuel Heat Content'!$D$7))/1000000</f>
        <v>8367.800835</v>
      </c>
      <c r="C51" s="64">
        <f>((FuelConsump!F51*'Fuel Heat Content'!$D$6))/1000000</f>
        <v>24.765000000000001</v>
      </c>
      <c r="D51" s="64">
        <f>((FuelConsump!I51*'Fuel Heat Content'!$D$6)+(FuelConsump!J51*'Fuel Heat Content'!$D$8)+     (FuelConsump!K51*'Fuel Heat Content'!$D$7)+(FuelConsump!L51*'Fuel Heat Content'!$D$14))/1000000</f>
        <v>5355.4538264164376</v>
      </c>
      <c r="E51" s="64">
        <f>((FuelConsump!U51*'Fuel Heat Content'!$D$7)+(FuelConsump!V51*'Fuel Heat Content'!$D$7)+(FuelConsump!W51*'Fuel Heat Content'!$D$6)+(FuelConsump!X51*'Fuel Heat Content'!$D$16)+(FuelConsump!Z51*'Fuel Heat Content'!$D$17)+(FuelConsump!AA51*'Fuel Heat Content'!$D$14)+(FuelConsump!Y51*'Fuel Heat Content'!$D$19))/1000000</f>
        <v>80.685725500000004</v>
      </c>
      <c r="F51" s="64">
        <f>((FuelConsump!AB51*'Fuel Heat Content'!$D$7)+(FuelConsump!AC51*'Fuel Heat Content'!$D$15)+(FuelConsump!AD51*'Fuel Heat Content'!$D$6)+(FuelConsump!AE51*'Fuel Heat Content'!$D$14)+(FuelConsump!AF51*'Fuel Heat Content'!$D$19)+(FuelConsump!AG51*'Fuel Heat Content'!$D$8))/1000000</f>
        <v>7.4268549999999989</v>
      </c>
      <c r="G51" s="34">
        <f>'Detailed data_Intercity buses'!Y30</f>
        <v>28.718199091833718</v>
      </c>
      <c r="H51" s="34">
        <f>'Detailed data_School buses'!W30</f>
        <v>71.975012536453619</v>
      </c>
      <c r="I51" s="35">
        <f>((FuelConsump!AZ51*'Fuel Heat Content'!$D$7)+(FuelConsump!BA51*'Fuel Heat Content'!$D$21))/1000000</f>
        <v>20.654988199999998</v>
      </c>
      <c r="J51" s="97">
        <f>(FuelConsump!BB51*'Fuel Heat Content'!$D$21)/1000000</f>
        <v>33.984293000000001</v>
      </c>
      <c r="K51" s="97">
        <f>(FuelConsump!BC51*'Fuel Heat Content'!$D$21)/1000000</f>
        <v>2.905259</v>
      </c>
      <c r="L51" s="33">
        <f t="shared" si="0"/>
        <v>57.5445402</v>
      </c>
      <c r="M51" s="33">
        <f>FuelConsump!AY51</f>
        <v>13.4</v>
      </c>
      <c r="N51" s="97">
        <f>(1-'Freight-based Energy Use'!K51)*(FuelConsump!AP51+1*FuelConsump!AQ51)*'Fuel Heat Content'!$D$11/1000000</f>
        <v>1825.4906871336784</v>
      </c>
      <c r="O51" s="109">
        <f>((FuelConsump!AR51*'Fuel Heat Content'!$D$9)+(FuelConsump!AS51*'Fuel Heat Content'!$D$11))/1000000</f>
        <v>93.565179999999998</v>
      </c>
      <c r="S51" s="4">
        <f>F51/'Passenger-based Activity'!$G52*1000000</f>
        <v>13215.044483985763</v>
      </c>
      <c r="V51" s="36"/>
      <c r="W51" s="36"/>
      <c r="AK51" s="21"/>
    </row>
    <row r="52" spans="1:37" x14ac:dyDescent="0.2">
      <c r="A52" s="30">
        <v>1994</v>
      </c>
      <c r="B52" s="64">
        <f>((FuelConsump!C52*'Fuel Heat Content'!$D$6)+(FuelConsump!D52*'Fuel Heat Content'!$D$8)+(FuelConsump!E52*'Fuel Heat Content'!$D$7))/1000000</f>
        <v>8469.6231530000005</v>
      </c>
      <c r="C52" s="64">
        <f>((FuelConsump!F52*'Fuel Heat Content'!$D$6))/1000000</f>
        <v>25.6</v>
      </c>
      <c r="D52" s="64">
        <f>((FuelConsump!I52*'Fuel Heat Content'!$D$6)+(FuelConsump!J52*'Fuel Heat Content'!$D$8)+     (FuelConsump!K52*'Fuel Heat Content'!$D$7)+(FuelConsump!L52*'Fuel Heat Content'!$D$14))/1000000</f>
        <v>5512.1704348840503</v>
      </c>
      <c r="E52" s="64">
        <f>((FuelConsump!U52*'Fuel Heat Content'!$D$7)+(FuelConsump!V52*'Fuel Heat Content'!$D$7)+(FuelConsump!W52*'Fuel Heat Content'!$D$6)+(FuelConsump!X52*'Fuel Heat Content'!$D$16)+(FuelConsump!Z52*'Fuel Heat Content'!$D$17)+(FuelConsump!AA52*'Fuel Heat Content'!$D$14)+(FuelConsump!Y52*'Fuel Heat Content'!$D$19))/1000000</f>
        <v>79.975101499999994</v>
      </c>
      <c r="F52" s="64">
        <f>((FuelConsump!AB52*'Fuel Heat Content'!$D$7)+(FuelConsump!AC52*'Fuel Heat Content'!$D$15)+(FuelConsump!AD52*'Fuel Heat Content'!$D$6)+(FuelConsump!AE52*'Fuel Heat Content'!$D$14)+(FuelConsump!AF52*'Fuel Heat Content'!$D$19)+(FuelConsump!AG52*'Fuel Heat Content'!$D$8))/1000000</f>
        <v>9.3819999999999997</v>
      </c>
      <c r="G52" s="34">
        <f>'Detailed data_Intercity buses'!Y31</f>
        <v>30.050408807930623</v>
      </c>
      <c r="H52" s="34">
        <f>'Detailed data_School buses'!W31</f>
        <v>74.982180000000014</v>
      </c>
      <c r="I52" s="35">
        <f>((FuelConsump!AZ52*'Fuel Heat Content'!$D$7)+(FuelConsump!BA52*'Fuel Heat Content'!$D$21))/1000000</f>
        <v>21.447246</v>
      </c>
      <c r="J52" s="97">
        <f>(FuelConsump!BB52*'Fuel Heat Content'!$D$21)/1000000</f>
        <v>35.473109000000001</v>
      </c>
      <c r="K52" s="97">
        <f>(FuelConsump!BC52*'Fuel Heat Content'!$D$21)/1000000</f>
        <v>2.9155980000000001</v>
      </c>
      <c r="L52" s="33">
        <f t="shared" si="0"/>
        <v>59.835953000000003</v>
      </c>
      <c r="M52" s="33">
        <f>FuelConsump!AY52</f>
        <v>13.4</v>
      </c>
      <c r="N52" s="97">
        <f>(1-'Freight-based Energy Use'!K52)*(FuelConsump!AP52+1*FuelConsump!AQ52)*'Fuel Heat Content'!$D$11/1000000</f>
        <v>1884.4749313702637</v>
      </c>
      <c r="O52" s="109">
        <f>((FuelConsump!AR52*'Fuel Heat Content'!$D$9)+(FuelConsump!AS52*'Fuel Heat Content'!$D$11))/1000000</f>
        <v>94.613200000000006</v>
      </c>
      <c r="S52" s="4">
        <f>F52/'Passenger-based Activity'!$G53*1000000</f>
        <v>16259.96533795494</v>
      </c>
      <c r="V52" s="36"/>
      <c r="W52" s="36"/>
      <c r="AK52" s="21"/>
    </row>
    <row r="53" spans="1:37" x14ac:dyDescent="0.2">
      <c r="A53" s="30">
        <v>1995</v>
      </c>
      <c r="B53" s="64">
        <f>((FuelConsump!C53*'Fuel Heat Content'!$D$6)+(FuelConsump!D53*'Fuel Heat Content'!$D$8)+(FuelConsump!E53*'Fuel Heat Content'!$D$7))/1000000</f>
        <v>8488.9323744000012</v>
      </c>
      <c r="C53" s="64">
        <f>((FuelConsump!F53*'Fuel Heat Content'!$D$6))/1000000</f>
        <v>24.782499999999999</v>
      </c>
      <c r="D53" s="64">
        <f>((FuelConsump!I53*'Fuel Heat Content'!$D$6)+(FuelConsump!J53*'Fuel Heat Content'!$D$8)+     (FuelConsump!K53*'Fuel Heat Content'!$D$7)+(FuelConsump!L53*'Fuel Heat Content'!$D$14))/1000000</f>
        <v>5696.3153274999986</v>
      </c>
      <c r="E53" s="64">
        <f>((FuelConsump!U53*'Fuel Heat Content'!$D$7)+(FuelConsump!V53*'Fuel Heat Content'!$D$7)+(FuelConsump!W53*'Fuel Heat Content'!$D$6)+(FuelConsump!X53*'Fuel Heat Content'!$D$16)+(FuelConsump!Z53*'Fuel Heat Content'!$D$17)+(FuelConsump!AA53*'Fuel Heat Content'!$D$14)+(FuelConsump!Y53*'Fuel Heat Content'!$D$19))/1000000</f>
        <v>80.818264400000004</v>
      </c>
      <c r="F53" s="64">
        <f>((FuelConsump!AB53*'Fuel Heat Content'!$D$7)+(FuelConsump!AC53*'Fuel Heat Content'!$D$15)+(FuelConsump!AD53*'Fuel Heat Content'!$D$6)+(FuelConsump!AE53*'Fuel Heat Content'!$D$14)+(FuelConsump!AF53*'Fuel Heat Content'!$D$19)+(FuelConsump!AG53*'Fuel Heat Content'!$D$8))/1000000</f>
        <v>8.9335299999999993</v>
      </c>
      <c r="G53" s="34">
        <f>'Detailed data_Intercity buses'!Y32</f>
        <v>29.59497660664708</v>
      </c>
      <c r="H53" s="34">
        <f>'Detailed data_School buses'!W32</f>
        <v>78.267071391175094</v>
      </c>
      <c r="I53" s="35">
        <f>((FuelConsump!AZ53*'Fuel Heat Content'!$D$7)+(FuelConsump!BA53*'Fuel Heat Content'!$D$21))/1000000</f>
        <v>21.701743799999999</v>
      </c>
      <c r="J53" s="97">
        <f>(FuelConsump!BB53*'Fuel Heat Content'!$D$21)/1000000</f>
        <v>35.162939000000001</v>
      </c>
      <c r="K53" s="97">
        <f>(FuelConsump!BC53*'Fuel Heat Content'!$D$21)/1000000</f>
        <v>2.9776319999999998</v>
      </c>
      <c r="L53" s="33">
        <f t="shared" si="0"/>
        <v>59.842314799999997</v>
      </c>
      <c r="M53" s="33">
        <f>FuelConsump!AY53</f>
        <v>13.509880001999999</v>
      </c>
      <c r="N53" s="97">
        <f>(1-'Freight-based Energy Use'!K53)*(FuelConsump!AP53+1*FuelConsump!AQ53)*'Fuel Heat Content'!$D$11/1000000</f>
        <v>1934.0744685960881</v>
      </c>
      <c r="O53" s="109">
        <f>((FuelConsump!AR53*'Fuel Heat Content'!$D$9)+(FuelConsump!AS53*'Fuel Heat Content'!$D$11))/1000000</f>
        <v>110.09739999999999</v>
      </c>
      <c r="S53" s="4">
        <f>F53/'Passenger-based Activity'!$G54*1000000</f>
        <v>14717.512355848434</v>
      </c>
      <c r="V53" s="36"/>
      <c r="W53" s="36"/>
      <c r="AK53" s="21"/>
    </row>
    <row r="54" spans="1:37" x14ac:dyDescent="0.2">
      <c r="A54" s="30">
        <v>1996</v>
      </c>
      <c r="B54" s="64">
        <f>((FuelConsump!C54*'Fuel Heat Content'!$D$6)+(FuelConsump!D54*'Fuel Heat Content'!$D$8)+(FuelConsump!E54*'Fuel Heat Content'!$D$7))/1000000</f>
        <v>8633.443860899999</v>
      </c>
      <c r="C54" s="64">
        <f>((FuelConsump!F54*'Fuel Heat Content'!$D$6))/1000000</f>
        <v>24.4925</v>
      </c>
      <c r="D54" s="64">
        <f>((FuelConsump!I54*'Fuel Heat Content'!$D$6)+(FuelConsump!J54*'Fuel Heat Content'!$D$8)+     (FuelConsump!K54*'Fuel Heat Content'!$D$7)+(FuelConsump!L54*'Fuel Heat Content'!$D$14))/1000000</f>
        <v>5916.9143359674008</v>
      </c>
      <c r="E54" s="64">
        <f>((FuelConsump!U54*'Fuel Heat Content'!$D$7)+(FuelConsump!V54*'Fuel Heat Content'!$D$7)+(FuelConsump!W54*'Fuel Heat Content'!$D$6)+(FuelConsump!X54*'Fuel Heat Content'!$D$16)+(FuelConsump!Z54*'Fuel Heat Content'!$D$17)+(FuelConsump!AA54*'Fuel Heat Content'!$D$14)+(FuelConsump!Y54*'Fuel Heat Content'!$D$19))/1000000</f>
        <v>82.945325300000007</v>
      </c>
      <c r="F54" s="64">
        <f>((FuelConsump!AB54*'Fuel Heat Content'!$D$7)+(FuelConsump!AC54*'Fuel Heat Content'!$D$15)+(FuelConsump!AD54*'Fuel Heat Content'!$D$6)+(FuelConsump!AE54*'Fuel Heat Content'!$D$14)+(FuelConsump!AF54*'Fuel Heat Content'!$D$19)+(FuelConsump!AG54*'Fuel Heat Content'!$D$8))/1000000</f>
        <v>9.4564500000000002</v>
      </c>
      <c r="G54" s="34">
        <f>'Detailed data_Intercity buses'!Y33</f>
        <v>30.205184701923937</v>
      </c>
      <c r="H54" s="34">
        <f>'Detailed data_School buses'!W33</f>
        <v>80.396023894552982</v>
      </c>
      <c r="I54" s="35">
        <f>((FuelConsump!AZ54*'Fuel Heat Content'!$D$7)+(FuelConsump!BA54*'Fuel Heat Content'!$D$21))/1000000</f>
        <v>21.5593106</v>
      </c>
      <c r="J54" s="97">
        <f>(FuelConsump!BB54*'Fuel Heat Content'!$D$21)/1000000</f>
        <v>34.449548</v>
      </c>
      <c r="K54" s="97">
        <f>(FuelConsump!BC54*'Fuel Heat Content'!$D$21)/1000000</f>
        <v>3.318819</v>
      </c>
      <c r="L54" s="33">
        <f t="shared" si="0"/>
        <v>59.327677599999994</v>
      </c>
      <c r="M54" s="33">
        <f>FuelConsump!AY54</f>
        <v>13.630748791</v>
      </c>
      <c r="N54" s="97">
        <f>(1-'Freight-based Energy Use'!K54)*(FuelConsump!AP54+1*FuelConsump!AQ54)*'Fuel Heat Content'!$D$11/1000000</f>
        <v>1993.0380916458869</v>
      </c>
      <c r="O54" s="109">
        <f>((FuelConsump!AR54*'Fuel Heat Content'!$D$9)+(FuelConsump!AS54*'Fuel Heat Content'!$D$11))/1000000</f>
        <v>116.81780000000001</v>
      </c>
      <c r="S54" s="4">
        <f>F54/'Passenger-based Activity'!$G55*1000000</f>
        <v>14415.320121951221</v>
      </c>
      <c r="V54" s="36"/>
      <c r="W54" s="36"/>
      <c r="AK54" s="21"/>
    </row>
    <row r="55" spans="1:37" x14ac:dyDescent="0.2">
      <c r="A55" s="30">
        <v>1997</v>
      </c>
      <c r="B55" s="64">
        <f>((FuelConsump!C55*'Fuel Heat Content'!$D$6)+(FuelConsump!D55*'Fuel Heat Content'!$D$8)+(FuelConsump!E55*'Fuel Heat Content'!$D$7))/1000000</f>
        <v>8713.9877868000003</v>
      </c>
      <c r="C55" s="64">
        <f>((FuelConsump!F55*'Fuel Heat Content'!$D$6))/1000000</f>
        <v>25.202500000000001</v>
      </c>
      <c r="D55" s="64">
        <f>((FuelConsump!I55*'Fuel Heat Content'!$D$6)+(FuelConsump!J55*'Fuel Heat Content'!$D$8)+     (FuelConsump!K55*'Fuel Heat Content'!$D$7)+(FuelConsump!L55*'Fuel Heat Content'!$D$14))/1000000</f>
        <v>6168.4723015999998</v>
      </c>
      <c r="E55" s="64">
        <f>((FuelConsump!U55*'Fuel Heat Content'!$D$7)+(FuelConsump!V55*'Fuel Heat Content'!$D$7)+(FuelConsump!W55*'Fuel Heat Content'!$D$6)+(FuelConsump!X55*'Fuel Heat Content'!$D$16)+(FuelConsump!Z55*'Fuel Heat Content'!$D$17)+(FuelConsump!AA55*'Fuel Heat Content'!$D$14)+(FuelConsump!Y55*'Fuel Heat Content'!$D$19))/1000000</f>
        <v>86.941995999999989</v>
      </c>
      <c r="F55" s="64">
        <f>((FuelConsump!AB55*'Fuel Heat Content'!$D$7)+(FuelConsump!AC55*'Fuel Heat Content'!$D$15)+(FuelConsump!AD55*'Fuel Heat Content'!$D$6)+(FuelConsump!AE55*'Fuel Heat Content'!$D$14)+(FuelConsump!AF55*'Fuel Heat Content'!$D$19)+(FuelConsump!AG55*'Fuel Heat Content'!$D$8))/1000000</f>
        <v>9.4786000000000001</v>
      </c>
      <c r="G55" s="34">
        <f>'Detailed data_Intercity buses'!Y34</f>
        <v>31.555922956305047</v>
      </c>
      <c r="H55" s="34">
        <f>'Detailed data_School buses'!W34</f>
        <v>78.884874644966544</v>
      </c>
      <c r="I55" s="35">
        <f>((FuelConsump!AZ55*'Fuel Heat Content'!$D$7)+(FuelConsump!BA55*'Fuel Heat Content'!$D$21))/1000000</f>
        <v>21.8956765</v>
      </c>
      <c r="J55" s="97">
        <f>(FuelConsump!BB55*'Fuel Heat Content'!$D$21)/1000000</f>
        <v>33.632767000000001</v>
      </c>
      <c r="K55" s="97">
        <f>(FuelConsump!BC55*'Fuel Heat Content'!$D$21)/1000000</f>
        <v>3.7323789999999999</v>
      </c>
      <c r="L55" s="33">
        <f t="shared" si="0"/>
        <v>59.260822500000003</v>
      </c>
      <c r="M55" s="33">
        <f>FuelConsump!AY55</f>
        <v>14.523912274814501</v>
      </c>
      <c r="N55" s="97">
        <f>(1-'Freight-based Energy Use'!K55)*(FuelConsump!AP55+1*FuelConsump!AQ55)*'Fuel Heat Content'!$D$11/1000000</f>
        <v>2056.324354247366</v>
      </c>
      <c r="O55" s="109">
        <f>((FuelConsump!AR55*'Fuel Heat Content'!$D$9)+(FuelConsump!AS55*'Fuel Heat Content'!$D$11))/1000000</f>
        <v>121.40779999999999</v>
      </c>
      <c r="S55" s="4">
        <f>F55/'Passenger-based Activity'!$G56*1000000</f>
        <v>12571.087533156498</v>
      </c>
      <c r="V55" s="36"/>
      <c r="W55" s="36"/>
      <c r="AK55" s="21"/>
    </row>
    <row r="56" spans="1:37" x14ac:dyDescent="0.2">
      <c r="A56" s="30">
        <v>1998</v>
      </c>
      <c r="B56" s="64">
        <f>((FuelConsump!C56*'Fuel Heat Content'!$D$6)+(FuelConsump!D56*'Fuel Heat Content'!$D$8)+(FuelConsump!E56*'Fuel Heat Content'!$D$7))/1000000</f>
        <v>8937.7926494999992</v>
      </c>
      <c r="C56" s="64">
        <f>((FuelConsump!F56*'Fuel Heat Content'!$D$6))/1000000</f>
        <v>25.7075</v>
      </c>
      <c r="D56" s="64">
        <f>((FuelConsump!I56*'Fuel Heat Content'!$D$6)+(FuelConsump!J56*'Fuel Heat Content'!$D$8)+     (FuelConsump!K56*'Fuel Heat Content'!$D$7)+(FuelConsump!L56*'Fuel Heat Content'!$D$14))/1000000</f>
        <v>6303.703900200001</v>
      </c>
      <c r="E56" s="64">
        <f>((FuelConsump!U56*'Fuel Heat Content'!$D$7)+(FuelConsump!V56*'Fuel Heat Content'!$D$7)+(FuelConsump!W56*'Fuel Heat Content'!$D$6)+(FuelConsump!X56*'Fuel Heat Content'!$D$16)+(FuelConsump!Z56*'Fuel Heat Content'!$D$17)+(FuelConsump!AA56*'Fuel Heat Content'!$D$14)+(FuelConsump!Y56*'Fuel Heat Content'!$D$19))/1000000</f>
        <v>89.578493299999991</v>
      </c>
      <c r="F56" s="64">
        <f>((FuelConsump!AB56*'Fuel Heat Content'!$D$7)+(FuelConsump!AC56*'Fuel Heat Content'!$D$15)+(FuelConsump!AD56*'Fuel Heat Content'!$D$6)+(FuelConsump!AE56*'Fuel Heat Content'!$D$14)+(FuelConsump!AF56*'Fuel Heat Content'!$D$19)+(FuelConsump!AG56*'Fuel Heat Content'!$D$8))/1000000</f>
        <v>9.8049400000000002</v>
      </c>
      <c r="G56" s="34">
        <f>'Detailed data_Intercity buses'!Y35</f>
        <v>32.809740214977282</v>
      </c>
      <c r="H56" s="34">
        <f>'Detailed data_School buses'!W35</f>
        <v>79.127736018090758</v>
      </c>
      <c r="I56" s="35">
        <f>((FuelConsump!AZ56*'Fuel Heat Content'!$D$7)+(FuelConsump!BA56*'Fuel Heat Content'!$D$21))/1000000</f>
        <v>23.018062</v>
      </c>
      <c r="J56" s="97">
        <f>(FuelConsump!BB56*'Fuel Heat Content'!$D$21)/1000000</f>
        <v>33.911920000000002</v>
      </c>
      <c r="K56" s="97">
        <f>(FuelConsump!BC56*'Fuel Heat Content'!$D$21)/1000000</f>
        <v>3.9391590000000001</v>
      </c>
      <c r="L56" s="33">
        <f t="shared" si="0"/>
        <v>60.869140999999999</v>
      </c>
      <c r="M56" s="33">
        <f>FuelConsump!AY56</f>
        <v>14.8465936321317</v>
      </c>
      <c r="N56" s="97">
        <f>(1-'Freight-based Energy Use'!K56)*(FuelConsump!AP56+1*FuelConsump!AQ56)*'Fuel Heat Content'!$D$11/1000000</f>
        <v>2108.6747854207574</v>
      </c>
      <c r="O56" s="109">
        <f>((FuelConsump!AR56*'Fuel Heat Content'!$D$9)+(FuelConsump!AS56*'Fuel Heat Content'!$D$11))/1000000</f>
        <v>147.40719999999999</v>
      </c>
      <c r="S56" s="4">
        <f>F56/'Passenger-based Activity'!$G57*1000000</f>
        <v>13340.054421768707</v>
      </c>
      <c r="V56" s="36"/>
      <c r="W56" s="36"/>
      <c r="AK56" s="21"/>
    </row>
    <row r="57" spans="1:37" x14ac:dyDescent="0.2">
      <c r="A57" s="30">
        <v>1999</v>
      </c>
      <c r="B57" s="64">
        <f>((FuelConsump!C57*'Fuel Heat Content'!$D$6)+(FuelConsump!D57*'Fuel Heat Content'!$D$8)+(FuelConsump!E57*'Fuel Heat Content'!$D$7))/1000000</f>
        <v>9133.3482296000002</v>
      </c>
      <c r="C57" s="64">
        <f>((FuelConsump!F57*'Fuel Heat Content'!$D$6))/1000000</f>
        <v>26.46</v>
      </c>
      <c r="D57" s="64">
        <f>((FuelConsump!I57*'Fuel Heat Content'!$D$6)+(FuelConsump!J57*'Fuel Heat Content'!$D$8)+     (FuelConsump!K57*'Fuel Heat Content'!$D$7)+(FuelConsump!L57*'Fuel Heat Content'!$D$14))/1000000</f>
        <v>6602.4887503031996</v>
      </c>
      <c r="E57" s="64">
        <f>((FuelConsump!U57*'Fuel Heat Content'!$D$7)+(FuelConsump!V57*'Fuel Heat Content'!$D$7)+(FuelConsump!W57*'Fuel Heat Content'!$D$6)+(FuelConsump!X57*'Fuel Heat Content'!$D$16)+(FuelConsump!Z57*'Fuel Heat Content'!$D$17)+(FuelConsump!AA57*'Fuel Heat Content'!$D$14)+(FuelConsump!Y57*'Fuel Heat Content'!$D$19))/1000000</f>
        <v>92.132940899999994</v>
      </c>
      <c r="F57" s="64">
        <f>((FuelConsump!AB57*'Fuel Heat Content'!$D$7)+(FuelConsump!AC57*'Fuel Heat Content'!$D$15)+(FuelConsump!AD57*'Fuel Heat Content'!$D$6)+(FuelConsump!AE57*'Fuel Heat Content'!$D$14)+(FuelConsump!AF57*'Fuel Heat Content'!$D$19)+(FuelConsump!AG57*'Fuel Heat Content'!$D$8))/1000000</f>
        <v>10.14326</v>
      </c>
      <c r="G57" s="34">
        <f>'Detailed data_Intercity buses'!Y36</f>
        <v>34.060727812446878</v>
      </c>
      <c r="H57" s="34">
        <f>'Detailed data_School buses'!W36</f>
        <v>79.370597391214943</v>
      </c>
      <c r="I57" s="35">
        <f>((FuelConsump!AZ57*'Fuel Heat Content'!$D$7)+(FuelConsump!BA57*'Fuel Heat Content'!$D$21))/1000000</f>
        <v>23.793951499999999</v>
      </c>
      <c r="J57" s="97">
        <f>(FuelConsump!BB57*'Fuel Heat Content'!$D$21)/1000000</f>
        <v>34.997515</v>
      </c>
      <c r="K57" s="97">
        <f>(FuelConsump!BC57*'Fuel Heat Content'!$D$21)/1000000</f>
        <v>4.301024</v>
      </c>
      <c r="L57" s="33">
        <f t="shared" si="0"/>
        <v>63.092490499999997</v>
      </c>
      <c r="M57" s="33">
        <f>FuelConsump!AY57</f>
        <v>15.564515065282801</v>
      </c>
      <c r="N57" s="97">
        <f>(1-'Freight-based Energy Use'!K57)*(FuelConsump!AP57+1*FuelConsump!AQ57)*'Fuel Heat Content'!$D$11/1000000</f>
        <v>2233.144483876069</v>
      </c>
      <c r="O57" s="109">
        <f>((FuelConsump!AR57*'Fuel Heat Content'!$D$9)+(FuelConsump!AS57*'Fuel Heat Content'!$D$11))/1000000</f>
        <v>172.10257999999999</v>
      </c>
      <c r="S57" s="4">
        <f>F57/'Passenger-based Activity'!$G58*1000000</f>
        <v>12476.334563345632</v>
      </c>
      <c r="V57" s="36"/>
      <c r="W57" s="36"/>
      <c r="AK57" s="21"/>
    </row>
    <row r="58" spans="1:37" x14ac:dyDescent="0.2">
      <c r="A58" s="215">
        <v>2000</v>
      </c>
      <c r="B58" s="64">
        <f>((FuelConsump!C58*'Fuel Heat Content'!$D$6)+(FuelConsump!D58*'Fuel Heat Content'!$D$8)+(FuelConsump!E58*'Fuel Heat Content'!$D$7))/1000000</f>
        <v>9100.3845734999995</v>
      </c>
      <c r="C58" s="64">
        <f>((FuelConsump!F58*'Fuel Heat Content'!$D$6))/1000000</f>
        <v>26.172499999999999</v>
      </c>
      <c r="D58" s="64">
        <f>((FuelConsump!I58*'Fuel Heat Content'!$D$6)+(FuelConsump!J58*'Fuel Heat Content'!$D$8)+     (FuelConsump!K58*'Fuel Heat Content'!$D$7)+(FuelConsump!L58*'Fuel Heat Content'!$D$14))/1000000</f>
        <v>6606.8824901999997</v>
      </c>
      <c r="E58" s="64">
        <f>((FuelConsump!U58*'Fuel Heat Content'!$D$7)+(FuelConsump!V58*'Fuel Heat Content'!$D$7)+(FuelConsump!W58*'Fuel Heat Content'!$D$6)+(FuelConsump!X58*'Fuel Heat Content'!$D$16)+(FuelConsump!Z58*'Fuel Heat Content'!$D$17)+(FuelConsump!AA58*'Fuel Heat Content'!$D$14)+(FuelConsump!Y58*'Fuel Heat Content'!$D$19))/1000000</f>
        <v>96.262861999999998</v>
      </c>
      <c r="F58" s="64">
        <f>((FuelConsump!AB58*'Fuel Heat Content'!$D$7)+(FuelConsump!AC58*'Fuel Heat Content'!$D$15)+(FuelConsump!AD58*'Fuel Heat Content'!$D$6)+(FuelConsump!AE58*'Fuel Heat Content'!$D$14)+(FuelConsump!AF58*'Fuel Heat Content'!$D$19)+(FuelConsump!AG58*'Fuel Heat Content'!$D$8))/1000000</f>
        <v>10.407120000000001</v>
      </c>
      <c r="G58" s="34">
        <f>'Detailed data_Intercity buses'!Y37</f>
        <v>35.30889531704296</v>
      </c>
      <c r="H58" s="168">
        <f>'Detailed data_School buses'!W37</f>
        <v>81.822703156354578</v>
      </c>
      <c r="I58" s="97">
        <f>((FuelConsump!AZ58*'Fuel Heat Content'!$D$7)+(FuelConsump!BA58*'Fuel Heat Content'!$D$21))/1000000</f>
        <v>23.986886600000002</v>
      </c>
      <c r="J58" s="97">
        <f>(FuelConsump!BB58*'Fuel Heat Content'!$D$21)/1000000</f>
        <v>36.693111000000002</v>
      </c>
      <c r="K58" s="97">
        <f>(FuelConsump!BC58*'Fuel Heat Content'!$D$21)/1000000</f>
        <v>4.7869570000000001</v>
      </c>
      <c r="L58" s="97">
        <f t="shared" ref="L58:L63" si="1">SUM(I58:K58)</f>
        <v>65.466954600000008</v>
      </c>
      <c r="M58" s="97">
        <f>FuelConsump!AY58</f>
        <v>18.033149229999999</v>
      </c>
      <c r="N58" s="97">
        <f>(1-'Freight-based Energy Use'!K58)*(FuelConsump!AP58+1*FuelConsump!AQ58)*'Fuel Heat Content'!$D$11/1000000</f>
        <v>2261.1463922598023</v>
      </c>
      <c r="O58" s="168">
        <f>((FuelConsump!AR58*'Fuel Heat Content'!$D$9)+(FuelConsump!AS58*'Fuel Heat Content'!$D$11))/1000000</f>
        <v>175.16676000000001</v>
      </c>
      <c r="S58" s="4">
        <f>F58/'Passenger-based Activity'!$G59*1000000</f>
        <v>12404.19547079857</v>
      </c>
      <c r="V58" s="36"/>
      <c r="W58" s="36"/>
      <c r="AK58" s="21"/>
    </row>
    <row r="59" spans="1:37" x14ac:dyDescent="0.2">
      <c r="A59" s="215">
        <v>2001</v>
      </c>
      <c r="B59" s="64">
        <f>((FuelConsump!C59*'Fuel Heat Content'!$D$6)+(FuelConsump!D59*'Fuel Heat Content'!$D$8)+(FuelConsump!E59*'Fuel Heat Content'!$D$7))/1000000</f>
        <v>9160.7068445000004</v>
      </c>
      <c r="C59" s="64">
        <f>((FuelConsump!F59*'Fuel Heat Content'!$D$6))/1000000</f>
        <v>24.0975</v>
      </c>
      <c r="D59" s="64">
        <f>((FuelConsump!I59*'Fuel Heat Content'!$D$6)+(FuelConsump!J59*'Fuel Heat Content'!$D$8)+     (FuelConsump!K59*'Fuel Heat Content'!$D$7)+(FuelConsump!L59*'Fuel Heat Content'!$D$14))/1000000</f>
        <v>6677.6937388000006</v>
      </c>
      <c r="E59" s="64">
        <f>((FuelConsump!U59*'Fuel Heat Content'!$D$7)+(FuelConsump!V59*'Fuel Heat Content'!$D$7)+(FuelConsump!W59*'Fuel Heat Content'!$D$6)+(FuelConsump!X59*'Fuel Heat Content'!$D$16)+(FuelConsump!Z59*'Fuel Heat Content'!$D$17)+(FuelConsump!AA59*'Fuel Heat Content'!$D$14)+(FuelConsump!Y59*'Fuel Heat Content'!$D$19))/1000000</f>
        <v>91.224926799999992</v>
      </c>
      <c r="F59" s="64">
        <f>((FuelConsump!AB59*'Fuel Heat Content'!$D$7)+(FuelConsump!AC59*'Fuel Heat Content'!$D$15)+(FuelConsump!AD59*'Fuel Heat Content'!$D$6)+(FuelConsump!AE59*'Fuel Heat Content'!$D$14)+(FuelConsump!AF59*'Fuel Heat Content'!$D$19)+(FuelConsump!AG59*'Fuel Heat Content'!$D$8))/1000000</f>
        <v>11.029680000000001</v>
      </c>
      <c r="G59" s="34">
        <f>'Detailed data_Intercity buses'!Y38</f>
        <v>36.554252254003615</v>
      </c>
      <c r="H59" s="168">
        <f>'Detailed data_School buses'!W38</f>
        <v>84.366760213845382</v>
      </c>
      <c r="I59" s="97">
        <f>((FuelConsump!AZ59*'Fuel Heat Content'!$D$7)+(FuelConsump!BA59*'Fuel Heat Content'!$D$21))/1000000</f>
        <v>24.013700799999999</v>
      </c>
      <c r="J59" s="97">
        <f>(FuelConsump!BB59*'Fuel Heat Content'!$D$21)/1000000</f>
        <v>37.695993999999999</v>
      </c>
      <c r="K59" s="97">
        <f>(FuelConsump!BC59*'Fuel Heat Content'!$D$21)/1000000</f>
        <v>5.0350929999999998</v>
      </c>
      <c r="L59" s="97">
        <f t="shared" si="1"/>
        <v>66.744787799999997</v>
      </c>
      <c r="M59" s="97">
        <f>FuelConsump!AY59</f>
        <v>18.144053517000003</v>
      </c>
      <c r="N59" s="97">
        <f>(1-'Freight-based Energy Use'!K59)*(FuelConsump!AP59+1*FuelConsump!AQ59)*'Fuel Heat Content'!$D$11/1000000</f>
        <v>2148.8415604217826</v>
      </c>
      <c r="O59" s="168">
        <f>((FuelConsump!AR59*'Fuel Heat Content'!$D$9)+(FuelConsump!AS59*'Fuel Heat Content'!$D$11))/1000000</f>
        <v>165.10436000000001</v>
      </c>
      <c r="S59" s="4">
        <f>F59/'Passenger-based Activity'!$G60*1000000</f>
        <v>12900.21052631579</v>
      </c>
      <c r="V59" s="36"/>
      <c r="W59" s="36"/>
      <c r="AK59" s="21"/>
    </row>
    <row r="60" spans="1:37" x14ac:dyDescent="0.2">
      <c r="A60" s="215">
        <v>2002</v>
      </c>
      <c r="B60" s="64">
        <f>((FuelConsump!C60*'Fuel Heat Content'!$D$6)+(FuelConsump!D60*'Fuel Heat Content'!$D$8)+(FuelConsump!E60*'Fuel Heat Content'!$D$7))/1000000</f>
        <v>9390.773511899999</v>
      </c>
      <c r="C60" s="64">
        <f>((FuelConsump!F60*'Fuel Heat Content'!$D$6))/1000000</f>
        <v>23.88</v>
      </c>
      <c r="D60" s="64">
        <f>((FuelConsump!I60*'Fuel Heat Content'!$D$6)+(FuelConsump!J60*'Fuel Heat Content'!$D$8)+     (FuelConsump!K60*'Fuel Heat Content'!$D$7)+(FuelConsump!L60*'Fuel Heat Content'!$D$14))/1000000</f>
        <v>6882.5545359999987</v>
      </c>
      <c r="E60" s="64">
        <f>((FuelConsump!U60*'Fuel Heat Content'!$D$7)+(FuelConsump!V60*'Fuel Heat Content'!$D$7)+(FuelConsump!W60*'Fuel Heat Content'!$D$6)+(FuelConsump!X60*'Fuel Heat Content'!$D$16)+(FuelConsump!Z60*'Fuel Heat Content'!$D$17)+(FuelConsump!AA60*'Fuel Heat Content'!$D$14)+(FuelConsump!Y60*'Fuel Heat Content'!$D$19))/1000000</f>
        <v>90.190249099999988</v>
      </c>
      <c r="F60" s="64">
        <f>((FuelConsump!AB60*'Fuel Heat Content'!$D$7)+(FuelConsump!AC60*'Fuel Heat Content'!$D$15)+(FuelConsump!AD60*'Fuel Heat Content'!$D$6)+(FuelConsump!AE60*'Fuel Heat Content'!$D$14)+(FuelConsump!AF60*'Fuel Heat Content'!$D$19)+(FuelConsump!AG60*'Fuel Heat Content'!$D$8))/1000000</f>
        <v>11.324479999999999</v>
      </c>
      <c r="G60" s="34">
        <f>'Detailed data_Intercity buses'!Y39</f>
        <v>37.796808105718142</v>
      </c>
      <c r="H60" s="168">
        <f>'Detailed data_School buses'!W39</f>
        <v>85.010605517044155</v>
      </c>
      <c r="I60" s="97">
        <f>((FuelConsump!AZ60*'Fuel Heat Content'!$D$7)+(FuelConsump!BA60*'Fuel Heat Content'!$D$21))/1000000</f>
        <v>23.896104899999997</v>
      </c>
      <c r="J60" s="97">
        <f>(FuelConsump!BB60*'Fuel Heat Content'!$D$21)/1000000</f>
        <v>38.078536999999997</v>
      </c>
      <c r="K60" s="97">
        <f>(FuelConsump!BC60*'Fuel Heat Content'!$D$21)/1000000</f>
        <v>5.2728900000000003</v>
      </c>
      <c r="L60" s="97">
        <f t="shared" si="1"/>
        <v>67.247531899999998</v>
      </c>
      <c r="M60" s="97">
        <f>FuelConsump!AY60</f>
        <v>17.069484134</v>
      </c>
      <c r="N60" s="97">
        <f>(1-'Freight-based Energy Use'!K60)*(FuelConsump!AP60+1*FuelConsump!AQ60)*'Fuel Heat Content'!$D$11/1000000</f>
        <v>1953.5001129334157</v>
      </c>
      <c r="O60" s="168">
        <f>((FuelConsump!AR60*'Fuel Heat Content'!$D$9)+(FuelConsump!AS60*'Fuel Heat Content'!$D$11))/1000000</f>
        <v>141.51277999999999</v>
      </c>
      <c r="S60" s="4">
        <f>F60/'Passenger-based Activity'!$G61*1000000</f>
        <v>13276.060961313013</v>
      </c>
      <c r="V60" s="36"/>
      <c r="W60" s="36"/>
      <c r="AK60" s="21"/>
    </row>
    <row r="61" spans="1:37" x14ac:dyDescent="0.2">
      <c r="A61" s="215">
        <v>2003</v>
      </c>
      <c r="B61" s="64">
        <f>((FuelConsump!C61*'Fuel Heat Content'!$D$6)+(FuelConsump!D61*'Fuel Heat Content'!$D$8)+(FuelConsump!E61*'Fuel Heat Content'!$D$7))/1000000</f>
        <v>9362.1772165000002</v>
      </c>
      <c r="C61" s="64">
        <f>((FuelConsump!F61*'Fuel Heat Content'!$D$6))/1000000</f>
        <v>23.8475</v>
      </c>
      <c r="D61" s="64">
        <f>((FuelConsump!I61*'Fuel Heat Content'!$D$6)+(FuelConsump!J61*'Fuel Heat Content'!$D$8)+     (FuelConsump!K61*'Fuel Heat Content'!$D$7)+(FuelConsump!L61*'Fuel Heat Content'!$D$14))/1000000</f>
        <v>7551.3809395999997</v>
      </c>
      <c r="E61" s="64">
        <f>((FuelConsump!U61*'Fuel Heat Content'!$D$7)+(FuelConsump!V61*'Fuel Heat Content'!$D$7)+(FuelConsump!W61*'Fuel Heat Content'!$D$6)+(FuelConsump!X61*'Fuel Heat Content'!$D$16)+(FuelConsump!Z61*'Fuel Heat Content'!$D$17)+(FuelConsump!AA61*'Fuel Heat Content'!$D$14)+(FuelConsump!Y61*'Fuel Heat Content'!$D$19))/1000000</f>
        <v>89.131225700000002</v>
      </c>
      <c r="F61" s="64">
        <f>((FuelConsump!AB61*'Fuel Heat Content'!$D$7)+(FuelConsump!AC61*'Fuel Heat Content'!$D$15)+(FuelConsump!AD61*'Fuel Heat Content'!$D$6)+(FuelConsump!AE61*'Fuel Heat Content'!$D$14)+(FuelConsump!AF61*'Fuel Heat Content'!$D$19)+(FuelConsump!AG61*'Fuel Heat Content'!$D$8))/1000000</f>
        <v>12.55738</v>
      </c>
      <c r="G61" s="34">
        <f>'Detailed data_Intercity buses'!Y40</f>
        <v>39.036572311967774</v>
      </c>
      <c r="H61" s="168">
        <f>'Detailed data_School buses'!W40</f>
        <v>87.169364093530206</v>
      </c>
      <c r="I61" s="97">
        <f>((FuelConsump!AZ61*'Fuel Heat Content'!$D$7)+(FuelConsump!BA61*'Fuel Heat Content'!$D$21))/1000000</f>
        <v>24.321853799999996</v>
      </c>
      <c r="J61" s="97">
        <f>(FuelConsump!BB61*'Fuel Heat Content'!$D$21)/1000000</f>
        <v>37.551248000000001</v>
      </c>
      <c r="K61" s="97">
        <f>(FuelConsump!BC61*'Fuel Heat Content'!$D$21)/1000000</f>
        <v>5.241873</v>
      </c>
      <c r="L61" s="97">
        <f t="shared" si="1"/>
        <v>67.114974799999999</v>
      </c>
      <c r="M61" s="97">
        <f>FuelConsump!AY61</f>
        <v>15.9</v>
      </c>
      <c r="N61" s="97">
        <f>(1-'Freight-based Energy Use'!K61)*(FuelConsump!AP61+1*FuelConsump!AQ61)*'Fuel Heat Content'!$D$11/1000000</f>
        <v>1936.2314202063073</v>
      </c>
      <c r="O61" s="168">
        <f>((FuelConsump!AR61*'Fuel Heat Content'!$D$9)+(FuelConsump!AS61*'Fuel Heat Content'!$D$11))/1000000</f>
        <v>141.4111</v>
      </c>
      <c r="S61" s="4">
        <f>F61/'Passenger-based Activity'!$G62*1000000</f>
        <v>13502.559139784946</v>
      </c>
      <c r="V61" s="36"/>
      <c r="W61" s="36"/>
      <c r="AK61" s="21"/>
    </row>
    <row r="62" spans="1:37" x14ac:dyDescent="0.2">
      <c r="A62" s="215">
        <v>2004</v>
      </c>
      <c r="B62" s="64">
        <f>((FuelConsump!C62*'Fuel Heat Content'!$D$6)+(FuelConsump!D62*'Fuel Heat Content'!$D$8)+(FuelConsump!E62*'Fuel Heat Content'!$D$7))/1000000</f>
        <v>9330.5601683999994</v>
      </c>
      <c r="C62" s="64">
        <f>((FuelConsump!F62*'Fuel Heat Content'!$D$6))/1000000</f>
        <v>25.306249999999999</v>
      </c>
      <c r="D62" s="64">
        <f>((FuelConsump!I62*'Fuel Heat Content'!$D$6)+(FuelConsump!J62*'Fuel Heat Content'!$D$8)+     (FuelConsump!K62*'Fuel Heat Content'!$D$7)+(FuelConsump!L62*'Fuel Heat Content'!$D$14))/1000000</f>
        <v>7860.7971596999996</v>
      </c>
      <c r="E62" s="64">
        <f>((FuelConsump!U62*'Fuel Heat Content'!$D$7)+(FuelConsump!V62*'Fuel Heat Content'!$D$7)+(FuelConsump!W62*'Fuel Heat Content'!$D$6)+(FuelConsump!X62*'Fuel Heat Content'!$D$16)+(FuelConsump!Z62*'Fuel Heat Content'!$D$17)+(FuelConsump!AA62*'Fuel Heat Content'!$D$14)+(FuelConsump!Y62*'Fuel Heat Content'!$D$19))/1000000</f>
        <v>93.397523561904762</v>
      </c>
      <c r="F62" s="64">
        <f>((FuelConsump!AB62*'Fuel Heat Content'!$D$7)+(FuelConsump!AC62*'Fuel Heat Content'!$D$15)+(FuelConsump!AD62*'Fuel Heat Content'!$D$6)+(FuelConsump!AE62*'Fuel Heat Content'!$D$14)+(FuelConsump!AF62*'Fuel Heat Content'!$D$19)+(FuelConsump!AG62*'Fuel Heat Content'!$D$8))/1000000</f>
        <v>13.05439</v>
      </c>
      <c r="G62" s="34">
        <f>'Detailed data_Intercity buses'!Y41</f>
        <v>40.273554270164659</v>
      </c>
      <c r="H62" s="168">
        <f>'Detailed data_School buses'!W41</f>
        <v>86.296694885213284</v>
      </c>
      <c r="I62" s="97">
        <f>((FuelConsump!AZ62*'Fuel Heat Content'!$D$7)+(FuelConsump!BA62*'Fuel Heat Content'!$D$21))/1000000</f>
        <v>24.967472299999997</v>
      </c>
      <c r="J62" s="97">
        <f>(FuelConsump!BB62*'Fuel Heat Content'!$D$21)/1000000</f>
        <v>38.078536999999997</v>
      </c>
      <c r="K62" s="97">
        <f>(FuelConsump!BC62*'Fuel Heat Content'!$D$21)/1000000</f>
        <v>5.7174670000000001</v>
      </c>
      <c r="L62" s="97">
        <f t="shared" si="1"/>
        <v>68.763476299999994</v>
      </c>
      <c r="M62" s="97">
        <f>FuelConsump!AY62</f>
        <v>15.2</v>
      </c>
      <c r="N62" s="97">
        <f>(1-'Freight-based Energy Use'!K62)*(FuelConsump!AP62+1*FuelConsump!AQ62)*'Fuel Heat Content'!$D$11/1000000</f>
        <v>2000.3026966029888</v>
      </c>
      <c r="O62" s="168">
        <f>((FuelConsump!AR62*'Fuel Heat Content'!$D$9)+(FuelConsump!AS62*'Fuel Heat Content'!$D$11))/1000000</f>
        <v>175.93521999999999</v>
      </c>
      <c r="S62" s="4">
        <f>F62/'Passenger-based Activity'!$G63*1000000</f>
        <v>13570.051975051974</v>
      </c>
      <c r="V62" s="36"/>
      <c r="W62" s="36"/>
      <c r="AK62" s="21"/>
    </row>
    <row r="63" spans="1:37" x14ac:dyDescent="0.2">
      <c r="A63" s="215">
        <v>2005</v>
      </c>
      <c r="B63" s="64">
        <f>((FuelConsump!C63*'Fuel Heat Content'!$D$6)+(FuelConsump!D63*'Fuel Heat Content'!$D$8)+(FuelConsump!E63*'Fuel Heat Content'!$D$7))/1000000</f>
        <v>9579.0762342000016</v>
      </c>
      <c r="C63" s="64">
        <f>((FuelConsump!F63*'Fuel Heat Content'!$D$6))/1000000</f>
        <v>23.6875</v>
      </c>
      <c r="D63" s="64">
        <f>((FuelConsump!I63*'Fuel Heat Content'!$D$6)+(FuelConsump!J63*'Fuel Heat Content'!$D$8)+     (FuelConsump!K63*'Fuel Heat Content'!$D$7)+(FuelConsump!L63*'Fuel Heat Content'!$D$14))/1000000</f>
        <v>7296.329824200001</v>
      </c>
      <c r="E63" s="64">
        <f>((FuelConsump!U63*'Fuel Heat Content'!$D$7)+(FuelConsump!V63*'Fuel Heat Content'!$D$7)+(FuelConsump!W63*'Fuel Heat Content'!$D$6)+(FuelConsump!X63*'Fuel Heat Content'!$D$16)+(FuelConsump!Z63*'Fuel Heat Content'!$D$17)+(FuelConsump!AA63*'Fuel Heat Content'!$D$14)+(FuelConsump!Y63*'Fuel Heat Content'!$D$19))/1000000</f>
        <v>93.074290052380945</v>
      </c>
      <c r="F63" s="64">
        <f>((FuelConsump!AB63*'Fuel Heat Content'!$D$7)+(FuelConsump!AC63*'Fuel Heat Content'!$D$15)+(FuelConsump!AD63*'Fuel Heat Content'!$D$6)+(FuelConsump!AE63*'Fuel Heat Content'!$D$14)+(FuelConsump!AF63*'Fuel Heat Content'!$D$19)+(FuelConsump!AG63*'Fuel Heat Content'!$D$8))/1000000</f>
        <v>14.440580000000001</v>
      </c>
      <c r="G63" s="34">
        <f>'Detailed data_Intercity buses'!Y42</f>
        <v>41.50776333558936</v>
      </c>
      <c r="H63" s="168">
        <f>'Detailed data_School buses'!W42</f>
        <v>85.216714285634666</v>
      </c>
      <c r="I63" s="97">
        <f>((FuelConsump!AZ63*'Fuel Heat Content'!$D$7)+(FuelConsump!BA63*'Fuel Heat Content'!$D$21))/1000000</f>
        <v>25.983307799999999</v>
      </c>
      <c r="J63" s="97">
        <f>(FuelConsump!BB63*'Fuel Heat Content'!$D$21)/1000000</f>
        <v>38.967691000000002</v>
      </c>
      <c r="K63" s="97">
        <f>(FuelConsump!BC63*'Fuel Heat Content'!$D$21)/1000000</f>
        <v>5.9035690000000001</v>
      </c>
      <c r="L63" s="97">
        <f t="shared" si="1"/>
        <v>70.854567800000012</v>
      </c>
      <c r="M63" s="97">
        <f>FuelConsump!AY63</f>
        <v>14.575566703</v>
      </c>
      <c r="N63" s="97">
        <f>(1-'Freight-based Energy Use'!K63)*(FuelConsump!AP63+1*FuelConsump!AQ63)*'Fuel Heat Content'!$D$11/1000000</f>
        <v>2089.2538244621423</v>
      </c>
      <c r="O63" s="168">
        <f>((FuelConsump!AR63*'Fuel Heat Content'!$D$9)+(FuelConsump!AS63*'Fuel Heat Content'!$D$11))/1000000</f>
        <v>242.39572000000001</v>
      </c>
      <c r="S63" s="4">
        <f>F63/'Passenger-based Activity'!$G64*1000000</f>
        <v>13648.941398865785</v>
      </c>
      <c r="V63" s="36"/>
      <c r="W63" s="36"/>
      <c r="AK63" s="21"/>
    </row>
    <row r="64" spans="1:37" x14ac:dyDescent="0.2">
      <c r="A64" s="215">
        <v>2006</v>
      </c>
      <c r="B64" s="64">
        <f>((FuelConsump!C64*'Fuel Heat Content'!$D$6)+(FuelConsump!D64*'Fuel Heat Content'!$D$8)+(FuelConsump!E64*'Fuel Heat Content'!$D$7))/1000000</f>
        <v>9315.7577567999997</v>
      </c>
      <c r="C64" s="64">
        <f>((FuelConsump!F64*'Fuel Heat Content'!$D$6))/1000000</f>
        <v>27.62875</v>
      </c>
      <c r="D64" s="64">
        <f>((FuelConsump!I64*'Fuel Heat Content'!$D$6)+(FuelConsump!J64*'Fuel Heat Content'!$D$8)+     (FuelConsump!K64*'Fuel Heat Content'!$D$7)+(FuelConsump!L64*'Fuel Heat Content'!$D$14))/1000000</f>
        <v>7549.5234934999999</v>
      </c>
      <c r="E64" s="64">
        <f>((FuelConsump!U64*'Fuel Heat Content'!$D$7)+(FuelConsump!V64*'Fuel Heat Content'!$D$7)+(FuelConsump!W64*'Fuel Heat Content'!$D$6)+(FuelConsump!X64*'Fuel Heat Content'!$D$16)+(FuelConsump!Z64*'Fuel Heat Content'!$D$17)+(FuelConsump!AA64*'Fuel Heat Content'!$D$14)+(FuelConsump!Y64*'Fuel Heat Content'!$D$19))/1000000</f>
        <v>98.392057619047605</v>
      </c>
      <c r="F64" s="64">
        <f>((FuelConsump!AB64*'Fuel Heat Content'!$D$7)+(FuelConsump!AC64*'Fuel Heat Content'!$D$15)+(FuelConsump!AD64*'Fuel Heat Content'!$D$6)+(FuelConsump!AE64*'Fuel Heat Content'!$D$14)+(FuelConsump!AF64*'Fuel Heat Content'!$D$19)+(FuelConsump!AG64*'Fuel Heat Content'!$D$8))/1000000</f>
        <v>15.42041</v>
      </c>
      <c r="G64" s="34">
        <f>'Detailed data_Intercity buses'!Y43</f>
        <v>42.739208821626711</v>
      </c>
      <c r="H64" s="168">
        <f>'Detailed data_School buses'!W43</f>
        <v>86.313649090321547</v>
      </c>
      <c r="I64" s="97">
        <f>((FuelConsump!AZ64*'Fuel Heat Content'!$D$7)+(FuelConsump!BA64*'Fuel Heat Content'!$D$21))/1000000</f>
        <v>26.182862</v>
      </c>
      <c r="J64" s="97">
        <f>(FuelConsump!BB64*'Fuel Heat Content'!$D$21)/1000000</f>
        <v>38.347351000000003</v>
      </c>
      <c r="K64" s="97">
        <f>(FuelConsump!BC64*'Fuel Heat Content'!$D$21)/1000000</f>
        <v>6.554926</v>
      </c>
      <c r="L64" s="97">
        <f t="shared" ref="L64:L69" si="2">SUM(I64:K64)</f>
        <v>71.085138999999998</v>
      </c>
      <c r="M64" s="97">
        <f>FuelConsump!AY64</f>
        <v>14.338240283999999</v>
      </c>
      <c r="N64" s="97">
        <f>(1-'Freight-based Energy Use'!K64)*(FuelConsump!AP64+1*FuelConsump!AQ64)*'Fuel Heat Content'!$D$11/1000000</f>
        <v>2136.8126542257301</v>
      </c>
      <c r="O64" s="168">
        <f>((FuelConsump!AR64*'Fuel Heat Content'!$D$9)+(FuelConsump!AS64*'Fuel Heat Content'!$D$11))/1000000</f>
        <v>256.32344000000001</v>
      </c>
      <c r="S64" s="4">
        <f>F64/'Passenger-based Activity'!$G65*1000000</f>
        <v>14304.647495361782</v>
      </c>
      <c r="V64" s="36"/>
      <c r="W64" s="36"/>
      <c r="AK64" s="21"/>
    </row>
    <row r="65" spans="1:37" x14ac:dyDescent="0.2">
      <c r="A65" s="215">
        <v>2007</v>
      </c>
      <c r="B65" s="64">
        <f>((FuelConsump!C65*'Fuel Heat Content'!$D$6)+(FuelConsump!D65*'Fuel Heat Content'!$D$8)+(FuelConsump!E65*'Fuel Heat Content'!$D$7))/1000000</f>
        <v>9221.1042682999996</v>
      </c>
      <c r="C65" s="64">
        <f>((FuelConsump!F65*'Fuel Heat Content'!$D$6))/1000000</f>
        <v>59.365000000000002</v>
      </c>
      <c r="D65" s="64">
        <f>((FuelConsump!I65*'Fuel Heat Content'!$D$6)+(FuelConsump!J65*'Fuel Heat Content'!$D$8)+     (FuelConsump!K65*'Fuel Heat Content'!$D$7)+(FuelConsump!L65*'Fuel Heat Content'!$D$14))/1000000</f>
        <v>7679.2768007999994</v>
      </c>
      <c r="E65" s="64">
        <f>((FuelConsump!U65*'Fuel Heat Content'!$D$7)+(FuelConsump!V65*'Fuel Heat Content'!$D$7)+(FuelConsump!W65*'Fuel Heat Content'!$D$6)+(FuelConsump!X65*'Fuel Heat Content'!$D$16)+(FuelConsump!Z65*'Fuel Heat Content'!$D$17)+(FuelConsump!AA65*'Fuel Heat Content'!$D$14)+(FuelConsump!Y65*'Fuel Heat Content'!$D$19))/1000000</f>
        <v>91.678117142857147</v>
      </c>
      <c r="F65" s="64">
        <f>((FuelConsump!AB65*'Fuel Heat Content'!$D$7)+(FuelConsump!AC65*'Fuel Heat Content'!$D$15)+(FuelConsump!AD65*'Fuel Heat Content'!$D$6)+(FuelConsump!AE65*'Fuel Heat Content'!$D$14)+(FuelConsump!AF65*'Fuel Heat Content'!$D$19)+(FuelConsump!AG65*'Fuel Heat Content'!$D$8))/1000000</f>
        <v>24.94909619047619</v>
      </c>
      <c r="G65" s="34">
        <f>'Detailed data_Intercity buses'!Y44</f>
        <v>43.9679</v>
      </c>
      <c r="H65" s="168">
        <f>'Detailed data_School buses'!W44</f>
        <v>84.170910413418341</v>
      </c>
      <c r="I65" s="97">
        <f>((FuelConsump!AZ65*'Fuel Heat Content'!$D$7)+(FuelConsump!BA65*'Fuel Heat Content'!$D$21))/1000000</f>
        <v>29.419713100000003</v>
      </c>
      <c r="J65" s="97">
        <f>(FuelConsump!BB65*'Fuel Heat Content'!$D$21)/1000000</f>
        <v>39.466030799999999</v>
      </c>
      <c r="K65" s="97">
        <f>(FuelConsump!BC65*'Fuel Heat Content'!$D$21)/1000000</f>
        <v>7.1059946999999992</v>
      </c>
      <c r="L65" s="97">
        <f t="shared" si="2"/>
        <v>75.991738599999991</v>
      </c>
      <c r="M65" s="97">
        <f>FuelConsump!AY65</f>
        <v>14.549524695999999</v>
      </c>
      <c r="N65" s="97">
        <f>(1-'Freight-based Energy Use'!K65)*(FuelConsump!AP65+1*FuelConsump!AQ65)*'Fuel Heat Content'!$D$11/1000000</f>
        <v>2171.0008794254172</v>
      </c>
      <c r="O65" s="168">
        <f>((FuelConsump!AR65*'Fuel Heat Content'!$D$9)+(FuelConsump!AS65*'Fuel Heat Content'!$D$11))/1000000</f>
        <v>242.53945999999999</v>
      </c>
      <c r="S65" s="4">
        <f>F65/'Passenger-based Activity'!$G66*1000000</f>
        <v>16610.583349185214</v>
      </c>
      <c r="V65" s="36"/>
      <c r="W65" s="36"/>
      <c r="AK65" s="21"/>
    </row>
    <row r="66" spans="1:37" x14ac:dyDescent="0.2">
      <c r="A66" s="215">
        <v>2008</v>
      </c>
      <c r="B66" s="64">
        <f>((FuelConsump!C66*'Fuel Heat Content'!$D$6)+(FuelConsump!D66*'Fuel Heat Content'!$D$8)+(FuelConsump!E66*'Fuel Heat Content'!$D$7))/1000000</f>
        <v>8831.5096315999999</v>
      </c>
      <c r="C66" s="64">
        <f>((FuelConsump!F66*'Fuel Heat Content'!$D$6))/1000000</f>
        <v>61.177500000000002</v>
      </c>
      <c r="D66" s="64">
        <f>((FuelConsump!I66*'Fuel Heat Content'!$D$6)+(FuelConsump!J66*'Fuel Heat Content'!$D$8)+     (FuelConsump!K66*'Fuel Heat Content'!$D$7)+(FuelConsump!L66*'Fuel Heat Content'!$D$14))/1000000</f>
        <v>7572.3175073000011</v>
      </c>
      <c r="E66" s="64">
        <f>((FuelConsump!U66*'Fuel Heat Content'!$D$7)+(FuelConsump!V66*'Fuel Heat Content'!$D$7)+(FuelConsump!W66*'Fuel Heat Content'!$D$6)+(FuelConsump!X66*'Fuel Heat Content'!$D$16)+(FuelConsump!Z66*'Fuel Heat Content'!$D$17)+(FuelConsump!AA66*'Fuel Heat Content'!$D$14)+(FuelConsump!Y66*'Fuel Heat Content'!$D$19))/1000000</f>
        <v>94.599100952380951</v>
      </c>
      <c r="F66" s="64">
        <f>((FuelConsump!AB66*'Fuel Heat Content'!$D$7)+(FuelConsump!AC66*'Fuel Heat Content'!$D$15)+(FuelConsump!AD66*'Fuel Heat Content'!$D$6)+(FuelConsump!AE66*'Fuel Heat Content'!$D$14)+(FuelConsump!AF66*'Fuel Heat Content'!$D$19)+(FuelConsump!AG66*'Fuel Heat Content'!$D$8))/1000000</f>
        <v>26.26156523809524</v>
      </c>
      <c r="G66" s="34">
        <f>'Detailed data_Intercity buses'!Y45</f>
        <v>44.232621732610809</v>
      </c>
      <c r="H66" s="168">
        <f>'Detailed data_School buses'!W45</f>
        <v>80.963070528054999</v>
      </c>
      <c r="I66" s="97">
        <f>((FuelConsump!AZ66*'Fuel Heat Content'!$D$7)+(FuelConsump!BA66*'Fuel Heat Content'!$D$21))/1000000</f>
        <v>29.3407503</v>
      </c>
      <c r="J66" s="97">
        <f>(FuelConsump!BB66*'Fuel Heat Content'!$D$21)/1000000</f>
        <v>40.2983203</v>
      </c>
      <c r="K66" s="97">
        <f>(FuelConsump!BC66*'Fuel Heat Content'!$D$21)/1000000</f>
        <v>7.4533850999999993</v>
      </c>
      <c r="L66" s="97">
        <f t="shared" si="2"/>
        <v>77.092455700000002</v>
      </c>
      <c r="M66" s="97">
        <f>FuelConsump!AY66</f>
        <v>14.814989058000002</v>
      </c>
      <c r="N66" s="97">
        <f>(1-'Freight-based Energy Use'!K66)*(FuelConsump!AP66+1*FuelConsump!AQ66)*'Fuel Heat Content'!$D$11/1000000</f>
        <v>2093.7322543329487</v>
      </c>
      <c r="O66" s="168">
        <f>((FuelConsump!AR66*'Fuel Heat Content'!$D$9)+(FuelConsump!AS66*'Fuel Heat Content'!$D$11))/1000000</f>
        <v>264.77825999999999</v>
      </c>
      <c r="S66" s="4">
        <f>F66/'Passenger-based Activity'!$G67*1000000</f>
        <v>18598.842236611359</v>
      </c>
      <c r="V66" s="36"/>
      <c r="W66" s="36"/>
      <c r="AK66" s="21"/>
    </row>
    <row r="67" spans="1:37" x14ac:dyDescent="0.2">
      <c r="A67" s="215">
        <v>2009</v>
      </c>
      <c r="B67" s="64">
        <f>((FuelConsump!C67*'Fuel Heat Content'!$D$6)+(FuelConsump!D67*'Fuel Heat Content'!$D$8)+(FuelConsump!E67*'Fuel Heat Content'!$D$7))/1000000</f>
        <v>8898.0209925021845</v>
      </c>
      <c r="C67" s="64">
        <f>((FuelConsump!F67*'Fuel Heat Content'!$D$6))/1000000</f>
        <v>60.286250000000003</v>
      </c>
      <c r="D67" s="64">
        <f>((FuelConsump!I67*'Fuel Heat Content'!$D$6)+(FuelConsump!J67*'Fuel Heat Content'!$D$8)+     (FuelConsump!K67*'Fuel Heat Content'!$D$7)+(FuelConsump!L67*'Fuel Heat Content'!$D$14))/1000000</f>
        <v>7550.6754369572218</v>
      </c>
      <c r="E67" s="64">
        <f>((FuelConsump!U67*'Fuel Heat Content'!$D$7)+(FuelConsump!V67*'Fuel Heat Content'!$D$7)+(FuelConsump!W67*'Fuel Heat Content'!$D$6)+(FuelConsump!X67*'Fuel Heat Content'!$D$16)+(FuelConsump!Z67*'Fuel Heat Content'!$D$17)+(FuelConsump!AA67*'Fuel Heat Content'!$D$14)+(FuelConsump!Y67*'Fuel Heat Content'!$D$19))/1000000</f>
        <v>91.275816666666671</v>
      </c>
      <c r="F67" s="64">
        <f>((FuelConsump!AB67*'Fuel Heat Content'!$D$7)+(FuelConsump!AC67*'Fuel Heat Content'!$D$15)+(FuelConsump!AD67*'Fuel Heat Content'!$D$6)+(FuelConsump!AE67*'Fuel Heat Content'!$D$14)+(FuelConsump!AF67*'Fuel Heat Content'!$D$19)+(FuelConsump!AG67*'Fuel Heat Content'!$D$8))/1000000</f>
        <v>24.101748571428573</v>
      </c>
      <c r="G67" s="34">
        <f>'Detailed data_Intercity buses'!Y46</f>
        <v>44.409738868645192</v>
      </c>
      <c r="H67" s="168">
        <f>'Detailed data_School buses'!W46</f>
        <v>83.216419612653397</v>
      </c>
      <c r="I67" s="97">
        <f>((FuelConsump!AZ67*'Fuel Heat Content'!$D$7)+(FuelConsump!BA67*'Fuel Heat Content'!$D$21))/1000000</f>
        <v>31.579920000000001</v>
      </c>
      <c r="J67" s="97">
        <f>(FuelConsump!BB67*'Fuel Heat Content'!$D$21)/1000000</f>
        <v>40.177354000000001</v>
      </c>
      <c r="K67" s="97">
        <f>(FuelConsump!BC67*'Fuel Heat Content'!$D$21)/1000000</f>
        <v>7.6301819999999996</v>
      </c>
      <c r="L67" s="97">
        <f t="shared" si="2"/>
        <v>79.387456</v>
      </c>
      <c r="M67" s="97">
        <f>FuelConsump!AY67</f>
        <v>14.399548952</v>
      </c>
      <c r="N67" s="97">
        <f>(1-'Freight-based Energy Use'!K67)*(FuelConsump!AP67+1*FuelConsump!AQ67)*'Fuel Heat Content'!$D$11/1000000</f>
        <v>1928.401016805461</v>
      </c>
      <c r="O67" s="168">
        <f>((FuelConsump!AR67*'Fuel Heat Content'!$D$9)+(FuelConsump!AS67*'Fuel Heat Content'!$D$11))/1000000</f>
        <v>209.56832</v>
      </c>
      <c r="S67" s="4">
        <f>F67/'Passenger-based Activity'!$G68*1000000</f>
        <v>16318.042363864977</v>
      </c>
      <c r="V67" s="36"/>
      <c r="W67" s="36"/>
      <c r="AK67" s="21"/>
    </row>
    <row r="68" spans="1:37" x14ac:dyDescent="0.2">
      <c r="A68" s="215">
        <v>2010</v>
      </c>
      <c r="B68" s="64">
        <f>((FuelConsump!C68*'Fuel Heat Content'!$D$6)+(FuelConsump!D68*'Fuel Heat Content'!$D$8)+(FuelConsump!E68*'Fuel Heat Content'!$D$7))/1000000</f>
        <v>8927.1885289395177</v>
      </c>
      <c r="C68" s="64">
        <f>((FuelConsump!F68*'Fuel Heat Content'!$D$6))/1000000</f>
        <v>53.337499999999999</v>
      </c>
      <c r="D68" s="64">
        <f>((FuelConsump!I68*'Fuel Heat Content'!$D$6)+(FuelConsump!J68*'Fuel Heat Content'!$D$8)+     (FuelConsump!K68*'Fuel Heat Content'!$D$7)+(FuelConsump!L68*'Fuel Heat Content'!$D$14))/1000000</f>
        <v>7722.6767738989311</v>
      </c>
      <c r="E68" s="64">
        <f>((FuelConsump!U68*'Fuel Heat Content'!$D$7)+(FuelConsump!V68*'Fuel Heat Content'!$D$7)+(FuelConsump!W68*'Fuel Heat Content'!$D$6)+(FuelConsump!X68*'Fuel Heat Content'!$D$16)+(FuelConsump!Z68*'Fuel Heat Content'!$D$17)+(FuelConsump!AA68*'Fuel Heat Content'!$D$14)+(FuelConsump!Y68*'Fuel Heat Content'!$D$19))/1000000</f>
        <v>86.633312857142855</v>
      </c>
      <c r="F68" s="64">
        <f>((FuelConsump!AB68*'Fuel Heat Content'!$D$7)+(FuelConsump!AC68*'Fuel Heat Content'!$D$15)+(FuelConsump!AD68*'Fuel Heat Content'!$D$6)+(FuelConsump!AE68*'Fuel Heat Content'!$D$14)+(FuelConsump!AF68*'Fuel Heat Content'!$D$19)+(FuelConsump!AG68*'Fuel Heat Content'!$D$8))/1000000</f>
        <v>23.869180952380951</v>
      </c>
      <c r="G68" s="34">
        <f>'Detailed data_Intercity buses'!Y47</f>
        <v>44.56663739615319</v>
      </c>
      <c r="H68" s="168">
        <f>'Detailed data_School buses'!W47</f>
        <v>80.997946282793009</v>
      </c>
      <c r="I68" s="97">
        <f>((FuelConsump!AZ68*'Fuel Heat Content'!$D$7)+(FuelConsump!BA68*'Fuel Heat Content'!$D$21))/1000000</f>
        <v>31.506022999999999</v>
      </c>
      <c r="J68" s="97">
        <f>(FuelConsump!BB68*'Fuel Heat Content'!$D$21)/1000000</f>
        <v>39.081420000000001</v>
      </c>
      <c r="K68" s="97">
        <f>(FuelConsump!BC68*'Fuel Heat Content'!$D$21)/1000000</f>
        <v>7.7439109999999998</v>
      </c>
      <c r="L68" s="97">
        <f t="shared" si="2"/>
        <v>78.331354000000005</v>
      </c>
      <c r="M68" s="97">
        <f>FuelConsump!AY68</f>
        <v>14.579850218000001</v>
      </c>
      <c r="N68" s="97">
        <f>(1-'Freight-based Energy Use'!K68)*(FuelConsump!AP68+1*FuelConsump!AQ68)*'Fuel Heat Content'!$D$11/1000000</f>
        <v>1916.3192653847175</v>
      </c>
      <c r="O68" s="168">
        <f>((FuelConsump!AR68*'Fuel Heat Content'!$D$9)+(FuelConsump!AS68*'Fuel Heat Content'!$D$11))/1000000</f>
        <v>221.23056</v>
      </c>
      <c r="S68" s="4">
        <f>F68/'Passenger-based Activity'!$G69*1000000</f>
        <v>15976.694077898896</v>
      </c>
      <c r="V68" s="36"/>
      <c r="W68" s="36"/>
    </row>
    <row r="69" spans="1:37" x14ac:dyDescent="0.2">
      <c r="A69" s="215">
        <v>2011</v>
      </c>
      <c r="B69" s="64">
        <f>((FuelConsump!C69*'Fuel Heat Content'!$D$6)+(FuelConsump!D69*'Fuel Heat Content'!$D$8)+(FuelConsump!E69*'Fuel Heat Content'!$D$7))/1000000</f>
        <v>9028.7785825039136</v>
      </c>
      <c r="C69" s="64">
        <f>((FuelConsump!F69*'Fuel Heat Content'!$D$6))/1000000</f>
        <v>53.174999999999997</v>
      </c>
      <c r="D69" s="64">
        <f>((FuelConsump!I69*'Fuel Heat Content'!$D$6)+(FuelConsump!J69*'Fuel Heat Content'!$D$8)+     (FuelConsump!K69*'Fuel Heat Content'!$D$7)+(FuelConsump!L69*'Fuel Heat Content'!$D$14))/1000000</f>
        <v>7772.7144117506905</v>
      </c>
      <c r="E69" s="64">
        <f>((FuelConsump!U69*'Fuel Heat Content'!$D$7)+(FuelConsump!V69*'Fuel Heat Content'!$D$7)+(FuelConsump!W69*'Fuel Heat Content'!$D$6)+(FuelConsump!X69*'Fuel Heat Content'!$D$16)+(FuelConsump!Z69*'Fuel Heat Content'!$D$17)+(FuelConsump!AA69*'Fuel Heat Content'!$D$14)+(FuelConsump!Y69*'Fuel Heat Content'!$D$19))/1000000</f>
        <v>91.022176666666667</v>
      </c>
      <c r="F69" s="64">
        <f>((FuelConsump!AB69*'Fuel Heat Content'!$D$7)+(FuelConsump!AC69*'Fuel Heat Content'!$D$15)+(FuelConsump!AD69*'Fuel Heat Content'!$D$6)+(FuelConsump!AE69*'Fuel Heat Content'!$D$14)+(FuelConsump!AF69*'Fuel Heat Content'!$D$19)+(FuelConsump!AG69*'Fuel Heat Content'!$D$8))/1000000</f>
        <v>25.498169047619047</v>
      </c>
      <c r="G69" s="34">
        <f>'Detailed data_Intercity buses'!Y48</f>
        <v>42.935339814653339</v>
      </c>
      <c r="H69" s="168">
        <f>'Detailed data_School buses'!W48</f>
        <v>75.47035762981784</v>
      </c>
      <c r="I69" s="97">
        <f>((FuelConsump!AZ69*'Fuel Heat Content'!$D$7)+(FuelConsump!BA69*'Fuel Heat Content'!$D$21))/1000000</f>
        <v>31.921106999999999</v>
      </c>
      <c r="J69" s="97">
        <f>(FuelConsump!BB69*'Fuel Heat Content'!$D$21)/1000000</f>
        <v>39.846505999999998</v>
      </c>
      <c r="K69" s="97">
        <f>(FuelConsump!BC69*'Fuel Heat Content'!$D$21)/1000000</f>
        <v>8.1574709999999993</v>
      </c>
      <c r="L69" s="97">
        <f t="shared" si="2"/>
        <v>79.925083999999998</v>
      </c>
      <c r="M69" s="97">
        <f>FuelConsump!AY69</f>
        <v>14.543054075000001</v>
      </c>
      <c r="N69" s="97">
        <f>(1-'Freight-based Energy Use'!K69)*(FuelConsump!AP69+1*FuelConsump!AQ69)*'Fuel Heat Content'!$D$11/1000000</f>
        <v>1953.0450281966507</v>
      </c>
      <c r="O69" s="168">
        <f>((FuelConsump!AR69*'Fuel Heat Content'!$D$9)+(FuelConsump!AS69*'Fuel Heat Content'!$D$11))/1000000</f>
        <v>227.14760000000001</v>
      </c>
      <c r="S69" s="4">
        <f>F69/'Passenger-based Activity'!$G70*1000000</f>
        <v>16138.081675708259</v>
      </c>
      <c r="V69" s="36"/>
      <c r="W69" s="36"/>
    </row>
    <row r="70" spans="1:37" x14ac:dyDescent="0.2">
      <c r="A70" s="215">
        <v>2012</v>
      </c>
      <c r="B70" s="97"/>
      <c r="C70" s="97"/>
      <c r="D70" s="97"/>
      <c r="E70" s="97"/>
      <c r="F70" s="97"/>
      <c r="G70" s="125">
        <f>'Detailed data_Intercity buses'!Y47</f>
        <v>44.56663739615319</v>
      </c>
      <c r="H70" s="168"/>
      <c r="I70" s="97"/>
      <c r="J70" s="97"/>
      <c r="K70" s="97"/>
      <c r="L70" s="97"/>
      <c r="M70" s="97"/>
      <c r="N70" s="97"/>
      <c r="O70" s="168"/>
      <c r="S70" s="4"/>
      <c r="V70" s="36"/>
      <c r="W70" s="36"/>
    </row>
    <row r="71" spans="1:37" x14ac:dyDescent="0.2">
      <c r="A71" s="215">
        <v>2013</v>
      </c>
      <c r="B71" s="97"/>
      <c r="C71" s="97"/>
      <c r="D71" s="97"/>
      <c r="E71" s="97"/>
      <c r="F71" s="97"/>
      <c r="G71" s="168"/>
      <c r="H71" s="168"/>
      <c r="I71" s="97"/>
      <c r="J71" s="97"/>
      <c r="K71" s="97"/>
      <c r="L71" s="97"/>
      <c r="M71" s="97"/>
      <c r="N71" s="97"/>
      <c r="O71" s="168"/>
      <c r="S71" s="4"/>
      <c r="V71" s="36"/>
      <c r="W71" s="36"/>
    </row>
    <row r="72" spans="1:37" x14ac:dyDescent="0.2">
      <c r="G72" s="125"/>
      <c r="V72" s="36"/>
      <c r="W72" s="36"/>
    </row>
    <row r="73" spans="1:37" x14ac:dyDescent="0.2">
      <c r="I73" s="136">
        <f>66.7/L69</f>
        <v>0.83453149702038476</v>
      </c>
      <c r="J73" s="556" t="s">
        <v>1111</v>
      </c>
      <c r="M73" t="s">
        <v>977</v>
      </c>
      <c r="N73">
        <f>'Freight-based Energy Use'!$E$68</f>
        <v>416.98023461528214</v>
      </c>
      <c r="V73" s="36"/>
      <c r="W73" s="36"/>
    </row>
    <row r="74" spans="1:37" x14ac:dyDescent="0.2">
      <c r="E74" s="97"/>
      <c r="J74" s="556" t="s">
        <v>1112</v>
      </c>
      <c r="M74" t="s">
        <v>978</v>
      </c>
      <c r="N74">
        <f>N68+N73</f>
        <v>2333.2994999999996</v>
      </c>
      <c r="O74" t="s">
        <v>988</v>
      </c>
      <c r="V74" s="36"/>
      <c r="W74" s="36"/>
    </row>
    <row r="75" spans="1:37" x14ac:dyDescent="0.2">
      <c r="A75" s="8"/>
      <c r="V75" s="36"/>
      <c r="W75" s="36"/>
    </row>
    <row r="76" spans="1:37" x14ac:dyDescent="0.2">
      <c r="A76" s="7"/>
      <c r="V76" s="36"/>
      <c r="W76" s="36"/>
    </row>
    <row r="77" spans="1:37" x14ac:dyDescent="0.2">
      <c r="A77" s="7"/>
      <c r="V77" s="36"/>
      <c r="W77" s="36"/>
    </row>
    <row r="78" spans="1:37" x14ac:dyDescent="0.2">
      <c r="A78" s="6" t="s">
        <v>593</v>
      </c>
      <c r="V78" s="36"/>
      <c r="W78" s="36"/>
    </row>
    <row r="79" spans="1:37" x14ac:dyDescent="0.2">
      <c r="V79" s="36"/>
      <c r="W79" s="36"/>
    </row>
    <row r="80" spans="1:37" x14ac:dyDescent="0.2">
      <c r="A80" s="7" t="s">
        <v>10</v>
      </c>
      <c r="V80" s="36"/>
      <c r="W80" s="36"/>
    </row>
    <row r="81" spans="9:23" x14ac:dyDescent="0.2">
      <c r="V81" s="36"/>
      <c r="W81" s="36"/>
    </row>
    <row r="82" spans="9:23" x14ac:dyDescent="0.2">
      <c r="I82" s="129">
        <f>0.835*0.8431*0.0052+0.4*0.1539*0.0052</f>
        <v>3.9808521999999992E-3</v>
      </c>
      <c r="J82" s="556" t="s">
        <v>1113</v>
      </c>
      <c r="M82" t="s">
        <v>1116</v>
      </c>
      <c r="V82" s="36"/>
      <c r="W82" s="36"/>
    </row>
  </sheetData>
  <phoneticPr fontId="0" type="noConversion"/>
  <pageMargins left="0.75" right="0.75" top="1" bottom="1" header="0.5" footer="0.5"/>
  <pageSetup orientation="portrait" horizontalDpi="4294967292"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workbookViewId="0">
      <pane xSplit="1" ySplit="6" topLeftCell="B7" activePane="bottomRight" state="frozen"/>
      <selection pane="topRight" activeCell="B1" sqref="B1"/>
      <selection pane="bottomLeft" activeCell="A7" sqref="A7"/>
      <selection pane="bottomRight" activeCell="F25" sqref="F25"/>
    </sheetView>
  </sheetViews>
  <sheetFormatPr defaultRowHeight="12.75" x14ac:dyDescent="0.2"/>
  <cols>
    <col min="1" max="1" width="10" customWidth="1"/>
    <col min="2" max="2" width="17.42578125" customWidth="1"/>
    <col min="3" max="3" width="12.42578125" customWidth="1"/>
    <col min="4" max="4" width="12.7109375" customWidth="1"/>
    <col min="5" max="5" width="10.7109375" bestFit="1" customWidth="1"/>
    <col min="6" max="6" width="12.42578125" customWidth="1"/>
    <col min="7" max="7" width="12.85546875" customWidth="1"/>
    <col min="8" max="8" width="13.28515625" customWidth="1"/>
    <col min="9" max="9" width="13.140625" customWidth="1"/>
    <col min="10" max="10" width="11.140625" bestFit="1" customWidth="1"/>
    <col min="11" max="11" width="10.42578125" customWidth="1"/>
    <col min="15" max="15" width="13.85546875" customWidth="1"/>
    <col min="16" max="16" width="13.5703125" customWidth="1"/>
    <col min="17" max="17" width="13.140625" customWidth="1"/>
    <col min="18" max="18" width="13.5703125" customWidth="1"/>
    <col min="20" max="20" width="13.140625" customWidth="1"/>
    <col min="21" max="21" width="10.42578125" customWidth="1"/>
    <col min="22" max="22" width="14.7109375" customWidth="1"/>
    <col min="23" max="23" width="17.7109375" customWidth="1"/>
  </cols>
  <sheetData>
    <row r="1" spans="1:24" ht="18" x14ac:dyDescent="0.25">
      <c r="A1" s="3" t="s">
        <v>1034</v>
      </c>
      <c r="P1" s="3"/>
      <c r="Q1" s="3"/>
    </row>
    <row r="2" spans="1:24" x14ac:dyDescent="0.2">
      <c r="A2" t="s">
        <v>598</v>
      </c>
    </row>
    <row r="4" spans="1:24" x14ac:dyDescent="0.2">
      <c r="A4" s="1"/>
      <c r="B4" s="2" t="s">
        <v>311</v>
      </c>
      <c r="C4" s="2"/>
      <c r="D4" s="2"/>
      <c r="E4" s="1"/>
      <c r="F4" s="1"/>
      <c r="G4" s="1"/>
      <c r="P4" s="1"/>
      <c r="Q4" s="1"/>
      <c r="R4" s="2"/>
      <c r="S4" s="2"/>
      <c r="T4" s="1"/>
      <c r="U4" s="1"/>
      <c r="V4" s="1"/>
    </row>
    <row r="5" spans="1:24" ht="63.75" x14ac:dyDescent="0.2">
      <c r="A5" s="101"/>
      <c r="B5" s="69" t="s">
        <v>312</v>
      </c>
      <c r="C5" s="70"/>
      <c r="D5" s="71"/>
      <c r="E5" s="72" t="s">
        <v>316</v>
      </c>
      <c r="F5" s="72" t="s">
        <v>318</v>
      </c>
      <c r="G5" s="944" t="s">
        <v>328</v>
      </c>
      <c r="H5" s="945"/>
      <c r="I5" s="946"/>
      <c r="J5" s="69" t="s">
        <v>330</v>
      </c>
      <c r="K5" s="73"/>
      <c r="O5" s="82" t="s">
        <v>580</v>
      </c>
      <c r="P5" s="121"/>
      <c r="Q5" s="121"/>
      <c r="R5" s="122"/>
      <c r="S5" s="2"/>
      <c r="T5" s="122" t="s">
        <v>917</v>
      </c>
      <c r="U5" s="2"/>
      <c r="V5" s="2" t="s">
        <v>915</v>
      </c>
      <c r="X5" s="2"/>
    </row>
    <row r="6" spans="1:24" ht="51" customHeight="1" x14ac:dyDescent="0.2">
      <c r="A6" s="95" t="s">
        <v>310</v>
      </c>
      <c r="B6" s="84" t="s">
        <v>916</v>
      </c>
      <c r="C6" s="94" t="s">
        <v>1003</v>
      </c>
      <c r="D6" s="94" t="s">
        <v>1002</v>
      </c>
      <c r="E6" s="91" t="s">
        <v>327</v>
      </c>
      <c r="F6" s="91" t="s">
        <v>601</v>
      </c>
      <c r="G6" s="84" t="s">
        <v>329</v>
      </c>
      <c r="H6" s="93" t="s">
        <v>574</v>
      </c>
      <c r="I6" s="94" t="s">
        <v>572</v>
      </c>
      <c r="J6" s="84" t="s">
        <v>331</v>
      </c>
      <c r="K6" s="94" t="s">
        <v>573</v>
      </c>
      <c r="L6" s="2"/>
      <c r="M6" s="2"/>
      <c r="N6" s="2" t="s">
        <v>310</v>
      </c>
      <c r="O6" s="53" t="s">
        <v>577</v>
      </c>
      <c r="P6" s="53" t="s">
        <v>578</v>
      </c>
      <c r="Q6" s="53" t="s">
        <v>576</v>
      </c>
      <c r="R6" s="53" t="s">
        <v>579</v>
      </c>
      <c r="S6" s="2"/>
      <c r="T6" s="285" t="s">
        <v>640</v>
      </c>
      <c r="U6" s="2"/>
      <c r="V6" s="493" t="s">
        <v>599</v>
      </c>
      <c r="W6" s="494" t="s">
        <v>914</v>
      </c>
      <c r="X6" s="2"/>
    </row>
    <row r="7" spans="1:24" x14ac:dyDescent="0.2">
      <c r="A7" s="30">
        <v>1949</v>
      </c>
      <c r="B7" s="28"/>
      <c r="C7" s="61"/>
      <c r="D7" s="57"/>
      <c r="E7" s="59"/>
      <c r="F7" s="37"/>
      <c r="G7" s="28"/>
      <c r="H7" s="61"/>
      <c r="I7" s="57"/>
      <c r="J7" s="28"/>
      <c r="K7" s="33">
        <f>Q7*$R$7</f>
        <v>57425.933089500002</v>
      </c>
      <c r="L7" s="5"/>
      <c r="M7" s="5"/>
      <c r="N7">
        <v>1949</v>
      </c>
      <c r="O7" s="54">
        <v>4135855</v>
      </c>
      <c r="P7" s="270">
        <v>2.2395000000000002E-5</v>
      </c>
      <c r="Q7" s="56">
        <f>P$7*O7</f>
        <v>92.622472725000009</v>
      </c>
      <c r="R7" s="55">
        <v>620</v>
      </c>
      <c r="T7" s="286"/>
    </row>
    <row r="8" spans="1:24" x14ac:dyDescent="0.2">
      <c r="A8" s="30">
        <v>1950</v>
      </c>
      <c r="B8" s="28"/>
      <c r="C8" s="595">
        <f>C$48/D$48*D8</f>
        <v>201009.52380952382</v>
      </c>
      <c r="D8" s="57">
        <v>173000</v>
      </c>
      <c r="E8" s="59"/>
      <c r="F8" s="37"/>
      <c r="G8" s="28"/>
      <c r="H8" s="61"/>
      <c r="I8" s="57"/>
      <c r="J8" s="28">
        <v>129000</v>
      </c>
      <c r="K8" s="33">
        <f t="shared" ref="K8:K58" si="0">Q8*$R$7</f>
        <v>65444.879386500004</v>
      </c>
      <c r="L8" s="5"/>
      <c r="M8" s="5"/>
      <c r="N8">
        <v>1950</v>
      </c>
      <c r="O8" s="54">
        <f>'Table6.5 (AER2010)'!AH10</f>
        <v>4713385</v>
      </c>
      <c r="P8" s="55"/>
      <c r="Q8" s="56">
        <f>P$7*O8</f>
        <v>105.556257075</v>
      </c>
      <c r="R8" s="55"/>
      <c r="T8" s="286"/>
      <c r="V8" s="61"/>
      <c r="W8" s="61">
        <v>173000</v>
      </c>
    </row>
    <row r="9" spans="1:24" x14ac:dyDescent="0.2">
      <c r="A9" s="30">
        <v>1951</v>
      </c>
      <c r="B9" s="28"/>
      <c r="C9" s="595">
        <f t="shared" ref="C9:C46" si="1">C$48/D$48*D9</f>
        <v>218438.09523809527</v>
      </c>
      <c r="D9" s="57">
        <v>188000</v>
      </c>
      <c r="E9" s="59">
        <v>646620</v>
      </c>
      <c r="F9" s="37"/>
      <c r="G9" s="28"/>
      <c r="H9" s="61"/>
      <c r="I9" s="57"/>
      <c r="J9" s="28">
        <v>152000</v>
      </c>
      <c r="K9" s="33">
        <f t="shared" si="0"/>
        <v>75925.354640400008</v>
      </c>
      <c r="L9" s="5"/>
      <c r="M9" s="5"/>
      <c r="N9">
        <v>1951</v>
      </c>
      <c r="O9" s="54">
        <f>'Table6.5 (AER2010)'!AH11</f>
        <v>5468196</v>
      </c>
      <c r="P9" s="55"/>
      <c r="Q9" s="56">
        <f>P$7*O9</f>
        <v>122.46024942000001</v>
      </c>
      <c r="R9" s="55"/>
      <c r="T9" s="286"/>
      <c r="V9" s="61"/>
      <c r="W9" s="61">
        <v>188000</v>
      </c>
    </row>
    <row r="10" spans="1:24" x14ac:dyDescent="0.2">
      <c r="A10" s="30">
        <v>1952</v>
      </c>
      <c r="B10" s="28"/>
      <c r="C10" s="595">
        <f t="shared" si="1"/>
        <v>226571.42857142858</v>
      </c>
      <c r="D10" s="57">
        <v>195000</v>
      </c>
      <c r="E10" s="59"/>
      <c r="F10" s="37"/>
      <c r="G10" s="28"/>
      <c r="H10" s="61"/>
      <c r="I10" s="57"/>
      <c r="J10" s="28">
        <v>158000</v>
      </c>
      <c r="K10" s="33">
        <f t="shared" si="0"/>
        <v>82233.556293300004</v>
      </c>
      <c r="L10" s="5"/>
      <c r="M10" s="5"/>
      <c r="N10">
        <v>1952</v>
      </c>
      <c r="O10" s="54">
        <f>'Table6.5 (AER2010)'!AH12</f>
        <v>5922517</v>
      </c>
      <c r="P10" s="55"/>
      <c r="Q10" s="56">
        <f t="shared" ref="Q10:Q59" si="2">P$7*O10</f>
        <v>132.63476821500001</v>
      </c>
      <c r="R10" s="55"/>
      <c r="T10" s="286"/>
      <c r="V10" s="61"/>
      <c r="W10" s="61">
        <v>195000</v>
      </c>
    </row>
    <row r="11" spans="1:24" x14ac:dyDescent="0.2">
      <c r="A11" s="30">
        <v>1953</v>
      </c>
      <c r="B11" s="28"/>
      <c r="C11" s="595">
        <f t="shared" si="1"/>
        <v>252133.33333333334</v>
      </c>
      <c r="D11" s="57">
        <v>217000</v>
      </c>
      <c r="E11" s="59"/>
      <c r="F11" s="37"/>
      <c r="G11" s="28"/>
      <c r="H11" s="61"/>
      <c r="I11" s="57"/>
      <c r="J11" s="28">
        <v>170000</v>
      </c>
      <c r="K11" s="33">
        <f t="shared" si="0"/>
        <v>87168.555221100018</v>
      </c>
      <c r="L11" s="5"/>
      <c r="M11" s="5"/>
      <c r="N11">
        <v>1953</v>
      </c>
      <c r="O11" s="54">
        <f>'Table6.5 (AER2010)'!AH13</f>
        <v>6277939</v>
      </c>
      <c r="P11" s="55"/>
      <c r="Q11" s="56">
        <f t="shared" si="2"/>
        <v>140.59444390500002</v>
      </c>
      <c r="R11" s="55"/>
      <c r="T11" s="286"/>
      <c r="V11" s="61"/>
      <c r="W11" s="61">
        <v>217000</v>
      </c>
    </row>
    <row r="12" spans="1:24" x14ac:dyDescent="0.2">
      <c r="A12" s="30">
        <v>1954</v>
      </c>
      <c r="B12" s="28"/>
      <c r="C12" s="595">
        <f t="shared" si="1"/>
        <v>247485.71428571432</v>
      </c>
      <c r="D12" s="57">
        <v>213000</v>
      </c>
      <c r="E12" s="59"/>
      <c r="F12" s="37"/>
      <c r="G12" s="28"/>
      <c r="H12" s="61"/>
      <c r="I12" s="57"/>
      <c r="J12" s="28">
        <v>179000</v>
      </c>
      <c r="K12" s="33">
        <f t="shared" si="0"/>
        <v>93242.018754600009</v>
      </c>
      <c r="L12" s="5"/>
      <c r="M12" s="5"/>
      <c r="N12">
        <v>1954</v>
      </c>
      <c r="O12" s="54">
        <f>'Table6.5 (AER2010)'!AH14</f>
        <v>6715354</v>
      </c>
      <c r="P12" s="55"/>
      <c r="Q12" s="56">
        <f t="shared" si="2"/>
        <v>150.39035283000001</v>
      </c>
      <c r="R12" s="55"/>
      <c r="T12" s="286"/>
      <c r="V12" s="61"/>
      <c r="W12" s="61">
        <v>213000</v>
      </c>
    </row>
    <row r="13" spans="1:24" x14ac:dyDescent="0.2">
      <c r="A13" s="30">
        <v>1955</v>
      </c>
      <c r="B13" s="28"/>
      <c r="C13" s="595">
        <f t="shared" si="1"/>
        <v>259104.76190476192</v>
      </c>
      <c r="D13" s="57">
        <v>223000</v>
      </c>
      <c r="E13" s="59">
        <v>623615</v>
      </c>
      <c r="F13" s="37"/>
      <c r="G13" s="28"/>
      <c r="H13" s="61"/>
      <c r="I13" s="57"/>
      <c r="J13" s="28">
        <v>203000</v>
      </c>
      <c r="K13" s="33">
        <f t="shared" si="0"/>
        <v>101601.7282674</v>
      </c>
      <c r="L13" s="5"/>
      <c r="M13" s="5"/>
      <c r="N13">
        <v>1955</v>
      </c>
      <c r="O13" s="54">
        <f>'Table6.5 (AER2010)'!AH15</f>
        <v>7317426</v>
      </c>
      <c r="P13" s="55"/>
      <c r="Q13" s="56">
        <f t="shared" si="2"/>
        <v>163.87375527</v>
      </c>
      <c r="R13" s="55"/>
      <c r="T13" s="286"/>
      <c r="V13" s="61"/>
      <c r="W13" s="61">
        <v>223000</v>
      </c>
    </row>
    <row r="14" spans="1:24" x14ac:dyDescent="0.2">
      <c r="A14" s="30">
        <v>1956</v>
      </c>
      <c r="B14" s="28"/>
      <c r="C14" s="595">
        <f t="shared" si="1"/>
        <v>289314.28571428574</v>
      </c>
      <c r="D14" s="57">
        <v>249000</v>
      </c>
      <c r="E14" s="59"/>
      <c r="F14" s="37"/>
      <c r="G14" s="28"/>
      <c r="H14" s="61"/>
      <c r="I14" s="57"/>
      <c r="J14" s="28">
        <v>230000</v>
      </c>
      <c r="K14" s="33">
        <f t="shared" si="0"/>
        <v>110945.29402440002</v>
      </c>
      <c r="L14" s="5"/>
      <c r="M14" s="5"/>
      <c r="N14">
        <v>1956</v>
      </c>
      <c r="O14" s="54">
        <f>'Table6.5 (AER2010)'!AH16</f>
        <v>7990356</v>
      </c>
      <c r="P14" s="55"/>
      <c r="Q14" s="56">
        <f t="shared" si="2"/>
        <v>178.94402262000003</v>
      </c>
      <c r="R14" s="55"/>
      <c r="T14" s="286"/>
      <c r="V14" s="61"/>
      <c r="W14" s="61">
        <v>249000</v>
      </c>
    </row>
    <row r="15" spans="1:24" x14ac:dyDescent="0.2">
      <c r="A15" s="30">
        <v>1957</v>
      </c>
      <c r="B15" s="28"/>
      <c r="C15" s="595">
        <f t="shared" si="1"/>
        <v>295123.80952380953</v>
      </c>
      <c r="D15" s="57">
        <v>254000</v>
      </c>
      <c r="E15" s="59"/>
      <c r="F15" s="37"/>
      <c r="G15" s="28"/>
      <c r="H15" s="61"/>
      <c r="I15" s="57"/>
      <c r="J15" s="28">
        <v>223000</v>
      </c>
      <c r="K15" s="33">
        <f t="shared" si="0"/>
        <v>118033.03561800001</v>
      </c>
      <c r="L15" s="5"/>
      <c r="M15" s="5"/>
      <c r="N15">
        <v>1957</v>
      </c>
      <c r="O15" s="54">
        <f>'Table6.5 (AER2010)'!AH17</f>
        <v>8500820</v>
      </c>
      <c r="P15" s="55"/>
      <c r="Q15" s="56">
        <f t="shared" si="2"/>
        <v>190.37586390000001</v>
      </c>
      <c r="R15" s="55"/>
      <c r="T15" s="286"/>
      <c r="V15" s="61"/>
      <c r="W15" s="61">
        <v>254000</v>
      </c>
    </row>
    <row r="16" spans="1:24" x14ac:dyDescent="0.2">
      <c r="A16" s="30">
        <v>1958</v>
      </c>
      <c r="B16" s="28"/>
      <c r="C16" s="595">
        <f t="shared" si="1"/>
        <v>297447.61904761905</v>
      </c>
      <c r="D16" s="57">
        <v>256000</v>
      </c>
      <c r="E16" s="59"/>
      <c r="F16" s="37">
        <v>676.53200000000004</v>
      </c>
      <c r="G16" s="28"/>
      <c r="H16" s="61"/>
      <c r="I16" s="57"/>
      <c r="J16" s="28">
        <v>211000</v>
      </c>
      <c r="K16" s="33">
        <f t="shared" si="0"/>
        <v>122802.54042270001</v>
      </c>
      <c r="L16" s="5"/>
      <c r="M16" s="5"/>
      <c r="N16">
        <v>1958</v>
      </c>
      <c r="O16" s="54">
        <f>'Table6.5 (AER2010)'!AH18</f>
        <v>8844323</v>
      </c>
      <c r="P16" s="55"/>
      <c r="Q16" s="56">
        <f t="shared" si="2"/>
        <v>198.06861358500001</v>
      </c>
      <c r="R16" s="55"/>
      <c r="T16" s="286"/>
      <c r="V16" s="61"/>
      <c r="W16" s="61">
        <v>256000</v>
      </c>
    </row>
    <row r="17" spans="1:23" x14ac:dyDescent="0.2">
      <c r="A17" s="30">
        <v>1959</v>
      </c>
      <c r="B17" s="28"/>
      <c r="C17" s="595">
        <f t="shared" si="1"/>
        <v>324171.42857142858</v>
      </c>
      <c r="D17" s="57">
        <v>279000</v>
      </c>
      <c r="E17" s="59"/>
      <c r="F17" s="37">
        <v>795.48099999999999</v>
      </c>
      <c r="G17" s="28"/>
      <c r="H17" s="61"/>
      <c r="I17" s="57"/>
      <c r="J17" s="28">
        <v>227000</v>
      </c>
      <c r="K17" s="33">
        <f t="shared" si="0"/>
        <v>135140.1765912</v>
      </c>
      <c r="L17" s="5"/>
      <c r="M17" s="5"/>
      <c r="N17">
        <v>1959</v>
      </c>
      <c r="O17" s="54">
        <f>'Table6.5 (AER2010)'!AH19</f>
        <v>9732888</v>
      </c>
      <c r="P17" s="55"/>
      <c r="Q17" s="56">
        <f t="shared" si="2"/>
        <v>217.96802676000001</v>
      </c>
      <c r="R17" s="55"/>
      <c r="T17" s="286"/>
      <c r="V17" s="61"/>
      <c r="W17" s="61">
        <v>279000</v>
      </c>
    </row>
    <row r="18" spans="1:23" x14ac:dyDescent="0.2">
      <c r="A18" s="30">
        <v>1960</v>
      </c>
      <c r="B18" s="28"/>
      <c r="C18" s="595">
        <f t="shared" si="1"/>
        <v>331142.85714285716</v>
      </c>
      <c r="D18" s="57">
        <v>285000</v>
      </c>
      <c r="E18" s="59">
        <v>572309</v>
      </c>
      <c r="F18" s="37">
        <v>820.77800000000002</v>
      </c>
      <c r="G18" s="28"/>
      <c r="H18" s="61"/>
      <c r="I18" s="57"/>
      <c r="J18" s="28">
        <v>229000</v>
      </c>
      <c r="K18" s="33">
        <f t="shared" si="0"/>
        <v>144162.48741690002</v>
      </c>
      <c r="L18" s="5"/>
      <c r="M18" s="5"/>
      <c r="N18">
        <v>1960</v>
      </c>
      <c r="O18" s="54">
        <f>'Table6.5 (AER2010)'!AH20</f>
        <v>10382681</v>
      </c>
      <c r="P18" s="55"/>
      <c r="Q18" s="56">
        <f t="shared" si="2"/>
        <v>232.52014099500002</v>
      </c>
      <c r="R18" s="55"/>
      <c r="T18" s="286"/>
      <c r="V18" s="61"/>
      <c r="W18" s="61">
        <v>285000</v>
      </c>
    </row>
    <row r="19" spans="1:23" x14ac:dyDescent="0.2">
      <c r="A19" s="30">
        <v>1961</v>
      </c>
      <c r="B19" s="28"/>
      <c r="C19" s="595">
        <f t="shared" si="1"/>
        <v>343923.80952380953</v>
      </c>
      <c r="D19" s="57">
        <v>296000</v>
      </c>
      <c r="E19" s="59">
        <v>563361</v>
      </c>
      <c r="F19" s="37">
        <v>962.02099999999996</v>
      </c>
      <c r="G19" s="28"/>
      <c r="H19" s="61"/>
      <c r="I19" s="57"/>
      <c r="J19" s="28">
        <v>233000</v>
      </c>
      <c r="K19" s="33">
        <f t="shared" si="0"/>
        <v>150274.8703251</v>
      </c>
      <c r="L19" s="5"/>
      <c r="M19" s="5"/>
      <c r="N19">
        <v>1961</v>
      </c>
      <c r="O19" s="54">
        <f>'Table6.5 (AER2010)'!AH21</f>
        <v>10822899</v>
      </c>
      <c r="P19" s="55"/>
      <c r="Q19" s="56">
        <f t="shared" si="2"/>
        <v>242.37882310500001</v>
      </c>
      <c r="R19" s="55"/>
      <c r="T19" s="286"/>
      <c r="V19" s="61"/>
      <c r="W19" s="61">
        <v>296000</v>
      </c>
    </row>
    <row r="20" spans="1:23" x14ac:dyDescent="0.2">
      <c r="A20" s="30">
        <v>1962</v>
      </c>
      <c r="B20" s="28"/>
      <c r="C20" s="595">
        <f t="shared" si="1"/>
        <v>359028.57142857148</v>
      </c>
      <c r="D20" s="57">
        <v>309000</v>
      </c>
      <c r="E20" s="59">
        <v>592862</v>
      </c>
      <c r="F20" s="37">
        <v>1318.4369999999999</v>
      </c>
      <c r="G20" s="28">
        <v>474969.5</v>
      </c>
      <c r="H20" s="61">
        <v>43495.614999999998</v>
      </c>
      <c r="I20" s="57">
        <f>G20+H20</f>
        <v>518465.11499999999</v>
      </c>
      <c r="J20" s="28">
        <v>238000</v>
      </c>
      <c r="K20" s="33">
        <f t="shared" si="0"/>
        <v>159877.7504745</v>
      </c>
      <c r="L20" s="5"/>
      <c r="M20" s="5"/>
      <c r="N20">
        <v>1962</v>
      </c>
      <c r="O20" s="54">
        <f>'Table6.5 (AER2010)'!AH22</f>
        <v>11514505</v>
      </c>
      <c r="P20" s="55"/>
      <c r="Q20" s="56">
        <f t="shared" si="2"/>
        <v>257.86733947499999</v>
      </c>
      <c r="R20" s="55"/>
      <c r="T20" s="286"/>
      <c r="V20" s="61"/>
      <c r="W20" s="61">
        <v>309000</v>
      </c>
    </row>
    <row r="21" spans="1:23" x14ac:dyDescent="0.2">
      <c r="A21" s="30">
        <v>1963</v>
      </c>
      <c r="B21" s="28"/>
      <c r="C21" s="595">
        <f t="shared" si="1"/>
        <v>390400.00000000006</v>
      </c>
      <c r="D21" s="57">
        <v>336000</v>
      </c>
      <c r="E21" s="59">
        <v>621737</v>
      </c>
      <c r="F21" s="37">
        <v>1275.31</v>
      </c>
      <c r="G21" s="28">
        <v>481576.80699999997</v>
      </c>
      <c r="H21" s="61">
        <v>45906.463000000003</v>
      </c>
      <c r="I21" s="57">
        <f>G21+H21</f>
        <v>527483.27</v>
      </c>
      <c r="J21" s="28">
        <v>253000</v>
      </c>
      <c r="K21" s="33">
        <f t="shared" si="0"/>
        <v>168498.23229420002</v>
      </c>
      <c r="L21" s="5"/>
      <c r="M21" s="5"/>
      <c r="N21">
        <v>1963</v>
      </c>
      <c r="O21" s="54">
        <f>'Table6.5 (AER2010)'!AH23</f>
        <v>12135358</v>
      </c>
      <c r="P21" s="55"/>
      <c r="Q21" s="56">
        <f t="shared" si="2"/>
        <v>271.77134241000005</v>
      </c>
      <c r="R21" s="55"/>
      <c r="T21" s="286"/>
      <c r="V21" s="61"/>
      <c r="W21" s="61">
        <v>336000</v>
      </c>
    </row>
    <row r="22" spans="1:23" x14ac:dyDescent="0.2">
      <c r="A22" s="30">
        <v>1964</v>
      </c>
      <c r="B22" s="28"/>
      <c r="C22" s="595">
        <f t="shared" si="1"/>
        <v>413638.09523809527</v>
      </c>
      <c r="D22" s="57">
        <v>356000</v>
      </c>
      <c r="E22" s="59">
        <v>658639</v>
      </c>
      <c r="F22" s="37">
        <v>1555.463</v>
      </c>
      <c r="G22" s="28">
        <v>488828.505</v>
      </c>
      <c r="H22" s="61">
        <v>53690.724999999999</v>
      </c>
      <c r="I22" s="57">
        <f>G22+H22</f>
        <v>542519.23</v>
      </c>
      <c r="J22" s="28">
        <v>269000</v>
      </c>
      <c r="K22" s="33">
        <f t="shared" si="0"/>
        <v>180606.48991470001</v>
      </c>
      <c r="L22" s="5"/>
      <c r="M22" s="5"/>
      <c r="N22">
        <v>1964</v>
      </c>
      <c r="O22" s="54">
        <f>'Table6.5 (AER2010)'!AH24</f>
        <v>13007403</v>
      </c>
      <c r="P22" s="55"/>
      <c r="Q22" s="56">
        <f t="shared" si="2"/>
        <v>291.30079018500004</v>
      </c>
      <c r="R22" s="55"/>
      <c r="T22" s="286"/>
      <c r="V22" s="61"/>
      <c r="W22" s="61">
        <v>356000</v>
      </c>
    </row>
    <row r="23" spans="1:23" x14ac:dyDescent="0.2">
      <c r="A23" s="30">
        <v>1965</v>
      </c>
      <c r="B23" s="28"/>
      <c r="C23" s="595">
        <f t="shared" si="1"/>
        <v>417123.80952380958</v>
      </c>
      <c r="D23" s="57">
        <v>359000</v>
      </c>
      <c r="E23" s="59">
        <v>697878</v>
      </c>
      <c r="F23" s="37">
        <v>2180.16</v>
      </c>
      <c r="G23" s="28">
        <v>489802.95500000002</v>
      </c>
      <c r="H23" s="61">
        <v>55535.589</v>
      </c>
      <c r="I23" s="57">
        <f>G23+H23</f>
        <v>545338.54399999999</v>
      </c>
      <c r="J23" s="28">
        <v>306000</v>
      </c>
      <c r="K23" s="33">
        <f t="shared" si="0"/>
        <v>189153.54838319999</v>
      </c>
      <c r="L23" s="5"/>
      <c r="M23" s="5"/>
      <c r="N23">
        <v>1965</v>
      </c>
      <c r="O23" s="54">
        <f>'Table6.5 (AER2010)'!AH25</f>
        <v>13622968</v>
      </c>
      <c r="P23" s="55"/>
      <c r="Q23" s="56">
        <f t="shared" si="2"/>
        <v>305.08636835999999</v>
      </c>
      <c r="R23" s="55"/>
      <c r="T23" s="286"/>
      <c r="V23" s="61"/>
      <c r="W23" s="61">
        <v>359000</v>
      </c>
    </row>
    <row r="24" spans="1:23" x14ac:dyDescent="0.2">
      <c r="A24" s="30">
        <v>1966</v>
      </c>
      <c r="B24" s="28"/>
      <c r="C24" s="595">
        <f t="shared" si="1"/>
        <v>442685.71428571432</v>
      </c>
      <c r="D24" s="57">
        <v>381000</v>
      </c>
      <c r="E24" s="59">
        <v>738395</v>
      </c>
      <c r="F24" s="37">
        <v>2950.0259999999998</v>
      </c>
      <c r="G24" s="28">
        <v>507084.46600000001</v>
      </c>
      <c r="H24" s="61">
        <v>57936.951999999997</v>
      </c>
      <c r="I24" s="57">
        <f t="shared" ref="I24:I37" si="3">G24+H24</f>
        <v>565021.41800000006</v>
      </c>
      <c r="J24" s="28">
        <v>333000</v>
      </c>
      <c r="K24" s="33">
        <f t="shared" si="0"/>
        <v>206657.99188500002</v>
      </c>
      <c r="L24" s="5"/>
      <c r="M24" s="5"/>
      <c r="N24">
        <v>1966</v>
      </c>
      <c r="O24" s="54">
        <f>'Table6.5 (AER2010)'!AH26</f>
        <v>14883650</v>
      </c>
      <c r="P24" s="55"/>
      <c r="Q24" s="56">
        <f t="shared" si="2"/>
        <v>333.31934175000004</v>
      </c>
      <c r="R24" s="55"/>
      <c r="T24" s="286"/>
      <c r="V24" s="61">
        <v>22359</v>
      </c>
      <c r="W24" s="61">
        <v>381000</v>
      </c>
    </row>
    <row r="25" spans="1:23" x14ac:dyDescent="0.2">
      <c r="A25" s="30">
        <v>1967</v>
      </c>
      <c r="B25" s="28"/>
      <c r="C25" s="595">
        <f t="shared" si="1"/>
        <v>451980.95238095243</v>
      </c>
      <c r="D25" s="57">
        <v>389000</v>
      </c>
      <c r="E25" s="59">
        <v>719498</v>
      </c>
      <c r="F25" s="37">
        <v>3437.6480000000001</v>
      </c>
      <c r="G25" s="28">
        <v>515387.44900000002</v>
      </c>
      <c r="H25" s="61">
        <v>54692.311999999998</v>
      </c>
      <c r="I25" s="57">
        <f t="shared" si="3"/>
        <v>570079.76100000006</v>
      </c>
      <c r="J25" s="28">
        <v>361000</v>
      </c>
      <c r="K25" s="33">
        <f t="shared" si="0"/>
        <v>217599.18200580002</v>
      </c>
      <c r="L25" s="5"/>
      <c r="M25" s="5"/>
      <c r="N25">
        <v>1967</v>
      </c>
      <c r="O25" s="54">
        <f>'Table6.5 (AER2010)'!AH27</f>
        <v>15671642</v>
      </c>
      <c r="P25" s="55"/>
      <c r="Q25" s="56">
        <f t="shared" si="2"/>
        <v>350.96642259000004</v>
      </c>
      <c r="R25" s="55"/>
      <c r="T25" s="286"/>
      <c r="V25" s="61">
        <v>23119</v>
      </c>
      <c r="W25" s="61">
        <v>389000</v>
      </c>
    </row>
    <row r="26" spans="1:23" x14ac:dyDescent="0.2">
      <c r="A26" s="30">
        <v>1968</v>
      </c>
      <c r="B26" s="28"/>
      <c r="C26" s="595">
        <f t="shared" si="1"/>
        <v>460114.28571428574</v>
      </c>
      <c r="D26" s="57">
        <v>396000</v>
      </c>
      <c r="E26" s="59">
        <v>744023</v>
      </c>
      <c r="F26" s="37">
        <v>3766.7069999999999</v>
      </c>
      <c r="G26" s="28">
        <v>520632.86900000001</v>
      </c>
      <c r="H26" s="61">
        <v>60157.438000000002</v>
      </c>
      <c r="I26" s="57">
        <f t="shared" si="3"/>
        <v>580790.30700000003</v>
      </c>
      <c r="J26" s="28">
        <v>391000</v>
      </c>
      <c r="K26" s="33">
        <f t="shared" si="0"/>
        <v>233321.38751340003</v>
      </c>
      <c r="L26" s="5"/>
      <c r="M26" s="5"/>
      <c r="N26">
        <v>1968</v>
      </c>
      <c r="O26" s="54">
        <f>'Table6.5 (AER2010)'!AH28</f>
        <v>16803966</v>
      </c>
      <c r="P26" s="55"/>
      <c r="Q26" s="56">
        <f t="shared" si="2"/>
        <v>376.32481857000005</v>
      </c>
      <c r="R26" s="55"/>
      <c r="T26" s="286"/>
      <c r="V26" s="61">
        <v>25153</v>
      </c>
      <c r="W26" s="61">
        <v>396000</v>
      </c>
    </row>
    <row r="27" spans="1:23" x14ac:dyDescent="0.2">
      <c r="A27" s="30">
        <v>1969</v>
      </c>
      <c r="B27" s="28"/>
      <c r="C27" s="595">
        <f t="shared" si="1"/>
        <v>469409.52380952385</v>
      </c>
      <c r="D27" s="57">
        <v>404000</v>
      </c>
      <c r="E27" s="59">
        <v>767841</v>
      </c>
      <c r="F27" s="37">
        <v>4327.7709999999997</v>
      </c>
      <c r="G27" s="28">
        <v>528896.98699999996</v>
      </c>
      <c r="H27" s="61">
        <v>57424.188000000002</v>
      </c>
      <c r="I27" s="57">
        <f t="shared" si="3"/>
        <v>586321.17499999993</v>
      </c>
      <c r="J27" s="28">
        <v>411000</v>
      </c>
      <c r="K27" s="33">
        <f t="shared" si="0"/>
        <v>251033.85458700001</v>
      </c>
      <c r="L27" s="5"/>
      <c r="M27" s="5"/>
      <c r="N27">
        <v>1969</v>
      </c>
      <c r="O27" s="54">
        <f>'Table6.5 (AER2010)'!AH29</f>
        <v>18079630</v>
      </c>
      <c r="P27" s="55"/>
      <c r="Q27" s="56">
        <f t="shared" si="2"/>
        <v>404.89331385000003</v>
      </c>
      <c r="R27" s="55"/>
      <c r="T27" s="286"/>
      <c r="V27" s="61">
        <v>26375</v>
      </c>
      <c r="W27" s="61">
        <v>404000</v>
      </c>
    </row>
    <row r="28" spans="1:23" x14ac:dyDescent="0.2">
      <c r="A28" s="30">
        <v>1970</v>
      </c>
      <c r="B28" s="526">
        <f>Adjust_Truck_Freight!J6</f>
        <v>39818.349396905265</v>
      </c>
      <c r="C28" s="595">
        <f t="shared" si="1"/>
        <v>478704.76190476195</v>
      </c>
      <c r="D28" s="57">
        <v>412000</v>
      </c>
      <c r="E28" s="59">
        <v>764809</v>
      </c>
      <c r="F28" s="37">
        <v>3755.4380000000001</v>
      </c>
      <c r="G28" s="28">
        <v>596195.41099999996</v>
      </c>
      <c r="H28" s="61">
        <v>62756.357000000004</v>
      </c>
      <c r="I28" s="57">
        <f t="shared" si="3"/>
        <v>658951.76799999992</v>
      </c>
      <c r="J28" s="28">
        <v>431000</v>
      </c>
      <c r="K28" s="33">
        <f t="shared" si="0"/>
        <v>264069.44302380004</v>
      </c>
      <c r="L28" s="5"/>
      <c r="M28" s="5"/>
      <c r="N28">
        <v>1970</v>
      </c>
      <c r="O28" s="54">
        <f>'Table6.5 (AER2010)'!AH30</f>
        <v>19018462</v>
      </c>
      <c r="P28" s="55"/>
      <c r="Q28" s="56">
        <f t="shared" si="2"/>
        <v>425.91845649000004</v>
      </c>
      <c r="R28" s="55"/>
      <c r="T28" s="286"/>
      <c r="V28" s="61">
        <v>27081</v>
      </c>
      <c r="W28" s="61">
        <v>412000</v>
      </c>
    </row>
    <row r="29" spans="1:23" x14ac:dyDescent="0.2">
      <c r="A29" s="30">
        <v>1971</v>
      </c>
      <c r="B29" s="526">
        <f>Adjust_Truck_Freight!J7</f>
        <v>42617.881808991508</v>
      </c>
      <c r="C29" s="595">
        <f t="shared" si="1"/>
        <v>517047.61904761911</v>
      </c>
      <c r="D29" s="57">
        <v>445000</v>
      </c>
      <c r="E29" s="59">
        <v>739743</v>
      </c>
      <c r="F29" s="37">
        <v>4554.26</v>
      </c>
      <c r="G29" s="28">
        <v>593163.65300000005</v>
      </c>
      <c r="H29" s="61">
        <v>61599.92</v>
      </c>
      <c r="I29" s="57">
        <f t="shared" si="3"/>
        <v>654763.57300000009</v>
      </c>
      <c r="J29" s="28">
        <v>444000</v>
      </c>
      <c r="K29" s="33">
        <f t="shared" si="0"/>
        <v>272660.72489880002</v>
      </c>
      <c r="L29" s="5"/>
      <c r="M29" s="5"/>
      <c r="N29">
        <v>1971</v>
      </c>
      <c r="O29" s="54">
        <f>'Table6.5 (AER2010)'!AH31</f>
        <v>19637212</v>
      </c>
      <c r="P29" s="55"/>
      <c r="Q29" s="56">
        <f t="shared" si="2"/>
        <v>439.77536274000005</v>
      </c>
      <c r="R29" s="55"/>
      <c r="T29" s="286"/>
      <c r="V29" s="61">
        <v>28985</v>
      </c>
      <c r="W29" s="61">
        <v>445000</v>
      </c>
    </row>
    <row r="30" spans="1:23" x14ac:dyDescent="0.2">
      <c r="A30" s="30">
        <v>1972</v>
      </c>
      <c r="B30" s="526">
        <f>Adjust_Truck_Freight!J8</f>
        <v>46189.34411411624</v>
      </c>
      <c r="C30" s="595">
        <f t="shared" si="1"/>
        <v>546095.23809523811</v>
      </c>
      <c r="D30" s="57">
        <v>470000</v>
      </c>
      <c r="E30" s="59">
        <v>776746</v>
      </c>
      <c r="F30" s="37">
        <v>5111.5020000000004</v>
      </c>
      <c r="G30" s="28">
        <v>603542.44799999997</v>
      </c>
      <c r="H30" s="61">
        <v>66476.841</v>
      </c>
      <c r="I30" s="57">
        <f t="shared" si="3"/>
        <v>670019.28899999999</v>
      </c>
      <c r="J30" s="28">
        <v>476000</v>
      </c>
      <c r="K30" s="33">
        <f t="shared" si="0"/>
        <v>276028.09084680001</v>
      </c>
      <c r="L30" s="5"/>
      <c r="M30" s="5"/>
      <c r="N30">
        <v>1972</v>
      </c>
      <c r="O30" s="54">
        <f>'Table6.5 (AER2010)'!AH32</f>
        <v>19879732</v>
      </c>
      <c r="P30" s="55"/>
      <c r="Q30" s="56">
        <f t="shared" si="2"/>
        <v>445.20659814000004</v>
      </c>
      <c r="R30" s="55"/>
      <c r="T30" s="286"/>
      <c r="V30" s="61">
        <v>31414</v>
      </c>
      <c r="W30" s="61">
        <v>470000</v>
      </c>
    </row>
    <row r="31" spans="1:23" x14ac:dyDescent="0.2">
      <c r="A31" s="30">
        <v>1973</v>
      </c>
      <c r="B31" s="526">
        <f>Adjust_Truck_Freight!J9</f>
        <v>49493.204056320967</v>
      </c>
      <c r="C31" s="595">
        <f t="shared" si="1"/>
        <v>586761.90476190485</v>
      </c>
      <c r="D31" s="57">
        <v>505000</v>
      </c>
      <c r="E31" s="59">
        <v>851809</v>
      </c>
      <c r="F31" s="37">
        <v>5182.7780000000002</v>
      </c>
      <c r="G31" s="28">
        <v>584691.48300000001</v>
      </c>
      <c r="H31" s="61">
        <v>81806.384000000005</v>
      </c>
      <c r="I31" s="57">
        <f t="shared" si="3"/>
        <v>666497.86699999997</v>
      </c>
      <c r="J31" s="28">
        <v>507000</v>
      </c>
      <c r="K31" s="33">
        <f t="shared" si="0"/>
        <v>275271.90530790004</v>
      </c>
      <c r="L31" s="5"/>
      <c r="M31" s="5"/>
      <c r="N31">
        <v>1973</v>
      </c>
      <c r="O31" s="54">
        <f>'Table6.5 (AER2010)'!AH33</f>
        <v>19825271</v>
      </c>
      <c r="P31" s="55"/>
      <c r="Q31" s="56">
        <f t="shared" si="2"/>
        <v>443.98694404500003</v>
      </c>
      <c r="R31" s="55"/>
      <c r="T31" s="286"/>
      <c r="V31" s="61">
        <v>33661</v>
      </c>
      <c r="W31" s="61">
        <v>505000</v>
      </c>
    </row>
    <row r="32" spans="1:23" x14ac:dyDescent="0.2">
      <c r="A32" s="30">
        <v>1974</v>
      </c>
      <c r="B32" s="526">
        <f>Adjust_Truck_Freight!J10</f>
        <v>49169.728672571509</v>
      </c>
      <c r="C32" s="595">
        <f t="shared" si="1"/>
        <v>575142.85714285716</v>
      </c>
      <c r="D32" s="57">
        <v>495000</v>
      </c>
      <c r="E32" s="59">
        <v>850961</v>
      </c>
      <c r="F32" s="37">
        <v>5251.3829999999998</v>
      </c>
      <c r="G32" s="28">
        <v>586345.24300000002</v>
      </c>
      <c r="H32" s="61">
        <v>69819.093999999997</v>
      </c>
      <c r="I32" s="57">
        <f t="shared" si="3"/>
        <v>656164.33700000006</v>
      </c>
      <c r="J32" s="28">
        <v>506000</v>
      </c>
      <c r="K32" s="33">
        <f t="shared" si="0"/>
        <v>264881.61247950001</v>
      </c>
      <c r="L32" s="5"/>
      <c r="M32" s="5"/>
      <c r="N32">
        <v>1974</v>
      </c>
      <c r="O32" s="54">
        <f>'Table6.5 (AER2010)'!AH34</f>
        <v>19076955</v>
      </c>
      <c r="P32" s="55"/>
      <c r="Q32" s="56">
        <f t="shared" si="2"/>
        <v>427.22840722500001</v>
      </c>
      <c r="R32" s="55"/>
      <c r="T32" s="286"/>
      <c r="V32" s="61">
        <v>33441</v>
      </c>
      <c r="W32" s="61">
        <v>495000</v>
      </c>
    </row>
    <row r="33" spans="1:23" x14ac:dyDescent="0.2">
      <c r="A33" s="30">
        <v>1975</v>
      </c>
      <c r="B33" s="526">
        <f>Adjust_Truck_Freight!J11</f>
        <v>50882.677863790246</v>
      </c>
      <c r="C33" s="595">
        <f t="shared" si="1"/>
        <v>527504.76190476189</v>
      </c>
      <c r="D33" s="57">
        <v>454000</v>
      </c>
      <c r="E33" s="59">
        <v>754252</v>
      </c>
      <c r="F33" s="37">
        <v>5062.4089999999997</v>
      </c>
      <c r="G33" s="28">
        <v>565984.223</v>
      </c>
      <c r="H33" s="61">
        <v>73466.504000000001</v>
      </c>
      <c r="I33" s="57">
        <f t="shared" si="3"/>
        <v>639450.72699999996</v>
      </c>
      <c r="J33" s="28">
        <v>507000</v>
      </c>
      <c r="K33" s="33">
        <f t="shared" si="0"/>
        <v>243795.97556970004</v>
      </c>
      <c r="L33" s="5"/>
      <c r="M33" s="5"/>
      <c r="N33">
        <v>1975</v>
      </c>
      <c r="O33" s="54">
        <f>'Table6.5 (AER2010)'!AH35</f>
        <v>17558353</v>
      </c>
      <c r="P33" s="55"/>
      <c r="Q33" s="56">
        <f t="shared" si="2"/>
        <v>393.21931543500006</v>
      </c>
      <c r="R33" s="55"/>
      <c r="T33" s="286"/>
      <c r="V33" s="61">
        <v>34606</v>
      </c>
      <c r="W33" s="61">
        <v>454000</v>
      </c>
    </row>
    <row r="34" spans="1:23" x14ac:dyDescent="0.2">
      <c r="A34" s="30">
        <v>1976</v>
      </c>
      <c r="B34" s="526">
        <f>Adjust_Truck_Freight!J12</f>
        <v>53505.769157467694</v>
      </c>
      <c r="C34" s="595">
        <f t="shared" si="1"/>
        <v>592571.42857142864</v>
      </c>
      <c r="D34" s="57">
        <v>510000</v>
      </c>
      <c r="E34" s="59">
        <v>794059</v>
      </c>
      <c r="F34" s="37">
        <v>6524.7809999999999</v>
      </c>
      <c r="G34" s="28">
        <v>591853.48199999996</v>
      </c>
      <c r="H34" s="61">
        <v>85327.501000000004</v>
      </c>
      <c r="I34" s="57">
        <f t="shared" si="3"/>
        <v>677180.98300000001</v>
      </c>
      <c r="J34" s="28">
        <v>515000</v>
      </c>
      <c r="K34" s="33">
        <f t="shared" si="0"/>
        <v>246648.83654819999</v>
      </c>
      <c r="L34" s="5"/>
      <c r="M34" s="5"/>
      <c r="N34">
        <v>1976</v>
      </c>
      <c r="O34" s="54">
        <f>'Table6.5 (AER2010)'!AH36</f>
        <v>17763818</v>
      </c>
      <c r="P34" s="55"/>
      <c r="Q34" s="56">
        <f t="shared" si="2"/>
        <v>397.82070411000001</v>
      </c>
      <c r="R34" s="55"/>
      <c r="T34" s="286"/>
      <c r="V34" s="61">
        <v>36390</v>
      </c>
      <c r="W34" s="61">
        <v>510000</v>
      </c>
    </row>
    <row r="35" spans="1:23" x14ac:dyDescent="0.2">
      <c r="A35" s="30">
        <v>1977</v>
      </c>
      <c r="B35" s="526">
        <f>Adjust_Truck_Freight!J13</f>
        <v>57841.809642363878</v>
      </c>
      <c r="C35" s="595">
        <f t="shared" si="1"/>
        <v>644857.14285714296</v>
      </c>
      <c r="D35" s="57">
        <v>555000</v>
      </c>
      <c r="E35" s="59">
        <v>826292</v>
      </c>
      <c r="F35" s="37">
        <v>6974.2420000000002</v>
      </c>
      <c r="G35" s="28">
        <v>599000.03599999996</v>
      </c>
      <c r="H35" s="61">
        <v>93527.384000000005</v>
      </c>
      <c r="I35" s="57">
        <f t="shared" si="3"/>
        <v>692527.41999999993</v>
      </c>
      <c r="J35" s="28">
        <v>546000</v>
      </c>
      <c r="K35" s="33">
        <f t="shared" si="0"/>
        <v>240608.19691830003</v>
      </c>
      <c r="L35" s="5"/>
      <c r="M35" s="5"/>
      <c r="N35">
        <v>1977</v>
      </c>
      <c r="O35" s="54">
        <f>'Table6.5 (AER2010)'!AH37</f>
        <v>17328767</v>
      </c>
      <c r="P35" s="55"/>
      <c r="Q35" s="56">
        <f t="shared" si="2"/>
        <v>388.07773696500004</v>
      </c>
      <c r="R35" s="55"/>
      <c r="T35" s="286"/>
      <c r="V35" s="61">
        <v>39339</v>
      </c>
      <c r="W35" s="61">
        <v>555000</v>
      </c>
    </row>
    <row r="36" spans="1:23" x14ac:dyDescent="0.2">
      <c r="A36" s="30">
        <v>1978</v>
      </c>
      <c r="B36" s="526">
        <f>Adjust_Truck_Freight!J14</f>
        <v>62852.737405173713</v>
      </c>
      <c r="C36" s="595">
        <f t="shared" si="1"/>
        <v>695980.95238095243</v>
      </c>
      <c r="D36" s="57">
        <v>599000</v>
      </c>
      <c r="E36" s="59">
        <v>858105</v>
      </c>
      <c r="F36" s="37">
        <v>7395.4229999999998</v>
      </c>
      <c r="G36" s="28">
        <v>827263.26199999999</v>
      </c>
      <c r="H36" s="61">
        <v>101034.394</v>
      </c>
      <c r="I36" s="57">
        <f t="shared" si="3"/>
        <v>928297.65599999996</v>
      </c>
      <c r="J36" s="28">
        <v>586000</v>
      </c>
      <c r="K36" s="33">
        <f t="shared" si="0"/>
        <v>242279.2307484</v>
      </c>
      <c r="L36" s="5"/>
      <c r="M36" s="5"/>
      <c r="N36">
        <v>1978</v>
      </c>
      <c r="O36" s="54">
        <f>'Table6.5 (AER2010)'!AH38</f>
        <v>17449116</v>
      </c>
      <c r="P36" s="55"/>
      <c r="Q36" s="56">
        <f t="shared" si="2"/>
        <v>390.77295282</v>
      </c>
      <c r="R36" s="55"/>
      <c r="T36" s="286"/>
      <c r="V36" s="61">
        <v>42747</v>
      </c>
      <c r="W36" s="61">
        <v>599000</v>
      </c>
    </row>
    <row r="37" spans="1:23" x14ac:dyDescent="0.2">
      <c r="A37" s="30">
        <v>1979</v>
      </c>
      <c r="B37" s="526">
        <f>Adjust_Truck_Freight!J15</f>
        <v>61772.035554919828</v>
      </c>
      <c r="C37" s="595">
        <f t="shared" si="1"/>
        <v>706438.09523809527</v>
      </c>
      <c r="D37" s="57">
        <v>608000</v>
      </c>
      <c r="E37" s="59">
        <v>913669</v>
      </c>
      <c r="F37" s="37">
        <v>7579.8829999999998</v>
      </c>
      <c r="G37" s="28">
        <v>828759.49</v>
      </c>
      <c r="H37" s="61">
        <v>103086.891</v>
      </c>
      <c r="I37" s="57">
        <f t="shared" si="3"/>
        <v>931846.38100000005</v>
      </c>
      <c r="J37" s="28">
        <v>608000</v>
      </c>
      <c r="K37" s="33">
        <f t="shared" si="0"/>
        <v>251889.67816830004</v>
      </c>
      <c r="L37" s="5"/>
      <c r="M37" s="5"/>
      <c r="N37">
        <v>1979</v>
      </c>
      <c r="O37" s="54">
        <f>'Table6.5 (AER2010)'!AH39</f>
        <v>18141267</v>
      </c>
      <c r="P37" s="55"/>
      <c r="Q37" s="56">
        <f t="shared" si="2"/>
        <v>406.27367446500006</v>
      </c>
      <c r="R37" s="55"/>
      <c r="T37" s="286"/>
      <c r="V37" s="61">
        <v>42012</v>
      </c>
      <c r="W37" s="61">
        <v>608000</v>
      </c>
    </row>
    <row r="38" spans="1:23" x14ac:dyDescent="0.2">
      <c r="A38" s="30">
        <v>1980</v>
      </c>
      <c r="B38" s="526">
        <f>Adjust_Truck_Freight!J16</f>
        <v>58538.75206007863</v>
      </c>
      <c r="C38" s="595">
        <f t="shared" si="1"/>
        <v>644857.14285714296</v>
      </c>
      <c r="D38" s="57">
        <v>555000</v>
      </c>
      <c r="E38" s="59">
        <v>918958</v>
      </c>
      <c r="F38" s="37">
        <v>7883.2290000000003</v>
      </c>
      <c r="G38" s="28">
        <v>921835.8</v>
      </c>
      <c r="H38" s="61">
        <v>94249.4</v>
      </c>
      <c r="I38" s="57">
        <f>G38+H38</f>
        <v>1016085.2000000001</v>
      </c>
      <c r="J38" s="28">
        <v>588000</v>
      </c>
      <c r="K38" s="33">
        <f t="shared" si="0"/>
        <v>252930.57358170001</v>
      </c>
      <c r="L38" s="5"/>
      <c r="M38" s="5"/>
      <c r="N38">
        <v>1980</v>
      </c>
      <c r="O38" s="54">
        <f>'Table6.5 (AER2010)'!AH40</f>
        <v>18216233</v>
      </c>
      <c r="P38" s="55"/>
      <c r="Q38" s="56">
        <f t="shared" si="2"/>
        <v>407.95253803500003</v>
      </c>
      <c r="R38" s="55"/>
      <c r="T38" s="286"/>
      <c r="V38" s="61">
        <v>39813</v>
      </c>
      <c r="W38" s="61">
        <v>555000</v>
      </c>
    </row>
    <row r="39" spans="1:23" x14ac:dyDescent="0.2">
      <c r="A39" s="30">
        <v>1981</v>
      </c>
      <c r="B39" s="526">
        <f>Adjust_Truck_Freight!J17</f>
        <v>58178.518109994002</v>
      </c>
      <c r="C39" s="595">
        <f t="shared" si="1"/>
        <v>612323.80952380958</v>
      </c>
      <c r="D39" s="57">
        <v>527000</v>
      </c>
      <c r="E39" s="59">
        <v>910169</v>
      </c>
      <c r="F39" s="37">
        <v>7917.192</v>
      </c>
      <c r="G39" s="28">
        <v>929413.4</v>
      </c>
      <c r="H39" s="61">
        <v>94223.1</v>
      </c>
      <c r="I39" s="57">
        <f t="shared" ref="I39:I58" si="4">G39+H39</f>
        <v>1023636.5</v>
      </c>
      <c r="J39" s="28">
        <v>564000</v>
      </c>
      <c r="K39" s="33">
        <f t="shared" si="0"/>
        <v>247622.50127580002</v>
      </c>
      <c r="L39" s="5"/>
      <c r="M39" s="5"/>
      <c r="N39">
        <v>1981</v>
      </c>
      <c r="O39" s="54">
        <f>'Table6.5 (AER2010)'!AH41</f>
        <v>17833942</v>
      </c>
      <c r="P39" s="55"/>
      <c r="Q39" s="56">
        <f t="shared" si="2"/>
        <v>399.39113109000004</v>
      </c>
      <c r="R39" s="55"/>
      <c r="T39" s="286"/>
      <c r="V39" s="61">
        <v>39568</v>
      </c>
      <c r="W39" s="61">
        <v>527000</v>
      </c>
    </row>
    <row r="40" spans="1:23" x14ac:dyDescent="0.2">
      <c r="A40" s="30">
        <v>1982</v>
      </c>
      <c r="B40" s="526">
        <f>Adjust_Truck_Freight!J18</f>
        <v>59781.19160220724</v>
      </c>
      <c r="C40" s="595">
        <f t="shared" si="1"/>
        <v>604190.47619047621</v>
      </c>
      <c r="D40" s="57">
        <v>520000</v>
      </c>
      <c r="E40" s="59">
        <v>797759</v>
      </c>
      <c r="F40" s="37">
        <v>7807.4030000000002</v>
      </c>
      <c r="G40" s="28">
        <v>886468.7</v>
      </c>
      <c r="H40" s="61">
        <v>78428.2</v>
      </c>
      <c r="I40" s="57">
        <f t="shared" si="4"/>
        <v>964896.89999999991</v>
      </c>
      <c r="J40" s="28">
        <v>566000</v>
      </c>
      <c r="K40" s="33">
        <f t="shared" si="0"/>
        <v>226257.86118540002</v>
      </c>
      <c r="L40" s="5"/>
      <c r="M40" s="5"/>
      <c r="N40">
        <v>1982</v>
      </c>
      <c r="O40" s="54">
        <f>'Table6.5 (AER2010)'!AH42</f>
        <v>16295246</v>
      </c>
      <c r="P40" s="55"/>
      <c r="Q40" s="56">
        <f t="shared" si="2"/>
        <v>364.93203417000001</v>
      </c>
      <c r="R40" s="55"/>
      <c r="T40" s="286"/>
      <c r="V40" s="61">
        <v>40658</v>
      </c>
      <c r="W40" s="61">
        <v>520000</v>
      </c>
    </row>
    <row r="41" spans="1:23" x14ac:dyDescent="0.2">
      <c r="A41" s="30">
        <v>1983</v>
      </c>
      <c r="B41" s="526">
        <f>Adjust_Truck_Freight!J19</f>
        <v>62557.198531838978</v>
      </c>
      <c r="C41" s="595">
        <f t="shared" si="1"/>
        <v>668095.23809523811</v>
      </c>
      <c r="D41" s="57">
        <v>575000</v>
      </c>
      <c r="E41" s="59">
        <v>828275</v>
      </c>
      <c r="F41" s="37">
        <v>8496.9030000000002</v>
      </c>
      <c r="G41" s="28">
        <v>919565.6</v>
      </c>
      <c r="H41" s="61">
        <v>69596</v>
      </c>
      <c r="I41" s="57">
        <f t="shared" si="4"/>
        <v>989161.6</v>
      </c>
      <c r="J41" s="28">
        <v>556000</v>
      </c>
      <c r="K41" s="33">
        <f t="shared" si="0"/>
        <v>213363.99592290004</v>
      </c>
      <c r="L41" s="5"/>
      <c r="M41" s="5"/>
      <c r="N41">
        <v>1983</v>
      </c>
      <c r="O41" s="54">
        <f>'Table6.5 (AER2010)'!AH43</f>
        <v>15366621</v>
      </c>
      <c r="P41" s="55"/>
      <c r="Q41" s="56">
        <f t="shared" si="2"/>
        <v>344.13547729500004</v>
      </c>
      <c r="R41" s="55"/>
      <c r="T41" s="286"/>
      <c r="V41" s="61">
        <v>42546</v>
      </c>
      <c r="W41" s="61">
        <v>575000</v>
      </c>
    </row>
    <row r="42" spans="1:23" x14ac:dyDescent="0.2">
      <c r="A42" s="30">
        <v>1984</v>
      </c>
      <c r="B42" s="526">
        <f>Adjust_Truck_Freight!J20</f>
        <v>65311.150321669622</v>
      </c>
      <c r="C42" s="595">
        <f t="shared" si="1"/>
        <v>704114.2857142858</v>
      </c>
      <c r="D42" s="57">
        <v>606000</v>
      </c>
      <c r="E42" s="59">
        <v>921542</v>
      </c>
      <c r="F42" s="37">
        <v>9327.5439999999999</v>
      </c>
      <c r="G42" s="28">
        <v>887720</v>
      </c>
      <c r="H42" s="61">
        <v>78758.2</v>
      </c>
      <c r="I42" s="57">
        <f t="shared" si="4"/>
        <v>966478.2</v>
      </c>
      <c r="J42" s="28">
        <v>568000</v>
      </c>
      <c r="K42" s="33">
        <f t="shared" si="0"/>
        <v>226947.19093080002</v>
      </c>
      <c r="L42" s="5"/>
      <c r="M42" s="5"/>
      <c r="N42">
        <v>1984</v>
      </c>
      <c r="O42" s="54">
        <f>'Table6.5 (AER2010)'!AH44</f>
        <v>16344892</v>
      </c>
      <c r="P42" s="55"/>
      <c r="Q42" s="56">
        <f t="shared" si="2"/>
        <v>366.04385634000005</v>
      </c>
      <c r="R42" s="55"/>
      <c r="T42" s="286"/>
      <c r="V42" s="61">
        <v>44419</v>
      </c>
      <c r="W42" s="61">
        <v>606000</v>
      </c>
    </row>
    <row r="43" spans="1:23" x14ac:dyDescent="0.2">
      <c r="A43" s="30">
        <v>1985</v>
      </c>
      <c r="B43" s="526">
        <f>Adjust_Truck_Freight!J21</f>
        <v>66813.8405134512</v>
      </c>
      <c r="C43" s="595">
        <f t="shared" si="1"/>
        <v>708761.90476190485</v>
      </c>
      <c r="D43" s="57">
        <v>610000</v>
      </c>
      <c r="E43" s="59">
        <v>876984</v>
      </c>
      <c r="F43" s="37">
        <v>9047.7990000000009</v>
      </c>
      <c r="G43" s="28">
        <v>892970</v>
      </c>
      <c r="H43" s="61">
        <v>71941.2</v>
      </c>
      <c r="I43" s="57">
        <f t="shared" si="4"/>
        <v>964911.2</v>
      </c>
      <c r="J43" s="28">
        <v>564000</v>
      </c>
      <c r="K43" s="33">
        <f t="shared" si="0"/>
        <v>219535.95893699999</v>
      </c>
      <c r="L43" s="5"/>
      <c r="M43" s="5"/>
      <c r="N43">
        <v>1985</v>
      </c>
      <c r="O43" s="54">
        <f>'Table6.5 (AER2010)'!AH45</f>
        <v>15811130</v>
      </c>
      <c r="P43" s="55"/>
      <c r="Q43" s="56">
        <f t="shared" si="2"/>
        <v>354.09025635</v>
      </c>
      <c r="R43" s="55"/>
      <c r="T43" s="286"/>
      <c r="V43" s="61">
        <v>45441</v>
      </c>
      <c r="W43" s="61">
        <v>610000</v>
      </c>
    </row>
    <row r="44" spans="1:23" x14ac:dyDescent="0.2">
      <c r="A44" s="30">
        <v>1986</v>
      </c>
      <c r="B44" s="526">
        <f>Adjust_Truck_Freight!J22</f>
        <v>67102.027673518911</v>
      </c>
      <c r="C44" s="595">
        <f t="shared" si="1"/>
        <v>734323.80952380958</v>
      </c>
      <c r="D44" s="57">
        <v>632000</v>
      </c>
      <c r="E44" s="59">
        <v>867722</v>
      </c>
      <c r="F44" s="37">
        <v>10987.513000000001</v>
      </c>
      <c r="G44" s="28">
        <v>873401</v>
      </c>
      <c r="H44" s="61">
        <v>71509.399999999994</v>
      </c>
      <c r="I44" s="57">
        <f t="shared" si="4"/>
        <v>944910.4</v>
      </c>
      <c r="J44" s="28">
        <v>578000</v>
      </c>
      <c r="K44" s="33">
        <f t="shared" si="0"/>
        <v>205687.17356190004</v>
      </c>
      <c r="L44" s="5"/>
      <c r="M44" s="5"/>
      <c r="N44">
        <v>1986</v>
      </c>
      <c r="O44" s="54">
        <f>'Table6.5 (AER2010)'!AH46</f>
        <v>14813731</v>
      </c>
      <c r="P44" s="55"/>
      <c r="Q44" s="56">
        <f t="shared" si="2"/>
        <v>331.75350574500004</v>
      </c>
      <c r="R44" s="55"/>
      <c r="T44" s="286"/>
      <c r="V44" s="61">
        <v>45637</v>
      </c>
      <c r="W44" s="61">
        <v>632000</v>
      </c>
    </row>
    <row r="45" spans="1:23" x14ac:dyDescent="0.2">
      <c r="A45" s="30">
        <v>1987</v>
      </c>
      <c r="B45" s="526">
        <f>Adjust_Truck_Freight!J23</f>
        <v>70608.794901893751</v>
      </c>
      <c r="C45" s="595">
        <f t="shared" si="1"/>
        <v>770342.85714285716</v>
      </c>
      <c r="D45" s="57">
        <v>663000</v>
      </c>
      <c r="E45" s="59">
        <v>943747</v>
      </c>
      <c r="F45" s="37">
        <v>13136.973</v>
      </c>
      <c r="G45" s="28">
        <v>895415.5</v>
      </c>
      <c r="H45" s="61">
        <v>72988.2</v>
      </c>
      <c r="I45" s="57">
        <f t="shared" si="4"/>
        <v>968403.7</v>
      </c>
      <c r="J45" s="28">
        <v>587000</v>
      </c>
      <c r="K45" s="33">
        <f t="shared" si="0"/>
        <v>215802.67033440003</v>
      </c>
      <c r="L45" s="5"/>
      <c r="M45" s="5"/>
      <c r="N45">
        <v>1987</v>
      </c>
      <c r="O45" s="54">
        <f>'Table6.5 (AER2010)'!AH47</f>
        <v>15542256</v>
      </c>
      <c r="P45" s="55"/>
      <c r="Q45" s="56">
        <f t="shared" si="2"/>
        <v>348.06882312000005</v>
      </c>
      <c r="R45" s="55"/>
      <c r="T45" s="286"/>
      <c r="V45" s="61">
        <v>48022</v>
      </c>
      <c r="W45" s="61">
        <v>663000</v>
      </c>
    </row>
    <row r="46" spans="1:23" x14ac:dyDescent="0.2">
      <c r="A46" s="30">
        <v>1988</v>
      </c>
      <c r="B46" s="526">
        <f>Adjust_Truck_Freight!J24</f>
        <v>72684.918728503922</v>
      </c>
      <c r="C46" s="595">
        <f t="shared" si="1"/>
        <v>813333.33333333337</v>
      </c>
      <c r="D46" s="57">
        <v>700000</v>
      </c>
      <c r="E46" s="59">
        <v>996182</v>
      </c>
      <c r="F46" s="59">
        <v>14632.308999999999</v>
      </c>
      <c r="G46" s="28">
        <v>890028.4</v>
      </c>
      <c r="H46" s="61">
        <v>80656.600000000006</v>
      </c>
      <c r="I46" s="57">
        <f t="shared" si="4"/>
        <v>970685</v>
      </c>
      <c r="J46" s="28">
        <v>601000</v>
      </c>
      <c r="K46" s="33">
        <f t="shared" si="0"/>
        <v>226598.65217100002</v>
      </c>
      <c r="L46" s="5"/>
      <c r="M46" s="5"/>
      <c r="N46">
        <v>1988</v>
      </c>
      <c r="O46" s="54">
        <f>'Table6.5 (AER2010)'!AH48</f>
        <v>16319790</v>
      </c>
      <c r="P46" s="55"/>
      <c r="Q46" s="56">
        <f t="shared" si="2"/>
        <v>365.48169705000004</v>
      </c>
      <c r="R46" s="55"/>
      <c r="T46" s="286"/>
      <c r="V46" s="61">
        <v>49434</v>
      </c>
      <c r="W46" s="61">
        <v>700000</v>
      </c>
    </row>
    <row r="47" spans="1:23" x14ac:dyDescent="0.2">
      <c r="A47" s="30">
        <v>1989</v>
      </c>
      <c r="B47" s="526">
        <f>Adjust_Truck_Freight!J25</f>
        <v>74796.330778795862</v>
      </c>
      <c r="C47" s="595">
        <f>C$48/D$48*D47</f>
        <v>831923.80952380958</v>
      </c>
      <c r="D47" s="57">
        <v>716000</v>
      </c>
      <c r="E47" s="59">
        <v>1013841</v>
      </c>
      <c r="F47" s="59">
        <v>16347.294</v>
      </c>
      <c r="G47" s="28">
        <v>815549.9</v>
      </c>
      <c r="H47" s="61">
        <v>95682.3</v>
      </c>
      <c r="I47" s="57">
        <f t="shared" si="4"/>
        <v>911232.20000000007</v>
      </c>
      <c r="J47" s="28">
        <v>584000</v>
      </c>
      <c r="K47" s="33">
        <f t="shared" si="0"/>
        <v>241872.0005163</v>
      </c>
      <c r="L47" s="5"/>
      <c r="M47" s="5"/>
      <c r="N47">
        <v>1989</v>
      </c>
      <c r="O47" s="54">
        <f>'Table6.5 (AER2010)'!AH49</f>
        <v>17419787</v>
      </c>
      <c r="P47" s="55"/>
      <c r="Q47" s="56">
        <f t="shared" si="2"/>
        <v>390.116129865</v>
      </c>
      <c r="R47" s="55"/>
      <c r="T47" s="286"/>
      <c r="V47" s="61">
        <v>50870</v>
      </c>
      <c r="W47" s="61">
        <v>716000</v>
      </c>
    </row>
    <row r="48" spans="1:23" x14ac:dyDescent="0.2">
      <c r="A48" s="30">
        <v>1990</v>
      </c>
      <c r="B48" s="526">
        <f>Adjust_Truck_Freight!J26</f>
        <v>76312.254054458113</v>
      </c>
      <c r="C48" s="61">
        <v>854000</v>
      </c>
      <c r="D48" s="57">
        <v>735000</v>
      </c>
      <c r="E48" s="59">
        <v>1033969</v>
      </c>
      <c r="F48" s="59">
        <v>16403.524000000001</v>
      </c>
      <c r="G48" s="28">
        <v>833543.8</v>
      </c>
      <c r="H48" s="61">
        <v>98607.6</v>
      </c>
      <c r="I48" s="57">
        <f t="shared" si="4"/>
        <v>932151.4</v>
      </c>
      <c r="J48" s="28">
        <v>584000</v>
      </c>
      <c r="K48" s="33">
        <f t="shared" si="0"/>
        <v>239894.24924520004</v>
      </c>
      <c r="L48" s="5"/>
      <c r="M48" s="50"/>
      <c r="N48">
        <v>1990</v>
      </c>
      <c r="O48" s="54">
        <f>'Table6.5 (AER2010)'!AH50</f>
        <v>17277348</v>
      </c>
      <c r="P48" s="55"/>
      <c r="Q48" s="56">
        <f t="shared" si="2"/>
        <v>386.92620846000005</v>
      </c>
      <c r="R48" s="55"/>
      <c r="T48" s="286"/>
      <c r="V48" s="61">
        <v>51901</v>
      </c>
      <c r="W48" s="61">
        <v>735000</v>
      </c>
    </row>
    <row r="49" spans="1:23" x14ac:dyDescent="0.2">
      <c r="A49" s="30">
        <v>1991</v>
      </c>
      <c r="B49" s="526">
        <f>Adjust_Truck_Freight!J27</f>
        <v>77778.185679904534</v>
      </c>
      <c r="C49" s="61">
        <v>874000</v>
      </c>
      <c r="D49" s="57">
        <f>320+438</f>
        <v>758</v>
      </c>
      <c r="E49" s="59">
        <v>1038875</v>
      </c>
      <c r="F49" s="59">
        <v>16149.708000000001</v>
      </c>
      <c r="G49" s="28">
        <v>848399</v>
      </c>
      <c r="H49" s="61">
        <v>90272.3</v>
      </c>
      <c r="I49" s="57">
        <f t="shared" si="4"/>
        <v>938671.3</v>
      </c>
      <c r="J49" s="28">
        <v>579000</v>
      </c>
      <c r="K49" s="33">
        <f t="shared" si="0"/>
        <v>247588.51104060002</v>
      </c>
      <c r="L49" s="5"/>
      <c r="M49" s="5"/>
      <c r="N49">
        <v>1991</v>
      </c>
      <c r="O49" s="54">
        <f>'Table6.5 (AER2010)'!AH51</f>
        <v>17831494</v>
      </c>
      <c r="P49" s="55"/>
      <c r="Q49" s="56">
        <f t="shared" si="2"/>
        <v>399.33630813000002</v>
      </c>
      <c r="R49" s="55"/>
      <c r="T49" s="286"/>
      <c r="V49" s="61">
        <v>52898</v>
      </c>
      <c r="W49" s="61">
        <v>758000</v>
      </c>
    </row>
    <row r="50" spans="1:23" x14ac:dyDescent="0.2">
      <c r="A50" s="30">
        <v>1992</v>
      </c>
      <c r="B50" s="526">
        <f>Adjust_Truck_Freight!J28</f>
        <v>79213.24010962942</v>
      </c>
      <c r="C50" s="61">
        <v>896000</v>
      </c>
      <c r="D50" s="57">
        <f>342+473</f>
        <v>815</v>
      </c>
      <c r="E50" s="59">
        <v>1066781</v>
      </c>
      <c r="F50" s="59">
        <v>17306.618999999999</v>
      </c>
      <c r="G50" s="28">
        <v>856684.6</v>
      </c>
      <c r="H50" s="61">
        <v>92660.1</v>
      </c>
      <c r="I50" s="57">
        <f t="shared" si="4"/>
        <v>949344.7</v>
      </c>
      <c r="J50" s="28">
        <v>589000</v>
      </c>
      <c r="K50" s="33">
        <f t="shared" si="0"/>
        <v>256449.89587530002</v>
      </c>
      <c r="L50" s="5"/>
      <c r="M50" s="5"/>
      <c r="N50">
        <v>1992</v>
      </c>
      <c r="O50" s="54">
        <f>'Table6.5 (AER2010)'!AH52</f>
        <v>18469697</v>
      </c>
      <c r="P50" s="55"/>
      <c r="Q50" s="56">
        <f t="shared" si="2"/>
        <v>413.62886431500004</v>
      </c>
      <c r="R50" s="55"/>
      <c r="T50" s="286"/>
      <c r="V50" s="61">
        <v>53874</v>
      </c>
      <c r="W50" s="61">
        <v>815000</v>
      </c>
    </row>
    <row r="51" spans="1:23" x14ac:dyDescent="0.2">
      <c r="A51" s="30">
        <v>1993</v>
      </c>
      <c r="B51" s="526">
        <f>Adjust_Truck_Freight!J29</f>
        <v>83474.293119201859</v>
      </c>
      <c r="C51" s="61">
        <v>936000</v>
      </c>
      <c r="D51" s="57">
        <f>365+496</f>
        <v>861</v>
      </c>
      <c r="E51" s="59">
        <v>1109309</v>
      </c>
      <c r="F51" s="59">
        <v>19082.940999999999</v>
      </c>
      <c r="G51" s="28">
        <v>789657.9</v>
      </c>
      <c r="H51" s="61">
        <v>92947.9</v>
      </c>
      <c r="I51" s="57">
        <f t="shared" si="4"/>
        <v>882605.8</v>
      </c>
      <c r="J51" s="28">
        <v>593000</v>
      </c>
      <c r="K51" s="33">
        <f t="shared" si="0"/>
        <v>263724.15333060001</v>
      </c>
      <c r="L51" s="5"/>
      <c r="M51" s="5"/>
      <c r="N51">
        <v>1993</v>
      </c>
      <c r="O51" s="54">
        <f>'Table6.5 (AER2010)'!AH53</f>
        <v>18993594</v>
      </c>
      <c r="P51" s="55"/>
      <c r="Q51" s="56">
        <f t="shared" si="2"/>
        <v>425.36153763000004</v>
      </c>
      <c r="R51" s="55"/>
      <c r="T51" s="286"/>
      <c r="V51" s="61">
        <v>56772</v>
      </c>
      <c r="W51" s="61">
        <v>861000</v>
      </c>
    </row>
    <row r="52" spans="1:23" x14ac:dyDescent="0.2">
      <c r="A52" s="30">
        <v>1994</v>
      </c>
      <c r="B52" s="526">
        <f>Adjust_Truck_Freight!J30</f>
        <v>90108.47917137263</v>
      </c>
      <c r="C52" s="61">
        <v>996000</v>
      </c>
      <c r="D52" s="57">
        <f>391+517</f>
        <v>908</v>
      </c>
      <c r="E52" s="59">
        <v>1200701</v>
      </c>
      <c r="F52" s="59">
        <v>21772.967000000001</v>
      </c>
      <c r="G52" s="28">
        <v>814919.2</v>
      </c>
      <c r="H52" s="61">
        <v>94485.8</v>
      </c>
      <c r="I52" s="57">
        <f t="shared" si="4"/>
        <v>909405</v>
      </c>
      <c r="J52" s="28">
        <v>591000</v>
      </c>
      <c r="K52" s="33">
        <f t="shared" si="0"/>
        <v>269894.90835839999</v>
      </c>
      <c r="L52" s="5"/>
      <c r="M52" s="5"/>
      <c r="N52">
        <v>1994</v>
      </c>
      <c r="O52" s="54">
        <f>'Table6.5 (AER2010)'!AH54</f>
        <v>19438016</v>
      </c>
      <c r="P52" s="55"/>
      <c r="Q52" s="56">
        <f t="shared" si="2"/>
        <v>435.31436832000003</v>
      </c>
      <c r="R52" s="55"/>
      <c r="T52" s="286"/>
      <c r="V52" s="61">
        <v>61284</v>
      </c>
      <c r="W52" s="61">
        <v>908000</v>
      </c>
    </row>
    <row r="53" spans="1:23" x14ac:dyDescent="0.2">
      <c r="A53" s="30">
        <v>1995</v>
      </c>
      <c r="B53" s="526">
        <f>Adjust_Truck_Freight!J31</f>
        <v>92200.77676717029</v>
      </c>
      <c r="C53" s="61">
        <v>1042000</v>
      </c>
      <c r="D53" s="57">
        <f>401+520</f>
        <v>921</v>
      </c>
      <c r="E53" s="59">
        <v>1305688</v>
      </c>
      <c r="F53" s="59">
        <v>23374.677</v>
      </c>
      <c r="G53" s="28">
        <v>807727.7</v>
      </c>
      <c r="H53" s="61">
        <v>106634.9</v>
      </c>
      <c r="I53" s="57">
        <f t="shared" si="4"/>
        <v>914362.6</v>
      </c>
      <c r="J53" s="28">
        <v>601000</v>
      </c>
      <c r="K53" s="33">
        <f t="shared" si="0"/>
        <v>281674.44097140001</v>
      </c>
      <c r="L53" s="5"/>
      <c r="M53" s="5"/>
      <c r="N53">
        <v>1995</v>
      </c>
      <c r="O53" s="54">
        <f>'Table6.5 (AER2010)'!AH55</f>
        <v>20286386</v>
      </c>
      <c r="P53" s="55"/>
      <c r="Q53" s="56">
        <f t="shared" si="2"/>
        <v>454.31361447</v>
      </c>
      <c r="R53" s="55"/>
      <c r="T53" s="286"/>
      <c r="V53" s="61">
        <v>62707</v>
      </c>
      <c r="W53" s="61">
        <v>921000</v>
      </c>
    </row>
    <row r="54" spans="1:23" x14ac:dyDescent="0.2">
      <c r="A54" s="30">
        <v>1996</v>
      </c>
      <c r="B54" s="526">
        <f>Adjust_Truck_Freight!J32</f>
        <v>94207.794489070351</v>
      </c>
      <c r="C54" s="61">
        <v>1071000</v>
      </c>
      <c r="D54" s="57">
        <f>428+544</f>
        <v>972</v>
      </c>
      <c r="E54" s="59">
        <v>1355975</v>
      </c>
      <c r="F54" s="59">
        <v>24892.478999999999</v>
      </c>
      <c r="G54" s="28">
        <v>764686.5</v>
      </c>
      <c r="H54" s="61">
        <v>105506.9</v>
      </c>
      <c r="I54" s="57">
        <f t="shared" si="4"/>
        <v>870193.4</v>
      </c>
      <c r="J54" s="28">
        <v>619200</v>
      </c>
      <c r="K54" s="33">
        <f t="shared" si="0"/>
        <v>286695.02642280003</v>
      </c>
      <c r="L54" s="5"/>
      <c r="M54" s="5"/>
      <c r="N54">
        <v>1996</v>
      </c>
      <c r="O54" s="54">
        <f>'Table6.5 (AER2010)'!AH56</f>
        <v>20647972</v>
      </c>
      <c r="P54" s="55"/>
      <c r="Q54" s="56">
        <f t="shared" si="2"/>
        <v>462.41133294000002</v>
      </c>
      <c r="R54" s="55"/>
      <c r="T54" s="286"/>
      <c r="V54" s="61">
        <v>64072</v>
      </c>
      <c r="W54" s="61">
        <v>972000</v>
      </c>
    </row>
    <row r="55" spans="1:23" x14ac:dyDescent="0.2">
      <c r="A55" s="30">
        <v>1997</v>
      </c>
      <c r="B55" s="526">
        <f>Adjust_Truck_Freight!J33</f>
        <v>98355.631114330477</v>
      </c>
      <c r="C55" s="61">
        <v>1119000</v>
      </c>
      <c r="D55" s="57">
        <f>436+560</f>
        <v>996</v>
      </c>
      <c r="E55" s="59">
        <v>1348926</v>
      </c>
      <c r="F55" s="59">
        <v>27610.097000000002</v>
      </c>
      <c r="G55" s="28">
        <v>707409.9</v>
      </c>
      <c r="H55" s="61">
        <v>106390.2</v>
      </c>
      <c r="I55" s="57">
        <f t="shared" si="4"/>
        <v>813800.1</v>
      </c>
      <c r="J55" s="28">
        <v>616500</v>
      </c>
      <c r="K55" s="33">
        <f t="shared" si="0"/>
        <v>288565.6279206</v>
      </c>
      <c r="L55" s="5"/>
      <c r="M55" s="5"/>
      <c r="N55">
        <v>1997</v>
      </c>
      <c r="O55" s="54">
        <f>'Table6.5 (AER2010)'!AH57</f>
        <v>20782694</v>
      </c>
      <c r="P55" s="55"/>
      <c r="Q55" s="56">
        <f t="shared" si="2"/>
        <v>465.42843213000003</v>
      </c>
      <c r="R55" s="55"/>
      <c r="T55" s="286"/>
      <c r="V55" s="61">
        <v>66893</v>
      </c>
      <c r="W55" s="61">
        <v>996000</v>
      </c>
    </row>
    <row r="56" spans="1:23" x14ac:dyDescent="0.2">
      <c r="A56" s="30">
        <v>1998</v>
      </c>
      <c r="B56" s="526">
        <f>Adjust_Truck_Freight!J34</f>
        <v>100014.17762737318</v>
      </c>
      <c r="C56" s="61">
        <v>1149000</v>
      </c>
      <c r="D56" s="57">
        <f>459+568</f>
        <v>1027</v>
      </c>
      <c r="E56" s="59">
        <v>1376802</v>
      </c>
      <c r="F56" s="123">
        <v>28015.071</v>
      </c>
      <c r="G56" s="28">
        <v>672795.3</v>
      </c>
      <c r="H56" s="61">
        <v>107704.5</v>
      </c>
      <c r="I56" s="57">
        <f t="shared" si="4"/>
        <v>780499.8</v>
      </c>
      <c r="J56" s="28">
        <v>619800</v>
      </c>
      <c r="K56" s="33">
        <f t="shared" si="0"/>
        <v>283776.79533510003</v>
      </c>
      <c r="L56" s="5"/>
      <c r="M56" s="5"/>
      <c r="N56">
        <v>1998</v>
      </c>
      <c r="O56" s="54">
        <f>'Table6.5 (AER2010)'!AH58</f>
        <v>20437799</v>
      </c>
      <c r="P56" s="55"/>
      <c r="Q56" s="56">
        <f t="shared" si="2"/>
        <v>457.70450860500006</v>
      </c>
      <c r="R56" s="55"/>
      <c r="T56" s="286"/>
      <c r="V56" s="61">
        <v>68021</v>
      </c>
      <c r="W56" s="61">
        <v>1027000</v>
      </c>
    </row>
    <row r="57" spans="1:23" x14ac:dyDescent="0.2">
      <c r="A57" s="30">
        <v>1999</v>
      </c>
      <c r="B57" s="526">
        <f>Adjust_Truck_Freight!J35</f>
        <v>103370.96990510054</v>
      </c>
      <c r="C57" s="57">
        <v>1186000</v>
      </c>
      <c r="D57" s="57">
        <f>474+585</f>
        <v>1059</v>
      </c>
      <c r="E57" s="59">
        <v>1433461</v>
      </c>
      <c r="F57" s="123">
        <v>25147.844000000001</v>
      </c>
      <c r="G57" s="28">
        <v>655861.5</v>
      </c>
      <c r="H57" s="61">
        <v>108585.9</v>
      </c>
      <c r="I57" s="57">
        <f t="shared" si="4"/>
        <v>764447.4</v>
      </c>
      <c r="J57" s="159">
        <v>617700</v>
      </c>
      <c r="K57" s="33">
        <f t="shared" si="0"/>
        <v>287151.42308580002</v>
      </c>
      <c r="L57" s="5"/>
      <c r="M57" s="5"/>
      <c r="N57">
        <v>1999</v>
      </c>
      <c r="O57" s="54">
        <f>'Table6.5 (AER2010)'!AH59</f>
        <v>20680842</v>
      </c>
      <c r="P57" s="55"/>
      <c r="Q57" s="56">
        <f t="shared" si="2"/>
        <v>463.14745659000005</v>
      </c>
      <c r="R57" s="55"/>
      <c r="T57" s="286"/>
      <c r="V57" s="57">
        <v>70304</v>
      </c>
      <c r="W57" s="57">
        <v>1059000</v>
      </c>
    </row>
    <row r="58" spans="1:23" x14ac:dyDescent="0.2">
      <c r="A58" s="42">
        <v>2000</v>
      </c>
      <c r="B58" s="524">
        <f>Adjust_Truck_Freight!J36</f>
        <v>103659.15706516824</v>
      </c>
      <c r="C58" s="16">
        <v>1203000</v>
      </c>
      <c r="D58" s="278">
        <f>483+591</f>
        <v>1074</v>
      </c>
      <c r="E58" s="123">
        <v>1465960</v>
      </c>
      <c r="F58" s="98">
        <v>30221.260999999999</v>
      </c>
      <c r="G58" s="21">
        <v>645799.30000000005</v>
      </c>
      <c r="H58" s="21">
        <v>117622</v>
      </c>
      <c r="I58" s="21">
        <f t="shared" si="4"/>
        <v>763421.3</v>
      </c>
      <c r="J58" s="15">
        <v>577300</v>
      </c>
      <c r="K58" s="97">
        <f t="shared" si="0"/>
        <v>299080.24614360003</v>
      </c>
      <c r="L58" s="5"/>
      <c r="M58" s="5"/>
      <c r="N58">
        <v>2000</v>
      </c>
      <c r="O58" s="54">
        <f>'Table6.5 (AER2010)'!AH60</f>
        <v>21539964</v>
      </c>
      <c r="P58" s="55"/>
      <c r="Q58" s="56">
        <f t="shared" si="2"/>
        <v>482.38749378000006</v>
      </c>
      <c r="R58" s="55"/>
      <c r="T58" s="528">
        <f>Adjust_Truck_Freight!K36</f>
        <v>172245.24073987309</v>
      </c>
      <c r="V58" s="16">
        <v>70500</v>
      </c>
      <c r="W58" s="16">
        <v>1074000</v>
      </c>
    </row>
    <row r="59" spans="1:23" ht="12.75" customHeight="1" x14ac:dyDescent="0.2">
      <c r="A59" s="42">
        <v>2001</v>
      </c>
      <c r="B59" s="527">
        <f>Adjust_Truck_Freight!J37</f>
        <v>106523.38455400438</v>
      </c>
      <c r="C59" s="16">
        <v>1224000</v>
      </c>
      <c r="D59" s="61">
        <f>471+580</f>
        <v>1051</v>
      </c>
      <c r="E59" s="123">
        <v>1495472</v>
      </c>
      <c r="F59" s="98">
        <v>27882</v>
      </c>
      <c r="G59" s="15">
        <v>621686</v>
      </c>
      <c r="H59" s="15">
        <v>115244</v>
      </c>
      <c r="I59" s="15">
        <f t="shared" ref="I59:I67" si="5">G59+H59</f>
        <v>736930</v>
      </c>
      <c r="J59" s="15">
        <v>576100</v>
      </c>
      <c r="K59" s="97">
        <f t="shared" ref="K59:K64" si="6">Q59*$R$7</f>
        <v>284572.52506920003</v>
      </c>
      <c r="N59">
        <v>2001</v>
      </c>
      <c r="O59" s="54">
        <f>'Table6.5 (AER2010)'!AH61</f>
        <v>20495108</v>
      </c>
      <c r="P59" s="55"/>
      <c r="Q59" s="56">
        <f t="shared" si="2"/>
        <v>458.98794366000004</v>
      </c>
      <c r="R59" s="55"/>
      <c r="T59" s="528">
        <f>Adjust_Truck_Freight!K37</f>
        <v>174240.4381663074</v>
      </c>
      <c r="V59" s="16">
        <v>72448</v>
      </c>
      <c r="W59" s="16">
        <v>1051000</v>
      </c>
    </row>
    <row r="60" spans="1:23" ht="15" customHeight="1" x14ac:dyDescent="0.2">
      <c r="A60" s="42">
        <v>2002</v>
      </c>
      <c r="B60" s="527">
        <f>Adjust_Truck_Freight!J38</f>
        <v>111549.01574334828</v>
      </c>
      <c r="C60" s="16">
        <v>1255000</v>
      </c>
      <c r="D60" s="97"/>
      <c r="E60" s="123">
        <v>1507011</v>
      </c>
      <c r="F60" s="98">
        <v>30507</v>
      </c>
      <c r="G60" s="271">
        <v>612081</v>
      </c>
      <c r="H60" s="15">
        <v>109341</v>
      </c>
      <c r="I60" s="15">
        <f t="shared" si="5"/>
        <v>721422</v>
      </c>
      <c r="J60" s="15">
        <v>586200</v>
      </c>
      <c r="K60" s="97">
        <f t="shared" si="6"/>
        <v>294734.98057349998</v>
      </c>
      <c r="N60">
        <v>2002</v>
      </c>
      <c r="O60" s="54">
        <f>'Table6.5 (AER2010)'!AH62</f>
        <v>21227015</v>
      </c>
      <c r="P60" s="55"/>
      <c r="Q60" s="56">
        <f t="shared" ref="Q60:Q69" si="7">P$7*O60</f>
        <v>475.37900092500001</v>
      </c>
      <c r="R60" s="55"/>
      <c r="T60" s="528">
        <f>Adjust_Truck_Freight!K38</f>
        <v>176987.02388185283</v>
      </c>
      <c r="V60" s="16">
        <v>75866</v>
      </c>
      <c r="W60" s="16">
        <v>1067567.1162068765</v>
      </c>
    </row>
    <row r="61" spans="1:23" ht="14.25" customHeight="1" x14ac:dyDescent="0.2">
      <c r="A61" s="42">
        <v>2003</v>
      </c>
      <c r="B61" s="527">
        <f>Adjust_Truck_Freight!J39</f>
        <v>114329.43370094024</v>
      </c>
      <c r="C61" s="16">
        <v>1264000</v>
      </c>
      <c r="D61" s="97"/>
      <c r="E61" s="16">
        <v>1551438</v>
      </c>
      <c r="F61" s="98">
        <v>32446</v>
      </c>
      <c r="G61" s="271">
        <v>606146</v>
      </c>
      <c r="H61" s="15">
        <v>108294</v>
      </c>
      <c r="I61" s="15">
        <f t="shared" si="5"/>
        <v>714440</v>
      </c>
      <c r="J61" s="15">
        <v>590200</v>
      </c>
      <c r="K61" s="97">
        <f t="shared" si="6"/>
        <v>285511.39423740003</v>
      </c>
      <c r="N61">
        <v>2003</v>
      </c>
      <c r="O61" s="54">
        <f>'Table6.5 (AER2010)'!AH63</f>
        <v>20562726</v>
      </c>
      <c r="P61" s="55"/>
      <c r="Q61" s="56">
        <f t="shared" si="7"/>
        <v>460.50224877000005</v>
      </c>
      <c r="R61" s="55"/>
      <c r="S61" s="173"/>
      <c r="T61" s="528">
        <f>Adjust_Truck_Freight!K39</f>
        <v>178802.34737150505</v>
      </c>
      <c r="V61" s="16">
        <v>77757</v>
      </c>
      <c r="W61" s="16">
        <v>1078516.9565981375</v>
      </c>
    </row>
    <row r="62" spans="1:23" ht="14.25" customHeight="1" x14ac:dyDescent="0.2">
      <c r="A62" s="42">
        <v>2004</v>
      </c>
      <c r="B62" s="527">
        <f>Adjust_Truck_Freight!J40</f>
        <v>115335.14807587038</v>
      </c>
      <c r="C62" s="525">
        <f>T62/T$61*C$61</f>
        <v>1283930.3652968036</v>
      </c>
      <c r="D62" s="97"/>
      <c r="E62" s="405">
        <v>1662598</v>
      </c>
      <c r="F62" s="98">
        <v>37958</v>
      </c>
      <c r="G62" s="271">
        <v>621170</v>
      </c>
      <c r="H62" s="15">
        <v>122366</v>
      </c>
      <c r="I62" s="15">
        <f t="shared" si="5"/>
        <v>743536</v>
      </c>
      <c r="J62" s="15">
        <v>599600</v>
      </c>
      <c r="K62" s="97">
        <f t="shared" si="6"/>
        <v>287762.92796669999</v>
      </c>
      <c r="N62" s="173">
        <v>2004</v>
      </c>
      <c r="O62" s="54">
        <f>'Table6.5 (AER2010)'!AH64</f>
        <v>20724883</v>
      </c>
      <c r="P62" s="55"/>
      <c r="Q62" s="56">
        <f t="shared" si="7"/>
        <v>464.13375478500001</v>
      </c>
      <c r="R62" s="55"/>
      <c r="T62" s="528">
        <f>Adjust_Truck_Freight!K40</f>
        <v>181621.64808277093</v>
      </c>
      <c r="V62" s="16">
        <v>78441</v>
      </c>
      <c r="W62" s="16">
        <v>1095522.6820125345</v>
      </c>
    </row>
    <row r="63" spans="1:23" ht="14.25" customHeight="1" x14ac:dyDescent="0.2">
      <c r="A63" s="42">
        <v>2005</v>
      </c>
      <c r="B63" s="527">
        <f>Adjust_Truck_Freight!J41</f>
        <v>115416.01692180775</v>
      </c>
      <c r="C63" s="525">
        <f t="shared" ref="C63:C69" si="8">T63/T$61*C$61</f>
        <v>1298882.6484018264</v>
      </c>
      <c r="D63" s="97"/>
      <c r="E63" s="405">
        <v>1696425</v>
      </c>
      <c r="F63" s="98">
        <v>39292</v>
      </c>
      <c r="G63" s="271">
        <v>591277</v>
      </c>
      <c r="H63" s="15">
        <v>113899</v>
      </c>
      <c r="I63" s="15">
        <f t="shared" si="5"/>
        <v>705176</v>
      </c>
      <c r="J63" s="15">
        <v>607500</v>
      </c>
      <c r="K63" s="97">
        <f t="shared" si="6"/>
        <v>282072.49328460003</v>
      </c>
      <c r="N63" s="173">
        <v>2005</v>
      </c>
      <c r="O63" s="54">
        <f>'Table6.5 (AER2010)'!AH65</f>
        <v>20315054</v>
      </c>
      <c r="P63" s="55"/>
      <c r="Q63" s="56">
        <f t="shared" si="7"/>
        <v>454.95563433000001</v>
      </c>
      <c r="R63" s="55"/>
      <c r="T63" s="528">
        <f>Adjust_Truck_Freight!K41</f>
        <v>183736.76146705999</v>
      </c>
      <c r="V63" s="16">
        <v>78496</v>
      </c>
      <c r="W63" s="16">
        <v>1108280.8235225212</v>
      </c>
    </row>
    <row r="64" spans="1:23" x14ac:dyDescent="0.2">
      <c r="A64" s="42">
        <v>2006</v>
      </c>
      <c r="B64" s="527">
        <f>Adjust_Truck_Freight!J42</f>
        <v>118133.21014530322</v>
      </c>
      <c r="C64" s="525">
        <f t="shared" si="8"/>
        <v>1282117.6940639268</v>
      </c>
      <c r="D64" s="97"/>
      <c r="E64" s="123">
        <v>1771897</v>
      </c>
      <c r="F64" s="98">
        <v>39754</v>
      </c>
      <c r="G64" s="271">
        <v>561629</v>
      </c>
      <c r="H64" s="271">
        <v>120359</v>
      </c>
      <c r="I64" s="15">
        <f t="shared" si="5"/>
        <v>681988</v>
      </c>
      <c r="J64" s="15">
        <v>581300</v>
      </c>
      <c r="K64" s="97">
        <f t="shared" si="6"/>
        <v>277121.09628990002</v>
      </c>
      <c r="N64" s="173">
        <v>2006</v>
      </c>
      <c r="O64" s="54">
        <f>'Table6.5 (AER2010)'!AH66</f>
        <v>19958451</v>
      </c>
      <c r="P64" s="55" t="s">
        <v>1085</v>
      </c>
      <c r="Q64" s="56">
        <f t="shared" si="7"/>
        <v>446.96951014500002</v>
      </c>
      <c r="R64" s="55"/>
      <c r="T64" s="529">
        <f>Adjust_Truck_Freight!K42</f>
        <v>181365.23204523046</v>
      </c>
      <c r="V64" s="16">
        <v>80344</v>
      </c>
      <c r="W64" s="16">
        <v>1093976.0074386459</v>
      </c>
    </row>
    <row r="65" spans="1:23" x14ac:dyDescent="0.2">
      <c r="A65" s="215">
        <v>2007</v>
      </c>
      <c r="B65" s="15">
        <v>119979</v>
      </c>
      <c r="C65" s="525">
        <f t="shared" si="8"/>
        <v>1302150.3320437097</v>
      </c>
      <c r="D65" s="97"/>
      <c r="E65" s="123">
        <v>1770545</v>
      </c>
      <c r="F65" s="98">
        <v>39842</v>
      </c>
      <c r="G65" s="271">
        <v>553151</v>
      </c>
      <c r="H65" s="271">
        <v>116879</v>
      </c>
      <c r="I65" s="15">
        <f t="shared" si="5"/>
        <v>670030</v>
      </c>
      <c r="J65" s="15">
        <v>557700</v>
      </c>
      <c r="K65" s="97">
        <f>Q65*$R$7</f>
        <v>295045.655211</v>
      </c>
      <c r="N65" s="173">
        <v>2007</v>
      </c>
      <c r="O65" s="54">
        <f>'Table6.5 (AER2010)'!AH67</f>
        <v>21249390</v>
      </c>
      <c r="P65" s="55" t="s">
        <v>1086</v>
      </c>
      <c r="Q65" s="56">
        <f t="shared" si="7"/>
        <v>475.88008905000004</v>
      </c>
      <c r="R65" s="55"/>
      <c r="T65" s="530">
        <f>Adjust_Truck_Freight!K43</f>
        <v>184199</v>
      </c>
      <c r="V65" s="16">
        <v>119979</v>
      </c>
      <c r="W65" s="16">
        <v>1417392.5862472912</v>
      </c>
    </row>
    <row r="66" spans="1:23" x14ac:dyDescent="0.2">
      <c r="A66" s="215">
        <v>2008</v>
      </c>
      <c r="B66" s="15">
        <v>126855</v>
      </c>
      <c r="C66" s="525">
        <f t="shared" si="8"/>
        <v>1299513.4986523651</v>
      </c>
      <c r="D66" s="97"/>
      <c r="E66" s="98">
        <v>1777236</v>
      </c>
      <c r="F66" s="98">
        <v>35529</v>
      </c>
      <c r="G66" s="271">
        <v>520520</v>
      </c>
      <c r="H66" s="271">
        <v>113403</v>
      </c>
      <c r="I66" s="15">
        <f t="shared" si="5"/>
        <v>633923</v>
      </c>
      <c r="J66" s="555">
        <v>605700</v>
      </c>
      <c r="K66" s="97">
        <f>Q66*$R$7</f>
        <v>297142.37230530003</v>
      </c>
      <c r="N66" s="173">
        <v>2008</v>
      </c>
      <c r="O66" s="54">
        <f>'Table6.5 (AER2010)'!AH68</f>
        <v>21400397</v>
      </c>
      <c r="P66" s="55"/>
      <c r="Q66" s="56">
        <f t="shared" si="7"/>
        <v>479.26189081500002</v>
      </c>
      <c r="R66" s="55"/>
      <c r="T66" s="530">
        <f>Adjust_Truck_Freight!K44</f>
        <v>183826</v>
      </c>
      <c r="V66" s="16">
        <v>126855</v>
      </c>
      <c r="W66" s="16">
        <v>1414522.3891524633</v>
      </c>
    </row>
    <row r="67" spans="1:23" x14ac:dyDescent="0.2">
      <c r="A67" s="215">
        <v>2009</v>
      </c>
      <c r="B67" s="15">
        <v>120207</v>
      </c>
      <c r="C67" s="525">
        <f t="shared" si="8"/>
        <v>1188342.3407105771</v>
      </c>
      <c r="D67" s="97"/>
      <c r="E67" s="98">
        <v>1532214</v>
      </c>
      <c r="F67" s="488">
        <v>30317</v>
      </c>
      <c r="G67" s="271">
        <v>477121.5</v>
      </c>
      <c r="H67" s="271">
        <v>94177.8</v>
      </c>
      <c r="I67" s="15">
        <f t="shared" si="5"/>
        <v>571299.30000000005</v>
      </c>
      <c r="J67" s="555">
        <v>568400</v>
      </c>
      <c r="K67" s="97">
        <f>Q67*$R$7</f>
        <v>291113.42376120004</v>
      </c>
      <c r="N67" s="173">
        <v>2009</v>
      </c>
      <c r="O67" s="54">
        <f>'Table6.5 (AER2010)'!AH69</f>
        <v>20966188</v>
      </c>
      <c r="P67" s="55">
        <f>22910-1275-670</f>
        <v>20965</v>
      </c>
      <c r="Q67" s="56">
        <f t="shared" si="7"/>
        <v>469.53778026000003</v>
      </c>
      <c r="R67" s="55"/>
      <c r="T67" s="530">
        <f>Adjust_Truck_Freight!K45</f>
        <v>168100</v>
      </c>
      <c r="V67" s="16">
        <v>120207</v>
      </c>
      <c r="W67" s="16">
        <v>1293512.4172670301</v>
      </c>
    </row>
    <row r="68" spans="1:23" x14ac:dyDescent="0.2">
      <c r="A68" s="215">
        <v>2010</v>
      </c>
      <c r="B68" s="15">
        <v>110738</v>
      </c>
      <c r="C68" s="525">
        <f t="shared" si="8"/>
        <v>1242697.8687160716</v>
      </c>
      <c r="D68" s="97"/>
      <c r="E68" s="98">
        <v>1691004</v>
      </c>
      <c r="F68" s="98">
        <v>35209</v>
      </c>
      <c r="G68" s="271">
        <v>502212</v>
      </c>
      <c r="H68" s="271">
        <v>103393</v>
      </c>
      <c r="I68" s="15">
        <f>G68+H68</f>
        <v>605605</v>
      </c>
      <c r="J68" s="251">
        <v>550000</v>
      </c>
      <c r="K68" s="97">
        <f>Q68*$R$7</f>
        <v>307231.18230000004</v>
      </c>
      <c r="N68" s="173">
        <v>2010</v>
      </c>
      <c r="O68" s="54">
        <v>22127000</v>
      </c>
      <c r="P68" s="55">
        <f>24087-1286-674</f>
        <v>22127</v>
      </c>
      <c r="Q68" s="56">
        <f t="shared" si="7"/>
        <v>495.53416500000003</v>
      </c>
      <c r="R68" s="55"/>
      <c r="T68" s="530">
        <v>175789</v>
      </c>
      <c r="U68" s="125">
        <f>C68/T68</f>
        <v>7.0692584218356753</v>
      </c>
      <c r="V68" s="16">
        <v>110738</v>
      </c>
      <c r="W68" s="16">
        <v>1353617.2684941136</v>
      </c>
    </row>
    <row r="69" spans="1:23" x14ac:dyDescent="0.2">
      <c r="A69" s="215">
        <v>2011</v>
      </c>
      <c r="B69" s="15">
        <v>103515</v>
      </c>
      <c r="C69" s="525">
        <f t="shared" si="8"/>
        <v>1157181.0495871254</v>
      </c>
      <c r="D69" s="97"/>
      <c r="E69" s="98">
        <v>1729256</v>
      </c>
      <c r="F69" s="15">
        <v>35713</v>
      </c>
      <c r="G69" s="271">
        <v>499748</v>
      </c>
      <c r="H69" s="271">
        <v>104558</v>
      </c>
      <c r="I69" s="15">
        <f>G69+H69</f>
        <v>604306</v>
      </c>
      <c r="J69" s="251">
        <v>550000</v>
      </c>
      <c r="K69" s="97">
        <f>Q69*$R$7</f>
        <v>310716.29220000003</v>
      </c>
      <c r="N69" s="173">
        <v>2011</v>
      </c>
      <c r="O69" s="54">
        <v>22378000</v>
      </c>
      <c r="P69" s="55">
        <f>24385-1323-684</f>
        <v>22378</v>
      </c>
      <c r="Q69" s="56">
        <f t="shared" si="7"/>
        <v>501.15531000000004</v>
      </c>
      <c r="R69" s="55"/>
      <c r="T69" s="530">
        <v>163692</v>
      </c>
      <c r="U69" s="125"/>
      <c r="V69" s="15">
        <v>103515</v>
      </c>
      <c r="W69" s="16">
        <v>1353617.2684941136</v>
      </c>
    </row>
    <row r="70" spans="1:23" x14ac:dyDescent="0.2">
      <c r="A70" s="215"/>
      <c r="B70" s="15"/>
      <c r="C70" s="527"/>
      <c r="D70" s="97"/>
      <c r="E70" s="98"/>
      <c r="F70" s="15">
        <v>34921</v>
      </c>
      <c r="G70" s="271"/>
      <c r="H70" s="271"/>
      <c r="I70" s="15"/>
      <c r="J70" s="251"/>
      <c r="K70" s="97"/>
      <c r="N70" s="173"/>
      <c r="O70" s="54"/>
      <c r="P70" s="55"/>
      <c r="Q70" s="56"/>
      <c r="R70" s="55"/>
      <c r="T70" s="530"/>
      <c r="U70" s="125"/>
      <c r="V70" s="15"/>
      <c r="W70" s="15"/>
    </row>
    <row r="71" spans="1:23" x14ac:dyDescent="0.2">
      <c r="A71" s="143"/>
      <c r="B71" s="251"/>
      <c r="C71" s="251"/>
      <c r="D71" s="322"/>
      <c r="E71" s="323"/>
      <c r="F71" s="99"/>
      <c r="G71" s="324"/>
      <c r="H71" s="251"/>
      <c r="I71" s="251"/>
      <c r="J71" s="251"/>
      <c r="K71" s="97"/>
      <c r="N71" s="173"/>
      <c r="O71" s="497"/>
      <c r="P71" s="498"/>
      <c r="Q71" s="499"/>
      <c r="R71" s="498"/>
      <c r="S71" s="173"/>
    </row>
    <row r="72" spans="1:23" ht="16.5" x14ac:dyDescent="0.3">
      <c r="A72" s="143"/>
      <c r="B72" s="299" t="s">
        <v>299</v>
      </c>
      <c r="E72" s="15"/>
      <c r="F72" s="281"/>
      <c r="G72" s="282"/>
      <c r="H72" s="282"/>
      <c r="I72" s="282"/>
      <c r="J72" s="50"/>
      <c r="O72" t="s">
        <v>454</v>
      </c>
      <c r="P72" s="264" t="s">
        <v>6</v>
      </c>
      <c r="T72" t="s">
        <v>641</v>
      </c>
      <c r="U72" s="7" t="s">
        <v>796</v>
      </c>
      <c r="V72" s="264" t="s">
        <v>474</v>
      </c>
    </row>
    <row r="73" spans="1:23" x14ac:dyDescent="0.2">
      <c r="J73" s="50"/>
      <c r="T73" t="s">
        <v>1082</v>
      </c>
      <c r="U73" s="556" t="s">
        <v>1051</v>
      </c>
      <c r="V73" s="556" t="s">
        <v>1081</v>
      </c>
    </row>
    <row r="74" spans="1:23" x14ac:dyDescent="0.2">
      <c r="A74" s="6" t="s">
        <v>326</v>
      </c>
      <c r="J74" s="50"/>
      <c r="U74" s="556"/>
      <c r="V74" s="556"/>
    </row>
    <row r="75" spans="1:23" x14ac:dyDescent="0.2">
      <c r="A75" s="7" t="s">
        <v>658</v>
      </c>
      <c r="J75" s="50"/>
    </row>
    <row r="76" spans="1:23" x14ac:dyDescent="0.2">
      <c r="A76" s="556" t="s">
        <v>1044</v>
      </c>
      <c r="B76" s="556" t="s">
        <v>1224</v>
      </c>
      <c r="J76" s="50"/>
      <c r="K76" s="264" t="s">
        <v>1211</v>
      </c>
    </row>
    <row r="77" spans="1:23" x14ac:dyDescent="0.2">
      <c r="A77" s="556" t="s">
        <v>1044</v>
      </c>
      <c r="B77" t="s">
        <v>1225</v>
      </c>
      <c r="D77" s="556" t="s">
        <v>1080</v>
      </c>
      <c r="J77" s="50"/>
    </row>
    <row r="78" spans="1:23" x14ac:dyDescent="0.2">
      <c r="B78" t="s">
        <v>1226</v>
      </c>
    </row>
    <row r="80" spans="1:23" x14ac:dyDescent="0.2">
      <c r="A80" s="6" t="s">
        <v>353</v>
      </c>
      <c r="J80" s="50"/>
    </row>
    <row r="81" spans="1:12" x14ac:dyDescent="0.2">
      <c r="A81" s="556" t="s">
        <v>1032</v>
      </c>
      <c r="J81" s="50"/>
    </row>
    <row r="82" spans="1:12" x14ac:dyDescent="0.2">
      <c r="A82" s="556" t="s">
        <v>1031</v>
      </c>
      <c r="B82" s="556" t="s">
        <v>1033</v>
      </c>
    </row>
    <row r="83" spans="1:12" x14ac:dyDescent="0.2">
      <c r="A83" s="556" t="s">
        <v>1030</v>
      </c>
    </row>
    <row r="84" spans="1:12" x14ac:dyDescent="0.2">
      <c r="B84" s="264" t="s">
        <v>1211</v>
      </c>
    </row>
    <row r="85" spans="1:12" x14ac:dyDescent="0.2">
      <c r="A85" s="556" t="s">
        <v>1084</v>
      </c>
      <c r="K85" s="264"/>
      <c r="L85" s="556" t="s">
        <v>1029</v>
      </c>
    </row>
    <row r="87" spans="1:12" x14ac:dyDescent="0.2">
      <c r="A87" s="6" t="s">
        <v>327</v>
      </c>
    </row>
    <row r="88" spans="1:12" x14ac:dyDescent="0.2">
      <c r="A88" t="s">
        <v>532</v>
      </c>
    </row>
    <row r="89" spans="1:12" x14ac:dyDescent="0.2">
      <c r="A89" t="s">
        <v>530</v>
      </c>
    </row>
    <row r="90" spans="1:12" x14ac:dyDescent="0.2">
      <c r="A90" t="s">
        <v>531</v>
      </c>
    </row>
    <row r="91" spans="1:12" x14ac:dyDescent="0.2">
      <c r="A91" t="s">
        <v>529</v>
      </c>
    </row>
    <row r="92" spans="1:12" x14ac:dyDescent="0.2">
      <c r="A92" s="556" t="s">
        <v>1077</v>
      </c>
      <c r="B92" s="264" t="s">
        <v>1228</v>
      </c>
      <c r="F92" s="7"/>
    </row>
    <row r="93" spans="1:12" x14ac:dyDescent="0.2">
      <c r="A93" s="556" t="s">
        <v>1044</v>
      </c>
      <c r="B93" s="556" t="s">
        <v>414</v>
      </c>
      <c r="C93" s="556" t="s">
        <v>1083</v>
      </c>
    </row>
    <row r="94" spans="1:12" x14ac:dyDescent="0.2">
      <c r="A94" s="275"/>
    </row>
    <row r="95" spans="1:12" x14ac:dyDescent="0.2">
      <c r="A95" s="6" t="s">
        <v>470</v>
      </c>
    </row>
    <row r="96" spans="1:12" x14ac:dyDescent="0.2">
      <c r="A96" t="s">
        <v>523</v>
      </c>
    </row>
    <row r="97" spans="1:13" x14ac:dyDescent="0.2">
      <c r="A97" s="7" t="s">
        <v>28</v>
      </c>
      <c r="H97" s="264" t="s">
        <v>618</v>
      </c>
    </row>
    <row r="98" spans="1:13" x14ac:dyDescent="0.2">
      <c r="A98" s="556" t="s">
        <v>868</v>
      </c>
      <c r="B98" s="7" t="s">
        <v>869</v>
      </c>
      <c r="G98" s="264" t="s">
        <v>870</v>
      </c>
      <c r="H98" s="264"/>
    </row>
    <row r="99" spans="1:13" x14ac:dyDescent="0.2">
      <c r="A99" s="7"/>
      <c r="B99" s="7" t="s">
        <v>871</v>
      </c>
      <c r="G99" s="264"/>
    </row>
    <row r="100" spans="1:13" x14ac:dyDescent="0.2">
      <c r="A100" t="s">
        <v>524</v>
      </c>
    </row>
    <row r="101" spans="1:13" x14ac:dyDescent="0.2">
      <c r="A101" s="658" t="s">
        <v>1044</v>
      </c>
      <c r="B101" s="556" t="s">
        <v>414</v>
      </c>
      <c r="C101" s="556" t="s">
        <v>1087</v>
      </c>
    </row>
    <row r="102" spans="1:13" x14ac:dyDescent="0.2">
      <c r="A102" s="275"/>
      <c r="B102" s="556"/>
    </row>
    <row r="103" spans="1:13" x14ac:dyDescent="0.2">
      <c r="A103" s="6" t="s">
        <v>525</v>
      </c>
      <c r="B103" s="556"/>
    </row>
    <row r="104" spans="1:13" x14ac:dyDescent="0.2">
      <c r="A104" s="7" t="s">
        <v>603</v>
      </c>
    </row>
    <row r="105" spans="1:13" x14ac:dyDescent="0.2">
      <c r="A105" s="7" t="s">
        <v>604</v>
      </c>
    </row>
    <row r="106" spans="1:13" x14ac:dyDescent="0.2">
      <c r="A106" s="7" t="s">
        <v>602</v>
      </c>
    </row>
    <row r="107" spans="1:13" x14ac:dyDescent="0.2">
      <c r="A107" t="s">
        <v>526</v>
      </c>
    </row>
    <row r="108" spans="1:13" x14ac:dyDescent="0.2">
      <c r="A108" t="s">
        <v>642</v>
      </c>
    </row>
    <row r="109" spans="1:13" x14ac:dyDescent="0.2">
      <c r="A109" s="275" t="s">
        <v>1229</v>
      </c>
      <c r="B109" t="s">
        <v>1233</v>
      </c>
      <c r="D109" t="s">
        <v>1228</v>
      </c>
      <c r="G109" s="264"/>
    </row>
    <row r="110" spans="1:13" x14ac:dyDescent="0.2">
      <c r="A110" s="275">
        <v>2011</v>
      </c>
      <c r="B110" s="264" t="s">
        <v>1227</v>
      </c>
    </row>
    <row r="111" spans="1:13" x14ac:dyDescent="0.2">
      <c r="A111" s="275" t="s">
        <v>1230</v>
      </c>
      <c r="B111" t="s">
        <v>1231</v>
      </c>
      <c r="C111" s="556" t="s">
        <v>1232</v>
      </c>
      <c r="D111" s="264"/>
      <c r="E111" s="264"/>
    </row>
    <row r="112" spans="1:13" x14ac:dyDescent="0.2">
      <c r="K112" s="291"/>
      <c r="L112" s="291"/>
      <c r="M112" s="292"/>
    </row>
    <row r="113" spans="1:15" x14ac:dyDescent="0.2">
      <c r="A113" s="291" t="s">
        <v>449</v>
      </c>
      <c r="C113" s="291"/>
      <c r="D113" s="291"/>
      <c r="E113" s="291"/>
      <c r="F113" s="291"/>
      <c r="G113" s="291"/>
      <c r="H113" s="291"/>
      <c r="I113" s="291"/>
      <c r="J113" s="291"/>
      <c r="K113" s="291"/>
      <c r="L113" s="291"/>
      <c r="M113" s="292"/>
    </row>
    <row r="114" spans="1:15" x14ac:dyDescent="0.2">
      <c r="A114" s="291" t="s">
        <v>450</v>
      </c>
      <c r="B114" s="291"/>
      <c r="C114" s="291"/>
      <c r="D114" s="291"/>
      <c r="E114" s="291"/>
      <c r="F114" s="291"/>
      <c r="G114" s="291"/>
      <c r="H114" s="291"/>
      <c r="I114" s="291"/>
      <c r="J114" s="291"/>
      <c r="K114" s="291"/>
      <c r="L114" s="291"/>
      <c r="M114" s="292"/>
    </row>
    <row r="115" spans="1:15" x14ac:dyDescent="0.2">
      <c r="A115" s="291"/>
      <c r="B115" s="291"/>
      <c r="C115" s="291"/>
      <c r="D115" s="291"/>
      <c r="E115" s="291"/>
      <c r="F115" s="291"/>
      <c r="G115" s="291"/>
      <c r="H115" s="291"/>
      <c r="I115" s="291"/>
      <c r="J115" s="291"/>
      <c r="K115" s="291"/>
      <c r="L115" s="291"/>
      <c r="M115" s="292"/>
    </row>
    <row r="116" spans="1:15" x14ac:dyDescent="0.2">
      <c r="A116" s="6" t="s">
        <v>331</v>
      </c>
      <c r="B116" s="291"/>
    </row>
    <row r="117" spans="1:15" x14ac:dyDescent="0.2">
      <c r="A117" t="s">
        <v>11</v>
      </c>
    </row>
    <row r="118" spans="1:15" x14ac:dyDescent="0.2">
      <c r="A118" s="7" t="s">
        <v>582</v>
      </c>
    </row>
    <row r="119" spans="1:15" x14ac:dyDescent="0.2">
      <c r="A119" s="7" t="s">
        <v>639</v>
      </c>
      <c r="C119" s="7"/>
      <c r="D119" s="7"/>
      <c r="E119" s="7"/>
      <c r="F119" s="7"/>
      <c r="G119" s="7"/>
      <c r="H119" s="7"/>
      <c r="I119" s="7"/>
      <c r="J119" s="7"/>
      <c r="K119" s="7"/>
      <c r="L119" s="7"/>
      <c r="M119" s="7"/>
      <c r="N119" s="7"/>
      <c r="O119" s="7"/>
    </row>
    <row r="120" spans="1:15" x14ac:dyDescent="0.2">
      <c r="A120" s="556" t="s">
        <v>1234</v>
      </c>
      <c r="B120" s="264" t="s">
        <v>1228</v>
      </c>
      <c r="F120" s="7"/>
    </row>
    <row r="121" spans="1:15" x14ac:dyDescent="0.2">
      <c r="A121" s="556" t="s">
        <v>1062</v>
      </c>
      <c r="B121" s="556" t="s">
        <v>1235</v>
      </c>
      <c r="F121" s="7"/>
    </row>
    <row r="122" spans="1:15" x14ac:dyDescent="0.2">
      <c r="A122" s="275"/>
      <c r="B122" s="556" t="s">
        <v>1239</v>
      </c>
    </row>
    <row r="124" spans="1:15" x14ac:dyDescent="0.2">
      <c r="A124" s="6" t="s">
        <v>581</v>
      </c>
    </row>
    <row r="125" spans="1:15" x14ac:dyDescent="0.2">
      <c r="A125" t="s">
        <v>583</v>
      </c>
    </row>
    <row r="126" spans="1:15" x14ac:dyDescent="0.2">
      <c r="A126" t="s">
        <v>584</v>
      </c>
    </row>
    <row r="127" spans="1:15" x14ac:dyDescent="0.2">
      <c r="A127" t="s">
        <v>520</v>
      </c>
    </row>
    <row r="128" spans="1:15" x14ac:dyDescent="0.2">
      <c r="A128" t="s">
        <v>586</v>
      </c>
    </row>
    <row r="129" spans="1:1" x14ac:dyDescent="0.2">
      <c r="A129" t="s">
        <v>585</v>
      </c>
    </row>
  </sheetData>
  <mergeCells count="1">
    <mergeCell ref="G5:I5"/>
  </mergeCells>
  <phoneticPr fontId="0" type="noConversion"/>
  <hyperlinks>
    <hyperlink ref="V72" r:id="rId1"/>
    <hyperlink ref="P72" r:id="rId2"/>
    <hyperlink ref="H97" r:id="rId3"/>
    <hyperlink ref="G98" r:id="rId4" location="CustomizeTable"/>
  </hyperlinks>
  <pageMargins left="0.75" right="0.75" top="1" bottom="1" header="0.5" footer="0.5"/>
  <pageSetup orientation="portrait" horizontalDpi="4294967292" r:id="rId5"/>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0"/>
  <sheetViews>
    <sheetView workbookViewId="0">
      <selection activeCell="A28" sqref="A28"/>
    </sheetView>
  </sheetViews>
  <sheetFormatPr defaultRowHeight="12.75" x14ac:dyDescent="0.2"/>
  <cols>
    <col min="1" max="1" width="5.85546875" customWidth="1"/>
    <col min="6" max="7" width="13.7109375" customWidth="1"/>
    <col min="9" max="9" width="19.140625" bestFit="1" customWidth="1"/>
    <col min="13" max="13" width="12.42578125" customWidth="1"/>
    <col min="14" max="14" width="10" bestFit="1" customWidth="1"/>
    <col min="15" max="15" width="12.28515625" customWidth="1"/>
    <col min="16" max="16" width="15.140625" bestFit="1" customWidth="1"/>
  </cols>
  <sheetData>
    <row r="1" spans="1:16" ht="18" x14ac:dyDescent="0.25">
      <c r="A1" s="3" t="s">
        <v>1036</v>
      </c>
      <c r="J1" s="3"/>
    </row>
    <row r="2" spans="1:16" ht="15.75" x14ac:dyDescent="0.25">
      <c r="A2" t="s">
        <v>323</v>
      </c>
      <c r="K2" s="137" t="s">
        <v>318</v>
      </c>
      <c r="M2" s="137" t="s">
        <v>1185</v>
      </c>
    </row>
    <row r="3" spans="1:16" x14ac:dyDescent="0.2">
      <c r="M3" s="556"/>
    </row>
    <row r="4" spans="1:16" ht="51" customHeight="1" x14ac:dyDescent="0.2">
      <c r="A4" s="1"/>
      <c r="B4" s="2" t="s">
        <v>311</v>
      </c>
      <c r="C4" s="2"/>
      <c r="D4" s="1"/>
      <c r="E4" s="1"/>
      <c r="F4" s="1"/>
      <c r="G4" s="1"/>
      <c r="J4" s="1"/>
      <c r="K4" s="2"/>
      <c r="L4" s="2"/>
      <c r="M4" s="947" t="s">
        <v>1184</v>
      </c>
      <c r="N4" s="947"/>
      <c r="O4" s="1"/>
    </row>
    <row r="5" spans="1:16" x14ac:dyDescent="0.2">
      <c r="A5" s="101"/>
      <c r="B5" s="69" t="s">
        <v>312</v>
      </c>
      <c r="C5" s="71"/>
      <c r="D5" s="72" t="s">
        <v>316</v>
      </c>
      <c r="E5" s="72" t="s">
        <v>318</v>
      </c>
      <c r="F5" s="72" t="s">
        <v>328</v>
      </c>
      <c r="G5" s="69"/>
      <c r="H5" s="69" t="s">
        <v>330</v>
      </c>
      <c r="I5" s="73"/>
      <c r="J5" s="1"/>
      <c r="K5" s="2"/>
      <c r="L5" s="2"/>
      <c r="M5" s="2"/>
      <c r="N5" s="2"/>
      <c r="P5" s="2"/>
    </row>
    <row r="6" spans="1:16" ht="76.5" x14ac:dyDescent="0.2">
      <c r="A6" s="95" t="s">
        <v>310</v>
      </c>
      <c r="B6" s="84" t="s">
        <v>326</v>
      </c>
      <c r="C6" s="94" t="s">
        <v>353</v>
      </c>
      <c r="D6" s="91" t="s">
        <v>327</v>
      </c>
      <c r="E6" s="91" t="s">
        <v>600</v>
      </c>
      <c r="F6" s="91" t="s">
        <v>452</v>
      </c>
      <c r="G6" s="91" t="s">
        <v>451</v>
      </c>
      <c r="H6" s="84" t="s">
        <v>575</v>
      </c>
      <c r="I6" s="94" t="s">
        <v>587</v>
      </c>
      <c r="J6" s="2"/>
      <c r="K6" s="2" t="s">
        <v>12</v>
      </c>
      <c r="L6" s="2"/>
      <c r="M6" s="652" t="s">
        <v>994</v>
      </c>
      <c r="N6" s="652" t="s">
        <v>996</v>
      </c>
      <c r="P6" s="2"/>
    </row>
    <row r="7" spans="1:16" x14ac:dyDescent="0.2">
      <c r="A7" s="30">
        <v>1949</v>
      </c>
      <c r="B7" s="35"/>
      <c r="C7" s="33"/>
      <c r="D7" s="64"/>
      <c r="E7" s="64"/>
      <c r="F7" s="64"/>
      <c r="G7" s="35"/>
      <c r="H7" s="111"/>
      <c r="I7" s="33"/>
    </row>
    <row r="8" spans="1:16" x14ac:dyDescent="0.2">
      <c r="A8" s="30">
        <v>1950</v>
      </c>
      <c r="B8" s="35"/>
      <c r="C8" s="33"/>
      <c r="D8" s="64"/>
      <c r="E8" s="64"/>
      <c r="F8" s="64"/>
      <c r="G8" s="35"/>
      <c r="H8" s="111"/>
      <c r="I8" s="33">
        <f>(FuelConsump!BF8*'Fuel Heat Content'!$D$18+FuelConsump!BG8*'Fuel Heat Content'!$D$21)/1000000</f>
        <v>129.437926</v>
      </c>
    </row>
    <row r="9" spans="1:16" x14ac:dyDescent="0.2">
      <c r="A9" s="30">
        <v>1951</v>
      </c>
      <c r="B9" s="35"/>
      <c r="C9" s="33"/>
      <c r="D9" s="64"/>
      <c r="E9" s="64"/>
      <c r="F9" s="64"/>
      <c r="G9" s="35"/>
      <c r="H9" s="111"/>
      <c r="I9" s="33">
        <f>(FuelConsump!BF9*'Fuel Heat Content'!$D$18+FuelConsump!BG9*'Fuel Heat Content'!$D$21)/1000000</f>
        <v>198.46337600000001</v>
      </c>
    </row>
    <row r="10" spans="1:16" x14ac:dyDescent="0.2">
      <c r="A10" s="30">
        <v>1952</v>
      </c>
      <c r="B10" s="35"/>
      <c r="C10" s="33"/>
      <c r="D10" s="64"/>
      <c r="E10" s="64"/>
      <c r="F10" s="64"/>
      <c r="G10" s="35"/>
      <c r="H10" s="111"/>
      <c r="I10" s="33">
        <f>(FuelConsump!BF10*'Fuel Heat Content'!$D$18+FuelConsump!BG10*'Fuel Heat Content'!$D$21)/1000000</f>
        <v>213.63041699999999</v>
      </c>
    </row>
    <row r="11" spans="1:16" x14ac:dyDescent="0.2">
      <c r="A11" s="30">
        <v>1953</v>
      </c>
      <c r="B11" s="35"/>
      <c r="C11" s="33"/>
      <c r="D11" s="64"/>
      <c r="E11" s="64"/>
      <c r="F11" s="64"/>
      <c r="G11" s="35"/>
      <c r="H11" s="111"/>
      <c r="I11" s="33">
        <f>(FuelConsump!BF11*'Fuel Heat Content'!$D$18+FuelConsump!BG11*'Fuel Heat Content'!$D$21)/1000000</f>
        <v>237.453734</v>
      </c>
    </row>
    <row r="12" spans="1:16" x14ac:dyDescent="0.2">
      <c r="A12" s="30">
        <v>1954</v>
      </c>
      <c r="B12" s="35"/>
      <c r="C12" s="33"/>
      <c r="D12" s="64"/>
      <c r="E12" s="64"/>
      <c r="F12" s="64"/>
      <c r="G12" s="35"/>
      <c r="H12" s="111"/>
      <c r="I12" s="33">
        <f>(FuelConsump!BF12*'Fuel Heat Content'!$D$18+FuelConsump!BG12*'Fuel Heat Content'!$D$21)/1000000</f>
        <v>237.76406499999999</v>
      </c>
    </row>
    <row r="13" spans="1:16" x14ac:dyDescent="0.2">
      <c r="A13" s="30">
        <v>1955</v>
      </c>
      <c r="B13" s="35"/>
      <c r="C13" s="33"/>
      <c r="D13" s="64"/>
      <c r="E13" s="64"/>
      <c r="F13" s="64"/>
      <c r="G13" s="35"/>
      <c r="H13" s="111"/>
      <c r="I13" s="33">
        <f>(FuelConsump!BF13*'Fuel Heat Content'!$D$18+FuelConsump!BG13*'Fuel Heat Content'!$D$21)/1000000</f>
        <v>252.848626</v>
      </c>
    </row>
    <row r="14" spans="1:16" x14ac:dyDescent="0.2">
      <c r="A14" s="30">
        <v>1956</v>
      </c>
      <c r="B14" s="35"/>
      <c r="C14" s="33"/>
      <c r="D14" s="64"/>
      <c r="E14" s="64"/>
      <c r="F14" s="64"/>
      <c r="G14" s="35"/>
      <c r="H14" s="111"/>
      <c r="I14" s="33">
        <f>(FuelConsump!BF14*'Fuel Heat Content'!$D$18+FuelConsump!BG14*'Fuel Heat Content'!$D$21)/1000000</f>
        <v>305.147132</v>
      </c>
    </row>
    <row r="15" spans="1:16" x14ac:dyDescent="0.2">
      <c r="A15" s="30">
        <v>1957</v>
      </c>
      <c r="B15" s="35"/>
      <c r="C15" s="33"/>
      <c r="D15" s="64"/>
      <c r="E15" s="64"/>
      <c r="F15" s="64"/>
      <c r="G15" s="35"/>
      <c r="H15" s="111"/>
      <c r="I15" s="33">
        <f>(FuelConsump!BF15*'Fuel Heat Content'!$D$18+FuelConsump!BG15*'Fuel Heat Content'!$D$21)/1000000</f>
        <v>308.51128499999999</v>
      </c>
    </row>
    <row r="16" spans="1:16" x14ac:dyDescent="0.2">
      <c r="A16" s="30">
        <v>1958</v>
      </c>
      <c r="B16" s="35"/>
      <c r="C16" s="33"/>
      <c r="D16" s="64"/>
      <c r="E16" s="64"/>
      <c r="F16" s="64"/>
      <c r="G16" s="35"/>
      <c r="H16" s="111"/>
      <c r="I16" s="33">
        <f>(FuelConsump!BF16*'Fuel Heat Content'!$D$18+FuelConsump!BG16*'Fuel Heat Content'!$D$21)/1000000</f>
        <v>321.89985100000001</v>
      </c>
    </row>
    <row r="17" spans="1:15" x14ac:dyDescent="0.2">
      <c r="A17" s="30">
        <v>1959</v>
      </c>
      <c r="B17" s="35"/>
      <c r="C17" s="33"/>
      <c r="D17" s="64"/>
      <c r="E17" s="64"/>
      <c r="F17" s="64"/>
      <c r="G17" s="35"/>
      <c r="H17" s="111"/>
      <c r="I17" s="33">
        <f>(FuelConsump!BF17*'Fuel Heat Content'!$D$18+FuelConsump!BG17*'Fuel Heat Content'!$D$21)/1000000</f>
        <v>360.17778800000002</v>
      </c>
    </row>
    <row r="18" spans="1:15" x14ac:dyDescent="0.2">
      <c r="A18" s="30">
        <v>1960</v>
      </c>
      <c r="B18" s="35"/>
      <c r="C18" s="33"/>
      <c r="D18" s="64"/>
      <c r="E18" s="64"/>
      <c r="F18" s="64"/>
      <c r="G18" s="35"/>
      <c r="H18" s="111"/>
      <c r="I18" s="33">
        <f>(FuelConsump!BF18*'Fuel Heat Content'!$D$18+FuelConsump!BG18*'Fuel Heat Content'!$D$21)/1000000</f>
        <v>357.83432499999998</v>
      </c>
    </row>
    <row r="19" spans="1:15" x14ac:dyDescent="0.2">
      <c r="A19" s="30">
        <v>1961</v>
      </c>
      <c r="B19" s="35"/>
      <c r="C19" s="33"/>
      <c r="D19" s="64"/>
      <c r="E19" s="64"/>
      <c r="F19" s="64"/>
      <c r="G19" s="35"/>
      <c r="H19" s="111"/>
      <c r="I19" s="33">
        <f>(FuelConsump!BF19*'Fuel Heat Content'!$D$18+FuelConsump!BG19*'Fuel Heat Content'!$D$21)/1000000</f>
        <v>389.312817</v>
      </c>
    </row>
    <row r="20" spans="1:15" x14ac:dyDescent="0.2">
      <c r="A20" s="30">
        <v>1962</v>
      </c>
      <c r="B20" s="35"/>
      <c r="C20" s="33"/>
      <c r="D20" s="64"/>
      <c r="E20" s="64"/>
      <c r="F20" s="64"/>
      <c r="G20" s="35"/>
      <c r="H20" s="111"/>
      <c r="I20" s="33">
        <f>(FuelConsump!BF20*'Fuel Heat Content'!$D$18+FuelConsump!BG20*'Fuel Heat Content'!$D$21)/1000000</f>
        <v>394.35337600000003</v>
      </c>
      <c r="M20" t="s">
        <v>995</v>
      </c>
      <c r="O20" s="136">
        <f>1/0.99</f>
        <v>1.0101010101010102</v>
      </c>
    </row>
    <row r="21" spans="1:15" x14ac:dyDescent="0.2">
      <c r="A21" s="30">
        <v>1963</v>
      </c>
      <c r="B21" s="35"/>
      <c r="C21" s="33">
        <f>((FuelConsump!R21*'Fuel Heat Content'!$D$6)+(FuelConsump!S21*'Fuel Heat Content'!$D$7)+(FuelConsump!T21*'Fuel Heat Content'!$D$14))/1000000</f>
        <v>0</v>
      </c>
      <c r="D21" s="64"/>
      <c r="E21" s="64"/>
      <c r="F21" s="64"/>
      <c r="G21" s="35"/>
      <c r="H21" s="111"/>
      <c r="I21" s="33">
        <f>(FuelConsump!BF21*'Fuel Heat Content'!$D$18+FuelConsump!BG21*'Fuel Heat Content'!$D$21)/1000000</f>
        <v>436.92027300000001</v>
      </c>
    </row>
    <row r="22" spans="1:15" x14ac:dyDescent="0.2">
      <c r="A22" s="30">
        <v>1964</v>
      </c>
      <c r="B22" s="35"/>
      <c r="C22" s="33">
        <f>((FuelConsump!R22*'Fuel Heat Content'!$D$6)+(FuelConsump!S22*'Fuel Heat Content'!$D$7)+(FuelConsump!T22*'Fuel Heat Content'!$D$14))/1000000</f>
        <v>0</v>
      </c>
      <c r="D22" s="64"/>
      <c r="E22" s="64"/>
      <c r="F22" s="64"/>
      <c r="G22" s="35"/>
      <c r="H22" s="111"/>
      <c r="I22" s="33">
        <f>(FuelConsump!BF22*'Fuel Heat Content'!$D$18+FuelConsump!BG22*'Fuel Heat Content'!$D$21)/1000000</f>
        <v>449.07267000000002</v>
      </c>
    </row>
    <row r="23" spans="1:15" x14ac:dyDescent="0.2">
      <c r="A23" s="30">
        <v>1965</v>
      </c>
      <c r="B23" s="35"/>
      <c r="C23" s="33">
        <f>((FuelConsump!R23*'Fuel Heat Content'!$D$6)+(FuelConsump!S23*'Fuel Heat Content'!$D$7)+(FuelConsump!T23*'Fuel Heat Content'!$D$14))/1000000</f>
        <v>0</v>
      </c>
      <c r="D23" s="64"/>
      <c r="E23" s="64"/>
      <c r="F23" s="64"/>
      <c r="G23" s="35"/>
      <c r="H23" s="111"/>
      <c r="I23" s="33">
        <f>(FuelConsump!BF23*'Fuel Heat Content'!$D$18+FuelConsump!BG23*'Fuel Heat Content'!$D$21)/1000000</f>
        <v>516.04024400000003</v>
      </c>
    </row>
    <row r="24" spans="1:15" x14ac:dyDescent="0.2">
      <c r="A24" s="30">
        <v>1966</v>
      </c>
      <c r="B24" s="35">
        <f>((FuelConsump!N24*'Fuel Heat Content'!$D$6)+(FuelConsump!O24*'Fuel Heat Content'!$D$7)+(FuelConsump!P24*'Fuel Heat Content'!$D$14))/1000000</f>
        <v>0</v>
      </c>
      <c r="C24" s="33">
        <f>((FuelConsump!R24*'Fuel Heat Content'!$D$6)+(FuelConsump!S24*'Fuel Heat Content'!$D$7)+(FuelConsump!T24*'Fuel Heat Content'!$D$14))/1000000</f>
        <v>0</v>
      </c>
      <c r="D24" s="64"/>
      <c r="E24" s="64"/>
      <c r="F24" s="64"/>
      <c r="G24" s="35"/>
      <c r="H24" s="111"/>
      <c r="I24" s="33">
        <f>(FuelConsump!BF24*'Fuel Heat Content'!$D$18+FuelConsump!BG24*'Fuel Heat Content'!$D$21)/1000000</f>
        <v>551.94894299999999</v>
      </c>
      <c r="K24" s="6" t="s">
        <v>660</v>
      </c>
    </row>
    <row r="25" spans="1:15" x14ac:dyDescent="0.2">
      <c r="A25" s="30">
        <v>1967</v>
      </c>
      <c r="B25" s="35">
        <f>((FuelConsump!N25*'Fuel Heat Content'!$D$6)+(FuelConsump!O25*'Fuel Heat Content'!$D$7)+(FuelConsump!P25*'Fuel Heat Content'!$D$14))/1000000</f>
        <v>0</v>
      </c>
      <c r="C25" s="33">
        <f>((FuelConsump!R25*'Fuel Heat Content'!$D$6)+(FuelConsump!S25*'Fuel Heat Content'!$D$7)+(FuelConsump!T25*'Fuel Heat Content'!$D$14))/1000000</f>
        <v>0</v>
      </c>
      <c r="D25" s="64"/>
      <c r="E25" s="64"/>
      <c r="F25" s="64"/>
      <c r="G25" s="35"/>
      <c r="H25" s="111"/>
      <c r="I25" s="33">
        <f>(FuelConsump!BF25*'Fuel Heat Content'!$D$18+FuelConsump!BG25*'Fuel Heat Content'!$D$21)/1000000</f>
        <v>593.60031200000003</v>
      </c>
      <c r="K25" s="6" t="s">
        <v>13</v>
      </c>
    </row>
    <row r="26" spans="1:15" x14ac:dyDescent="0.2">
      <c r="A26" s="30">
        <v>1968</v>
      </c>
      <c r="B26" s="35">
        <f>((FuelConsump!N26*'Fuel Heat Content'!$D$6)+(FuelConsump!O26*'Fuel Heat Content'!$D$7)+(FuelConsump!P26*'Fuel Heat Content'!$D$14))/1000000</f>
        <v>0</v>
      </c>
      <c r="C26" s="33">
        <f>((FuelConsump!R26*'Fuel Heat Content'!$D$6)+(FuelConsump!S26*'Fuel Heat Content'!$D$7)+(FuelConsump!T26*'Fuel Heat Content'!$D$14))/1000000</f>
        <v>0</v>
      </c>
      <c r="D26" s="64">
        <f>FuelConsump!BD26*'Fuel Heat Content'!$D$13/1000000</f>
        <v>544.04964039999993</v>
      </c>
      <c r="E26" s="64"/>
      <c r="F26" s="64"/>
      <c r="G26" s="35"/>
      <c r="H26" s="111"/>
      <c r="I26" s="33">
        <f>(FuelConsump!BF26*'Fuel Heat Content'!$D$18+FuelConsump!BG26*'Fuel Heat Content'!$D$21)/1000000</f>
        <v>609.28491499999996</v>
      </c>
      <c r="K26" s="6" t="s">
        <v>470</v>
      </c>
    </row>
    <row r="27" spans="1:15" x14ac:dyDescent="0.2">
      <c r="A27" s="30">
        <v>1969</v>
      </c>
      <c r="B27" s="35">
        <f>((FuelConsump!N27*'Fuel Heat Content'!$D$6)+(FuelConsump!O27*'Fuel Heat Content'!$D$7)+(FuelConsump!P27*'Fuel Heat Content'!$D$14))/1000000</f>
        <v>0</v>
      </c>
      <c r="C27" s="33">
        <f>((FuelConsump!R27*'Fuel Heat Content'!$D$6)+(FuelConsump!S27*'Fuel Heat Content'!$D$7)+(FuelConsump!T27*'Fuel Heat Content'!$D$14))/1000000</f>
        <v>0</v>
      </c>
      <c r="D27" s="64">
        <f>FuelConsump!BD27*'Fuel Heat Content'!$D$13/1000000</f>
        <v>544.26642849999996</v>
      </c>
      <c r="E27" s="64"/>
      <c r="F27" s="64"/>
      <c r="G27" s="35"/>
      <c r="H27" s="111"/>
      <c r="I27" s="33">
        <f>(FuelConsump!BF27*'Fuel Heat Content'!$D$18+FuelConsump!BG27*'Fuel Heat Content'!$D$21)/1000000</f>
        <v>650.52182200000004</v>
      </c>
      <c r="K27" s="6" t="s">
        <v>776</v>
      </c>
    </row>
    <row r="28" spans="1:15" x14ac:dyDescent="0.2">
      <c r="A28" s="30">
        <v>1970</v>
      </c>
      <c r="B28" s="35">
        <f>((FuelConsump!N28*'Fuel Heat Content'!$D$6)+(FuelConsump!O28*'Fuel Heat Content'!$D$7)+(FuelConsump!P28*'Fuel Heat Content'!$D$14))/1000000</f>
        <v>888.41333627186543</v>
      </c>
      <c r="C28" s="33">
        <f>((FuelConsump!R28*'Fuel Heat Content'!$D$6)+(FuelConsump!S28*'Fuel Heat Content'!$D$7)+(FuelConsump!T28*'Fuel Heat Content'!$D$14))/1000000</f>
        <v>1091.7114201220106</v>
      </c>
      <c r="D28" s="64">
        <f>FuelConsump!BD28*'Fuel Heat Content'!$D$13/1000000</f>
        <v>528.12285810000003</v>
      </c>
      <c r="E28" s="64">
        <f>K28*(FuelConsump!AP28+1*FuelConsump!AQ28)*'Fuel Heat Content'!$D$11/1000000</f>
        <v>150.15605359643743</v>
      </c>
      <c r="F28" s="64">
        <f>((FuelConsump!AM28*'Fuel Heat Content'!$D$13)+(FuelConsump!AN28*'Fuel Heat Content'!$D$12))*42/1000000000</f>
        <v>678.53566620000004</v>
      </c>
      <c r="G28" s="35">
        <f>FuelConsump!$DA28</f>
        <v>324.8</v>
      </c>
      <c r="H28" s="111"/>
      <c r="I28" s="33">
        <f>(FuelConsump!BF28*'Fuel Heat Content'!$D$18+FuelConsump!BG28*'Fuel Heat Content'!$D$21)/1000000</f>
        <v>778.39168791706322</v>
      </c>
      <c r="K28" s="136">
        <f>'Freight-based Activity'!F28/('Freight-based Activity'!F28+'Passenger-based Activity'!T29)</f>
        <v>0.1102892477617565</v>
      </c>
      <c r="M28">
        <f t="shared" ref="M28:M54" si="0">O$20*M29</f>
        <v>348.92443384575643</v>
      </c>
      <c r="N28">
        <f>'Freight-based Activity'!$G28*M28*0.000001</f>
        <v>208.02714624461305</v>
      </c>
    </row>
    <row r="29" spans="1:15" x14ac:dyDescent="0.2">
      <c r="A29" s="30">
        <v>1971</v>
      </c>
      <c r="B29" s="35">
        <f>((FuelConsump!N29*'Fuel Heat Content'!$D$6)+(FuelConsump!O29*'Fuel Heat Content'!$D$7)+(FuelConsump!P29*'Fuel Heat Content'!$D$14))/1000000</f>
        <v>944.11256533111998</v>
      </c>
      <c r="C29" s="33">
        <f>((FuelConsump!R29*'Fuel Heat Content'!$D$6)+(FuelConsump!S29*'Fuel Heat Content'!$D$7)+(FuelConsump!T29*'Fuel Heat Content'!$D$14))/1000000</f>
        <v>1128.4351658847543</v>
      </c>
      <c r="D29" s="64">
        <f>FuelConsump!BD29*'Fuel Heat Content'!$D$13/1000000</f>
        <v>530.23720090000006</v>
      </c>
      <c r="E29" s="64">
        <f>K29*(FuelConsump!AP29+1*FuelConsump!AQ29)*'Fuel Heat Content'!$D$11/1000000</f>
        <v>174.35944338788892</v>
      </c>
      <c r="F29" s="64">
        <f>((FuelConsump!AM29*'Fuel Heat Content'!$D$13)+(FuelConsump!AN29*'Fuel Heat Content'!$D$12))*42/1000000000</f>
        <v>617.08269840000003</v>
      </c>
      <c r="G29" s="35">
        <f>FuelConsump!$DA29</f>
        <v>300</v>
      </c>
      <c r="H29" s="111"/>
      <c r="I29" s="33">
        <f>(FuelConsump!BF29*'Fuel Heat Content'!$D$18+FuelConsump!BG29*'Fuel Heat Content'!$D$21)/1000000</f>
        <v>800.40799527215052</v>
      </c>
      <c r="K29" s="136">
        <f>'Freight-based Activity'!F29/('Freight-based Activity'!F29+'Passenger-based Activity'!T30)</f>
        <v>0.12737193614426831</v>
      </c>
      <c r="M29">
        <f t="shared" si="0"/>
        <v>345.43518950729884</v>
      </c>
      <c r="N29">
        <f>'Freight-based Activity'!$G29*M29*0.000001</f>
        <v>204.89959888289664</v>
      </c>
    </row>
    <row r="30" spans="1:15" x14ac:dyDescent="0.2">
      <c r="A30" s="30">
        <v>1972</v>
      </c>
      <c r="B30" s="35">
        <f>((FuelConsump!N30*'Fuel Heat Content'!$D$6)+(FuelConsump!O30*'Fuel Heat Content'!$D$7)+(FuelConsump!P30*'Fuel Heat Content'!$D$14))/1000000</f>
        <v>1084.4855437838196</v>
      </c>
      <c r="C30" s="33">
        <f>((FuelConsump!R30*'Fuel Heat Content'!$D$6)+(FuelConsump!S30*'Fuel Heat Content'!$D$7)+(FuelConsump!T30*'Fuel Heat Content'!$D$14))/1000000</f>
        <v>1206.4321378148177</v>
      </c>
      <c r="D30" s="64">
        <f>FuelConsump!BD30*'Fuel Heat Content'!$D$13/1000000</f>
        <v>554.38181950000001</v>
      </c>
      <c r="E30" s="64">
        <f>K30*(FuelConsump!AP30+1*FuelConsump!AQ30)*'Fuel Heat Content'!$D$11/1000000</f>
        <v>176.99351479583584</v>
      </c>
      <c r="F30" s="64">
        <f>((FuelConsump!AM30*'Fuel Heat Content'!$D$13)+(FuelConsump!AN30*'Fuel Heat Content'!$D$12))*42/1000000000</f>
        <v>618.87663180000004</v>
      </c>
      <c r="G30" s="35">
        <f>FuelConsump!$DA30</f>
        <v>315.10000000000002</v>
      </c>
      <c r="H30" s="111"/>
      <c r="I30" s="33">
        <f>(FuelConsump!BF30*'Fuel Heat Content'!$D$18+FuelConsump!BG30*'Fuel Heat Content'!$D$21)/1000000</f>
        <v>825.80661793519153</v>
      </c>
      <c r="K30" s="136">
        <f>'Freight-based Activity'!F30/('Freight-based Activity'!F30+'Passenger-based Activity'!T31)</f>
        <v>0.12726296569226819</v>
      </c>
      <c r="M30">
        <f t="shared" si="0"/>
        <v>341.98083761222586</v>
      </c>
      <c r="N30">
        <f>'Freight-based Activity'!$G30*M30*0.000001</f>
        <v>206.39995190157327</v>
      </c>
    </row>
    <row r="31" spans="1:15" x14ac:dyDescent="0.2">
      <c r="A31" s="30">
        <v>1973</v>
      </c>
      <c r="B31" s="35">
        <f>((FuelConsump!N31*'Fuel Heat Content'!$D$6)+(FuelConsump!O31*'Fuel Heat Content'!$D$7)+(FuelConsump!P31*'Fuel Heat Content'!$D$14))/1000000</f>
        <v>1185.1784046890607</v>
      </c>
      <c r="C31" s="33">
        <f>((FuelConsump!R31*'Fuel Heat Content'!$D$6)+(FuelConsump!S31*'Fuel Heat Content'!$D$7)+(FuelConsump!T31*'Fuel Heat Content'!$D$14))/1000000</f>
        <v>1341.0011356489667</v>
      </c>
      <c r="D31" s="64">
        <f>FuelConsump!BD31*'Fuel Heat Content'!$D$13/1000000</f>
        <v>577.0932509999999</v>
      </c>
      <c r="E31" s="64">
        <f>K31*(FuelConsump!AP31+1*FuelConsump!AQ31)*'Fuel Heat Content'!$D$11/1000000</f>
        <v>186.40798603122082</v>
      </c>
      <c r="F31" s="64">
        <f>((FuelConsump!AM31*'Fuel Heat Content'!$D$13)+(FuelConsump!AN31*'Fuel Heat Content'!$D$12))*42/1000000000</f>
        <v>737.08923540000001</v>
      </c>
      <c r="G31" s="35">
        <f>FuelConsump!$DA31</f>
        <v>337</v>
      </c>
      <c r="H31" s="111"/>
      <c r="I31" s="33">
        <f>(FuelConsump!BF31*'Fuel Heat Content'!$D$18+FuelConsump!BG31*'Fuel Heat Content'!$D$21)/1000000</f>
        <v>784.87068642442784</v>
      </c>
      <c r="K31" s="136">
        <f>'Freight-based Activity'!F31/('Freight-based Activity'!F31+'Passenger-based Activity'!T32)</f>
        <v>0.12939742259652906</v>
      </c>
      <c r="M31">
        <f t="shared" si="0"/>
        <v>338.56102923610359</v>
      </c>
      <c r="N31">
        <f>'Freight-based Activity'!$G31*M31*0.000001</f>
        <v>197.95375027006375</v>
      </c>
    </row>
    <row r="32" spans="1:15" x14ac:dyDescent="0.2">
      <c r="A32" s="30">
        <v>1974</v>
      </c>
      <c r="B32" s="35">
        <f>((FuelConsump!N32*'Fuel Heat Content'!$D$6)+(FuelConsump!O32*'Fuel Heat Content'!$D$7)+(FuelConsump!P32*'Fuel Heat Content'!$D$14))/1000000</f>
        <v>1177.7321336461489</v>
      </c>
      <c r="C32" s="33">
        <f>((FuelConsump!R32*'Fuel Heat Content'!$D$6)+(FuelConsump!S32*'Fuel Heat Content'!$D$7)+(FuelConsump!T32*'Fuel Heat Content'!$D$14))/1000000</f>
        <v>1349.1035003181526</v>
      </c>
      <c r="D32" s="64">
        <f>FuelConsump!BD32*'Fuel Heat Content'!$D$13/1000000</f>
        <v>579.12451250000004</v>
      </c>
      <c r="E32" s="64">
        <f>K32*(FuelConsump!AP32+1*FuelConsump!AQ32)*'Fuel Heat Content'!$D$11/1000000</f>
        <v>184.34542309303853</v>
      </c>
      <c r="F32" s="64">
        <f>((FuelConsump!AM32*'Fuel Heat Content'!$D$13)+(FuelConsump!AN32*'Fuel Heat Content'!$D$12))*42/1000000000</f>
        <v>714.26491499999997</v>
      </c>
      <c r="G32" s="35">
        <f>FuelConsump!$DA32</f>
        <v>283.3</v>
      </c>
      <c r="H32" s="111"/>
      <c r="I32" s="33">
        <f>(FuelConsump!BF32*'Fuel Heat Content'!$D$18+FuelConsump!BG32*'Fuel Heat Content'!$D$21)/1000000</f>
        <v>720.86214768547472</v>
      </c>
      <c r="K32" s="136">
        <f>'Freight-based Activity'!F32/('Freight-based Activity'!F32+'Passenger-based Activity'!T33)</f>
        <v>0.13108210885172034</v>
      </c>
      <c r="M32">
        <f t="shared" si="0"/>
        <v>335.17541894374256</v>
      </c>
      <c r="N32">
        <f>'Freight-based Activity'!$G32*M32*0.000001</f>
        <v>196.52851246819552</v>
      </c>
    </row>
    <row r="33" spans="1:14" x14ac:dyDescent="0.2">
      <c r="A33" s="30">
        <v>1975</v>
      </c>
      <c r="B33" s="35">
        <f>((FuelConsump!N33*'Fuel Heat Content'!$D$6)+(FuelConsump!O33*'Fuel Heat Content'!$D$7)+(FuelConsump!P33*'Fuel Heat Content'!$D$14))/1000000</f>
        <v>1213.5022004674915</v>
      </c>
      <c r="C33" s="33">
        <f>((FuelConsump!R33*'Fuel Heat Content'!$D$6)+(FuelConsump!S33*'Fuel Heat Content'!$D$7)+(FuelConsump!T33*'Fuel Heat Content'!$D$14))/1000000</f>
        <v>1363.5330429708815</v>
      </c>
      <c r="D33" s="64">
        <f>FuelConsump!BD33*'Fuel Heat Content'!$D$13/1000000</f>
        <v>518.25033080000003</v>
      </c>
      <c r="E33" s="64">
        <f>K33*(FuelConsump!AP33+1*FuelConsump!AQ33)*'Fuel Heat Content'!$D$11/1000000</f>
        <v>179.12744370511905</v>
      </c>
      <c r="F33" s="64">
        <f>((FuelConsump!AM33*'Fuel Heat Content'!$D$13)+(FuelConsump!AN33*'Fuel Heat Content'!$D$12))*42/1000000000</f>
        <v>760.08612540000001</v>
      </c>
      <c r="G33" s="35">
        <f>FuelConsump!$DA33</f>
        <v>311</v>
      </c>
      <c r="H33" s="111"/>
      <c r="I33" s="33">
        <f>(FuelConsump!BF33*'Fuel Heat Content'!$D$18+FuelConsump!BG33*'Fuel Heat Content'!$D$21)/1000000</f>
        <v>628.35075808497618</v>
      </c>
      <c r="K33" s="136">
        <f>'Freight-based Activity'!F33/('Freight-based Activity'!F33+'Passenger-based Activity'!T34)</f>
        <v>0.12742926390827</v>
      </c>
      <c r="M33">
        <f t="shared" si="0"/>
        <v>331.82366475430513</v>
      </c>
      <c r="N33">
        <f>'Freight-based Activity'!$G33*M33*0.000001</f>
        <v>187.80695906897785</v>
      </c>
    </row>
    <row r="34" spans="1:14" x14ac:dyDescent="0.2">
      <c r="A34" s="30">
        <v>1976</v>
      </c>
      <c r="B34" s="35">
        <f>((FuelConsump!N34*'Fuel Heat Content'!$D$6)+(FuelConsump!O34*'Fuel Heat Content'!$D$7)+(FuelConsump!P34*'Fuel Heat Content'!$D$14))/1000000</f>
        <v>1277.3699193517632</v>
      </c>
      <c r="C34" s="33">
        <f>((FuelConsump!R34*'Fuel Heat Content'!$D$6)+(FuelConsump!S34*'Fuel Heat Content'!$D$7)+(FuelConsump!T34*'Fuel Heat Content'!$D$14))/1000000</f>
        <v>1441.5404172230378</v>
      </c>
      <c r="D34" s="64">
        <f>FuelConsump!BD34*'Fuel Heat Content'!$D$13/1000000</f>
        <v>540.31167540000001</v>
      </c>
      <c r="E34" s="64">
        <f>K34*(FuelConsump!AP34+1*FuelConsump!AQ34)*'Fuel Heat Content'!$D$11/1000000</f>
        <v>204.0748239321901</v>
      </c>
      <c r="F34" s="64">
        <f>((FuelConsump!AM34*'Fuel Heat Content'!$D$13)+(FuelConsump!AN34*'Fuel Heat Content'!$D$12))*42/1000000000</f>
        <v>903.5390112</v>
      </c>
      <c r="G34" s="35">
        <f>FuelConsump!$DA34</f>
        <v>277.3</v>
      </c>
      <c r="H34" s="111"/>
      <c r="I34" s="33">
        <f>(FuelConsump!BF34*'Fuel Heat Content'!$D$18+FuelConsump!BG34*'Fuel Heat Content'!$D$21)/1000000</f>
        <v>591.01379114185352</v>
      </c>
      <c r="K34" s="136">
        <f>'Freight-based Activity'!F34/('Freight-based Activity'!F34+'Passenger-based Activity'!T35)</f>
        <v>0.1453524386981411</v>
      </c>
      <c r="M34">
        <f t="shared" si="0"/>
        <v>328.50542810676205</v>
      </c>
      <c r="N34">
        <f>'Freight-based Activity'!$G34*M34*0.000001</f>
        <v>194.42708148088775</v>
      </c>
    </row>
    <row r="35" spans="1:14" x14ac:dyDescent="0.2">
      <c r="A35" s="30">
        <v>1977</v>
      </c>
      <c r="B35" s="35">
        <f>((FuelConsump!N35*'Fuel Heat Content'!$D$6)+(FuelConsump!O35*'Fuel Heat Content'!$D$7)+(FuelConsump!P35*'Fuel Heat Content'!$D$14))/1000000</f>
        <v>1403.1762415241894</v>
      </c>
      <c r="C35" s="33">
        <f>((FuelConsump!R35*'Fuel Heat Content'!$D$6)+(FuelConsump!S35*'Fuel Heat Content'!$D$7)+(FuelConsump!T35*'Fuel Heat Content'!$D$14))/1000000</f>
        <v>1606.7128882120765</v>
      </c>
      <c r="D35" s="64">
        <f>FuelConsump!BD35*'Fuel Heat Content'!$D$13/1000000</f>
        <v>552.72907029999999</v>
      </c>
      <c r="E35" s="64">
        <f>K35*(FuelConsump!AP35+1*FuelConsump!AQ35)*'Fuel Heat Content'!$D$11/1000000</f>
        <v>193.62402909610543</v>
      </c>
      <c r="F35" s="64">
        <f>((FuelConsump!AM35*'Fuel Heat Content'!$D$13)+(FuelConsump!AN35*'Fuel Heat Content'!$D$12))*42/1000000000</f>
        <v>1006.0816332000001</v>
      </c>
      <c r="G35" s="35">
        <f>FuelConsump!$DA35</f>
        <v>274.3</v>
      </c>
      <c r="H35" s="111"/>
      <c r="I35" s="33">
        <f>(FuelConsump!BF35*'Fuel Heat Content'!$D$18+FuelConsump!BG35*'Fuel Heat Content'!$D$21)/1000000</f>
        <v>574.14101745456605</v>
      </c>
      <c r="K35" s="136">
        <f>'Freight-based Activity'!F35/('Freight-based Activity'!F35+'Passenger-based Activity'!T36)</f>
        <v>0.14472191509712612</v>
      </c>
      <c r="M35">
        <f t="shared" si="0"/>
        <v>325.22037382569442</v>
      </c>
      <c r="N35">
        <f>'Freight-based Activity'!$G35*M35*0.000001</f>
        <v>194.80701562952441</v>
      </c>
    </row>
    <row r="36" spans="1:14" x14ac:dyDescent="0.2">
      <c r="A36" s="30">
        <v>1978</v>
      </c>
      <c r="B36" s="35">
        <f>((FuelConsump!N36*'Fuel Heat Content'!$D$6)+(FuelConsump!O36*'Fuel Heat Content'!$D$7)+(FuelConsump!P36*'Fuel Heat Content'!$D$14))/1000000</f>
        <v>1547.4335591194676</v>
      </c>
      <c r="C36" s="33">
        <f>((FuelConsump!R36*'Fuel Heat Content'!$D$6)+(FuelConsump!S36*'Fuel Heat Content'!$D$7)+(FuelConsump!T36*'Fuel Heat Content'!$D$14))/1000000</f>
        <v>1796.1783440906092</v>
      </c>
      <c r="D36" s="64">
        <f>FuelConsump!BD36*'Fuel Heat Content'!$D$13/1000000</f>
        <v>550.36257089999992</v>
      </c>
      <c r="E36" s="64">
        <f>K36*(FuelConsump!AP36+1*FuelConsump!AQ36)*'Fuel Heat Content'!$D$11/1000000</f>
        <v>185.62848099799135</v>
      </c>
      <c r="F36" s="64">
        <f>((FuelConsump!AM36*'Fuel Heat Content'!$D$13)+(FuelConsump!AN36*'Fuel Heat Content'!$D$12))*42/1000000000</f>
        <v>1209.2166744000001</v>
      </c>
      <c r="G36" s="35">
        <f>FuelConsump!$DA36</f>
        <v>316.60000000000002</v>
      </c>
      <c r="H36" s="111"/>
      <c r="I36" s="33">
        <f>(FuelConsump!BF36*'Fuel Heat Content'!$D$18+FuelConsump!BG36*'Fuel Heat Content'!$D$21)/1000000</f>
        <v>571.75033059891234</v>
      </c>
      <c r="K36" s="136">
        <f>'Freight-based Activity'!F36/('Freight-based Activity'!F36+'Passenger-based Activity'!T37)</f>
        <v>0.13496523215256245</v>
      </c>
      <c r="M36">
        <f t="shared" si="0"/>
        <v>321.96817008743744</v>
      </c>
      <c r="N36">
        <f>'Freight-based Activity'!$G36*M36*0.000001</f>
        <v>266.35243864670429</v>
      </c>
    </row>
    <row r="37" spans="1:14" x14ac:dyDescent="0.2">
      <c r="A37" s="30">
        <v>1979</v>
      </c>
      <c r="B37" s="35">
        <f>((FuelConsump!N37*'Fuel Heat Content'!$D$6)+(FuelConsump!O37*'Fuel Heat Content'!$D$7)+(FuelConsump!P37*'Fuel Heat Content'!$D$14))/1000000</f>
        <v>1562.4531735814853</v>
      </c>
      <c r="C37" s="33">
        <f>((FuelConsump!R37*'Fuel Heat Content'!$D$6)+(FuelConsump!S37*'Fuel Heat Content'!$D$7)+(FuelConsump!T37*'Fuel Heat Content'!$D$14))/1000000</f>
        <v>1892.1558944816402</v>
      </c>
      <c r="D37" s="64">
        <f>FuelConsump!BD37*'Fuel Heat Content'!$D$13/1000000</f>
        <v>564.81233689999999</v>
      </c>
      <c r="E37" s="64">
        <f>K37*(FuelConsump!AP37+1*FuelConsump!AQ37)*'Fuel Heat Content'!$D$11/1000000</f>
        <v>177.87147550206802</v>
      </c>
      <c r="F37" s="64">
        <f>((FuelConsump!AM37*'Fuel Heat Content'!$D$13)+(FuelConsump!AN37*'Fuel Heat Content'!$D$12))*42/1000000000</f>
        <v>1424.1970386</v>
      </c>
      <c r="G37" s="35">
        <f>FuelConsump!$DA37</f>
        <v>378.7</v>
      </c>
      <c r="H37" s="111"/>
      <c r="I37" s="33">
        <f>(FuelConsump!BF37*'Fuel Heat Content'!$D$18+FuelConsump!BG37*'Fuel Heat Content'!$D$21)/1000000</f>
        <v>647.75326218264217</v>
      </c>
      <c r="K37" s="136">
        <f>'Freight-based Activity'!F37/('Freight-based Activity'!F37+'Passenger-based Activity'!T38)</f>
        <v>0.12320268602905322</v>
      </c>
      <c r="M37">
        <f t="shared" si="0"/>
        <v>318.74848838656305</v>
      </c>
      <c r="N37">
        <f>'Freight-based Activity'!$G37*M37*0.000001</f>
        <v>264.16583467351893</v>
      </c>
    </row>
    <row r="38" spans="1:14" x14ac:dyDescent="0.2">
      <c r="A38" s="30">
        <v>1980</v>
      </c>
      <c r="B38" s="35">
        <f>((FuelConsump!N38*'Fuel Heat Content'!$D$6)+(FuelConsump!O38*'Fuel Heat Content'!$D$7)+(FuelConsump!P38*'Fuel Heat Content'!$D$14))/1000000</f>
        <v>1534.3629022521011</v>
      </c>
      <c r="C38" s="33">
        <f>((FuelConsump!R38*'Fuel Heat Content'!$D$6)+(FuelConsump!S38*'Fuel Heat Content'!$D$7)+(FuelConsump!T38*'Fuel Heat Content'!$D$14))/1000000</f>
        <v>1917.6360345792521</v>
      </c>
      <c r="D38" s="64">
        <f>FuelConsump!BD38*'Fuel Heat Content'!$D$13/1000000</f>
        <v>548.69664520000003</v>
      </c>
      <c r="E38" s="64">
        <f>K38*(FuelConsump!AP38+1*FuelConsump!AQ38)*'Fuel Heat Content'!$D$11/1000000</f>
        <v>177.86748730522385</v>
      </c>
      <c r="F38" s="64">
        <f>((FuelConsump!AM38*'Fuel Heat Content'!$D$13)+(FuelConsump!AN38*'Fuel Heat Content'!$D$12))*42/1000000000</f>
        <v>1545.0997548</v>
      </c>
      <c r="G38" s="35">
        <f>FuelConsump!$DA38</f>
        <v>329.4</v>
      </c>
      <c r="H38" s="111"/>
      <c r="I38" s="33">
        <f>(FuelConsump!BF38*'Fuel Heat Content'!$D$18+FuelConsump!BG38*'Fuel Heat Content'!$D$21)/1000000</f>
        <v>684.03177353863589</v>
      </c>
      <c r="K38" s="136">
        <f>'Freight-based Activity'!F38/('Freight-based Activity'!F38+'Passenger-based Activity'!T39)</f>
        <v>0.12833360375996281</v>
      </c>
      <c r="M38">
        <f t="shared" si="0"/>
        <v>315.56100350269742</v>
      </c>
      <c r="N38">
        <f>'Freight-based Activity'!$G38*M38*0.000001</f>
        <v>290.89543011271189</v>
      </c>
    </row>
    <row r="39" spans="1:14" x14ac:dyDescent="0.2">
      <c r="A39" s="30">
        <v>1981</v>
      </c>
      <c r="B39" s="35">
        <f>((FuelConsump!N39*'Fuel Heat Content'!$D$6)+(FuelConsump!O39*'Fuel Heat Content'!$D$7)+(FuelConsump!P39*'Fuel Heat Content'!$D$14))/1000000</f>
        <v>1522.0421991223375</v>
      </c>
      <c r="C39" s="33">
        <f>((FuelConsump!R39*'Fuel Heat Content'!$D$6)+(FuelConsump!S39*'Fuel Heat Content'!$D$7)+(FuelConsump!T39*'Fuel Heat Content'!$D$14))/1000000</f>
        <v>1986.9937494165133</v>
      </c>
      <c r="D39" s="64">
        <f>FuelConsump!BD39*'Fuel Heat Content'!$D$13/1000000</f>
        <v>523.48694929999999</v>
      </c>
      <c r="E39" s="64">
        <f>K39*(FuelConsump!AP39+1*FuelConsump!AQ39)*'Fuel Heat Content'!$D$11/1000000</f>
        <v>188.82687353034697</v>
      </c>
      <c r="F39" s="64">
        <f>((FuelConsump!AM39*'Fuel Heat Content'!$D$13)+(FuelConsump!AN39*'Fuel Heat Content'!$D$12))*42/1000000000</f>
        <v>1424.9860464000001</v>
      </c>
      <c r="G39" s="35">
        <f>FuelConsump!$DA39</f>
        <v>334.5</v>
      </c>
      <c r="H39" s="111"/>
      <c r="I39" s="33">
        <f>(FuelConsump!BF39*'Fuel Heat Content'!$D$18+FuelConsump!BG39*'Fuel Heat Content'!$D$21)/1000000</f>
        <v>692.33450611262174</v>
      </c>
      <c r="K39" s="136">
        <f>'Freight-based Activity'!F39/('Freight-based Activity'!F39+'Passenger-based Activity'!T40)</f>
        <v>0.13210778372132509</v>
      </c>
      <c r="M39">
        <f t="shared" si="0"/>
        <v>312.40539346767042</v>
      </c>
      <c r="N39">
        <f>'Freight-based Activity'!$G39*M39*0.000001</f>
        <v>290.35375892112535</v>
      </c>
    </row>
    <row r="40" spans="1:14" x14ac:dyDescent="0.2">
      <c r="A40" s="30">
        <v>1982</v>
      </c>
      <c r="B40" s="35">
        <f>((FuelConsump!N40*'Fuel Heat Content'!$D$6)+(FuelConsump!O40*'Fuel Heat Content'!$D$7)+(FuelConsump!P40*'Fuel Heat Content'!$D$14))/1000000</f>
        <v>1507.8216809994192</v>
      </c>
      <c r="C40" s="33">
        <f>((FuelConsump!R40*'Fuel Heat Content'!$D$6)+(FuelConsump!S40*'Fuel Heat Content'!$D$7)+(FuelConsump!T40*'Fuel Heat Content'!$D$14))/1000000</f>
        <v>1997.8814603225444</v>
      </c>
      <c r="D40" s="64">
        <f>FuelConsump!BD40*'Fuel Heat Content'!$D$13/1000000</f>
        <v>440.80468919999998</v>
      </c>
      <c r="E40" s="64">
        <f>K40*(FuelConsump!AP40+1*FuelConsump!AQ40)*'Fuel Heat Content'!$D$11/1000000</f>
        <v>175.96772878425369</v>
      </c>
      <c r="F40" s="64">
        <f>((FuelConsump!AM40*'Fuel Heat Content'!$D$13)+(FuelConsump!AN40*'Fuel Heat Content'!$D$12))*42/1000000000</f>
        <v>1156.7628953999999</v>
      </c>
      <c r="G40" s="35">
        <f>FuelConsump!$DA40</f>
        <v>274.5</v>
      </c>
      <c r="H40" s="111"/>
      <c r="I40" s="33">
        <f>(FuelConsump!BF40*'Fuel Heat Content'!$D$18+FuelConsump!BG40*'Fuel Heat Content'!$D$21)/1000000</f>
        <v>642.84577920077049</v>
      </c>
      <c r="K40" s="136">
        <f>'Freight-based Activity'!F40/('Freight-based Activity'!F40+'Passenger-based Activity'!T41)</f>
        <v>0.1253307299533796</v>
      </c>
      <c r="M40">
        <f t="shared" si="0"/>
        <v>309.28133953299368</v>
      </c>
      <c r="N40">
        <f>'Freight-based Activity'!$G40*M40*0.000001</f>
        <v>274.16822699007145</v>
      </c>
    </row>
    <row r="41" spans="1:14" x14ac:dyDescent="0.2">
      <c r="A41" s="30">
        <v>1983</v>
      </c>
      <c r="B41" s="35">
        <f>((FuelConsump!N41*'Fuel Heat Content'!$D$6)+(FuelConsump!O41*'Fuel Heat Content'!$D$7)+(FuelConsump!P41*'Fuel Heat Content'!$D$14))/1000000</f>
        <v>1543.6930689537869</v>
      </c>
      <c r="C41" s="33">
        <f>((FuelConsump!R41*'Fuel Heat Content'!$D$6)+(FuelConsump!S41*'Fuel Heat Content'!$D$7)+(FuelConsump!T41*'Fuel Heat Content'!$D$14))/1000000</f>
        <v>2029.2437315837931</v>
      </c>
      <c r="D41" s="64">
        <f>FuelConsump!BD41*'Fuel Heat Content'!$D$13/1000000</f>
        <v>435.14281649999998</v>
      </c>
      <c r="E41" s="64">
        <f>K41*(FuelConsump!AP41+1*FuelConsump!AQ41)*'Fuel Heat Content'!$D$11/1000000</f>
        <v>181.27017944655088</v>
      </c>
      <c r="F41" s="64">
        <f>((FuelConsump!AM41*'Fuel Heat Content'!$D$13)+(FuelConsump!AN41*'Fuel Heat Content'!$D$12))*42/1000000000</f>
        <v>1084.7294892</v>
      </c>
      <c r="G41" s="35">
        <f>FuelConsump!$DA41</f>
        <v>293.7</v>
      </c>
      <c r="H41" s="111"/>
      <c r="I41" s="33">
        <f>(FuelConsump!BF41*'Fuel Heat Content'!$D$18+FuelConsump!BG41*'Fuel Heat Content'!$D$21)/1000000</f>
        <v>528.19520654566054</v>
      </c>
      <c r="K41" s="136">
        <f>'Freight-based Activity'!F41/('Freight-based Activity'!F41+'Passenger-based Activity'!T42)</f>
        <v>0.12583212943373576</v>
      </c>
      <c r="M41">
        <f t="shared" si="0"/>
        <v>306.1885261376637</v>
      </c>
      <c r="N41">
        <f>'Freight-based Activity'!$G41*M41*0.000001</f>
        <v>281.56043575089637</v>
      </c>
    </row>
    <row r="42" spans="1:14" x14ac:dyDescent="0.2">
      <c r="A42" s="30">
        <v>1984</v>
      </c>
      <c r="B42" s="35">
        <f>((FuelConsump!N42*'Fuel Heat Content'!$D$6)+(FuelConsump!O42*'Fuel Heat Content'!$D$7)+(FuelConsump!P42*'Fuel Heat Content'!$D$14))/1000000</f>
        <v>1604.6573656649668</v>
      </c>
      <c r="C42" s="33">
        <f>((FuelConsump!R42*'Fuel Heat Content'!$D$6)+(FuelConsump!S42*'Fuel Heat Content'!$D$7)+(FuelConsump!T42*'Fuel Heat Content'!$D$14))/1000000</f>
        <v>2086.9361462623283</v>
      </c>
      <c r="D42" s="64">
        <f>FuelConsump!BD42*'Fuel Heat Content'!$D$13/1000000</f>
        <v>469.93959509999996</v>
      </c>
      <c r="E42" s="64">
        <f>K42*(FuelConsump!AP42+1*FuelConsump!AQ42)*'Fuel Heat Content'!$D$11/1000000</f>
        <v>204.84300101960523</v>
      </c>
      <c r="F42" s="64">
        <f>((FuelConsump!AM42*'Fuel Heat Content'!$D$13)+(FuelConsump!AN42*'Fuel Heat Content'!$D$12))*42/1000000000</f>
        <v>1086.0521490000001</v>
      </c>
      <c r="G42" s="35">
        <f>FuelConsump!$DA42</f>
        <v>307.3</v>
      </c>
      <c r="H42" s="111"/>
      <c r="I42" s="33">
        <f>(FuelConsump!BF42*'Fuel Heat Content'!$D$18+FuelConsump!BG42*'Fuel Heat Content'!$D$21)/1000000</f>
        <v>569.92120724722406</v>
      </c>
      <c r="K42" s="136">
        <f>'Freight-based Activity'!F42/('Freight-based Activity'!F42+'Passenger-based Activity'!T43)</f>
        <v>0.12737614276788781</v>
      </c>
      <c r="M42">
        <f t="shared" si="0"/>
        <v>303.12664087628707</v>
      </c>
      <c r="N42">
        <f>'Freight-based Activity'!$G42*M42*0.000001</f>
        <v>269.09158163869756</v>
      </c>
    </row>
    <row r="43" spans="1:14" x14ac:dyDescent="0.2">
      <c r="A43" s="30">
        <v>1985</v>
      </c>
      <c r="B43" s="35">
        <f>((FuelConsump!N43*'Fuel Heat Content'!$D$6)+(FuelConsump!O43*'Fuel Heat Content'!$D$7)+(FuelConsump!P43*'Fuel Heat Content'!$D$14))/1000000</f>
        <v>1639.9991103360742</v>
      </c>
      <c r="C43" s="33">
        <f>((FuelConsump!R43*'Fuel Heat Content'!$D$6)+(FuelConsump!S43*'Fuel Heat Content'!$D$7)+(FuelConsump!T43*'Fuel Heat Content'!$D$14))/1000000</f>
        <v>2060.0603471019458</v>
      </c>
      <c r="D43" s="64">
        <f>FuelConsump!BD43*'Fuel Heat Content'!$D$13/1000000</f>
        <v>436.099153</v>
      </c>
      <c r="E43" s="64">
        <f>K43*(FuelConsump!AP43+1*FuelConsump!AQ43)*'Fuel Heat Content'!$D$11/1000000</f>
        <v>194.21375717266014</v>
      </c>
      <c r="F43" s="64">
        <f>((FuelConsump!AM43*'Fuel Heat Content'!$D$13)+(FuelConsump!AN43*'Fuel Heat Content'!$D$12))*42/1000000000</f>
        <v>1082.1300209999999</v>
      </c>
      <c r="G43" s="35">
        <f>FuelConsump!$DA43</f>
        <v>398.6</v>
      </c>
      <c r="H43" s="111"/>
      <c r="I43" s="33">
        <f>(FuelConsump!BF43*'Fuel Heat Content'!$D$18+FuelConsump!BG43*'Fuel Heat Content'!$D$21)/1000000</f>
        <v>542.98771619714478</v>
      </c>
      <c r="K43" s="136">
        <f>'Freight-based Activity'!F43/('Freight-based Activity'!F43+'Passenger-based Activity'!T44)</f>
        <v>0.11414995147951552</v>
      </c>
      <c r="M43">
        <f t="shared" si="0"/>
        <v>300.09537446752415</v>
      </c>
      <c r="N43">
        <f>'Freight-based Activity'!$G43*M43*0.000001</f>
        <v>267.97616653826503</v>
      </c>
    </row>
    <row r="44" spans="1:14" x14ac:dyDescent="0.2">
      <c r="A44" s="30">
        <v>1986</v>
      </c>
      <c r="B44" s="35">
        <f>((FuelConsump!N44*'Fuel Heat Content'!$D$6)+(FuelConsump!O44*'Fuel Heat Content'!$D$7)+(FuelConsump!P44*'Fuel Heat Content'!$D$14))/1000000</f>
        <v>1637.0205586673355</v>
      </c>
      <c r="C44" s="33">
        <f>((FuelConsump!R44*'Fuel Heat Content'!$D$6)+(FuelConsump!S44*'Fuel Heat Content'!$D$7)+(FuelConsump!T44*'Fuel Heat Content'!$D$14))/1000000</f>
        <v>2129.0923872115191</v>
      </c>
      <c r="D44" s="64">
        <f>FuelConsump!BD44*'Fuel Heat Content'!$D$13/1000000</f>
        <v>421.5188703</v>
      </c>
      <c r="E44" s="64">
        <f>K44*(FuelConsump!AP44+1*FuelConsump!AQ44)*'Fuel Heat Content'!$D$11/1000000</f>
        <v>233.89024341479964</v>
      </c>
      <c r="F44" s="64">
        <f>((FuelConsump!AM44*'Fuel Heat Content'!$D$13)+(FuelConsump!AN44*'Fuel Heat Content'!$D$12))*42/1000000000</f>
        <v>1073.6619221999999</v>
      </c>
      <c r="G44" s="35">
        <f>FuelConsump!$DA44</f>
        <v>404</v>
      </c>
      <c r="H44" s="111"/>
      <c r="I44" s="33">
        <f>(FuelConsump!BF44*'Fuel Heat Content'!$D$18+FuelConsump!BG44*'Fuel Heat Content'!$D$21)/1000000</f>
        <v>522.80484362179925</v>
      </c>
      <c r="K44" s="136">
        <f>'Freight-based Activity'!F44/('Freight-based Activity'!F44+'Passenger-based Activity'!T45)</f>
        <v>0.12662493305885036</v>
      </c>
      <c r="M44">
        <f t="shared" si="0"/>
        <v>297.09442072284889</v>
      </c>
      <c r="N44">
        <f>'Freight-based Activity'!$G44*M44*0.000001</f>
        <v>259.48256415375693</v>
      </c>
    </row>
    <row r="45" spans="1:14" x14ac:dyDescent="0.2">
      <c r="A45" s="30">
        <v>1987</v>
      </c>
      <c r="B45" s="35">
        <f>((FuelConsump!N45*'Fuel Heat Content'!$D$6)+(FuelConsump!O45*'Fuel Heat Content'!$D$7)+(FuelConsump!P45*'Fuel Heat Content'!$D$14))/1000000</f>
        <v>1667.9963518022917</v>
      </c>
      <c r="C45" s="33">
        <f>((FuelConsump!R45*'Fuel Heat Content'!$D$6)+(FuelConsump!S45*'Fuel Heat Content'!$D$7)+(FuelConsump!T45*'Fuel Heat Content'!$D$14))/1000000</f>
        <v>2205.813533742652</v>
      </c>
      <c r="D45" s="64">
        <f>FuelConsump!BD45*'Fuel Heat Content'!$D$13/1000000</f>
        <v>430.27888489999998</v>
      </c>
      <c r="E45" s="64">
        <f>K45*(FuelConsump!AP45+1*FuelConsump!AQ45)*'Fuel Heat Content'!$D$11/1000000</f>
        <v>265.56437118993227</v>
      </c>
      <c r="F45" s="64">
        <f>((FuelConsump!AM45*'Fuel Heat Content'!$D$13)+(FuelConsump!AN45*'Fuel Heat Content'!$D$12))*42/1000000000</f>
        <v>1095.6820643999999</v>
      </c>
      <c r="G45" s="35">
        <f>FuelConsump!$DA45</f>
        <v>370.7</v>
      </c>
      <c r="H45" s="111"/>
      <c r="I45" s="33">
        <f>(FuelConsump!BF45*'Fuel Heat Content'!$D$18+FuelConsump!BG45*'Fuel Heat Content'!$D$21)/1000000</f>
        <v>559.59102563108991</v>
      </c>
      <c r="K45" s="136">
        <f>'Freight-based Activity'!F45/('Freight-based Activity'!F45+'Passenger-based Activity'!T46)</f>
        <v>0.13584869826080734</v>
      </c>
      <c r="M45">
        <f t="shared" si="0"/>
        <v>294.12347651562038</v>
      </c>
      <c r="N45">
        <f>'Freight-based Activity'!$G45*M45*0.000001</f>
        <v>263.36271978597244</v>
      </c>
    </row>
    <row r="46" spans="1:14" x14ac:dyDescent="0.2">
      <c r="A46" s="30">
        <v>1988</v>
      </c>
      <c r="B46" s="35">
        <f>((FuelConsump!N46*'Fuel Heat Content'!$D$6)+(FuelConsump!O46*'Fuel Heat Content'!$D$7)+(FuelConsump!P46*'Fuel Heat Content'!$D$14))/1000000</f>
        <v>1708.6348636531554</v>
      </c>
      <c r="C46" s="33">
        <f>((FuelConsump!R46*'Fuel Heat Content'!$D$6)+(FuelConsump!S46*'Fuel Heat Content'!$D$7)+(FuelConsump!T46*'Fuel Heat Content'!$D$14))/1000000</f>
        <v>2241.5178374577536</v>
      </c>
      <c r="D46" s="64">
        <f>FuelConsump!BD46*'Fuel Heat Content'!$D$13/1000000</f>
        <v>441.38043289999996</v>
      </c>
      <c r="E46" s="64">
        <f>K46*(FuelConsump!AP46+1*FuelConsump!AQ46)*'Fuel Heat Content'!$D$11/1000000</f>
        <v>293.52761884977764</v>
      </c>
      <c r="F46" s="64">
        <f>((FuelConsump!AM46*'Fuel Heat Content'!$D$13)+(FuelConsump!AN46*'Fuel Heat Content'!$D$12))*42/1000000000</f>
        <v>1106.2235310000001</v>
      </c>
      <c r="G46" s="35">
        <f>FuelConsump!$DA46</f>
        <v>321.3</v>
      </c>
      <c r="H46" s="111"/>
      <c r="I46" s="33">
        <f>(FuelConsump!BF46*'Fuel Heat Content'!$D$18+FuelConsump!BG46*'Fuel Heat Content'!$D$21)/1000000</f>
        <v>661.70935479175159</v>
      </c>
      <c r="K46" s="136">
        <f>'Freight-based Activity'!F46/('Freight-based Activity'!F46+'Passenger-based Activity'!T47)</f>
        <v>0.14322650853692523</v>
      </c>
      <c r="M46">
        <f t="shared" si="0"/>
        <v>291.18224175046419</v>
      </c>
      <c r="N46">
        <f>'Freight-based Activity'!$G46*M46*0.000001</f>
        <v>259.16046473357881</v>
      </c>
    </row>
    <row r="47" spans="1:14" x14ac:dyDescent="0.2">
      <c r="A47" s="30">
        <v>1989</v>
      </c>
      <c r="B47" s="35">
        <f>((FuelConsump!N47*'Fuel Heat Content'!$D$6)+(FuelConsump!O47*'Fuel Heat Content'!$D$7)+(FuelConsump!P47*'Fuel Heat Content'!$D$14))/1000000</f>
        <v>1726.9797037585793</v>
      </c>
      <c r="C47" s="33">
        <f>((FuelConsump!R47*'Fuel Heat Content'!$D$6)+(FuelConsump!S47*'Fuel Heat Content'!$D$7)+(FuelConsump!T47*'Fuel Heat Content'!$D$14))/1000000</f>
        <v>2317.8889218224836</v>
      </c>
      <c r="D47" s="64">
        <f>FuelConsump!BD47*'Fuel Heat Content'!$D$13/1000000</f>
        <v>442.56604049999999</v>
      </c>
      <c r="E47" s="64">
        <f>K47*(FuelConsump!AP47+1*FuelConsump!AQ47)*'Fuel Heat Content'!$D$11/1000000</f>
        <v>322.39838156125677</v>
      </c>
      <c r="F47" s="64">
        <f>((FuelConsump!AM47*'Fuel Heat Content'!$D$13)+(FuelConsump!AN47*'Fuel Heat Content'!$D$12))*42/1000000000</f>
        <v>1136.7576108000001</v>
      </c>
      <c r="G47" s="35">
        <f>FuelConsump!$DA47</f>
        <v>328.6</v>
      </c>
      <c r="H47" s="111"/>
      <c r="I47" s="33">
        <f>(FuelConsump!BF47*'Fuel Heat Content'!$D$18+FuelConsump!BG47*'Fuel Heat Content'!$D$21)/1000000</f>
        <v>678.30404136958975</v>
      </c>
      <c r="K47" s="136">
        <f>'Freight-based Activity'!F47/('Freight-based Activity'!F47+'Passenger-based Activity'!T48)</f>
        <v>0.1544479614880622</v>
      </c>
      <c r="M47">
        <f t="shared" si="0"/>
        <v>288.27041933295953</v>
      </c>
      <c r="N47">
        <f>'Freight-based Activity'!$G47*M47*0.000001</f>
        <v>235.09891165995319</v>
      </c>
    </row>
    <row r="48" spans="1:14" x14ac:dyDescent="0.2">
      <c r="A48" s="30">
        <v>1990</v>
      </c>
      <c r="B48" s="35">
        <f>((FuelConsump!N48*'Fuel Heat Content'!$D$6)+(FuelConsump!O48*'Fuel Heat Content'!$D$7)+(FuelConsump!P48*'Fuel Heat Content'!$D$14))/1000000</f>
        <v>1855.6372976959301</v>
      </c>
      <c r="C48" s="33">
        <f>((FuelConsump!R48*'Fuel Heat Content'!$D$6)+(FuelConsump!S48*'Fuel Heat Content'!$D$7)+(FuelConsump!T48*'Fuel Heat Content'!$D$14))/1000000</f>
        <v>2377.4566154647368</v>
      </c>
      <c r="D48" s="64">
        <f>FuelConsump!BD48*'Fuel Heat Content'!$D$13/1000000</f>
        <v>434.68579999999997</v>
      </c>
      <c r="E48" s="64">
        <f>K48*(FuelConsump!AP48+1*FuelConsump!AQ48)*'Fuel Heat Content'!$D$11/1000000</f>
        <v>327.47278439024512</v>
      </c>
      <c r="F48" s="64">
        <f>((FuelConsump!AM48*'Fuel Heat Content'!$D$13)+(FuelConsump!AN48*'Fuel Heat Content'!$D$12))*42/1000000000</f>
        <v>1240.0654476</v>
      </c>
      <c r="G48" s="35">
        <f>FuelConsump!$DA48</f>
        <v>323.2</v>
      </c>
      <c r="H48" s="111"/>
      <c r="I48" s="33">
        <f>(FuelConsump!BF48*'Fuel Heat Content'!$D$18+FuelConsump!BG48*'Fuel Heat Content'!$D$21)/1000000</f>
        <v>711.1873031334693</v>
      </c>
      <c r="K48" s="136">
        <f>'Freight-based Activity'!F48/('Freight-based Activity'!F48+'Passenger-based Activity'!T49)</f>
        <v>0.14797859549648806</v>
      </c>
      <c r="M48">
        <f t="shared" si="0"/>
        <v>285.3877151396299</v>
      </c>
      <c r="N48">
        <f>'Freight-based Activity'!$G48*M48*0.000001</f>
        <v>237.88316055080463</v>
      </c>
    </row>
    <row r="49" spans="1:14" x14ac:dyDescent="0.2">
      <c r="A49" s="30">
        <v>1991</v>
      </c>
      <c r="B49" s="35">
        <f>((FuelConsump!N49*'Fuel Heat Content'!$D$6)+(FuelConsump!O49*'Fuel Heat Content'!$D$7)+(FuelConsump!P49*'Fuel Heat Content'!$D$14))/1000000</f>
        <v>1815.809993704861</v>
      </c>
      <c r="C49" s="33">
        <f>((FuelConsump!R49*'Fuel Heat Content'!$D$6)+(FuelConsump!S49*'Fuel Heat Content'!$D$7)+(FuelConsump!T49*'Fuel Heat Content'!$D$14))/1000000</f>
        <v>2478.5288033842644</v>
      </c>
      <c r="D49" s="64">
        <f>FuelConsump!BD49*'Fuel Heat Content'!$D$13/1000000</f>
        <v>405.83620000000002</v>
      </c>
      <c r="E49" s="64">
        <f>K49*(FuelConsump!AP49+1*FuelConsump!AQ49)*'Fuel Heat Content'!$D$11/1000000</f>
        <v>297.47398664526827</v>
      </c>
      <c r="F49" s="64">
        <f>((FuelConsump!AM49*'Fuel Heat Content'!$D$13)+(FuelConsump!AN49*'Fuel Heat Content'!$D$12))*42/1000000000</f>
        <v>1316.5229741999999</v>
      </c>
      <c r="G49" s="35">
        <f>FuelConsump!$DA49</f>
        <v>327.5</v>
      </c>
      <c r="H49" s="111"/>
      <c r="I49" s="33">
        <f>(FuelConsump!BF49*'Fuel Heat Content'!$D$18+FuelConsump!BG49*'Fuel Heat Content'!$D$21)/1000000</f>
        <v>648.12081142420129</v>
      </c>
      <c r="K49" s="136">
        <f>'Freight-based Activity'!F49/('Freight-based Activity'!F49+'Passenger-based Activity'!T50)</f>
        <v>0.14842256012900082</v>
      </c>
      <c r="M49">
        <f t="shared" si="0"/>
        <v>282.53383798823359</v>
      </c>
      <c r="N49">
        <f>'Freight-based Activity'!$G49*M49*0.000001</f>
        <v>239.70142561537938</v>
      </c>
    </row>
    <row r="50" spans="1:14" x14ac:dyDescent="0.2">
      <c r="A50" s="30">
        <v>1992</v>
      </c>
      <c r="B50" s="35">
        <f>((FuelConsump!N50*'Fuel Heat Content'!$D$6)+(FuelConsump!O50*'Fuel Heat Content'!$D$7)+(FuelConsump!P50*'Fuel Heat Content'!$D$14))/1000000</f>
        <v>1830.802864340533</v>
      </c>
      <c r="C50" s="33">
        <f>((FuelConsump!R50*'Fuel Heat Content'!$D$6)+(FuelConsump!S50*'Fuel Heat Content'!$D$7)+(FuelConsump!T50*'Fuel Heat Content'!$D$14))/1000000</f>
        <v>2539.5371510286682</v>
      </c>
      <c r="D50" s="64">
        <f>FuelConsump!BD50*'Fuel Heat Content'!$D$13/1000000</f>
        <v>419.15140000000002</v>
      </c>
      <c r="E50" s="64">
        <f>K50*(FuelConsump!AP50+1*FuelConsump!AQ50)*'Fuel Heat Content'!$D$11/1000000</f>
        <v>319.76786578588423</v>
      </c>
      <c r="F50" s="64">
        <f>((FuelConsump!AM50*'Fuel Heat Content'!$D$13)+(FuelConsump!AN50*'Fuel Heat Content'!$D$12))*42/1000000000</f>
        <v>1388.4137315999999</v>
      </c>
      <c r="G50" s="35">
        <f>FuelConsump!$DA50</f>
        <v>341</v>
      </c>
      <c r="H50" s="111"/>
      <c r="I50" s="33">
        <f>(FuelConsump!BF50*'Fuel Heat Content'!$D$18+FuelConsump!BG50*'Fuel Heat Content'!$D$21)/1000000</f>
        <v>633.46734532744165</v>
      </c>
      <c r="K50" s="136">
        <f>'Freight-based Activity'!F50/('Freight-based Activity'!F50+'Passenger-based Activity'!T51)</f>
        <v>0.1491312005082929</v>
      </c>
      <c r="M50">
        <f t="shared" si="0"/>
        <v>279.70849960835125</v>
      </c>
      <c r="N50">
        <f>'Freight-based Activity'!$G50*M50*0.000001</f>
        <v>239.62196410358052</v>
      </c>
    </row>
    <row r="51" spans="1:14" x14ac:dyDescent="0.2">
      <c r="A51" s="30">
        <v>1993</v>
      </c>
      <c r="B51" s="35">
        <f>((FuelConsump!N51*'Fuel Heat Content'!$D$6)+(FuelConsump!O51*'Fuel Heat Content'!$D$7)+(FuelConsump!P51*'Fuel Heat Content'!$D$14))/1000000</f>
        <v>1886.6537260254195</v>
      </c>
      <c r="C51" s="33">
        <f>((FuelConsump!R51*'Fuel Heat Content'!$D$6)+(FuelConsump!S51*'Fuel Heat Content'!$D$7)+(FuelConsump!T51*'Fuel Heat Content'!$D$14))/1000000</f>
        <v>2617.9723624447538</v>
      </c>
      <c r="D51" s="64">
        <f>FuelConsump!BD51*'Fuel Heat Content'!$D$13/1000000</f>
        <v>431.63440000000003</v>
      </c>
      <c r="E51" s="64">
        <f>K51*(FuelConsump!AP51+1*FuelConsump!AQ51)*'Fuel Heat Content'!$D$11/1000000</f>
        <v>344.22931286632149</v>
      </c>
      <c r="F51" s="64">
        <f>((FuelConsump!AM51*'Fuel Heat Content'!$D$13)+(FuelConsump!AN51*'Fuel Heat Content'!$D$12))*42/1000000000</f>
        <v>1222.0717236</v>
      </c>
      <c r="G51" s="35">
        <f>FuelConsump!$DA51</f>
        <v>307</v>
      </c>
      <c r="H51" s="111"/>
      <c r="I51" s="33">
        <f>(FuelConsump!BF51*'Fuel Heat Content'!$D$18+FuelConsump!BG51*'Fuel Heat Content'!$D$21)/1000000</f>
        <v>672.91475630274192</v>
      </c>
      <c r="K51" s="136">
        <f>'Freight-based Activity'!F51/('Freight-based Activity'!F51+'Passenger-based Activity'!T52)</f>
        <v>0.15865149091418315</v>
      </c>
      <c r="M51">
        <f t="shared" si="0"/>
        <v>276.91141461226772</v>
      </c>
      <c r="N51">
        <f>'Freight-based Activity'!$G51*M51*0.000001</f>
        <v>218.66528614875264</v>
      </c>
    </row>
    <row r="52" spans="1:14" x14ac:dyDescent="0.2">
      <c r="A52" s="30">
        <v>1994</v>
      </c>
      <c r="B52" s="35">
        <f>((FuelConsump!N52*'Fuel Heat Content'!$D$6)+(FuelConsump!O52*'Fuel Heat Content'!$D$7)+(FuelConsump!P52*'Fuel Heat Content'!$D$14))/1000000</f>
        <v>2009.0860647434911</v>
      </c>
      <c r="C52" s="33">
        <f>((FuelConsump!R52*'Fuel Heat Content'!$D$6)+(FuelConsump!S52*'Fuel Heat Content'!$D$7)+(FuelConsump!T52*'Fuel Heat Content'!$D$14))/1000000</f>
        <v>2753.6471749087855</v>
      </c>
      <c r="D52" s="64">
        <f>FuelConsump!BD52*'Fuel Heat Content'!$D$13/1000000</f>
        <v>465.47719999999998</v>
      </c>
      <c r="E52" s="64">
        <f>K52*(FuelConsump!AP52+1*FuelConsump!AQ52)*'Fuel Heat Content'!$D$11/1000000</f>
        <v>381.6755686297364</v>
      </c>
      <c r="F52" s="64">
        <f>((FuelConsump!AM52*'Fuel Heat Content'!$D$13)+(FuelConsump!AN52*'Fuel Heat Content'!$D$12))*42/1000000000</f>
        <v>1171.0775496000001</v>
      </c>
      <c r="G52" s="35">
        <f>FuelConsump!$DA52</f>
        <v>300.7</v>
      </c>
      <c r="H52" s="111"/>
      <c r="I52" s="33">
        <f>(FuelConsump!BF52*'Fuel Heat Content'!$D$18+FuelConsump!BG52*'Fuel Heat Content'!$D$21)/1000000</f>
        <v>738.72223839700894</v>
      </c>
      <c r="K52" s="136">
        <f>'Freight-based Activity'!F52/('Freight-based Activity'!F52+'Passenger-based Activity'!T53)</f>
        <v>0.16842463403456057</v>
      </c>
      <c r="M52">
        <f t="shared" si="0"/>
        <v>274.142300466145</v>
      </c>
      <c r="N52">
        <f>'Freight-based Activity'!$G52*M52*0.000001</f>
        <v>223.40382418203049</v>
      </c>
    </row>
    <row r="53" spans="1:14" x14ac:dyDescent="0.2">
      <c r="A53" s="30">
        <v>1995</v>
      </c>
      <c r="B53" s="35">
        <f>((FuelConsump!N53*'Fuel Heat Content'!$D$6)+(FuelConsump!O53*'Fuel Heat Content'!$D$7)+(FuelConsump!P53*'Fuel Heat Content'!$D$14))/1000000</f>
        <v>2051.5088977285041</v>
      </c>
      <c r="C53" s="33">
        <f>((FuelConsump!R53*'Fuel Heat Content'!$D$6)+(FuelConsump!S53*'Fuel Heat Content'!$D$7)+(FuelConsump!T53*'Fuel Heat Content'!$D$14))/1000000</f>
        <v>2921.6717235722822</v>
      </c>
      <c r="D53" s="64">
        <f>FuelConsump!BD53*'Fuel Heat Content'!$D$13/1000000</f>
        <v>485.86610000000002</v>
      </c>
      <c r="E53" s="64">
        <f>K53*(FuelConsump!AP53+1*FuelConsump!AQ53)*'Fuel Heat Content'!$D$11/1000000</f>
        <v>404.54403140391162</v>
      </c>
      <c r="F53" s="64">
        <f>((FuelConsump!AM53*'Fuel Heat Content'!$D$13)+(FuelConsump!AN53*'Fuel Heat Content'!$D$12))*42/1000000000</f>
        <v>1237.1228142</v>
      </c>
      <c r="G53" s="35">
        <f>FuelConsump!$DA53</f>
        <v>302.2</v>
      </c>
      <c r="H53" s="111"/>
      <c r="I53" s="33">
        <f>(FuelConsump!BF53*'Fuel Heat Content'!$D$18+FuelConsump!BG53*'Fuel Heat Content'!$D$21)/1000000</f>
        <v>754.86099145819173</v>
      </c>
      <c r="K53" s="136">
        <f>'Freight-based Activity'!F53/('Freight-based Activity'!F53+'Passenger-based Activity'!T54)</f>
        <v>0.17298419190813363</v>
      </c>
      <c r="M53">
        <f t="shared" si="0"/>
        <v>271.40087746148356</v>
      </c>
      <c r="N53">
        <f>'Freight-based Activity'!$G53*M53*0.000001</f>
        <v>219.21800652994594</v>
      </c>
    </row>
    <row r="54" spans="1:14" x14ac:dyDescent="0.2">
      <c r="A54" s="30">
        <v>1996</v>
      </c>
      <c r="B54" s="35">
        <f>((FuelConsump!N54*'Fuel Heat Content'!$D$6)+(FuelConsump!O54*'Fuel Heat Content'!$D$7)+(FuelConsump!P54*'Fuel Heat Content'!$D$14))/1000000</f>
        <v>2096.1284370490289</v>
      </c>
      <c r="C54" s="33">
        <f>((FuelConsump!R54*'Fuel Heat Content'!$D$6)+(FuelConsump!S54*'Fuel Heat Content'!$D$7)+(FuelConsump!T54*'Fuel Heat Content'!$D$14))/1000000</f>
        <v>2985.4518646676502</v>
      </c>
      <c r="D54" s="64">
        <f>FuelConsump!BD54*'Fuel Heat Content'!$D$13/1000000</f>
        <v>499.45870000000002</v>
      </c>
      <c r="E54" s="64">
        <f>K54*(FuelConsump!AP54+1*FuelConsump!AQ54)*'Fuel Heat Content'!$D$11/1000000</f>
        <v>416.09090835411354</v>
      </c>
      <c r="F54" s="64">
        <f>((FuelConsump!AM54*'Fuel Heat Content'!$D$13)+(FuelConsump!AN54*'Fuel Heat Content'!$D$12))*42/1000000000</f>
        <v>1171.0420428</v>
      </c>
      <c r="G54" s="35">
        <f>FuelConsump!$DA54</f>
        <v>314.89999999999998</v>
      </c>
      <c r="H54" s="111"/>
      <c r="I54" s="33">
        <f>(FuelConsump!BF54*'Fuel Heat Content'!$D$18+FuelConsump!BG54*'Fuel Heat Content'!$D$21)/1000000</f>
        <v>766.83706073374117</v>
      </c>
      <c r="K54" s="136">
        <f>'Freight-based Activity'!F54/('Freight-based Activity'!F54+'Passenger-based Activity'!T55)</f>
        <v>0.17271424998583035</v>
      </c>
      <c r="M54">
        <f t="shared" si="0"/>
        <v>268.68686868686871</v>
      </c>
      <c r="N54">
        <f>'Freight-based Activity'!$G54*M54*0.000001</f>
        <v>205.46122121212122</v>
      </c>
    </row>
    <row r="55" spans="1:14" x14ac:dyDescent="0.2">
      <c r="A55" s="30">
        <v>1997</v>
      </c>
      <c r="B55" s="35">
        <f>((FuelConsump!N55*'Fuel Heat Content'!$D$6)+(FuelConsump!O55*'Fuel Heat Content'!$D$7)+(FuelConsump!P55*'Fuel Heat Content'!$D$14))/1000000</f>
        <v>2134.8694958173319</v>
      </c>
      <c r="C55" s="33">
        <f>((FuelConsump!R55*'Fuel Heat Content'!$D$6)+(FuelConsump!S55*'Fuel Heat Content'!$D$7)+(FuelConsump!T55*'Fuel Heat Content'!$D$14))/1000000</f>
        <v>3003.701972970413</v>
      </c>
      <c r="D55" s="64">
        <f>FuelConsump!BD55*'Fuel Heat Content'!$D$13/1000000</f>
        <v>499.73610000000002</v>
      </c>
      <c r="E55" s="64">
        <f>K55*(FuelConsump!AP55+1*FuelConsump!AQ55)*'Fuel Heat Content'!$D$11/1000000</f>
        <v>457.88864575263381</v>
      </c>
      <c r="F55" s="64">
        <f>((FuelConsump!AM55*'Fuel Heat Content'!$D$13)+(FuelConsump!AN55*'Fuel Heat Content'!$D$12))*42/1000000000</f>
        <v>1009.3588176</v>
      </c>
      <c r="G55" s="35">
        <f>FuelConsump!$DA55</f>
        <v>293.2</v>
      </c>
      <c r="H55" s="111"/>
      <c r="I55" s="33">
        <f>(FuelConsump!BF55*'Fuel Heat Content'!$D$18+FuelConsump!BG55*'Fuel Heat Content'!$D$21)/1000000</f>
        <v>809.97720983684565</v>
      </c>
      <c r="K55" s="136">
        <f>'Freight-based Activity'!F55/('Freight-based Activity'!F55+'Passenger-based Activity'!T56)</f>
        <v>0.18212006928316488</v>
      </c>
      <c r="M55">
        <v>266</v>
      </c>
      <c r="N55">
        <f>'Freight-based Activity'!$G55*M55*0.000001</f>
        <v>188.1710334</v>
      </c>
    </row>
    <row r="56" spans="1:14" x14ac:dyDescent="0.2">
      <c r="A56" s="30">
        <v>1998</v>
      </c>
      <c r="B56" s="35">
        <f>((FuelConsump!N56*'Fuel Heat Content'!$D$6)+(FuelConsump!O56*'Fuel Heat Content'!$D$7)+(FuelConsump!P56*'Fuel Heat Content'!$D$14))/1000000</f>
        <v>2173.3763815153834</v>
      </c>
      <c r="C56" s="33">
        <f>((FuelConsump!R56*'Fuel Heat Content'!$D$6)+(FuelConsump!S56*'Fuel Heat Content'!$D$7)+(FuelConsump!T56*'Fuel Heat Content'!$D$14))/1000000</f>
        <v>3294.9618093012946</v>
      </c>
      <c r="D56" s="64">
        <f>FuelConsump!BD56*'Fuel Heat Content'!$D$13/1000000</f>
        <v>501.95530000000002</v>
      </c>
      <c r="E56" s="64">
        <f>K56*(FuelConsump!AP56+1*FuelConsump!AQ56)*'Fuel Heat Content'!$D$11/1000000</f>
        <v>464.77621457924266</v>
      </c>
      <c r="F56" s="64">
        <f>((FuelConsump!AM56*'Fuel Heat Content'!$D$13)+(FuelConsump!AN56*'Fuel Heat Content'!$D$12))*42/1000000000</f>
        <v>989.4496206</v>
      </c>
      <c r="G56" s="35">
        <f>FuelConsump!$DA56</f>
        <v>293.10000000000002</v>
      </c>
      <c r="H56" s="111"/>
      <c r="I56" s="33">
        <f>(FuelConsump!BF56*'Fuel Heat Content'!$D$18+FuelConsump!BG56*'Fuel Heat Content'!$D$21)/1000000</f>
        <v>684.95334128506681</v>
      </c>
      <c r="K56" s="136">
        <f>'Freight-based Activity'!F56/('Freight-based Activity'!F56+'Passenger-based Activity'!T57)</f>
        <v>0.18060426041888605</v>
      </c>
      <c r="M56">
        <v>256</v>
      </c>
      <c r="N56">
        <f>'Freight-based Activity'!$G56*M56*0.000001</f>
        <v>172.2355968</v>
      </c>
    </row>
    <row r="57" spans="1:14" x14ac:dyDescent="0.2">
      <c r="A57" s="30">
        <v>1999</v>
      </c>
      <c r="B57" s="35">
        <f>((FuelConsump!N57*'Fuel Heat Content'!$D$6)+(FuelConsump!O57*'Fuel Heat Content'!$D$7)+(FuelConsump!P57*'Fuel Heat Content'!$D$14))/1000000</f>
        <v>2091.6969164887387</v>
      </c>
      <c r="C57" s="33">
        <f>((FuelConsump!R57*'Fuel Heat Content'!$D$6)+(FuelConsump!S57*'Fuel Heat Content'!$D$7)+(FuelConsump!T57*'Fuel Heat Content'!$D$14))/1000000</f>
        <v>3634.3803685246035</v>
      </c>
      <c r="D57" s="35">
        <f>FuelConsump!BD57*'Fuel Heat Content'!$D$13/1000000</f>
        <v>519.98630000000003</v>
      </c>
      <c r="E57" s="64">
        <f>K57*(FuelConsump!AP57+1*FuelConsump!AQ57)*'Fuel Heat Content'!$D$11/1000000</f>
        <v>419.95651612393101</v>
      </c>
      <c r="F57" s="33">
        <f>((FuelConsump!AM57*'Fuel Heat Content'!$D$13)+(FuelConsump!AN57*'Fuel Heat Content'!$D$12))*42/1000000000</f>
        <v>1124.4758952</v>
      </c>
      <c r="G57" s="35">
        <f>FuelConsump!$DA57</f>
        <v>299.89999999999998</v>
      </c>
      <c r="H57" s="111"/>
      <c r="I57" s="33">
        <f>(FuelConsump!BF57*'Fuel Heat Content'!$D$18+FuelConsump!BG57*'Fuel Heat Content'!$D$21)/1000000</f>
        <v>695.56161001065038</v>
      </c>
      <c r="K57" s="136">
        <f>'Freight-based Activity'!F57/('Freight-based Activity'!F57+'Passenger-based Activity'!T58)</f>
        <v>0.15828892911499826</v>
      </c>
      <c r="M57">
        <v>266</v>
      </c>
      <c r="N57">
        <f>'Freight-based Activity'!$G57*M57*0.000001</f>
        <v>174.459159</v>
      </c>
    </row>
    <row r="58" spans="1:14" x14ac:dyDescent="0.2">
      <c r="A58" s="215">
        <v>2000</v>
      </c>
      <c r="B58" s="97">
        <f>((FuelConsump!N58*'Fuel Heat Content'!$D$6)+(FuelConsump!O58*'Fuel Heat Content'!$D$7)+(FuelConsump!P58*'Fuel Heat Content'!$D$14))/1000000</f>
        <v>2135.3779004826874</v>
      </c>
      <c r="C58" s="97">
        <f>((FuelConsump!R58*'Fuel Heat Content'!$D$6)+(FuelConsump!S58*'Fuel Heat Content'!$D$7)+(FuelConsump!T58*'Fuel Heat Content'!$D$14))/1000000</f>
        <v>3803.459910024003</v>
      </c>
      <c r="D58" s="97">
        <f>FuelConsump!BD58*'Fuel Heat Content'!$D$13/1000000</f>
        <v>515.97787000000005</v>
      </c>
      <c r="E58" s="64">
        <f>K58*(FuelConsump!AP58+1*FuelConsump!AQ58)*'Fuel Heat Content'!$D$11/1000000</f>
        <v>481.95910774019768</v>
      </c>
      <c r="F58" s="33">
        <f>((FuelConsump!AM58*'Fuel Heat Content'!$D$13)+(FuelConsump!AN58*'Fuel Heat Content'!$D$12))*42/1000000000</f>
        <v>1210.1331689000001</v>
      </c>
      <c r="G58" s="35">
        <f>FuelConsump!$DA58</f>
        <v>305.60000000000002</v>
      </c>
      <c r="H58" s="258"/>
      <c r="I58" s="33">
        <f>(FuelConsump!BF58*'Fuel Heat Content'!$D$18+FuelConsump!BG58*'Fuel Heat Content'!$D$21)/1000000</f>
        <v>692.21055255608428</v>
      </c>
      <c r="J58" s="36"/>
      <c r="K58" s="259">
        <f>'Freight-based Activity'!F58/('Freight-based Activity'!F58+'Passenger-based Activity'!T59)</f>
        <v>0.17569834909382728</v>
      </c>
      <c r="M58">
        <v>270</v>
      </c>
      <c r="N58">
        <f>'Freight-based Activity'!$G58*M58*0.000001</f>
        <v>174.36581099999998</v>
      </c>
    </row>
    <row r="59" spans="1:14" x14ac:dyDescent="0.2">
      <c r="A59" s="215">
        <v>2001</v>
      </c>
      <c r="B59" s="97">
        <f>((FuelConsump!N59*'Fuel Heat Content'!$D$6)+(FuelConsump!O59*'Fuel Heat Content'!$D$7)+(FuelConsump!P59*'Fuel Heat Content'!$D$14))/1000000</f>
        <v>2159.0327836644938</v>
      </c>
      <c r="C59" s="97">
        <f>((FuelConsump!R59*'Fuel Heat Content'!$D$6)+(FuelConsump!S59*'Fuel Heat Content'!$D$7)+(FuelConsump!T59*'Fuel Heat Content'!$D$14))/1000000</f>
        <v>3781.395382675792</v>
      </c>
      <c r="D59" s="97">
        <f>FuelConsump!BD59*'Fuel Heat Content'!$D$13/1000000</f>
        <v>517.351</v>
      </c>
      <c r="E59" s="64">
        <f>K59*(FuelConsump!AP59+1*FuelConsump!AQ59)*'Fuel Heat Content'!$D$11/1000000</f>
        <v>450.58343957821745</v>
      </c>
      <c r="F59" s="255">
        <f>F58*'Freight-based Activity'!I59/'Freight-based Activity'!I58</f>
        <v>1168.1406271445098</v>
      </c>
      <c r="G59" s="35">
        <f>FuelConsump!$DA59</f>
        <v>286.10000000000002</v>
      </c>
      <c r="H59" s="258"/>
      <c r="I59" s="33">
        <f>(FuelConsump!BF59*'Fuel Heat Content'!$D$18+FuelConsump!BG59*'Fuel Heat Content'!$D$21)/1000000</f>
        <v>673.62183050351234</v>
      </c>
      <c r="J59" s="36"/>
      <c r="K59" s="259">
        <f>'Freight-based Activity'!F59/('Freight-based Activity'!F59+'Passenger-based Activity'!T60)</f>
        <v>0.17333965764667858</v>
      </c>
      <c r="M59">
        <v>253</v>
      </c>
      <c r="N59">
        <f>'Freight-based Activity'!$G59*M59*0.000001</f>
        <v>157.28655799999999</v>
      </c>
    </row>
    <row r="60" spans="1:14" x14ac:dyDescent="0.2">
      <c r="A60" s="215">
        <v>2002</v>
      </c>
      <c r="B60" s="97">
        <f>((FuelConsump!N60*'Fuel Heat Content'!$D$6)+(FuelConsump!O60*'Fuel Heat Content'!$D$7)+(FuelConsump!P60*'Fuel Heat Content'!$D$14))/1000000</f>
        <v>2305.7895104898516</v>
      </c>
      <c r="C60" s="97">
        <f>((FuelConsump!R60*'Fuel Heat Content'!$D$6)+(FuelConsump!S60*'Fuel Heat Content'!$D$7)+(FuelConsump!T60*'Fuel Heat Content'!$D$14))/1000000</f>
        <v>3926.0509100526519</v>
      </c>
      <c r="D60" s="97">
        <f>FuelConsump!BD60*'Fuel Heat Content'!$D$13/1000000</f>
        <v>520.31917999999996</v>
      </c>
      <c r="E60" s="64">
        <f>K60*(FuelConsump!AP60+1*FuelConsump!AQ60)*'Fuel Heat Content'!$D$11/1000000</f>
        <v>454.77838706658429</v>
      </c>
      <c r="F60" s="255">
        <f>F59*'Freight-based Activity'!I60/'Freight-based Activity'!I59</f>
        <v>1143.5582043285613</v>
      </c>
      <c r="G60" s="35">
        <f>FuelConsump!$DA60</f>
        <v>288.5</v>
      </c>
      <c r="H60" s="258"/>
      <c r="I60" s="33">
        <f>(FuelConsump!BF60*'Fuel Heat Content'!$D$18+FuelConsump!BG60*'Fuel Heat Content'!$D$21)/1000000</f>
        <v>718.84439935644684</v>
      </c>
      <c r="J60" s="36"/>
      <c r="K60" s="259">
        <f>'Freight-based Activity'!F60/('Freight-based Activity'!F60+'Passenger-based Activity'!T61)</f>
        <v>0.18883961596077212</v>
      </c>
      <c r="M60">
        <v>253</v>
      </c>
      <c r="N60">
        <f>'Freight-based Activity'!$G60*M60*0.000001</f>
        <v>154.856493</v>
      </c>
    </row>
    <row r="61" spans="1:14" x14ac:dyDescent="0.2">
      <c r="A61" s="215">
        <v>2003</v>
      </c>
      <c r="B61" s="97">
        <f>((FuelConsump!N61*'Fuel Heat Content'!$D$6)+(FuelConsump!O61*'Fuel Heat Content'!$D$7)+(FuelConsump!P61*'Fuel Heat Content'!$D$14))/1000000</f>
        <v>1984.0826124077482</v>
      </c>
      <c r="C61" s="97">
        <f>((FuelConsump!R61*'Fuel Heat Content'!$D$6)+(FuelConsump!S61*'Fuel Heat Content'!$D$7)+(FuelConsump!T61*'Fuel Heat Content'!$D$14))/1000000</f>
        <v>3990.8926009012307</v>
      </c>
      <c r="D61" s="97">
        <f>FuelConsump!BD61*'Fuel Heat Content'!$D$13/1000000</f>
        <v>533.88404000000003</v>
      </c>
      <c r="E61" s="64">
        <f>K61*(FuelConsump!AP61+1*FuelConsump!AQ61)*'Fuel Heat Content'!$D$11/1000000</f>
        <v>466.09357979369253</v>
      </c>
      <c r="F61" s="255">
        <f>F60*'Freight-based Activity'!I61/'Freight-based Activity'!I60</f>
        <v>1132.4907245696656</v>
      </c>
      <c r="G61" s="35">
        <f>FuelConsump!$DA61</f>
        <v>253.19847036749997</v>
      </c>
      <c r="H61" s="258"/>
      <c r="I61" s="33">
        <f>(FuelConsump!BF61*'Fuel Heat Content'!$D$18+FuelConsump!BG61*'Fuel Heat Content'!$D$21)/1000000</f>
        <v>637.54380055200545</v>
      </c>
      <c r="J61" s="36"/>
      <c r="K61" s="259">
        <f>'Freight-based Activity'!F61/('Freight-based Activity'!F61+'Passenger-based Activity'!T62)</f>
        <v>0.19401770359701229</v>
      </c>
      <c r="M61">
        <v>251</v>
      </c>
      <c r="N61">
        <f>'Freight-based Activity'!$G61*M61*0.000001</f>
        <v>152.14264599999998</v>
      </c>
    </row>
    <row r="62" spans="1:14" x14ac:dyDescent="0.2">
      <c r="A62" s="215">
        <v>2004</v>
      </c>
      <c r="B62" s="97">
        <f>((FuelConsump!N62*'Fuel Heat Content'!$D$6)+(FuelConsump!O62*'Fuel Heat Content'!$D$7)+(FuelConsump!P62*'Fuel Heat Content'!$D$14))/1000000</f>
        <v>2001.5084027205291</v>
      </c>
      <c r="C62" s="97">
        <f>((FuelConsump!R62*'Fuel Heat Content'!$D$6)+(FuelConsump!S62*'Fuel Heat Content'!$D$7)+(FuelConsump!T62*'Fuel Heat Content'!$D$14))/1000000</f>
        <v>4061.6832870931025</v>
      </c>
      <c r="D62" s="97">
        <f>FuelConsump!BD62*'Fuel Heat Content'!$D$13/1000000</f>
        <v>566.20114000000001</v>
      </c>
      <c r="E62" s="64">
        <f>K62*(FuelConsump!AP62+1*FuelConsump!AQ62)*'Fuel Heat Content'!$D$11/1000000</f>
        <v>504.6358033970111</v>
      </c>
      <c r="F62" s="255" t="s">
        <v>213</v>
      </c>
      <c r="G62" s="35">
        <f>FuelConsump!$DA62</f>
        <v>316.71530555379991</v>
      </c>
      <c r="H62" s="258"/>
      <c r="I62" s="33">
        <f>(FuelConsump!BF62*'Fuel Heat Content'!$D$18+FuelConsump!BG62*'Fuel Heat Content'!$D$21)/1000000</f>
        <v>610.26862882868795</v>
      </c>
      <c r="J62" s="36"/>
      <c r="K62" s="259">
        <f>'Freight-based Activity'!F62/('Freight-based Activity'!F62+'Passenger-based Activity'!T63)</f>
        <v>0.20145636445645718</v>
      </c>
      <c r="M62">
        <v>241</v>
      </c>
      <c r="N62">
        <f>'Freight-based Activity'!$G62*M62*0.000001</f>
        <v>149.70196999999999</v>
      </c>
    </row>
    <row r="63" spans="1:14" x14ac:dyDescent="0.2">
      <c r="A63" s="215">
        <v>2005</v>
      </c>
      <c r="B63" s="97">
        <f>((FuelConsump!N63*'Fuel Heat Content'!$D$6)+(FuelConsump!O63*'Fuel Heat Content'!$D$7)+(FuelConsump!P63*'Fuel Heat Content'!$D$14))/1000000</f>
        <v>2122.5953046375425</v>
      </c>
      <c r="C63" s="97">
        <f>((FuelConsump!R63*'Fuel Heat Content'!$D$6)+(FuelConsump!S63*'Fuel Heat Content'!$D$7)+(FuelConsump!T63*'Fuel Heat Content'!$D$14))/1000000</f>
        <v>4105.2531909117115</v>
      </c>
      <c r="D63" s="97">
        <f>FuelConsump!BD63*'Fuel Heat Content'!$D$13/1000000</f>
        <v>571.43012999999996</v>
      </c>
      <c r="E63" s="64">
        <f>K63*(FuelConsump!AP63+1*FuelConsump!AQ63)*'Fuel Heat Content'!$D$11/1000000</f>
        <v>516.2191755378575</v>
      </c>
      <c r="F63" s="255" t="s">
        <v>213</v>
      </c>
      <c r="G63" s="35">
        <f>FuelConsump!$DA63</f>
        <v>304.42625644169999</v>
      </c>
      <c r="H63" s="258"/>
      <c r="I63" s="33">
        <f>(FuelConsump!BF63*'Fuel Heat Content'!$D$18+FuelConsump!BG63*'Fuel Heat Content'!$D$21)/1000000</f>
        <v>629.49652009018803</v>
      </c>
      <c r="J63" s="36"/>
      <c r="K63" s="259">
        <f>'Freight-based Activity'!F63/('Freight-based Activity'!F63+'Passenger-based Activity'!T64)</f>
        <v>0.19812877567253911</v>
      </c>
      <c r="M63">
        <v>241</v>
      </c>
      <c r="N63">
        <f>'Freight-based Activity'!$G63*M63*0.000001</f>
        <v>142.49775700000001</v>
      </c>
    </row>
    <row r="64" spans="1:14" x14ac:dyDescent="0.2">
      <c r="A64" s="215">
        <v>2006</v>
      </c>
      <c r="B64" s="97">
        <f>((FuelConsump!N64*'Fuel Heat Content'!$D$6)+(FuelConsump!O64*'Fuel Heat Content'!$D$7)+(FuelConsump!P64*'Fuel Heat Content'!$D$14))/1000000</f>
        <v>2201.0113610450558</v>
      </c>
      <c r="C64" s="97">
        <f>((FuelConsump!R64*'Fuel Heat Content'!$D$6)+(FuelConsump!S64*'Fuel Heat Content'!$D$7)+(FuelConsump!T64*'Fuel Heat Content'!$D$14))/1000000</f>
        <v>4167.2100698502618</v>
      </c>
      <c r="D64" s="97">
        <f>FuelConsump!BD64*'Fuel Heat Content'!$D$13/1000000</f>
        <v>584.53728000000001</v>
      </c>
      <c r="E64" s="64">
        <f>K64*(FuelConsump!AP64+1*FuelConsump!AQ64)*'Fuel Heat Content'!$D$11/1000000</f>
        <v>524.30734577426995</v>
      </c>
      <c r="F64" s="255" t="s">
        <v>213</v>
      </c>
      <c r="G64" s="35">
        <f>FuelConsump!$DA64</f>
        <v>320.7412670164</v>
      </c>
      <c r="H64" s="258"/>
      <c r="I64" s="33">
        <f>(FuelConsump!BF64*'Fuel Heat Content'!$D$18+FuelConsump!BG64*'Fuel Heat Content'!$D$21)/1000000</f>
        <v>629.69807935168819</v>
      </c>
      <c r="J64" s="36"/>
      <c r="K64" s="259">
        <f>'Freight-based Activity'!F64/('Freight-based Activity'!F64+'Passenger-based Activity'!T65)</f>
        <v>0.19702506680430421</v>
      </c>
      <c r="M64">
        <v>235</v>
      </c>
      <c r="N64">
        <f>'Freight-based Activity'!$G64*M64*0.000001</f>
        <v>131.98281499999999</v>
      </c>
    </row>
    <row r="65" spans="1:16" x14ac:dyDescent="0.2">
      <c r="A65" s="215">
        <v>2007</v>
      </c>
      <c r="B65" s="97">
        <f>((FuelConsump!N65*'Fuel Heat Content'!$D$6)+(FuelConsump!O65*'Fuel Heat Content'!$D$7)+(FuelConsump!P65*'Fuel Heat Content'!$D$14))/1000000</f>
        <v>2234.0766821999996</v>
      </c>
      <c r="C65" s="97">
        <f>((FuelConsump!R65*'Fuel Heat Content'!$D$6)+(FuelConsump!S65*'Fuel Heat Content'!$D$7)+(FuelConsump!T65*'Fuel Heat Content'!$D$14))/1000000</f>
        <v>4232.0648391999994</v>
      </c>
      <c r="D65" s="97">
        <f>FuelConsump!BD65*'Fuel Heat Content'!$D$13/1000000</f>
        <v>566.92237999999998</v>
      </c>
      <c r="E65" s="64">
        <f>K65*(FuelConsump!AP65+1*FuelConsump!AQ65)*'Fuel Heat Content'!$D$11/1000000</f>
        <v>513.63612057458249</v>
      </c>
      <c r="F65" s="255" t="s">
        <v>213</v>
      </c>
      <c r="G65" s="35">
        <f>FuelConsump!$DA65</f>
        <v>326.37639231999998</v>
      </c>
      <c r="H65" s="258"/>
      <c r="I65" s="33">
        <f>(FuelConsump!BF65*'Fuel Heat Content'!$D$18+FuelConsump!BG65*'Fuel Heat Content'!$D$21)/1000000</f>
        <v>669.74154525538177</v>
      </c>
      <c r="J65" s="36"/>
      <c r="K65" s="259">
        <f>'Freight-based Activity'!F65/('Freight-based Activity'!F65+'Passenger-based Activity'!T66)</f>
        <v>0.19132423511058758</v>
      </c>
      <c r="M65">
        <v>225</v>
      </c>
      <c r="N65">
        <f>'Freight-based Activity'!$G65*M65*0.000001</f>
        <v>124.458975</v>
      </c>
    </row>
    <row r="66" spans="1:16" x14ac:dyDescent="0.2">
      <c r="A66" s="215">
        <v>2008</v>
      </c>
      <c r="B66" s="97">
        <f>((FuelConsump!N66*'Fuel Heat Content'!$D$6)+(FuelConsump!O66*'Fuel Heat Content'!$D$7)+(FuelConsump!P66*'Fuel Heat Content'!$D$14))/1000000</f>
        <v>2347.7387911999999</v>
      </c>
      <c r="C66" s="97">
        <f>((FuelConsump!R66*'Fuel Heat Content'!$D$6)+(FuelConsump!S66*'Fuel Heat Content'!$D$7)+(FuelConsump!T66*'Fuel Heat Content'!$D$14))/1000000</f>
        <v>4185.0936302999999</v>
      </c>
      <c r="D66" s="97">
        <f>FuelConsump!BD66*'Fuel Heat Content'!$D$13/1000000</f>
        <v>542.48343999999997</v>
      </c>
      <c r="E66" s="64">
        <f>K66*(FuelConsump!AP66+1*FuelConsump!AQ66)*'Fuel Heat Content'!$D$11/1000000</f>
        <v>451.50374566705074</v>
      </c>
      <c r="F66" s="255" t="s">
        <v>213</v>
      </c>
      <c r="G66" s="35">
        <f>FuelConsump!$DA66</f>
        <v>300.26142177119993</v>
      </c>
      <c r="H66" s="258"/>
      <c r="I66" s="33">
        <f>(FuelConsump!BF66*'Fuel Heat Content'!$D$18+FuelConsump!BG66*'Fuel Heat Content'!$D$21)/1000000</f>
        <v>698.40391895490598</v>
      </c>
      <c r="J66" s="36"/>
      <c r="K66" s="259">
        <f>'Freight-based Activity'!F66/('Freight-based Activity'!F66+'Passenger-based Activity'!T67)</f>
        <v>0.17739170185674363</v>
      </c>
      <c r="M66">
        <v>252</v>
      </c>
      <c r="N66">
        <f>'Freight-based Activity'!$G66*M66*0.000001</f>
        <v>131.17104</v>
      </c>
    </row>
    <row r="67" spans="1:16" x14ac:dyDescent="0.2">
      <c r="A67" s="215">
        <v>2009</v>
      </c>
      <c r="B67" s="97">
        <f>((FuelConsump!N67*'Fuel Heat Content'!$D$6)+(FuelConsump!O67*'Fuel Heat Content'!$D$7)+(FuelConsump!P67*'Fuel Heat Content'!$D$14))/1000000</f>
        <v>2225.7232019000003</v>
      </c>
      <c r="C67" s="97">
        <f>((FuelConsump!R67*'Fuel Heat Content'!$D$6)+(FuelConsump!S67*'Fuel Heat Content'!$D$7)+(FuelConsump!T67*'Fuel Heat Content'!$D$14))/1000000</f>
        <v>3841.2315149999999</v>
      </c>
      <c r="D67" s="97">
        <f>FuelConsump!BD67*'Fuel Heat Content'!$D$13/1000000</f>
        <v>446.61399999999998</v>
      </c>
      <c r="E67" s="64">
        <f>K67*(FuelConsump!AP67+1*FuelConsump!AQ67)*'Fuel Heat Content'!$D$11/1000000</f>
        <v>374.76648319453909</v>
      </c>
      <c r="F67" s="255" t="s">
        <v>213</v>
      </c>
      <c r="G67" s="35">
        <f>FuelConsump!$DA67</f>
        <v>304.17194818969995</v>
      </c>
      <c r="H67" s="258"/>
      <c r="I67" s="33">
        <f>(FuelConsump!BF67*'Fuel Heat Content'!$D$18+FuelConsump!BG67*'Fuel Heat Content'!$D$21)/1000000</f>
        <v>722.35174607795159</v>
      </c>
      <c r="J67" s="36"/>
      <c r="K67" s="259">
        <f>'Freight-based Activity'!F67/('Freight-based Activity'!F67+'Passenger-based Activity'!T68)</f>
        <v>0.1627178584252075</v>
      </c>
      <c r="M67">
        <v>225</v>
      </c>
      <c r="N67">
        <f>'Freight-based Activity'!$G67*M67*0.000001</f>
        <v>107.35233749999999</v>
      </c>
    </row>
    <row r="68" spans="1:16" x14ac:dyDescent="0.2">
      <c r="A68" s="215">
        <v>2010</v>
      </c>
      <c r="B68" s="97">
        <f>((FuelConsump!N68*'Fuel Heat Content'!$D$6)+(FuelConsump!O68*'Fuel Heat Content'!$D$7)+(FuelConsump!P68*'Fuel Heat Content'!$D$14))/1000000</f>
        <v>2067.4179030999999</v>
      </c>
      <c r="C68" s="97">
        <f>((FuelConsump!R68*'Fuel Heat Content'!$D$6)+(FuelConsump!S68*'Fuel Heat Content'!$D$7)+(FuelConsump!T68*'Fuel Heat Content'!$D$14))/1000000</f>
        <v>4098.2722120999997</v>
      </c>
      <c r="D68" s="97">
        <f>FuelConsump!BD68*'Fuel Heat Content'!$D$13/1000000</f>
        <v>488.08530000000002</v>
      </c>
      <c r="E68" s="64">
        <f>K68*(FuelConsump!AP68+1*FuelConsump!AQ68)*'Fuel Heat Content'!$D$11/1000000</f>
        <v>416.98023461528214</v>
      </c>
      <c r="F68" s="5"/>
      <c r="G68" s="35">
        <f>FuelConsump!$DA68</f>
        <v>344.60297506819995</v>
      </c>
      <c r="H68" s="5"/>
      <c r="I68" s="33">
        <f>(FuelConsump!BF68*'Fuel Heat Content'!$D$18+FuelConsump!BG68*'Fuel Heat Content'!$D$21)/1000000</f>
        <v>726.60928128076137</v>
      </c>
      <c r="K68" s="259">
        <f>'Freight-based Activity'!F68/('Freight-based Activity'!F68+'Passenger-based Activity'!T69)</f>
        <v>0.17870840610700947</v>
      </c>
      <c r="M68">
        <v>217</v>
      </c>
      <c r="N68">
        <f>'Freight-based Activity'!$G68*M68*0.000001</f>
        <v>108.98000399999999</v>
      </c>
    </row>
    <row r="69" spans="1:16" x14ac:dyDescent="0.2">
      <c r="A69" s="215">
        <v>2011</v>
      </c>
      <c r="B69" s="97">
        <f>((FuelConsump!N69*'Fuel Heat Content'!$D$6)+(FuelConsump!O69*'Fuel Heat Content'!$D$7)+(FuelConsump!P69*'Fuel Heat Content'!$D$14))/1000000</f>
        <v>1942.2526409000002</v>
      </c>
      <c r="C69" s="97">
        <f>((FuelConsump!R69*'Fuel Heat Content'!$D$6)+(FuelConsump!S69*'Fuel Heat Content'!$D$7)+(FuelConsump!T69*'Fuel Heat Content'!$D$14))/1000000</f>
        <v>3860.8142639000002</v>
      </c>
      <c r="D69" s="97">
        <f>FuelConsump!BD69*'Fuel Heat Content'!$D$13/1000000</f>
        <v>514.64634999999998</v>
      </c>
      <c r="E69" s="64">
        <f>K69*(FuelConsump!AP69+1*FuelConsump!AQ69)*'Fuel Heat Content'!$D$11/1000000</f>
        <v>422.25297180334917</v>
      </c>
      <c r="F69" s="5"/>
      <c r="G69" s="35">
        <f>FuelConsump!$DA69</f>
        <v>354.44371942349994</v>
      </c>
      <c r="H69" s="5"/>
      <c r="I69" s="33">
        <f>(FuelConsump!BF69*'Fuel Heat Content'!$D$18+FuelConsump!BG69*'Fuel Heat Content'!$D$21)/1000000</f>
        <v>736.94700789598915</v>
      </c>
      <c r="K69" s="259">
        <f>'Freight-based Activity'!F69/('Freight-based Activity'!F69+'Passenger-based Activity'!T70)</f>
        <v>0.17776841971127377</v>
      </c>
      <c r="M69" s="579">
        <v>217</v>
      </c>
      <c r="N69">
        <f>'Freight-based Activity'!$G69*M69*0.000001</f>
        <v>108.44531599999999</v>
      </c>
    </row>
    <row r="70" spans="1:16" x14ac:dyDescent="0.2">
      <c r="A70" s="215"/>
      <c r="B70" s="97"/>
      <c r="C70" s="97"/>
      <c r="D70" s="97"/>
      <c r="E70" s="97"/>
      <c r="F70" s="5"/>
      <c r="G70" s="97"/>
      <c r="H70" s="5"/>
      <c r="I70" s="97"/>
      <c r="K70" s="259"/>
    </row>
    <row r="72" spans="1:16" x14ac:dyDescent="0.2">
      <c r="A72" t="s">
        <v>298</v>
      </c>
      <c r="P72">
        <f>3031*1000000*10339/1000000000000</f>
        <v>31.337509000000001</v>
      </c>
    </row>
    <row r="74" spans="1:16" x14ac:dyDescent="0.2">
      <c r="A74" s="7" t="s">
        <v>10</v>
      </c>
    </row>
    <row r="76" spans="1:16" x14ac:dyDescent="0.2">
      <c r="A76" t="s">
        <v>14</v>
      </c>
    </row>
    <row r="77" spans="1:16" x14ac:dyDescent="0.2">
      <c r="I77">
        <f>0.035*26924</f>
        <v>942.34000000000015</v>
      </c>
      <c r="J77" s="556" t="s">
        <v>1236</v>
      </c>
      <c r="M77" s="556" t="s">
        <v>1237</v>
      </c>
    </row>
    <row r="80" spans="1:16" x14ac:dyDescent="0.2">
      <c r="D80">
        <v>44</v>
      </c>
    </row>
  </sheetData>
  <mergeCells count="1">
    <mergeCell ref="M4:N4"/>
  </mergeCells>
  <phoneticPr fontId="0" type="noConversion"/>
  <pageMargins left="0.75" right="0.75" top="1" bottom="1" header="0.5" footer="0.5"/>
  <pageSetup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Y78"/>
  <sheetViews>
    <sheetView topLeftCell="C1" workbookViewId="0">
      <selection activeCell="R37" sqref="R37"/>
    </sheetView>
  </sheetViews>
  <sheetFormatPr defaultRowHeight="12.75" x14ac:dyDescent="0.2"/>
  <cols>
    <col min="4" max="4" width="12.85546875" customWidth="1"/>
    <col min="5" max="5" width="12.5703125" customWidth="1"/>
    <col min="6" max="6" width="14.42578125" customWidth="1"/>
    <col min="7" max="7" width="12.85546875" customWidth="1"/>
    <col min="8" max="8" width="12.5703125" customWidth="1"/>
    <col min="9" max="9" width="11.85546875" customWidth="1"/>
    <col min="10" max="11" width="12.140625" customWidth="1"/>
    <col min="22" max="22" width="14.140625" customWidth="1"/>
    <col min="23" max="23" width="12.28515625" customWidth="1"/>
    <col min="24" max="24" width="11.42578125" customWidth="1"/>
    <col min="25" max="25" width="11.7109375" customWidth="1"/>
    <col min="26" max="26" width="13.5703125" customWidth="1"/>
    <col min="27" max="27" width="12.140625" customWidth="1"/>
    <col min="28" max="28" width="13.140625" customWidth="1"/>
    <col min="29" max="29" width="12.28515625" customWidth="1"/>
    <col min="30" max="30" width="12" customWidth="1"/>
    <col min="31" max="31" width="11.7109375" customWidth="1"/>
    <col min="40" max="40" width="9.42578125" customWidth="1"/>
  </cols>
  <sheetData>
    <row r="1" spans="4:51" x14ac:dyDescent="0.2">
      <c r="D1" s="6" t="s">
        <v>665</v>
      </c>
    </row>
    <row r="3" spans="4:51" ht="26.25" customHeight="1" x14ac:dyDescent="0.2">
      <c r="F3" s="948" t="s">
        <v>1223</v>
      </c>
      <c r="G3" s="949"/>
    </row>
    <row r="4" spans="4:51" ht="51" x14ac:dyDescent="0.2">
      <c r="F4" s="511" t="s">
        <v>898</v>
      </c>
      <c r="G4" s="581" t="s">
        <v>898</v>
      </c>
      <c r="H4" s="950" t="s">
        <v>899</v>
      </c>
      <c r="I4" s="949"/>
      <c r="J4" s="511" t="s">
        <v>919</v>
      </c>
      <c r="K4" s="495"/>
      <c r="V4" s="952" t="s">
        <v>1050</v>
      </c>
      <c r="W4" s="952"/>
      <c r="X4" s="950" t="s">
        <v>918</v>
      </c>
      <c r="Y4" s="949"/>
      <c r="Z4" s="950" t="s">
        <v>906</v>
      </c>
      <c r="AA4" s="949"/>
      <c r="AB4" s="950" t="s">
        <v>907</v>
      </c>
      <c r="AC4" s="949"/>
      <c r="AD4" s="951" t="s">
        <v>910</v>
      </c>
      <c r="AE4" s="800"/>
      <c r="AG4" t="s">
        <v>932</v>
      </c>
      <c r="AN4" s="7" t="s">
        <v>921</v>
      </c>
      <c r="AR4" s="7" t="s">
        <v>945</v>
      </c>
      <c r="AX4" s="7" t="s">
        <v>905</v>
      </c>
    </row>
    <row r="5" spans="4:51" ht="25.5" x14ac:dyDescent="0.2">
      <c r="E5" s="512" t="s">
        <v>900</v>
      </c>
      <c r="F5" s="513" t="s">
        <v>901</v>
      </c>
      <c r="G5" s="513" t="s">
        <v>169</v>
      </c>
      <c r="H5" s="513" t="s">
        <v>901</v>
      </c>
      <c r="I5" s="513" t="s">
        <v>169</v>
      </c>
      <c r="J5" s="513" t="s">
        <v>901</v>
      </c>
      <c r="K5" s="513" t="s">
        <v>169</v>
      </c>
      <c r="V5" s="520" t="s">
        <v>904</v>
      </c>
      <c r="W5" s="520" t="s">
        <v>905</v>
      </c>
      <c r="X5" s="520" t="s">
        <v>904</v>
      </c>
      <c r="Y5" s="520" t="s">
        <v>905</v>
      </c>
      <c r="Z5" s="520" t="s">
        <v>904</v>
      </c>
      <c r="AA5" s="520" t="s">
        <v>905</v>
      </c>
      <c r="AB5" s="521" t="s">
        <v>908</v>
      </c>
      <c r="AC5" s="521" t="s">
        <v>909</v>
      </c>
      <c r="AD5" s="520" t="s">
        <v>904</v>
      </c>
      <c r="AE5" s="520" t="s">
        <v>905</v>
      </c>
      <c r="AF5" s="495"/>
      <c r="AG5" t="s">
        <v>933</v>
      </c>
      <c r="AH5" t="s">
        <v>934</v>
      </c>
      <c r="AS5" t="s">
        <v>942</v>
      </c>
      <c r="AT5" t="s">
        <v>905</v>
      </c>
      <c r="AX5" s="7" t="s">
        <v>943</v>
      </c>
      <c r="AY5" s="7" t="s">
        <v>944</v>
      </c>
    </row>
    <row r="6" spans="4:51" x14ac:dyDescent="0.2">
      <c r="D6">
        <v>1970</v>
      </c>
      <c r="F6" s="514">
        <f>'Freight-based Activity'!V28</f>
        <v>27081</v>
      </c>
      <c r="G6" s="514">
        <v>35134</v>
      </c>
      <c r="H6" s="4"/>
      <c r="I6" s="4"/>
      <c r="J6" s="4">
        <f>F$43/H$43*F6</f>
        <v>39818.349396905265</v>
      </c>
      <c r="K6" s="4">
        <f t="shared" ref="J6:K42" si="0">G$43/I$43*G6</f>
        <v>44820.50280073101</v>
      </c>
      <c r="U6">
        <v>1970</v>
      </c>
      <c r="V6">
        <f>FuelConsump!BS28</f>
        <v>3968.375</v>
      </c>
      <c r="W6">
        <f>FuelConsump!BW28</f>
        <v>7347.9369999999999</v>
      </c>
      <c r="X6" s="279">
        <f>F6/V6</f>
        <v>6.8242038617822161</v>
      </c>
      <c r="Y6" s="279">
        <f>G6/W6</f>
        <v>4.7814781210018538</v>
      </c>
      <c r="AB6" s="5">
        <f>J6/(Z$42/X$42*X6)</f>
        <v>6474.0040740423256</v>
      </c>
      <c r="AC6" s="5">
        <f>K6/(AA$42/Y$42*Y6)</f>
        <v>7955.4683535115373</v>
      </c>
      <c r="AD6" s="279">
        <f>J6/AB6</f>
        <v>6.1504980444108606</v>
      </c>
      <c r="AE6" s="279">
        <f>K6/AC6</f>
        <v>5.6339238381794674</v>
      </c>
      <c r="AR6">
        <f>U6</f>
        <v>1970</v>
      </c>
      <c r="AS6" s="279">
        <f>X6</f>
        <v>6.8242038617822161</v>
      </c>
      <c r="AT6" s="279">
        <f>Y6</f>
        <v>4.7814781210018538</v>
      </c>
      <c r="AW6">
        <f>AR6</f>
        <v>1970</v>
      </c>
      <c r="AX6">
        <f>'Freight-based Activity'!C28</f>
        <v>478704.76190476195</v>
      </c>
      <c r="AY6" s="279">
        <f>AX6/G6</f>
        <v>13.625114188670858</v>
      </c>
    </row>
    <row r="7" spans="4:51" x14ac:dyDescent="0.2">
      <c r="D7">
        <v>1971</v>
      </c>
      <c r="F7" s="514">
        <f>'Freight-based Activity'!V29</f>
        <v>28985</v>
      </c>
      <c r="G7" s="514">
        <v>37217</v>
      </c>
      <c r="H7" s="4"/>
      <c r="I7" s="4"/>
      <c r="J7" s="4">
        <f t="shared" si="0"/>
        <v>42617.881808991508</v>
      </c>
      <c r="K7" s="4">
        <f t="shared" si="0"/>
        <v>47477.78939872505</v>
      </c>
      <c r="U7">
        <f>U6+1</f>
        <v>1971</v>
      </c>
      <c r="V7">
        <f>FuelConsump!BS29</f>
        <v>4217.1729627203395</v>
      </c>
      <c r="W7">
        <f>FuelConsump!BW29</f>
        <v>7595.1120000000001</v>
      </c>
      <c r="X7" s="279">
        <f t="shared" ref="X7:X47" si="1">F7/V7</f>
        <v>6.873087790381466</v>
      </c>
      <c r="Y7" s="279">
        <f t="shared" ref="Y7:Y46" si="2">G7/W7</f>
        <v>4.90012523844283</v>
      </c>
      <c r="AB7" s="5">
        <f t="shared" ref="AB7:AB42" si="3">J7/(Z$42/X$42*X7)</f>
        <v>6879.8928885482392</v>
      </c>
      <c r="AC7" s="5">
        <f t="shared" ref="AC7:AC42" si="4">K7/(AA$42/Y$42*Y7)</f>
        <v>8223.079914454318</v>
      </c>
      <c r="AD7" s="279">
        <f t="shared" ref="AD7:AD46" si="5">J7/AB7</f>
        <v>6.1945560053602113</v>
      </c>
      <c r="AE7" s="279">
        <f t="shared" ref="AE7:AE46" si="6">K7/AC7</f>
        <v>5.7737234579551897</v>
      </c>
      <c r="AR7">
        <f t="shared" ref="AR7:AR46" si="7">U7</f>
        <v>1971</v>
      </c>
      <c r="AS7" s="279">
        <f t="shared" ref="AS7:AS46" si="8">X7</f>
        <v>6.873087790381466</v>
      </c>
      <c r="AT7" s="279">
        <f t="shared" ref="AT7:AT46" si="9">Y7</f>
        <v>4.90012523844283</v>
      </c>
      <c r="AW7">
        <f t="shared" ref="AW7:AW46" si="10">AR7</f>
        <v>1971</v>
      </c>
      <c r="AX7">
        <f>'Freight-based Activity'!C29</f>
        <v>517047.61904761911</v>
      </c>
      <c r="AY7" s="279">
        <f t="shared" ref="AY7:AY46" si="11">AX7/G7</f>
        <v>13.892780692898921</v>
      </c>
    </row>
    <row r="8" spans="4:51" x14ac:dyDescent="0.2">
      <c r="D8">
        <f>1972</f>
        <v>1972</v>
      </c>
      <c r="E8" s="4">
        <v>85786.6</v>
      </c>
      <c r="F8" s="514">
        <f>'Freight-based Activity'!V30</f>
        <v>31414</v>
      </c>
      <c r="G8" s="514">
        <v>40706</v>
      </c>
      <c r="H8" s="4"/>
      <c r="I8" s="4"/>
      <c r="J8" s="4">
        <f t="shared" si="0"/>
        <v>46189.34411411624</v>
      </c>
      <c r="K8" s="4">
        <f t="shared" si="0"/>
        <v>51928.712557823092</v>
      </c>
      <c r="M8" s="7" t="s">
        <v>902</v>
      </c>
      <c r="U8">
        <f t="shared" ref="U8:U47" si="12">U7+1</f>
        <v>1972</v>
      </c>
      <c r="V8">
        <f>FuelConsump!BS30</f>
        <v>4844.1926118229121</v>
      </c>
      <c r="W8">
        <f>FuelConsump!BW30</f>
        <v>8120.0829999999996</v>
      </c>
      <c r="X8" s="279">
        <f t="shared" si="1"/>
        <v>6.484878393012254</v>
      </c>
      <c r="Y8" s="279">
        <f t="shared" si="2"/>
        <v>5.0130029459058489</v>
      </c>
      <c r="AB8" s="5">
        <f t="shared" si="3"/>
        <v>7902.8122857308763</v>
      </c>
      <c r="AC8" s="5">
        <f t="shared" si="4"/>
        <v>8791.4557969654652</v>
      </c>
      <c r="AD8" s="279">
        <f t="shared" si="5"/>
        <v>5.8446718008872089</v>
      </c>
      <c r="AE8" s="279">
        <f t="shared" si="6"/>
        <v>5.906725092759638</v>
      </c>
      <c r="AR8">
        <f t="shared" si="7"/>
        <v>1972</v>
      </c>
      <c r="AS8" s="279">
        <f t="shared" si="8"/>
        <v>6.484878393012254</v>
      </c>
      <c r="AT8" s="279">
        <f t="shared" si="9"/>
        <v>5.0130029459058489</v>
      </c>
      <c r="AW8">
        <f t="shared" si="10"/>
        <v>1972</v>
      </c>
      <c r="AX8">
        <f>'Freight-based Activity'!C30</f>
        <v>546095.23809523811</v>
      </c>
      <c r="AY8" s="279">
        <f t="shared" si="11"/>
        <v>13.415595688479293</v>
      </c>
    </row>
    <row r="9" spans="4:51" x14ac:dyDescent="0.2">
      <c r="D9">
        <f>D8+1</f>
        <v>1973</v>
      </c>
      <c r="E9" s="4">
        <v>92175</v>
      </c>
      <c r="F9" s="514">
        <f>'Freight-based Activity'!V31</f>
        <v>33661</v>
      </c>
      <c r="G9" s="514">
        <v>45649</v>
      </c>
      <c r="H9" s="4"/>
      <c r="I9" s="4"/>
      <c r="J9" s="4">
        <f t="shared" si="0"/>
        <v>49493.204056320967</v>
      </c>
      <c r="K9" s="4">
        <f t="shared" si="0"/>
        <v>58234.505958631802</v>
      </c>
      <c r="U9">
        <f t="shared" si="12"/>
        <v>1973</v>
      </c>
      <c r="V9">
        <f>FuelConsump!BS31</f>
        <v>5293.9686513988845</v>
      </c>
      <c r="W9">
        <f>FuelConsump!BW31</f>
        <v>9025.8209999999999</v>
      </c>
      <c r="X9" s="279">
        <f t="shared" si="1"/>
        <v>6.3583678364066962</v>
      </c>
      <c r="Y9" s="279">
        <f t="shared" si="2"/>
        <v>5.0576008542602384</v>
      </c>
      <c r="AB9" s="5">
        <f t="shared" si="3"/>
        <v>8636.5765879002702</v>
      </c>
      <c r="AC9" s="5">
        <f t="shared" si="4"/>
        <v>9772.0806982912145</v>
      </c>
      <c r="AD9" s="279">
        <f t="shared" si="5"/>
        <v>5.7306507448402986</v>
      </c>
      <c r="AE9" s="279">
        <f t="shared" si="6"/>
        <v>5.9592739516380497</v>
      </c>
      <c r="AR9">
        <f t="shared" si="7"/>
        <v>1973</v>
      </c>
      <c r="AS9" s="279">
        <f t="shared" si="8"/>
        <v>6.3583678364066962</v>
      </c>
      <c r="AT9" s="279">
        <f t="shared" si="9"/>
        <v>5.0576008542602384</v>
      </c>
      <c r="AW9">
        <f t="shared" si="10"/>
        <v>1973</v>
      </c>
      <c r="AX9">
        <f>'Freight-based Activity'!C31</f>
        <v>586761.90476190485</v>
      </c>
      <c r="AY9" s="279">
        <f t="shared" si="11"/>
        <v>12.853773461891933</v>
      </c>
    </row>
    <row r="10" spans="4:51" x14ac:dyDescent="0.2">
      <c r="D10">
        <f t="shared" ref="D10:D47" si="13">D9+1</f>
        <v>1974</v>
      </c>
      <c r="E10" s="4">
        <v>90349.7</v>
      </c>
      <c r="F10" s="514">
        <f>'Freight-based Activity'!V32</f>
        <v>33441</v>
      </c>
      <c r="G10" s="514">
        <v>45966</v>
      </c>
      <c r="H10" s="4"/>
      <c r="I10" s="4"/>
      <c r="J10" s="4">
        <f t="shared" si="0"/>
        <v>49169.728672571509</v>
      </c>
      <c r="K10" s="4">
        <f t="shared" si="0"/>
        <v>58638.903390971755</v>
      </c>
      <c r="U10">
        <f t="shared" si="12"/>
        <v>1974</v>
      </c>
      <c r="V10">
        <f>FuelConsump!BS32</f>
        <v>5260.707561494587</v>
      </c>
      <c r="W10">
        <f>FuelConsump!BW32</f>
        <v>9080.3552514906951</v>
      </c>
      <c r="X10" s="279">
        <f t="shared" si="1"/>
        <v>6.3567494693621187</v>
      </c>
      <c r="Y10" s="279">
        <f t="shared" si="2"/>
        <v>5.0621367476183154</v>
      </c>
      <c r="AB10" s="5">
        <f t="shared" si="3"/>
        <v>8582.3144701448891</v>
      </c>
      <c r="AC10" s="5">
        <f t="shared" si="4"/>
        <v>9831.1238708057153</v>
      </c>
      <c r="AD10" s="279">
        <f t="shared" si="5"/>
        <v>5.729192147831121</v>
      </c>
      <c r="AE10" s="279">
        <f t="shared" si="6"/>
        <v>5.9646185076667102</v>
      </c>
      <c r="AR10">
        <f t="shared" si="7"/>
        <v>1974</v>
      </c>
      <c r="AS10" s="279">
        <f t="shared" si="8"/>
        <v>6.3567494693621187</v>
      </c>
      <c r="AT10" s="279">
        <f t="shared" si="9"/>
        <v>5.0621367476183154</v>
      </c>
      <c r="AW10">
        <f t="shared" si="10"/>
        <v>1974</v>
      </c>
      <c r="AX10">
        <f>'Freight-based Activity'!C32</f>
        <v>575142.85714285716</v>
      </c>
      <c r="AY10" s="279">
        <f t="shared" si="11"/>
        <v>12.512353851604603</v>
      </c>
    </row>
    <row r="11" spans="4:51" x14ac:dyDescent="0.2">
      <c r="D11">
        <f t="shared" si="13"/>
        <v>1975</v>
      </c>
      <c r="E11" s="4">
        <v>82866.2</v>
      </c>
      <c r="F11" s="514">
        <f>'Freight-based Activity'!V33</f>
        <v>34606</v>
      </c>
      <c r="G11" s="514">
        <v>46724</v>
      </c>
      <c r="H11" s="4"/>
      <c r="I11" s="4"/>
      <c r="J11" s="4">
        <f t="shared" si="0"/>
        <v>50882.677863790246</v>
      </c>
      <c r="K11" s="4">
        <f t="shared" si="0"/>
        <v>59605.885263885568</v>
      </c>
      <c r="U11">
        <f t="shared" si="12"/>
        <v>1975</v>
      </c>
      <c r="V11">
        <f>FuelConsump!BS33</f>
        <v>5420.4857110638186</v>
      </c>
      <c r="W11">
        <f>FuelConsump!BW33</f>
        <v>9177.4755787097856</v>
      </c>
      <c r="X11" s="279">
        <f t="shared" si="1"/>
        <v>6.3842987224125096</v>
      </c>
      <c r="Y11" s="279">
        <f t="shared" si="2"/>
        <v>5.0911603740348701</v>
      </c>
      <c r="AB11" s="5">
        <f t="shared" si="3"/>
        <v>8842.976426551264</v>
      </c>
      <c r="AC11" s="5">
        <f t="shared" si="4"/>
        <v>9936.2741585224103</v>
      </c>
      <c r="AD11" s="279">
        <f t="shared" si="5"/>
        <v>5.7540216562167572</v>
      </c>
      <c r="AE11" s="279">
        <f t="shared" si="6"/>
        <v>5.9988164892532874</v>
      </c>
      <c r="AR11">
        <f t="shared" si="7"/>
        <v>1975</v>
      </c>
      <c r="AS11" s="279">
        <f t="shared" si="8"/>
        <v>6.3842987224125096</v>
      </c>
      <c r="AT11" s="279">
        <f t="shared" si="9"/>
        <v>5.0911603740348701</v>
      </c>
      <c r="AW11">
        <f t="shared" si="10"/>
        <v>1975</v>
      </c>
      <c r="AX11">
        <f>'Freight-based Activity'!C33</f>
        <v>527504.76190476189</v>
      </c>
      <c r="AY11" s="279">
        <f t="shared" si="11"/>
        <v>11.28980313981598</v>
      </c>
    </row>
    <row r="12" spans="4:51" x14ac:dyDescent="0.2">
      <c r="D12">
        <f t="shared" si="13"/>
        <v>1976</v>
      </c>
      <c r="E12" s="4">
        <v>93087.6</v>
      </c>
      <c r="F12" s="514">
        <f>'Freight-based Activity'!V34</f>
        <v>36390</v>
      </c>
      <c r="G12" s="514">
        <v>49680</v>
      </c>
      <c r="H12" s="4"/>
      <c r="I12" s="4"/>
      <c r="J12" s="4">
        <f t="shared" si="0"/>
        <v>53505.769157467694</v>
      </c>
      <c r="K12" s="4">
        <f t="shared" si="0"/>
        <v>63376.859427913601</v>
      </c>
      <c r="U12">
        <f t="shared" si="12"/>
        <v>1976</v>
      </c>
      <c r="V12">
        <f>FuelConsump!BS34</f>
        <v>5705.7707789253072</v>
      </c>
      <c r="W12">
        <f>FuelConsump!BW34</f>
        <v>9702.5165931897864</v>
      </c>
      <c r="X12" s="279">
        <f t="shared" si="1"/>
        <v>6.3777535779055823</v>
      </c>
      <c r="Y12" s="279">
        <f t="shared" si="2"/>
        <v>5.1203210551446494</v>
      </c>
      <c r="AB12" s="5">
        <f t="shared" si="3"/>
        <v>9308.3902777116818</v>
      </c>
      <c r="AC12" s="5">
        <f t="shared" si="4"/>
        <v>10504.725844348139</v>
      </c>
      <c r="AD12" s="279">
        <f t="shared" si="5"/>
        <v>5.748122667952984</v>
      </c>
      <c r="AE12" s="279">
        <f t="shared" si="6"/>
        <v>6.0331759597526551</v>
      </c>
      <c r="AR12">
        <f t="shared" si="7"/>
        <v>1976</v>
      </c>
      <c r="AS12" s="279">
        <f t="shared" si="8"/>
        <v>6.3777535779055823</v>
      </c>
      <c r="AT12" s="279">
        <f t="shared" si="9"/>
        <v>5.1203210551446494</v>
      </c>
      <c r="AW12">
        <f t="shared" si="10"/>
        <v>1976</v>
      </c>
      <c r="AX12">
        <f>'Freight-based Activity'!C34</f>
        <v>592571.42857142864</v>
      </c>
      <c r="AY12" s="279">
        <f t="shared" si="11"/>
        <v>11.927766275592363</v>
      </c>
    </row>
    <row r="13" spans="4:51" x14ac:dyDescent="0.2">
      <c r="D13">
        <f t="shared" si="13"/>
        <v>1977</v>
      </c>
      <c r="E13" s="4">
        <v>101301.2</v>
      </c>
      <c r="F13" s="514">
        <f>'Freight-based Activity'!V35</f>
        <v>39339</v>
      </c>
      <c r="G13" s="514">
        <v>55682</v>
      </c>
      <c r="H13" s="4"/>
      <c r="I13" s="4"/>
      <c r="J13" s="4">
        <f t="shared" si="0"/>
        <v>57841.809642363878</v>
      </c>
      <c r="K13" s="4">
        <f t="shared" si="0"/>
        <v>71033.620907107193</v>
      </c>
      <c r="U13">
        <f t="shared" si="12"/>
        <v>1977</v>
      </c>
      <c r="V13">
        <f>FuelConsump!BS35</f>
        <v>6267.7239187172427</v>
      </c>
      <c r="W13">
        <f>FuelConsump!BW35</f>
        <v>10814.236126934469</v>
      </c>
      <c r="X13" s="279">
        <f t="shared" si="1"/>
        <v>6.2764410989007233</v>
      </c>
      <c r="Y13" s="279">
        <f t="shared" si="2"/>
        <v>5.1489535965758755</v>
      </c>
      <c r="AB13" s="5">
        <f t="shared" si="3"/>
        <v>10225.1602191698</v>
      </c>
      <c r="AC13" s="5">
        <f t="shared" si="4"/>
        <v>11708.362942582162</v>
      </c>
      <c r="AD13" s="279">
        <f t="shared" si="5"/>
        <v>5.6568120599151026</v>
      </c>
      <c r="AE13" s="279">
        <f t="shared" si="6"/>
        <v>6.0669131334120943</v>
      </c>
      <c r="AR13">
        <f t="shared" si="7"/>
        <v>1977</v>
      </c>
      <c r="AS13" s="279">
        <f t="shared" si="8"/>
        <v>6.2764410989007233</v>
      </c>
      <c r="AT13" s="279">
        <f t="shared" si="9"/>
        <v>5.1489535965758755</v>
      </c>
      <c r="AW13">
        <f t="shared" si="10"/>
        <v>1977</v>
      </c>
      <c r="AX13">
        <f>'Freight-based Activity'!C35</f>
        <v>644857.14285714296</v>
      </c>
      <c r="AY13" s="279">
        <f t="shared" si="11"/>
        <v>11.58107005598116</v>
      </c>
    </row>
    <row r="14" spans="4:51" x14ac:dyDescent="0.2">
      <c r="D14">
        <f t="shared" si="13"/>
        <v>1978</v>
      </c>
      <c r="E14" s="4">
        <v>109332.3</v>
      </c>
      <c r="F14" s="514">
        <f>'Freight-based Activity'!V36</f>
        <v>42747</v>
      </c>
      <c r="G14" s="514">
        <v>62992</v>
      </c>
      <c r="H14" s="4"/>
      <c r="I14" s="4"/>
      <c r="J14" s="4">
        <f t="shared" si="0"/>
        <v>62852.737405173713</v>
      </c>
      <c r="K14" s="4">
        <f t="shared" si="0"/>
        <v>80359.000182832795</v>
      </c>
      <c r="U14">
        <f t="shared" si="12"/>
        <v>1978</v>
      </c>
      <c r="V14">
        <f>FuelConsump!BS36</f>
        <v>6955.4657996311935</v>
      </c>
      <c r="W14">
        <f>FuelConsump!BW36</f>
        <v>12165.321738308166</v>
      </c>
      <c r="X14" s="279">
        <f t="shared" si="1"/>
        <v>6.1458141311350589</v>
      </c>
      <c r="Y14" s="279">
        <f t="shared" si="2"/>
        <v>5.1779970439779186</v>
      </c>
      <c r="AB14" s="5">
        <f t="shared" si="3"/>
        <v>11347.141820940411</v>
      </c>
      <c r="AC14" s="5">
        <f t="shared" si="4"/>
        <v>13171.15703351792</v>
      </c>
      <c r="AD14" s="279">
        <f t="shared" si="5"/>
        <v>5.5390809771305651</v>
      </c>
      <c r="AE14" s="279">
        <f t="shared" si="6"/>
        <v>6.1011344696851957</v>
      </c>
      <c r="AR14">
        <f t="shared" si="7"/>
        <v>1978</v>
      </c>
      <c r="AS14" s="279">
        <f t="shared" si="8"/>
        <v>6.1458141311350589</v>
      </c>
      <c r="AT14" s="279">
        <f t="shared" si="9"/>
        <v>5.1779970439779186</v>
      </c>
      <c r="AW14">
        <f t="shared" si="10"/>
        <v>1978</v>
      </c>
      <c r="AX14">
        <f>'Freight-based Activity'!C36</f>
        <v>695980.95238095243</v>
      </c>
      <c r="AY14" s="279">
        <f t="shared" si="11"/>
        <v>11.048719716487053</v>
      </c>
    </row>
    <row r="15" spans="4:51" x14ac:dyDescent="0.2">
      <c r="D15">
        <f t="shared" si="13"/>
        <v>1979</v>
      </c>
      <c r="E15" s="4">
        <v>110975</v>
      </c>
      <c r="F15" s="514">
        <f>'Freight-based Activity'!V37</f>
        <v>42012</v>
      </c>
      <c r="G15" s="514">
        <v>66992</v>
      </c>
      <c r="H15" s="4"/>
      <c r="I15" s="4"/>
      <c r="J15" s="4">
        <f t="shared" si="0"/>
        <v>61772.035554919828</v>
      </c>
      <c r="K15" s="4">
        <f t="shared" si="0"/>
        <v>85461.806900056123</v>
      </c>
      <c r="U15">
        <f t="shared" si="12"/>
        <v>1979</v>
      </c>
      <c r="V15">
        <f>FuelConsump!BS37</f>
        <v>7049.5054914131979</v>
      </c>
      <c r="W15">
        <f>FuelConsump!BW37</f>
        <v>12863.776701112673</v>
      </c>
      <c r="X15" s="279">
        <f t="shared" si="1"/>
        <v>5.9595669584446203</v>
      </c>
      <c r="Y15" s="279">
        <f t="shared" si="2"/>
        <v>5.2078018420675338</v>
      </c>
      <c r="AB15" s="5">
        <f t="shared" si="3"/>
        <v>11500.558105368769</v>
      </c>
      <c r="AC15" s="5">
        <f t="shared" si="4"/>
        <v>13927.360625484529</v>
      </c>
      <c r="AD15" s="279">
        <f t="shared" si="5"/>
        <v>5.3712206824191417</v>
      </c>
      <c r="AE15" s="279">
        <f t="shared" si="6"/>
        <v>6.1362528908511642</v>
      </c>
      <c r="AR15">
        <f t="shared" si="7"/>
        <v>1979</v>
      </c>
      <c r="AS15" s="279">
        <f t="shared" si="8"/>
        <v>5.9595669584446203</v>
      </c>
      <c r="AT15" s="279">
        <f t="shared" si="9"/>
        <v>5.2078018420675338</v>
      </c>
      <c r="AW15">
        <f t="shared" si="10"/>
        <v>1979</v>
      </c>
      <c r="AX15">
        <f>'Freight-based Activity'!C37</f>
        <v>706438.09523809527</v>
      </c>
      <c r="AY15" s="279">
        <f t="shared" si="11"/>
        <v>10.545111285498198</v>
      </c>
    </row>
    <row r="16" spans="4:51" x14ac:dyDescent="0.2">
      <c r="D16">
        <f t="shared" si="13"/>
        <v>1980</v>
      </c>
      <c r="E16" s="4">
        <v>101301.2</v>
      </c>
      <c r="F16" s="514">
        <f>'Freight-based Activity'!V38</f>
        <v>39813</v>
      </c>
      <c r="G16" s="514">
        <v>68678</v>
      </c>
      <c r="H16" s="4"/>
      <c r="I16" s="4"/>
      <c r="J16" s="4">
        <f t="shared" si="0"/>
        <v>58538.75206007863</v>
      </c>
      <c r="K16" s="4">
        <f t="shared" si="0"/>
        <v>87612.639931365746</v>
      </c>
      <c r="U16">
        <f t="shared" si="12"/>
        <v>1980</v>
      </c>
      <c r="V16">
        <f>FuelConsump!BS38</f>
        <v>6922.7672791326549</v>
      </c>
      <c r="W16">
        <f>FuelConsump!BW38</f>
        <v>13037.002825600974</v>
      </c>
      <c r="X16" s="279">
        <f t="shared" si="1"/>
        <v>5.7510238889596357</v>
      </c>
      <c r="Y16" s="279">
        <f t="shared" si="2"/>
        <v>5.2679285966814318</v>
      </c>
      <c r="AB16" s="5">
        <f t="shared" si="3"/>
        <v>11293.797478502338</v>
      </c>
      <c r="AC16" s="5">
        <f t="shared" si="4"/>
        <v>14114.909178414164</v>
      </c>
      <c r="AD16" s="279">
        <f t="shared" si="5"/>
        <v>5.1832656085348372</v>
      </c>
      <c r="AE16" s="279">
        <f t="shared" si="6"/>
        <v>6.207099091034264</v>
      </c>
      <c r="AR16">
        <f t="shared" si="7"/>
        <v>1980</v>
      </c>
      <c r="AS16" s="279">
        <f t="shared" si="8"/>
        <v>5.7510238889596357</v>
      </c>
      <c r="AT16" s="279">
        <f t="shared" si="9"/>
        <v>5.2679285966814318</v>
      </c>
      <c r="AW16">
        <f t="shared" si="10"/>
        <v>1980</v>
      </c>
      <c r="AX16">
        <f>'Freight-based Activity'!C38</f>
        <v>644857.14285714296</v>
      </c>
      <c r="AY16" s="279">
        <f t="shared" si="11"/>
        <v>9.3895737042013891</v>
      </c>
    </row>
    <row r="17" spans="4:51" x14ac:dyDescent="0.2">
      <c r="D17">
        <f t="shared" si="13"/>
        <v>1981</v>
      </c>
      <c r="E17" s="4">
        <v>96190.5</v>
      </c>
      <c r="F17" s="514">
        <f>'Freight-based Activity'!V39</f>
        <v>39568</v>
      </c>
      <c r="G17" s="514">
        <v>69134</v>
      </c>
      <c r="H17" s="4"/>
      <c r="I17" s="4"/>
      <c r="J17" s="4">
        <f t="shared" si="0"/>
        <v>58178.518109994002</v>
      </c>
      <c r="K17" s="4">
        <f t="shared" si="0"/>
        <v>88194.359897129209</v>
      </c>
      <c r="U17">
        <f t="shared" si="12"/>
        <v>1981</v>
      </c>
      <c r="V17">
        <f>FuelConsump!BS39</f>
        <v>6867.1785</v>
      </c>
      <c r="W17">
        <f>FuelConsump!BW39</f>
        <v>13508.529595022052</v>
      </c>
      <c r="X17" s="279">
        <f t="shared" si="1"/>
        <v>5.7619006117286746</v>
      </c>
      <c r="Y17" s="279">
        <f t="shared" si="2"/>
        <v>5.1178034969458235</v>
      </c>
      <c r="AB17" s="5">
        <f t="shared" si="3"/>
        <v>11203.109984861778</v>
      </c>
      <c r="AC17" s="5">
        <f t="shared" si="4"/>
        <v>14625.422032833427</v>
      </c>
      <c r="AD17" s="279">
        <f t="shared" si="5"/>
        <v>5.1930685486983368</v>
      </c>
      <c r="AE17" s="279">
        <f t="shared" si="6"/>
        <v>6.030209569278532</v>
      </c>
      <c r="AR17">
        <f t="shared" si="7"/>
        <v>1981</v>
      </c>
      <c r="AS17" s="279">
        <f t="shared" si="8"/>
        <v>5.7619006117286746</v>
      </c>
      <c r="AT17" s="279">
        <f t="shared" si="9"/>
        <v>5.1178034969458235</v>
      </c>
      <c r="AW17">
        <f t="shared" si="10"/>
        <v>1981</v>
      </c>
      <c r="AX17">
        <f>'Freight-based Activity'!C39</f>
        <v>612323.80952380958</v>
      </c>
      <c r="AY17" s="279">
        <f t="shared" si="11"/>
        <v>8.8570574467528225</v>
      </c>
    </row>
    <row r="18" spans="4:51" x14ac:dyDescent="0.2">
      <c r="D18">
        <f t="shared" si="13"/>
        <v>1982</v>
      </c>
      <c r="E18" s="4">
        <v>94912.8</v>
      </c>
      <c r="F18" s="514">
        <f>'Freight-based Activity'!V40</f>
        <v>40658</v>
      </c>
      <c r="G18" s="514">
        <v>70765</v>
      </c>
      <c r="H18" s="4"/>
      <c r="I18" s="4"/>
      <c r="J18" s="4">
        <f t="shared" si="0"/>
        <v>59781.19160220724</v>
      </c>
      <c r="K18" s="4">
        <f t="shared" si="0"/>
        <v>90275.029336077016</v>
      </c>
      <c r="U18">
        <f t="shared" si="12"/>
        <v>1982</v>
      </c>
      <c r="V18">
        <f>FuelConsump!BS40</f>
        <v>6803.0181000000002</v>
      </c>
      <c r="W18">
        <f>FuelConsump!BW40</f>
        <v>13582.549437832002</v>
      </c>
      <c r="X18" s="279">
        <f t="shared" si="1"/>
        <v>5.9764650633518084</v>
      </c>
      <c r="Y18" s="279">
        <f t="shared" si="2"/>
        <v>5.2099939207948323</v>
      </c>
      <c r="AB18" s="5">
        <f t="shared" si="3"/>
        <v>11098.438755204254</v>
      </c>
      <c r="AC18" s="5">
        <f t="shared" si="4"/>
        <v>14705.561875758925</v>
      </c>
      <c r="AD18" s="279">
        <f t="shared" si="5"/>
        <v>5.3864505558653271</v>
      </c>
      <c r="AE18" s="279">
        <f t="shared" si="6"/>
        <v>6.1388357751150595</v>
      </c>
      <c r="AR18">
        <f t="shared" si="7"/>
        <v>1982</v>
      </c>
      <c r="AS18" s="279">
        <f t="shared" si="8"/>
        <v>5.9764650633518084</v>
      </c>
      <c r="AT18" s="279">
        <f t="shared" si="9"/>
        <v>5.2099939207948323</v>
      </c>
      <c r="AW18">
        <f t="shared" si="10"/>
        <v>1982</v>
      </c>
      <c r="AX18">
        <f>'Freight-based Activity'!C40</f>
        <v>604190.47619047621</v>
      </c>
      <c r="AY18" s="279">
        <f t="shared" si="11"/>
        <v>8.5379845430718042</v>
      </c>
    </row>
    <row r="19" spans="4:51" x14ac:dyDescent="0.2">
      <c r="D19">
        <f t="shared" si="13"/>
        <v>1983</v>
      </c>
      <c r="E19" s="4">
        <v>104951.7</v>
      </c>
      <c r="F19" s="514">
        <f>'Freight-based Activity'!V41</f>
        <v>42546</v>
      </c>
      <c r="G19" s="514">
        <v>73586</v>
      </c>
      <c r="H19" s="4"/>
      <c r="I19" s="4"/>
      <c r="J19" s="4">
        <f t="shared" si="0"/>
        <v>62557.198531838978</v>
      </c>
      <c r="K19" s="4">
        <f t="shared" si="0"/>
        <v>93873.783773398754</v>
      </c>
      <c r="U19">
        <f t="shared" si="12"/>
        <v>1983</v>
      </c>
      <c r="V19">
        <f>FuelConsump!BS41</f>
        <v>6964.8633</v>
      </c>
      <c r="W19">
        <f>FuelConsump!BW41</f>
        <v>13795.765090686522</v>
      </c>
      <c r="X19" s="279">
        <f t="shared" si="1"/>
        <v>6.108662606486476</v>
      </c>
      <c r="Y19" s="279">
        <f t="shared" si="2"/>
        <v>5.3339557115014724</v>
      </c>
      <c r="AB19" s="5">
        <f t="shared" si="3"/>
        <v>11362.47289617233</v>
      </c>
      <c r="AC19" s="5">
        <f t="shared" si="4"/>
        <v>14936.406312606632</v>
      </c>
      <c r="AD19" s="279">
        <f t="shared" si="5"/>
        <v>5.5055971621206314</v>
      </c>
      <c r="AE19" s="279">
        <f t="shared" si="6"/>
        <v>6.2848975723275124</v>
      </c>
      <c r="AR19">
        <f t="shared" si="7"/>
        <v>1983</v>
      </c>
      <c r="AS19" s="279">
        <f t="shared" si="8"/>
        <v>6.108662606486476</v>
      </c>
      <c r="AT19" s="279">
        <f t="shared" si="9"/>
        <v>5.3339557115014724</v>
      </c>
      <c r="AW19">
        <f t="shared" si="10"/>
        <v>1983</v>
      </c>
      <c r="AX19">
        <f>'Freight-based Activity'!C41</f>
        <v>668095.23809523811</v>
      </c>
      <c r="AY19" s="279">
        <f t="shared" si="11"/>
        <v>9.0791079566118302</v>
      </c>
    </row>
    <row r="20" spans="4:51" x14ac:dyDescent="0.2">
      <c r="D20">
        <f t="shared" si="13"/>
        <v>1984</v>
      </c>
      <c r="E20" s="4">
        <v>110610</v>
      </c>
      <c r="F20" s="514">
        <f>'Freight-based Activity'!V42</f>
        <v>44419</v>
      </c>
      <c r="G20" s="514">
        <v>77377</v>
      </c>
      <c r="H20" s="4"/>
      <c r="I20" s="4"/>
      <c r="J20" s="4">
        <f t="shared" si="0"/>
        <v>65311.150321669622</v>
      </c>
      <c r="K20" s="4">
        <f t="shared" si="0"/>
        <v>98709.968839647161</v>
      </c>
      <c r="U20">
        <f t="shared" si="12"/>
        <v>1984</v>
      </c>
      <c r="V20">
        <f>FuelConsump!BS42</f>
        <v>7239.9231556886534</v>
      </c>
      <c r="W20">
        <f>FuelConsump!BW42</f>
        <v>14187.985595316761</v>
      </c>
      <c r="X20" s="279">
        <f t="shared" si="1"/>
        <v>6.1352861135133017</v>
      </c>
      <c r="Y20" s="279">
        <f t="shared" si="2"/>
        <v>5.4536987989007386</v>
      </c>
      <c r="AB20" s="5">
        <f t="shared" si="3"/>
        <v>11811.205343668811</v>
      </c>
      <c r="AC20" s="5">
        <f t="shared" si="4"/>
        <v>15361.055817928222</v>
      </c>
      <c r="AD20" s="279">
        <f t="shared" si="5"/>
        <v>5.5295923168991825</v>
      </c>
      <c r="AE20" s="279">
        <f t="shared" si="6"/>
        <v>6.4259885524561806</v>
      </c>
      <c r="AR20">
        <f t="shared" si="7"/>
        <v>1984</v>
      </c>
      <c r="AS20" s="279">
        <f t="shared" si="8"/>
        <v>6.1352861135133017</v>
      </c>
      <c r="AT20" s="279">
        <f t="shared" si="9"/>
        <v>5.4536987989007386</v>
      </c>
      <c r="AW20">
        <f t="shared" si="10"/>
        <v>1984</v>
      </c>
      <c r="AX20">
        <f>'Freight-based Activity'!C42</f>
        <v>704114.2857142858</v>
      </c>
      <c r="AY20" s="279">
        <f t="shared" si="11"/>
        <v>9.0997878660879312</v>
      </c>
    </row>
    <row r="21" spans="4:51" x14ac:dyDescent="0.2">
      <c r="D21">
        <f t="shared" si="13"/>
        <v>1985</v>
      </c>
      <c r="E21" s="4">
        <v>111340.1</v>
      </c>
      <c r="F21" s="514">
        <f>'Freight-based Activity'!V43</f>
        <v>45441</v>
      </c>
      <c r="G21" s="514">
        <v>78063</v>
      </c>
      <c r="H21" s="4"/>
      <c r="I21" s="4"/>
      <c r="J21" s="4">
        <f t="shared" si="0"/>
        <v>66813.8405134512</v>
      </c>
      <c r="K21" s="4">
        <f t="shared" si="0"/>
        <v>99585.100191650956</v>
      </c>
      <c r="U21">
        <f t="shared" si="12"/>
        <v>1985</v>
      </c>
      <c r="V21">
        <f>FuelConsump!BS43</f>
        <v>7399.3787012036664</v>
      </c>
      <c r="W21">
        <f>FuelConsump!BW43</f>
        <v>14005.271115991143</v>
      </c>
      <c r="X21" s="279">
        <f t="shared" si="1"/>
        <v>6.1411912857775555</v>
      </c>
      <c r="Y21" s="279">
        <f t="shared" si="2"/>
        <v>5.5738299782621192</v>
      </c>
      <c r="AB21" s="5">
        <f t="shared" si="3"/>
        <v>12071.34100405696</v>
      </c>
      <c r="AC21" s="5">
        <f t="shared" si="4"/>
        <v>15163.234407918406</v>
      </c>
      <c r="AD21" s="279">
        <f t="shared" si="5"/>
        <v>5.5349145128943231</v>
      </c>
      <c r="AE21" s="279">
        <f t="shared" si="6"/>
        <v>6.567536813890217</v>
      </c>
      <c r="AG21">
        <f>V21+W21</f>
        <v>21404.649817194811</v>
      </c>
      <c r="AH21">
        <f>AC21+AB21</f>
        <v>27234.575411975366</v>
      </c>
      <c r="AI21" s="136">
        <f>AH21/AG21</f>
        <v>1.2723672493860305</v>
      </c>
      <c r="AN21" s="136">
        <f>AD$21/AD21</f>
        <v>1</v>
      </c>
      <c r="AO21" s="136">
        <f>AE$21/AE21</f>
        <v>1</v>
      </c>
      <c r="AR21">
        <f t="shared" si="7"/>
        <v>1985</v>
      </c>
      <c r="AS21" s="279">
        <f t="shared" si="8"/>
        <v>6.1411912857775555</v>
      </c>
      <c r="AT21" s="279">
        <f t="shared" si="9"/>
        <v>5.5738299782621192</v>
      </c>
      <c r="AW21">
        <f t="shared" si="10"/>
        <v>1985</v>
      </c>
      <c r="AX21">
        <f>'Freight-based Activity'!C43</f>
        <v>708761.90476190485</v>
      </c>
      <c r="AY21" s="279">
        <f t="shared" si="11"/>
        <v>9.0793577592701382</v>
      </c>
    </row>
    <row r="22" spans="4:51" x14ac:dyDescent="0.2">
      <c r="D22">
        <f t="shared" si="13"/>
        <v>1986</v>
      </c>
      <c r="E22" s="4">
        <v>115720.7</v>
      </c>
      <c r="F22" s="514">
        <f>'Freight-based Activity'!V44</f>
        <v>45637</v>
      </c>
      <c r="G22" s="514">
        <v>81038</v>
      </c>
      <c r="H22" s="4"/>
      <c r="I22" s="4"/>
      <c r="J22" s="4">
        <f t="shared" si="0"/>
        <v>67102.027673518911</v>
      </c>
      <c r="K22" s="4">
        <f t="shared" si="0"/>
        <v>103380.3126875858</v>
      </c>
      <c r="U22">
        <f t="shared" si="12"/>
        <v>1986</v>
      </c>
      <c r="V22">
        <f>FuelConsump!BS44</f>
        <v>7385.9400159999996</v>
      </c>
      <c r="W22">
        <f>FuelConsump!BW44</f>
        <v>14474.58379354675</v>
      </c>
      <c r="X22" s="279">
        <f t="shared" si="1"/>
        <v>6.1789020627215452</v>
      </c>
      <c r="Y22" s="279">
        <f t="shared" si="2"/>
        <v>5.5986411185190299</v>
      </c>
      <c r="AB22" s="5">
        <f t="shared" si="3"/>
        <v>12049.417142839635</v>
      </c>
      <c r="AC22" s="5">
        <f t="shared" si="4"/>
        <v>15671.350108174873</v>
      </c>
      <c r="AD22" s="279">
        <f t="shared" si="5"/>
        <v>5.5689023691402602</v>
      </c>
      <c r="AE22" s="279">
        <f t="shared" si="6"/>
        <v>6.5967713039387741</v>
      </c>
      <c r="AN22" s="136">
        <f t="shared" ref="AN22:AN46" si="14">AD$21/AD22</f>
        <v>0.99389684824889757</v>
      </c>
      <c r="AO22" s="136">
        <f t="shared" ref="AO22:AO46" si="15">AE$21/AE22</f>
        <v>0.99556836387050407</v>
      </c>
      <c r="AR22">
        <f t="shared" si="7"/>
        <v>1986</v>
      </c>
      <c r="AS22" s="279">
        <f t="shared" si="8"/>
        <v>6.1789020627215452</v>
      </c>
      <c r="AT22" s="279">
        <f t="shared" si="9"/>
        <v>5.5986411185190299</v>
      </c>
      <c r="AW22">
        <f t="shared" si="10"/>
        <v>1986</v>
      </c>
      <c r="AX22">
        <f>'Freight-based Activity'!C44</f>
        <v>734323.80952380958</v>
      </c>
      <c r="AY22" s="279">
        <f t="shared" si="11"/>
        <v>9.0614749811669775</v>
      </c>
    </row>
    <row r="23" spans="4:51" x14ac:dyDescent="0.2">
      <c r="D23">
        <f t="shared" si="13"/>
        <v>1987</v>
      </c>
      <c r="E23" s="4">
        <v>121561.4</v>
      </c>
      <c r="F23" s="514">
        <f>'Freight-based Activity'!V45</f>
        <v>48022</v>
      </c>
      <c r="G23" s="514">
        <v>85495</v>
      </c>
      <c r="H23" s="4"/>
      <c r="I23" s="4"/>
      <c r="J23" s="4">
        <f t="shared" si="0"/>
        <v>70608.794901893751</v>
      </c>
      <c r="K23" s="4">
        <f t="shared" si="0"/>
        <v>109066.11507225188</v>
      </c>
      <c r="U23">
        <f t="shared" si="12"/>
        <v>1987</v>
      </c>
      <c r="V23">
        <f>FuelConsump!BS45</f>
        <v>7522.6628408635042</v>
      </c>
      <c r="W23">
        <f>FuelConsump!BW45</f>
        <v>14990.124266185339</v>
      </c>
      <c r="X23" s="279">
        <f t="shared" si="1"/>
        <v>6.3836437995256077</v>
      </c>
      <c r="Y23" s="279">
        <f t="shared" si="2"/>
        <v>5.7034216983016792</v>
      </c>
      <c r="AB23" s="5">
        <f t="shared" si="3"/>
        <v>12272.466659374968</v>
      </c>
      <c r="AC23" s="5">
        <f t="shared" si="4"/>
        <v>16229.51574228832</v>
      </c>
      <c r="AD23" s="279">
        <f t="shared" si="5"/>
        <v>5.7534313892762148</v>
      </c>
      <c r="AE23" s="279">
        <f t="shared" si="6"/>
        <v>6.720232248708724</v>
      </c>
      <c r="AN23" s="136">
        <f t="shared" si="14"/>
        <v>0.96201973021018661</v>
      </c>
      <c r="AO23" s="136">
        <f t="shared" si="15"/>
        <v>0.97727825033906424</v>
      </c>
      <c r="AR23">
        <f t="shared" si="7"/>
        <v>1987</v>
      </c>
      <c r="AS23" s="279">
        <f t="shared" si="8"/>
        <v>6.3836437995256077</v>
      </c>
      <c r="AT23" s="279">
        <f t="shared" si="9"/>
        <v>5.7034216983016792</v>
      </c>
      <c r="AW23">
        <f t="shared" si="10"/>
        <v>1987</v>
      </c>
      <c r="AX23">
        <f>'Freight-based Activity'!C45</f>
        <v>770342.85714285716</v>
      </c>
      <c r="AY23" s="279">
        <f t="shared" si="11"/>
        <v>9.010384901372678</v>
      </c>
    </row>
    <row r="24" spans="4:51" x14ac:dyDescent="0.2">
      <c r="D24">
        <f t="shared" si="13"/>
        <v>1988</v>
      </c>
      <c r="E24" s="4">
        <v>127584.8</v>
      </c>
      <c r="F24" s="514">
        <f>'Freight-based Activity'!V46</f>
        <v>49434</v>
      </c>
      <c r="G24" s="514">
        <v>88551</v>
      </c>
      <c r="H24" s="4"/>
      <c r="I24" s="4"/>
      <c r="J24" s="4">
        <f t="shared" si="0"/>
        <v>72684.918728503922</v>
      </c>
      <c r="K24" s="4">
        <f t="shared" si="0"/>
        <v>112964.6594042105</v>
      </c>
      <c r="U24">
        <f t="shared" si="12"/>
        <v>1988</v>
      </c>
      <c r="V24">
        <f>FuelConsump!BS46</f>
        <v>7701.2848093873727</v>
      </c>
      <c r="W24">
        <f>FuelConsump!BW46</f>
        <v>15223.554115423403</v>
      </c>
      <c r="X24" s="279">
        <f t="shared" si="1"/>
        <v>6.4189289480299605</v>
      </c>
      <c r="Y24" s="279">
        <f t="shared" si="2"/>
        <v>5.8167100355551362</v>
      </c>
      <c r="AB24" s="5">
        <f t="shared" si="3"/>
        <v>12563.870408248746</v>
      </c>
      <c r="AC24" s="5">
        <f t="shared" si="4"/>
        <v>16482.245696066966</v>
      </c>
      <c r="AD24" s="279">
        <f t="shared" si="5"/>
        <v>5.7852330823774656</v>
      </c>
      <c r="AE24" s="279">
        <f t="shared" si="6"/>
        <v>6.8537177207087989</v>
      </c>
      <c r="AN24" s="136">
        <f t="shared" si="14"/>
        <v>0.95673146337947146</v>
      </c>
      <c r="AO24" s="136">
        <f t="shared" si="15"/>
        <v>0.95824442755296524</v>
      </c>
      <c r="AR24">
        <f t="shared" si="7"/>
        <v>1988</v>
      </c>
      <c r="AS24" s="279">
        <f t="shared" si="8"/>
        <v>6.4189289480299605</v>
      </c>
      <c r="AT24" s="279">
        <f t="shared" si="9"/>
        <v>5.8167100355551362</v>
      </c>
      <c r="AW24">
        <f t="shared" si="10"/>
        <v>1988</v>
      </c>
      <c r="AX24">
        <f>'Freight-based Activity'!C46</f>
        <v>813333.33333333337</v>
      </c>
      <c r="AY24" s="279">
        <f t="shared" si="11"/>
        <v>9.1849141549314339</v>
      </c>
    </row>
    <row r="25" spans="4:51" x14ac:dyDescent="0.2">
      <c r="D25">
        <f t="shared" si="13"/>
        <v>1989</v>
      </c>
      <c r="E25" s="4">
        <v>129957.6</v>
      </c>
      <c r="F25" s="514">
        <f>'Freight-based Activity'!V47</f>
        <v>50870</v>
      </c>
      <c r="G25" s="514">
        <v>91879</v>
      </c>
      <c r="H25" s="4"/>
      <c r="I25" s="4"/>
      <c r="J25" s="4">
        <f t="shared" si="0"/>
        <v>74796.330778795862</v>
      </c>
      <c r="K25" s="4">
        <f t="shared" si="0"/>
        <v>117210.1945929403</v>
      </c>
      <c r="U25">
        <f t="shared" si="12"/>
        <v>1989</v>
      </c>
      <c r="V25">
        <f>FuelConsump!BS47</f>
        <v>7779.268</v>
      </c>
      <c r="W25">
        <f>FuelConsump!BW47</f>
        <v>15732.728736756177</v>
      </c>
      <c r="X25" s="279">
        <f t="shared" si="1"/>
        <v>6.5391756653710864</v>
      </c>
      <c r="Y25" s="279">
        <f t="shared" si="2"/>
        <v>5.8399913668723116</v>
      </c>
      <c r="AB25" s="5">
        <f t="shared" si="3"/>
        <v>12691.09212840699</v>
      </c>
      <c r="AC25" s="5">
        <f t="shared" si="4"/>
        <v>17033.519146890525</v>
      </c>
      <c r="AD25" s="279">
        <f t="shared" si="5"/>
        <v>5.8936086841081377</v>
      </c>
      <c r="AE25" s="279">
        <f t="shared" si="6"/>
        <v>6.8811496662647693</v>
      </c>
      <c r="AN25" s="136">
        <f t="shared" si="14"/>
        <v>0.93913844803082736</v>
      </c>
      <c r="AO25" s="136">
        <f t="shared" si="15"/>
        <v>0.9544243523851752</v>
      </c>
      <c r="AR25">
        <f t="shared" si="7"/>
        <v>1989</v>
      </c>
      <c r="AS25" s="279">
        <f t="shared" si="8"/>
        <v>6.5391756653710864</v>
      </c>
      <c r="AT25" s="279">
        <f t="shared" si="9"/>
        <v>5.8399913668723116</v>
      </c>
      <c r="AW25">
        <f t="shared" si="10"/>
        <v>1989</v>
      </c>
      <c r="AX25">
        <f>'Freight-based Activity'!C47</f>
        <v>831923.80952380958</v>
      </c>
      <c r="AY25" s="279">
        <f t="shared" si="11"/>
        <v>9.0545588167460416</v>
      </c>
    </row>
    <row r="26" spans="4:51" x14ac:dyDescent="0.2">
      <c r="D26">
        <f t="shared" si="13"/>
        <v>1990</v>
      </c>
      <c r="E26" s="4">
        <v>134155.70000000001</v>
      </c>
      <c r="F26" s="514">
        <f>'Freight-based Activity'!V48</f>
        <v>51901</v>
      </c>
      <c r="G26" s="514">
        <v>94341</v>
      </c>
      <c r="H26" s="4"/>
      <c r="I26" s="4"/>
      <c r="J26" s="4">
        <f t="shared" si="0"/>
        <v>76312.254054458113</v>
      </c>
      <c r="K26" s="4">
        <f t="shared" si="0"/>
        <v>120350.97212739124</v>
      </c>
      <c r="U26">
        <f t="shared" si="12"/>
        <v>1990</v>
      </c>
      <c r="V26">
        <f>FuelConsump!BS48</f>
        <v>8356.6755835873391</v>
      </c>
      <c r="W26">
        <f>FuelConsump!BW48</f>
        <v>16132.920179378207</v>
      </c>
      <c r="X26" s="279">
        <f t="shared" si="1"/>
        <v>6.2107233290154875</v>
      </c>
      <c r="Y26" s="279">
        <f t="shared" si="2"/>
        <v>5.847732397547639</v>
      </c>
      <c r="AB26" s="5">
        <f t="shared" si="3"/>
        <v>13633.074438175439</v>
      </c>
      <c r="AC26" s="5">
        <f t="shared" si="4"/>
        <v>17466.798631611971</v>
      </c>
      <c r="AD26" s="279">
        <f t="shared" si="5"/>
        <v>5.5975821448438623</v>
      </c>
      <c r="AE26" s="279">
        <f t="shared" si="6"/>
        <v>6.890270774037333</v>
      </c>
      <c r="AG26">
        <f>V26+W26</f>
        <v>24489.595762965546</v>
      </c>
      <c r="AH26">
        <f>AC26+AB26</f>
        <v>31099.873069787413</v>
      </c>
      <c r="AI26" s="136">
        <f>AH26/AG26</f>
        <v>1.2699218627699145</v>
      </c>
      <c r="AN26" s="136">
        <f t="shared" si="14"/>
        <v>0.98880451767782196</v>
      </c>
      <c r="AO26" s="136">
        <f t="shared" si="15"/>
        <v>0.95316091765752031</v>
      </c>
      <c r="AR26">
        <f t="shared" si="7"/>
        <v>1990</v>
      </c>
      <c r="AS26" s="279">
        <f t="shared" si="8"/>
        <v>6.2107233290154875</v>
      </c>
      <c r="AT26" s="279">
        <f t="shared" si="9"/>
        <v>5.847732397547639</v>
      </c>
      <c r="AW26">
        <f t="shared" si="10"/>
        <v>1990</v>
      </c>
      <c r="AX26">
        <f>'Freight-based Activity'!C48</f>
        <v>854000</v>
      </c>
      <c r="AY26" s="279">
        <f t="shared" si="11"/>
        <v>9.0522678368895821</v>
      </c>
    </row>
    <row r="27" spans="4:51" x14ac:dyDescent="0.2">
      <c r="D27">
        <f t="shared" si="13"/>
        <v>1991</v>
      </c>
      <c r="E27" s="4">
        <v>138353.70000000001</v>
      </c>
      <c r="F27" s="514">
        <f>'Freight-based Activity'!V49</f>
        <v>52898</v>
      </c>
      <c r="G27" s="514">
        <v>96645</v>
      </c>
      <c r="H27" s="4"/>
      <c r="I27" s="4"/>
      <c r="J27" s="4">
        <f t="shared" si="0"/>
        <v>77778.185679904534</v>
      </c>
      <c r="K27" s="4">
        <f t="shared" si="0"/>
        <v>123290.18879651188</v>
      </c>
      <c r="U27">
        <f t="shared" si="12"/>
        <v>1991</v>
      </c>
      <c r="V27">
        <f>FuelConsump!BS49</f>
        <v>8172.3819466350797</v>
      </c>
      <c r="W27">
        <f>FuelConsump!BW49</f>
        <v>16808.623869394116</v>
      </c>
      <c r="X27" s="279">
        <f t="shared" si="1"/>
        <v>6.4727762781303166</v>
      </c>
      <c r="Y27" s="279">
        <f t="shared" si="2"/>
        <v>5.7497270895552299</v>
      </c>
      <c r="AB27" s="5">
        <f t="shared" si="3"/>
        <v>13332.417933573681</v>
      </c>
      <c r="AC27" s="5">
        <f t="shared" si="4"/>
        <v>18198.369863411124</v>
      </c>
      <c r="AD27" s="279">
        <f t="shared" si="5"/>
        <v>5.8337644429855136</v>
      </c>
      <c r="AE27" s="279">
        <f t="shared" si="6"/>
        <v>6.7747930018937543</v>
      </c>
      <c r="AN27" s="136">
        <f t="shared" si="14"/>
        <v>0.94877236936597154</v>
      </c>
      <c r="AO27" s="136">
        <f t="shared" si="15"/>
        <v>0.96940774604543589</v>
      </c>
      <c r="AR27">
        <f t="shared" si="7"/>
        <v>1991</v>
      </c>
      <c r="AS27" s="279">
        <f t="shared" si="8"/>
        <v>6.4727762781303166</v>
      </c>
      <c r="AT27" s="279">
        <f t="shared" si="9"/>
        <v>5.7497270895552299</v>
      </c>
      <c r="AW27">
        <f t="shared" si="10"/>
        <v>1991</v>
      </c>
      <c r="AX27">
        <f>'Freight-based Activity'!C49</f>
        <v>874000</v>
      </c>
      <c r="AY27" s="279">
        <f t="shared" si="11"/>
        <v>9.0434062807180915</v>
      </c>
    </row>
    <row r="28" spans="4:51" x14ac:dyDescent="0.2">
      <c r="D28">
        <f t="shared" si="13"/>
        <v>1992</v>
      </c>
      <c r="E28" s="4">
        <v>148757.6</v>
      </c>
      <c r="F28" s="514">
        <f>'Freight-based Activity'!V50</f>
        <v>53874</v>
      </c>
      <c r="G28" s="514">
        <v>99510</v>
      </c>
      <c r="H28" s="4"/>
      <c r="I28" s="4"/>
      <c r="J28" s="4">
        <f t="shared" si="0"/>
        <v>79213.24010962942</v>
      </c>
      <c r="K28" s="4">
        <f t="shared" si="0"/>
        <v>126945.07410772308</v>
      </c>
      <c r="U28">
        <f t="shared" si="12"/>
        <v>1992</v>
      </c>
      <c r="V28">
        <f>FuelConsump!BS50</f>
        <v>8236.9268524237959</v>
      </c>
      <c r="W28">
        <f>FuelConsump!BW50</f>
        <v>17216.232995964034</v>
      </c>
      <c r="X28" s="279">
        <f t="shared" si="1"/>
        <v>6.5405461242073617</v>
      </c>
      <c r="Y28" s="279">
        <f t="shared" si="2"/>
        <v>5.7800100651128457</v>
      </c>
      <c r="AB28" s="5">
        <f t="shared" si="3"/>
        <v>13437.716445693837</v>
      </c>
      <c r="AC28" s="5">
        <f t="shared" si="4"/>
        <v>18639.680330148854</v>
      </c>
      <c r="AD28" s="279">
        <f t="shared" si="5"/>
        <v>5.8948438471488638</v>
      </c>
      <c r="AE28" s="279">
        <f t="shared" si="6"/>
        <v>6.8104748503865196</v>
      </c>
      <c r="AN28" s="136">
        <f t="shared" si="14"/>
        <v>0.93894166773753873</v>
      </c>
      <c r="AO28" s="136">
        <f t="shared" si="15"/>
        <v>0.96432876681388602</v>
      </c>
      <c r="AR28">
        <f t="shared" si="7"/>
        <v>1992</v>
      </c>
      <c r="AS28" s="279">
        <f t="shared" si="8"/>
        <v>6.5405461242073617</v>
      </c>
      <c r="AT28" s="279">
        <f t="shared" si="9"/>
        <v>5.7800100651128457</v>
      </c>
      <c r="AW28">
        <f t="shared" si="10"/>
        <v>1992</v>
      </c>
      <c r="AX28">
        <f>'Freight-based Activity'!C50</f>
        <v>896000</v>
      </c>
      <c r="AY28" s="279">
        <f t="shared" si="11"/>
        <v>9.0041201889257358</v>
      </c>
    </row>
    <row r="29" spans="4:51" x14ac:dyDescent="0.2">
      <c r="D29">
        <f t="shared" si="13"/>
        <v>1993</v>
      </c>
      <c r="E29" s="4">
        <v>157153.79999999999</v>
      </c>
      <c r="F29" s="514">
        <f>'Freight-based Activity'!V51</f>
        <v>56772</v>
      </c>
      <c r="G29" s="514">
        <v>103116</v>
      </c>
      <c r="H29" s="4"/>
      <c r="I29" s="4"/>
      <c r="J29" s="4">
        <f t="shared" si="0"/>
        <v>83474.293119201859</v>
      </c>
      <c r="K29" s="4">
        <f t="shared" si="0"/>
        <v>131545.2543632999</v>
      </c>
      <c r="U29">
        <f t="shared" si="12"/>
        <v>1993</v>
      </c>
      <c r="V29">
        <f>FuelConsump!BS51</f>
        <v>8488.2042953990458</v>
      </c>
      <c r="W29">
        <f>FuelConsump!BW51</f>
        <v>17747.967243001942</v>
      </c>
      <c r="X29" s="279">
        <f t="shared" si="1"/>
        <v>6.6883404338857337</v>
      </c>
      <c r="Y29" s="279">
        <f t="shared" si="2"/>
        <v>5.8100174847155435</v>
      </c>
      <c r="AB29" s="5">
        <f t="shared" si="3"/>
        <v>13847.650282475062</v>
      </c>
      <c r="AC29" s="5">
        <f t="shared" si="4"/>
        <v>19215.378648573245</v>
      </c>
      <c r="AD29" s="279">
        <f t="shared" si="5"/>
        <v>6.028047460502596</v>
      </c>
      <c r="AE29" s="279">
        <f t="shared" si="6"/>
        <v>6.845832016589859</v>
      </c>
      <c r="AN29" s="136">
        <f t="shared" si="14"/>
        <v>0.91819358576066068</v>
      </c>
      <c r="AO29" s="136">
        <f t="shared" si="15"/>
        <v>0.95934822793997354</v>
      </c>
      <c r="AR29">
        <f t="shared" si="7"/>
        <v>1993</v>
      </c>
      <c r="AS29" s="279">
        <f t="shared" si="8"/>
        <v>6.6883404338857337</v>
      </c>
      <c r="AT29" s="279">
        <f t="shared" si="9"/>
        <v>5.8100174847155435</v>
      </c>
      <c r="AW29">
        <f t="shared" si="10"/>
        <v>1993</v>
      </c>
      <c r="AX29">
        <f>'Freight-based Activity'!C51</f>
        <v>936000</v>
      </c>
      <c r="AY29" s="279">
        <f t="shared" si="11"/>
        <v>9.0771558245083206</v>
      </c>
    </row>
    <row r="30" spans="4:51" x14ac:dyDescent="0.2">
      <c r="D30">
        <f t="shared" si="13"/>
        <v>1994</v>
      </c>
      <c r="E30" s="4">
        <v>165732.4</v>
      </c>
      <c r="F30" s="514">
        <f>'Freight-based Activity'!V52</f>
        <v>61284</v>
      </c>
      <c r="G30" s="514">
        <v>108932</v>
      </c>
      <c r="H30" s="4"/>
      <c r="I30" s="4"/>
      <c r="J30" s="4">
        <f t="shared" si="0"/>
        <v>90108.47917137263</v>
      </c>
      <c r="K30" s="4">
        <f t="shared" si="0"/>
        <v>138964.7353301426</v>
      </c>
      <c r="U30">
        <f t="shared" si="12"/>
        <v>1994</v>
      </c>
      <c r="V30">
        <f>FuelConsump!BS52</f>
        <v>9031.7715368473873</v>
      </c>
      <c r="W30">
        <f>FuelConsump!BW52</f>
        <v>18652.739726027397</v>
      </c>
      <c r="X30" s="279">
        <f t="shared" si="1"/>
        <v>6.7853797840187262</v>
      </c>
      <c r="Y30" s="279">
        <f t="shared" si="2"/>
        <v>5.84</v>
      </c>
      <c r="AB30" s="5">
        <f t="shared" si="3"/>
        <v>14734.425482815886</v>
      </c>
      <c r="AC30" s="5">
        <f t="shared" si="4"/>
        <v>20194.958203465601</v>
      </c>
      <c r="AD30" s="279">
        <f t="shared" si="5"/>
        <v>6.1155067957323608</v>
      </c>
      <c r="AE30" s="279">
        <f t="shared" si="6"/>
        <v>6.8811598385133204</v>
      </c>
      <c r="AN30" s="136">
        <f t="shared" si="14"/>
        <v>0.90506227820019791</v>
      </c>
      <c r="AO30" s="136">
        <f t="shared" si="15"/>
        <v>0.95442294148323958</v>
      </c>
      <c r="AR30">
        <f t="shared" si="7"/>
        <v>1994</v>
      </c>
      <c r="AS30" s="279">
        <f t="shared" si="8"/>
        <v>6.7853797840187262</v>
      </c>
      <c r="AT30" s="279">
        <f t="shared" si="9"/>
        <v>5.84</v>
      </c>
      <c r="AW30">
        <f t="shared" si="10"/>
        <v>1994</v>
      </c>
      <c r="AX30">
        <f>'Freight-based Activity'!C52</f>
        <v>996000</v>
      </c>
      <c r="AY30" s="279">
        <f t="shared" si="11"/>
        <v>9.143318767671575</v>
      </c>
    </row>
    <row r="31" spans="4:51" x14ac:dyDescent="0.2">
      <c r="D31">
        <f t="shared" si="13"/>
        <v>1995</v>
      </c>
      <c r="E31" s="4">
        <v>168105.2</v>
      </c>
      <c r="F31" s="514">
        <f>'Freight-based Activity'!V53</f>
        <v>62707</v>
      </c>
      <c r="G31" s="514">
        <v>115451</v>
      </c>
      <c r="H31" s="4"/>
      <c r="I31" s="4"/>
      <c r="J31" s="4">
        <f t="shared" si="0"/>
        <v>92200.77676717029</v>
      </c>
      <c r="K31" s="4">
        <f t="shared" si="0"/>
        <v>147281.0345775373</v>
      </c>
      <c r="U31">
        <f t="shared" si="12"/>
        <v>1995</v>
      </c>
      <c r="V31">
        <f>FuelConsump!BS53</f>
        <v>9216</v>
      </c>
      <c r="W31">
        <f>FuelConsump!BW53</f>
        <v>19777</v>
      </c>
      <c r="X31" s="279">
        <f t="shared" si="1"/>
        <v>6.8041449652777777</v>
      </c>
      <c r="Y31" s="279">
        <f t="shared" si="2"/>
        <v>5.8376396824594226</v>
      </c>
      <c r="AB31" s="5">
        <f t="shared" si="3"/>
        <v>15034.975662928548</v>
      </c>
      <c r="AC31" s="5">
        <f t="shared" si="4"/>
        <v>21412.172917023876</v>
      </c>
      <c r="AD31" s="279">
        <f t="shared" si="5"/>
        <v>6.1324194221682706</v>
      </c>
      <c r="AE31" s="279">
        <f t="shared" si="6"/>
        <v>6.8783787216868886</v>
      </c>
      <c r="AN31" s="136">
        <f t="shared" si="14"/>
        <v>0.90256620297137391</v>
      </c>
      <c r="AO31" s="136">
        <f t="shared" si="15"/>
        <v>0.95480884080770145</v>
      </c>
      <c r="AR31">
        <f t="shared" si="7"/>
        <v>1995</v>
      </c>
      <c r="AS31" s="279">
        <f t="shared" si="8"/>
        <v>6.8041449652777777</v>
      </c>
      <c r="AT31" s="279">
        <f t="shared" si="9"/>
        <v>5.8376396824594226</v>
      </c>
      <c r="AW31">
        <f t="shared" si="10"/>
        <v>1995</v>
      </c>
      <c r="AX31">
        <f>'Freight-based Activity'!C53</f>
        <v>1042000</v>
      </c>
      <c r="AY31" s="279">
        <f t="shared" si="11"/>
        <v>9.0254740106192237</v>
      </c>
    </row>
    <row r="32" spans="4:51" x14ac:dyDescent="0.2">
      <c r="D32">
        <f t="shared" si="13"/>
        <v>1996</v>
      </c>
      <c r="E32" s="4">
        <v>173685.3</v>
      </c>
      <c r="F32" s="515">
        <f>'Freight-based Activity'!V54</f>
        <v>64072</v>
      </c>
      <c r="G32" s="515">
        <v>118899</v>
      </c>
      <c r="H32" s="4"/>
      <c r="I32" s="4"/>
      <c r="J32" s="4">
        <f t="shared" si="0"/>
        <v>94207.794489070351</v>
      </c>
      <c r="K32" s="4">
        <f t="shared" si="0"/>
        <v>151679.65396778382</v>
      </c>
      <c r="U32">
        <f t="shared" si="12"/>
        <v>1996</v>
      </c>
      <c r="V32">
        <f>FuelConsump!BS54</f>
        <v>9408.8870000000006</v>
      </c>
      <c r="W32">
        <f>FuelConsump!BW54</f>
        <v>20192.512999999999</v>
      </c>
      <c r="X32" s="279">
        <f t="shared" si="1"/>
        <v>6.8097321181559511</v>
      </c>
      <c r="Y32" s="279">
        <f t="shared" si="2"/>
        <v>5.888271558869369</v>
      </c>
      <c r="AB32" s="5">
        <f t="shared" si="3"/>
        <v>15349.651373724479</v>
      </c>
      <c r="AC32" s="5">
        <f t="shared" si="4"/>
        <v>21862.040753666006</v>
      </c>
      <c r="AD32" s="279">
        <f t="shared" si="5"/>
        <v>6.1374549946023649</v>
      </c>
      <c r="AE32" s="279">
        <f t="shared" si="6"/>
        <v>6.9380372892383768</v>
      </c>
      <c r="AN32" s="136">
        <f t="shared" si="14"/>
        <v>0.90182567819430837</v>
      </c>
      <c r="AO32" s="136">
        <f t="shared" si="15"/>
        <v>0.94659866185457886</v>
      </c>
      <c r="AR32">
        <f t="shared" si="7"/>
        <v>1996</v>
      </c>
      <c r="AS32" s="279">
        <f t="shared" si="8"/>
        <v>6.8097321181559511</v>
      </c>
      <c r="AT32" s="279">
        <f t="shared" si="9"/>
        <v>5.888271558869369</v>
      </c>
      <c r="AW32">
        <f t="shared" si="10"/>
        <v>1996</v>
      </c>
      <c r="AX32">
        <f>'Freight-based Activity'!C54</f>
        <v>1071000</v>
      </c>
      <c r="AY32" s="279">
        <f t="shared" si="11"/>
        <v>9.0076451441980172</v>
      </c>
    </row>
    <row r="33" spans="3:51" x14ac:dyDescent="0.2">
      <c r="D33">
        <f t="shared" si="13"/>
        <v>1997</v>
      </c>
      <c r="E33" s="4">
        <v>182389.7</v>
      </c>
      <c r="F33" s="515">
        <f>'Freight-based Activity'!V55</f>
        <v>66893</v>
      </c>
      <c r="G33" s="515">
        <v>124584</v>
      </c>
      <c r="H33" s="4"/>
      <c r="I33" s="4"/>
      <c r="J33" s="4">
        <f t="shared" si="0"/>
        <v>98355.631114330477</v>
      </c>
      <c r="K33" s="4">
        <f t="shared" si="0"/>
        <v>158932.01801463743</v>
      </c>
      <c r="U33">
        <f t="shared" si="12"/>
        <v>1997</v>
      </c>
      <c r="V33">
        <f>FuelConsump!BS55</f>
        <v>9576.0589999999993</v>
      </c>
      <c r="W33">
        <f>FuelConsump!BW55</f>
        <v>20301.692999999999</v>
      </c>
      <c r="X33" s="279">
        <f t="shared" si="1"/>
        <v>6.985441505738426</v>
      </c>
      <c r="Y33" s="279">
        <f t="shared" si="2"/>
        <v>6.1366310681577145</v>
      </c>
      <c r="AB33" s="5">
        <f t="shared" si="3"/>
        <v>15622.37565231856</v>
      </c>
      <c r="AC33" s="5">
        <f t="shared" si="4"/>
        <v>21980.247814346625</v>
      </c>
      <c r="AD33" s="279">
        <f t="shared" si="5"/>
        <v>6.2958178258716524</v>
      </c>
      <c r="AE33" s="279">
        <f t="shared" si="6"/>
        <v>7.2306745291061576</v>
      </c>
      <c r="AN33" s="136">
        <f t="shared" si="14"/>
        <v>0.87914146596641995</v>
      </c>
      <c r="AO33" s="136">
        <f t="shared" si="15"/>
        <v>0.90828826376480309</v>
      </c>
      <c r="AR33">
        <f t="shared" si="7"/>
        <v>1997</v>
      </c>
      <c r="AS33" s="279">
        <f t="shared" si="8"/>
        <v>6.985441505738426</v>
      </c>
      <c r="AT33" s="279">
        <f t="shared" si="9"/>
        <v>6.1366310681577145</v>
      </c>
      <c r="AW33">
        <f t="shared" si="10"/>
        <v>1997</v>
      </c>
      <c r="AX33">
        <f>'Freight-based Activity'!C55</f>
        <v>1119000</v>
      </c>
      <c r="AY33" s="279">
        <f t="shared" si="11"/>
        <v>8.9818917356963972</v>
      </c>
    </row>
    <row r="34" spans="3:51" x14ac:dyDescent="0.2">
      <c r="D34">
        <f t="shared" si="13"/>
        <v>1998</v>
      </c>
      <c r="E34" s="4">
        <v>186831.4</v>
      </c>
      <c r="F34" s="515">
        <f>'Freight-based Activity'!V56</f>
        <v>68021</v>
      </c>
      <c r="G34" s="515">
        <v>128159</v>
      </c>
      <c r="H34" s="4"/>
      <c r="I34" s="4"/>
      <c r="J34" s="4">
        <f t="shared" si="0"/>
        <v>100014.17762737318</v>
      </c>
      <c r="K34" s="4">
        <f t="shared" si="0"/>
        <v>163492.65151815579</v>
      </c>
      <c r="U34">
        <f t="shared" si="12"/>
        <v>1998</v>
      </c>
      <c r="V34">
        <f>FuelConsump!BS56</f>
        <v>9740.9709999999995</v>
      </c>
      <c r="W34">
        <f>FuelConsump!BW56</f>
        <v>22252.439420310111</v>
      </c>
      <c r="X34" s="279">
        <f t="shared" si="1"/>
        <v>6.9829794175549855</v>
      </c>
      <c r="Y34" s="279">
        <f t="shared" si="2"/>
        <v>5.7593236219768107</v>
      </c>
      <c r="AB34" s="5">
        <f t="shared" si="3"/>
        <v>15891.412968564751</v>
      </c>
      <c r="AC34" s="5">
        <f t="shared" si="4"/>
        <v>24092.282990002463</v>
      </c>
      <c r="AD34" s="279">
        <f t="shared" si="5"/>
        <v>6.2935988023981269</v>
      </c>
      <c r="AE34" s="279">
        <f t="shared" si="6"/>
        <v>6.786100411737654</v>
      </c>
      <c r="AN34" s="136">
        <f t="shared" si="14"/>
        <v>0.87945143735334497</v>
      </c>
      <c r="AO34" s="136">
        <f t="shared" si="15"/>
        <v>0.96779246038425892</v>
      </c>
      <c r="AR34">
        <f t="shared" si="7"/>
        <v>1998</v>
      </c>
      <c r="AS34" s="279">
        <f t="shared" si="8"/>
        <v>6.9829794175549855</v>
      </c>
      <c r="AT34" s="279">
        <f t="shared" si="9"/>
        <v>5.7593236219768107</v>
      </c>
      <c r="AW34">
        <f t="shared" si="10"/>
        <v>1998</v>
      </c>
      <c r="AX34">
        <f>'Freight-based Activity'!C56</f>
        <v>1149000</v>
      </c>
      <c r="AY34" s="279">
        <f t="shared" si="11"/>
        <v>8.9654257601885163</v>
      </c>
    </row>
    <row r="35" spans="3:51" x14ac:dyDescent="0.2">
      <c r="D35">
        <f t="shared" si="13"/>
        <v>1999</v>
      </c>
      <c r="E35" s="4">
        <v>195289.7</v>
      </c>
      <c r="F35" s="515">
        <f>'Freight-based Activity'!V57</f>
        <v>70304</v>
      </c>
      <c r="G35" s="515">
        <v>132382</v>
      </c>
      <c r="H35" s="4"/>
      <c r="I35" s="4"/>
      <c r="J35" s="4">
        <f t="shared" si="0"/>
        <v>103370.96990510054</v>
      </c>
      <c r="K35" s="4">
        <f t="shared" si="0"/>
        <v>168879.93970986429</v>
      </c>
      <c r="U35">
        <f t="shared" si="12"/>
        <v>1999</v>
      </c>
      <c r="V35">
        <f>FuelConsump!BS57</f>
        <v>9372.0709999999999</v>
      </c>
      <c r="W35">
        <f>FuelConsump!BW57</f>
        <v>24537.32</v>
      </c>
      <c r="X35" s="279">
        <f t="shared" si="1"/>
        <v>7.5014369822849192</v>
      </c>
      <c r="Y35" s="279">
        <f t="shared" si="2"/>
        <v>5.3951287263645744</v>
      </c>
      <c r="AB35" s="5">
        <f t="shared" si="3"/>
        <v>15289.589778237674</v>
      </c>
      <c r="AC35" s="5">
        <f t="shared" si="4"/>
        <v>26566.07871569744</v>
      </c>
      <c r="AD35" s="279">
        <f t="shared" si="5"/>
        <v>6.7608726855597432</v>
      </c>
      <c r="AE35" s="279">
        <f t="shared" si="6"/>
        <v>6.3569765608680529</v>
      </c>
      <c r="AN35" s="136">
        <f t="shared" si="14"/>
        <v>0.81866864979074505</v>
      </c>
      <c r="AO35" s="136">
        <f t="shared" si="15"/>
        <v>1.0331227040096891</v>
      </c>
      <c r="AR35">
        <f t="shared" si="7"/>
        <v>1999</v>
      </c>
      <c r="AS35" s="279">
        <f t="shared" si="8"/>
        <v>7.5014369822849192</v>
      </c>
      <c r="AT35" s="279">
        <f t="shared" si="9"/>
        <v>5.3951287263645744</v>
      </c>
      <c r="AW35">
        <f t="shared" si="10"/>
        <v>1999</v>
      </c>
      <c r="AX35">
        <f>'Freight-based Activity'!C57</f>
        <v>1186000</v>
      </c>
      <c r="AY35" s="279">
        <f t="shared" si="11"/>
        <v>8.9589219078122397</v>
      </c>
    </row>
    <row r="36" spans="3:51" x14ac:dyDescent="0.2">
      <c r="D36">
        <f t="shared" si="13"/>
        <v>2000</v>
      </c>
      <c r="E36" s="4">
        <v>199451.7</v>
      </c>
      <c r="F36" s="515">
        <f>'Freight-based Activity'!V58</f>
        <v>70500</v>
      </c>
      <c r="G36" s="515">
        <v>135020</v>
      </c>
      <c r="H36" s="4"/>
      <c r="I36" s="4"/>
      <c r="J36" s="4">
        <f t="shared" si="0"/>
        <v>103659.15706516824</v>
      </c>
      <c r="K36" s="4">
        <f t="shared" si="0"/>
        <v>172245.24073987309</v>
      </c>
      <c r="U36">
        <f t="shared" si="12"/>
        <v>2000</v>
      </c>
      <c r="V36">
        <f>FuelConsump!BS58</f>
        <v>9563</v>
      </c>
      <c r="W36">
        <f>FuelConsump!BW58</f>
        <v>25666</v>
      </c>
      <c r="X36" s="279">
        <f t="shared" si="1"/>
        <v>7.3721635470040781</v>
      </c>
      <c r="Y36" s="279">
        <f t="shared" si="2"/>
        <v>5.2606561209382061</v>
      </c>
      <c r="AB36" s="5">
        <f t="shared" si="3"/>
        <v>15601.071209264939</v>
      </c>
      <c r="AC36" s="5">
        <f t="shared" si="4"/>
        <v>27788.078580590322</v>
      </c>
      <c r="AD36" s="279">
        <f t="shared" si="5"/>
        <v>6.6443615104845257</v>
      </c>
      <c r="AE36" s="279">
        <f t="shared" si="6"/>
        <v>6.1985300725392563</v>
      </c>
      <c r="AN36" s="136">
        <f t="shared" si="14"/>
        <v>0.83302428745944346</v>
      </c>
      <c r="AO36" s="136">
        <f t="shared" si="15"/>
        <v>1.0595313303368061</v>
      </c>
      <c r="AR36">
        <f t="shared" si="7"/>
        <v>2000</v>
      </c>
      <c r="AS36" s="279">
        <f t="shared" si="8"/>
        <v>7.3721635470040781</v>
      </c>
      <c r="AT36" s="279">
        <f t="shared" si="9"/>
        <v>5.2606561209382061</v>
      </c>
      <c r="AW36">
        <f t="shared" si="10"/>
        <v>2000</v>
      </c>
      <c r="AX36">
        <f>'Freight-based Activity'!C58</f>
        <v>1203000</v>
      </c>
      <c r="AY36" s="279">
        <f t="shared" si="11"/>
        <v>8.9097911420530291</v>
      </c>
    </row>
    <row r="37" spans="3:51" x14ac:dyDescent="0.2">
      <c r="D37">
        <f t="shared" si="13"/>
        <v>2001</v>
      </c>
      <c r="E37" s="4">
        <v>199115.1</v>
      </c>
      <c r="F37" s="514">
        <f>'Freight-based Activity'!V59</f>
        <v>72448</v>
      </c>
      <c r="G37" s="514">
        <v>136584</v>
      </c>
      <c r="H37" s="4"/>
      <c r="I37" s="4"/>
      <c r="J37" s="4">
        <f t="shared" si="0"/>
        <v>106523.38455400438</v>
      </c>
      <c r="K37" s="4">
        <f t="shared" si="0"/>
        <v>174240.4381663074</v>
      </c>
      <c r="U37">
        <f t="shared" si="12"/>
        <v>2001</v>
      </c>
      <c r="V37">
        <f>FuelConsump!BS59</f>
        <v>9667</v>
      </c>
      <c r="W37">
        <f>FuelConsump!BW59</f>
        <v>25512</v>
      </c>
      <c r="X37" s="279">
        <f t="shared" si="1"/>
        <v>7.4943622633702285</v>
      </c>
      <c r="Y37" s="279">
        <f t="shared" si="2"/>
        <v>5.3537158984007522</v>
      </c>
      <c r="AB37" s="5">
        <f t="shared" si="3"/>
        <v>15770.73673323896</v>
      </c>
      <c r="AC37" s="5">
        <f t="shared" si="4"/>
        <v>27621.345778384646</v>
      </c>
      <c r="AD37" s="279">
        <f t="shared" si="5"/>
        <v>6.7544964040577726</v>
      </c>
      <c r="AE37" s="279">
        <f t="shared" si="6"/>
        <v>6.3081806210420401</v>
      </c>
      <c r="AN37" s="136">
        <f t="shared" si="14"/>
        <v>0.81944147746813756</v>
      </c>
      <c r="AO37" s="136">
        <f t="shared" si="15"/>
        <v>1.0411142623251859</v>
      </c>
      <c r="AR37">
        <f t="shared" si="7"/>
        <v>2001</v>
      </c>
      <c r="AS37" s="279">
        <f t="shared" si="8"/>
        <v>7.4943622633702285</v>
      </c>
      <c r="AT37" s="279">
        <f t="shared" si="9"/>
        <v>5.3537158984007522</v>
      </c>
      <c r="AW37">
        <f t="shared" si="10"/>
        <v>2001</v>
      </c>
      <c r="AX37">
        <f>'Freight-based Activity'!C59</f>
        <v>1224000</v>
      </c>
      <c r="AY37" s="279">
        <f t="shared" si="11"/>
        <v>8.9615181866104372</v>
      </c>
    </row>
    <row r="38" spans="3:51" x14ac:dyDescent="0.2">
      <c r="D38">
        <f t="shared" si="13"/>
        <v>2002</v>
      </c>
      <c r="E38" s="4">
        <v>240188.9</v>
      </c>
      <c r="F38" s="514">
        <f>'Freight-based Activity'!V60</f>
        <v>75866</v>
      </c>
      <c r="G38" s="514">
        <v>138737</v>
      </c>
      <c r="H38" s="4"/>
      <c r="I38" s="4"/>
      <c r="J38" s="4">
        <f t="shared" si="0"/>
        <v>111549.01574334828</v>
      </c>
      <c r="K38" s="4">
        <f t="shared" si="0"/>
        <v>176987.02388185283</v>
      </c>
      <c r="U38">
        <f t="shared" si="12"/>
        <v>2002</v>
      </c>
      <c r="V38">
        <f>FuelConsump!BS60</f>
        <v>10321</v>
      </c>
      <c r="W38">
        <f>FuelConsump!BW60</f>
        <v>26480</v>
      </c>
      <c r="X38" s="279">
        <f t="shared" si="1"/>
        <v>7.3506443174111036</v>
      </c>
      <c r="Y38" s="279">
        <f t="shared" si="2"/>
        <v>5.2393126888217525</v>
      </c>
      <c r="AB38" s="5">
        <f t="shared" si="3"/>
        <v>16837.671855152508</v>
      </c>
      <c r="AC38" s="5">
        <f t="shared" si="4"/>
        <v>28669.38053510604</v>
      </c>
      <c r="AD38" s="279">
        <f t="shared" si="5"/>
        <v>6.6249667236039578</v>
      </c>
      <c r="AE38" s="279">
        <f t="shared" si="6"/>
        <v>6.1733815163927188</v>
      </c>
      <c r="AG38">
        <f>V38+W38</f>
        <v>36801</v>
      </c>
      <c r="AH38">
        <f>AC38+AB38</f>
        <v>45507.052390258548</v>
      </c>
      <c r="AI38" s="136">
        <f>AH38/AG38</f>
        <v>1.2365710820428397</v>
      </c>
      <c r="AN38" s="136">
        <f t="shared" si="14"/>
        <v>0.83546299080629194</v>
      </c>
      <c r="AO38" s="136">
        <f t="shared" si="15"/>
        <v>1.0638475520184301</v>
      </c>
      <c r="AR38">
        <f t="shared" si="7"/>
        <v>2002</v>
      </c>
      <c r="AS38" s="279">
        <f t="shared" si="8"/>
        <v>7.3506443174111036</v>
      </c>
      <c r="AT38" s="279">
        <f t="shared" si="9"/>
        <v>5.2393126888217525</v>
      </c>
      <c r="AW38">
        <f t="shared" si="10"/>
        <v>2002</v>
      </c>
      <c r="AX38">
        <f>'Freight-based Activity'!C60</f>
        <v>1255000</v>
      </c>
      <c r="AY38" s="279">
        <f t="shared" si="11"/>
        <v>9.0458925881343841</v>
      </c>
    </row>
    <row r="39" spans="3:51" x14ac:dyDescent="0.2">
      <c r="D39">
        <f t="shared" si="13"/>
        <v>2003</v>
      </c>
      <c r="E39" s="4">
        <v>219916.6</v>
      </c>
      <c r="F39" s="514">
        <f>'Freight-based Activity'!V61</f>
        <v>77757</v>
      </c>
      <c r="G39" s="514">
        <v>140160</v>
      </c>
      <c r="H39" s="4"/>
      <c r="I39" s="4"/>
      <c r="J39" s="4">
        <f t="shared" si="0"/>
        <v>114329.43370094024</v>
      </c>
      <c r="K39" s="4">
        <f t="shared" si="0"/>
        <v>178802.34737150505</v>
      </c>
      <c r="U39">
        <f t="shared" si="12"/>
        <v>2003</v>
      </c>
      <c r="V39">
        <f>FuelConsump!BS61</f>
        <v>8881</v>
      </c>
      <c r="W39">
        <f>FuelConsump!BW61</f>
        <v>26917.337164750963</v>
      </c>
      <c r="X39" s="279">
        <f t="shared" si="1"/>
        <v>8.7554329467402319</v>
      </c>
      <c r="Y39" s="279">
        <f t="shared" si="2"/>
        <v>5.2070529540917443</v>
      </c>
      <c r="AB39" s="5">
        <f t="shared" si="3"/>
        <v>14488.456907819924</v>
      </c>
      <c r="AC39" s="5">
        <f t="shared" si="4"/>
        <v>29142.87697009055</v>
      </c>
      <c r="AD39" s="279">
        <f t="shared" si="5"/>
        <v>7.8910704175289137</v>
      </c>
      <c r="AE39" s="279">
        <f t="shared" si="6"/>
        <v>6.1353704905322353</v>
      </c>
      <c r="AN39" s="136">
        <f t="shared" si="14"/>
        <v>0.70141491838664649</v>
      </c>
      <c r="AO39" s="136">
        <f t="shared" si="15"/>
        <v>1.0704385047365725</v>
      </c>
      <c r="AR39">
        <f t="shared" si="7"/>
        <v>2003</v>
      </c>
      <c r="AS39" s="279">
        <f t="shared" si="8"/>
        <v>8.7554329467402319</v>
      </c>
      <c r="AT39" s="279">
        <f t="shared" si="9"/>
        <v>5.2070529540917443</v>
      </c>
      <c r="AW39">
        <f t="shared" si="10"/>
        <v>2003</v>
      </c>
      <c r="AX39">
        <f>'Freight-based Activity'!C61</f>
        <v>1264000</v>
      </c>
      <c r="AY39" s="279">
        <f t="shared" si="11"/>
        <v>9.0182648401826491</v>
      </c>
    </row>
    <row r="40" spans="3:51" x14ac:dyDescent="0.2">
      <c r="D40">
        <f t="shared" si="13"/>
        <v>2004</v>
      </c>
      <c r="E40" s="4">
        <v>235480.2</v>
      </c>
      <c r="F40" s="514">
        <f>'Freight-based Activity'!V62</f>
        <v>78441</v>
      </c>
      <c r="G40" s="514">
        <v>142370</v>
      </c>
      <c r="H40" s="4"/>
      <c r="I40" s="4"/>
      <c r="J40" s="4">
        <f t="shared" si="0"/>
        <v>115335.14807587038</v>
      </c>
      <c r="K40" s="4">
        <f t="shared" si="0"/>
        <v>181621.64808277093</v>
      </c>
      <c r="U40">
        <f t="shared" si="12"/>
        <v>2004</v>
      </c>
      <c r="V40">
        <f>FuelConsump!BS62</f>
        <v>8959</v>
      </c>
      <c r="W40">
        <f>FuelConsump!BW62</f>
        <v>27394.798464491367</v>
      </c>
      <c r="X40" s="279">
        <f t="shared" si="1"/>
        <v>8.755553075119991</v>
      </c>
      <c r="Y40" s="279">
        <f t="shared" si="2"/>
        <v>5.1969719793535756</v>
      </c>
      <c r="AB40" s="5">
        <f t="shared" si="3"/>
        <v>14615.70605080044</v>
      </c>
      <c r="AC40" s="5">
        <f t="shared" si="4"/>
        <v>29659.815024963817</v>
      </c>
      <c r="AD40" s="279">
        <f t="shared" si="5"/>
        <v>7.8911786864757021</v>
      </c>
      <c r="AE40" s="279">
        <f t="shared" si="6"/>
        <v>6.12349227161077</v>
      </c>
      <c r="AN40" s="136">
        <f t="shared" si="14"/>
        <v>0.70140529479839775</v>
      </c>
      <c r="AO40" s="136">
        <f t="shared" si="15"/>
        <v>1.072514918380495</v>
      </c>
      <c r="AR40">
        <f t="shared" si="7"/>
        <v>2004</v>
      </c>
      <c r="AS40" s="279">
        <f t="shared" si="8"/>
        <v>8.755553075119991</v>
      </c>
      <c r="AT40" s="279">
        <f t="shared" si="9"/>
        <v>5.1969719793535756</v>
      </c>
      <c r="AW40">
        <f t="shared" si="10"/>
        <v>2004</v>
      </c>
      <c r="AX40">
        <f>'Freight-based Activity'!C62</f>
        <v>1283930.3652968036</v>
      </c>
      <c r="AY40" s="279">
        <f t="shared" si="11"/>
        <v>9.0182648401826491</v>
      </c>
    </row>
    <row r="41" spans="3:51" x14ac:dyDescent="0.2">
      <c r="D41">
        <f t="shared" si="13"/>
        <v>2005</v>
      </c>
      <c r="E41" s="4">
        <v>253393</v>
      </c>
      <c r="F41" s="514">
        <f>'Freight-based Activity'!V63</f>
        <v>78496</v>
      </c>
      <c r="G41" s="514">
        <v>144028</v>
      </c>
      <c r="H41" s="4"/>
      <c r="I41" s="4"/>
      <c r="J41" s="4">
        <f t="shared" si="0"/>
        <v>115416.01692180775</v>
      </c>
      <c r="K41" s="4">
        <f t="shared" si="0"/>
        <v>183736.76146705999</v>
      </c>
      <c r="U41">
        <f t="shared" si="12"/>
        <v>2005</v>
      </c>
      <c r="V41">
        <f>FuelConsump!BS63</f>
        <v>9501</v>
      </c>
      <c r="W41">
        <f>FuelConsump!BW63</f>
        <v>27688.664000000001</v>
      </c>
      <c r="X41" s="279">
        <f t="shared" si="1"/>
        <v>8.261867171876645</v>
      </c>
      <c r="Y41" s="279">
        <f t="shared" si="2"/>
        <v>5.2016955386507631</v>
      </c>
      <c r="AB41" s="5">
        <f t="shared" si="3"/>
        <v>15499.924454588121</v>
      </c>
      <c r="AC41" s="5">
        <f t="shared" si="4"/>
        <v>29977.977519814634</v>
      </c>
      <c r="AD41" s="279">
        <f t="shared" si="5"/>
        <v>7.4462309322832567</v>
      </c>
      <c r="AE41" s="279">
        <f t="shared" si="6"/>
        <v>6.1290579508112231</v>
      </c>
      <c r="AN41" s="136">
        <f t="shared" si="14"/>
        <v>0.74331760097549626</v>
      </c>
      <c r="AO41" s="136">
        <f t="shared" si="15"/>
        <v>1.0715409882885767</v>
      </c>
      <c r="AR41">
        <f t="shared" si="7"/>
        <v>2005</v>
      </c>
      <c r="AS41" s="279">
        <f t="shared" si="8"/>
        <v>8.261867171876645</v>
      </c>
      <c r="AT41" s="279">
        <f t="shared" si="9"/>
        <v>5.2016955386507631</v>
      </c>
      <c r="AW41">
        <f t="shared" si="10"/>
        <v>2005</v>
      </c>
      <c r="AX41">
        <f>'Freight-based Activity'!C63</f>
        <v>1298882.6484018264</v>
      </c>
      <c r="AY41" s="279">
        <f t="shared" si="11"/>
        <v>9.0182648401826473</v>
      </c>
    </row>
    <row r="42" spans="3:51" x14ac:dyDescent="0.2">
      <c r="D42">
        <f t="shared" si="13"/>
        <v>2006</v>
      </c>
      <c r="E42" s="4">
        <v>262079.5</v>
      </c>
      <c r="F42" s="514">
        <f>'Freight-based Activity'!V64</f>
        <v>80344</v>
      </c>
      <c r="G42" s="514">
        <v>142169</v>
      </c>
      <c r="H42" s="4">
        <f>F42</f>
        <v>80344</v>
      </c>
      <c r="I42" s="4">
        <f>G42</f>
        <v>142169</v>
      </c>
      <c r="J42" s="4">
        <f t="shared" si="0"/>
        <v>118133.21014530322</v>
      </c>
      <c r="K42" s="4">
        <f t="shared" si="0"/>
        <v>181365.23204523046</v>
      </c>
      <c r="U42">
        <f t="shared" si="12"/>
        <v>2006</v>
      </c>
      <c r="V42">
        <f>FuelConsump!BS64</f>
        <v>9852</v>
      </c>
      <c r="W42">
        <f>FuelConsump!BW64</f>
        <v>28106.544000000002</v>
      </c>
      <c r="X42" s="279">
        <f t="shared" si="1"/>
        <v>8.1550954120990653</v>
      </c>
      <c r="Y42" s="279">
        <f t="shared" si="2"/>
        <v>5.0582170472470747</v>
      </c>
      <c r="Z42" s="279">
        <v>7.35</v>
      </c>
      <c r="AA42" s="279">
        <v>5.96</v>
      </c>
      <c r="AB42" s="531">
        <f t="shared" si="3"/>
        <v>16072.545598000439</v>
      </c>
      <c r="AC42" s="531">
        <f t="shared" si="4"/>
        <v>30430.408061280279</v>
      </c>
      <c r="AD42" s="532">
        <f t="shared" si="5"/>
        <v>7.35</v>
      </c>
      <c r="AE42" s="532">
        <f t="shared" si="6"/>
        <v>5.96</v>
      </c>
      <c r="AF42" s="7" t="s">
        <v>920</v>
      </c>
      <c r="AN42" s="136">
        <f t="shared" si="14"/>
        <v>0.75304959359106438</v>
      </c>
      <c r="AO42" s="136">
        <f t="shared" si="15"/>
        <v>1.1019357070285598</v>
      </c>
      <c r="AR42">
        <f t="shared" si="7"/>
        <v>2006</v>
      </c>
      <c r="AS42" s="279">
        <f t="shared" si="8"/>
        <v>8.1550954120990653</v>
      </c>
      <c r="AT42" s="279">
        <f t="shared" si="9"/>
        <v>5.0582170472470747</v>
      </c>
      <c r="AW42">
        <f t="shared" si="10"/>
        <v>2006</v>
      </c>
      <c r="AX42">
        <f>'Freight-based Activity'!C64</f>
        <v>1282117.6940639268</v>
      </c>
      <c r="AY42" s="279">
        <f t="shared" si="11"/>
        <v>9.0182648401826473</v>
      </c>
    </row>
    <row r="43" spans="3:51" x14ac:dyDescent="0.2">
      <c r="C43" s="136">
        <f>E43/E42</f>
        <v>1.0156246482460476</v>
      </c>
      <c r="D43">
        <f t="shared" si="13"/>
        <v>2007</v>
      </c>
      <c r="E43" s="4">
        <v>266174.40000000002</v>
      </c>
      <c r="F43" s="514">
        <f>'Freight-based Activity'!V65</f>
        <v>119979</v>
      </c>
      <c r="G43" s="514">
        <v>184199</v>
      </c>
      <c r="H43" s="516">
        <f>E43/E42*F42</f>
        <v>81599.34673868044</v>
      </c>
      <c r="I43" s="516">
        <f>E43/E42*G42</f>
        <v>144390.34061649235</v>
      </c>
      <c r="J43" s="4">
        <f>F43</f>
        <v>119979</v>
      </c>
      <c r="K43" s="4">
        <f>G43</f>
        <v>184199</v>
      </c>
      <c r="U43">
        <f t="shared" si="12"/>
        <v>2007</v>
      </c>
      <c r="V43">
        <f>FuelConsump!BS65</f>
        <v>16314</v>
      </c>
      <c r="W43">
        <f>FuelConsump!BW65</f>
        <v>30904</v>
      </c>
      <c r="X43" s="279">
        <f t="shared" si="1"/>
        <v>7.3543582199337996</v>
      </c>
      <c r="Y43" s="279">
        <f t="shared" si="2"/>
        <v>5.9603611183018383</v>
      </c>
      <c r="AB43" s="5">
        <f>V43</f>
        <v>16314</v>
      </c>
      <c r="AC43" s="5">
        <f>W43</f>
        <v>30904</v>
      </c>
      <c r="AD43" s="279">
        <f t="shared" si="5"/>
        <v>7.3543582199337996</v>
      </c>
      <c r="AE43" s="279">
        <f t="shared" si="6"/>
        <v>5.9603611183018383</v>
      </c>
      <c r="AG43">
        <f>V43+W43</f>
        <v>47218</v>
      </c>
      <c r="AH43">
        <f>AC43+AB43</f>
        <v>47218</v>
      </c>
      <c r="AN43" s="136">
        <f t="shared" si="14"/>
        <v>0.75260333361136522</v>
      </c>
      <c r="AO43" s="136">
        <f t="shared" si="15"/>
        <v>1.1018689444376095</v>
      </c>
      <c r="AR43">
        <f t="shared" si="7"/>
        <v>2007</v>
      </c>
      <c r="AS43" s="279">
        <f t="shared" si="8"/>
        <v>7.3543582199337996</v>
      </c>
      <c r="AT43" s="279">
        <f t="shared" si="9"/>
        <v>5.9603611183018383</v>
      </c>
      <c r="AW43">
        <f t="shared" si="10"/>
        <v>2007</v>
      </c>
      <c r="AX43">
        <f>'Freight-based Activity'!C65</f>
        <v>1302150.3320437097</v>
      </c>
      <c r="AY43" s="279">
        <f t="shared" si="11"/>
        <v>7.0692584218356762</v>
      </c>
    </row>
    <row r="44" spans="3:51" x14ac:dyDescent="0.2">
      <c r="D44">
        <f t="shared" si="13"/>
        <v>2008</v>
      </c>
      <c r="E44" s="4">
        <v>257119.5</v>
      </c>
      <c r="F44" s="514">
        <f>'Freight-based Activity'!V66</f>
        <v>126855</v>
      </c>
      <c r="G44" s="514">
        <v>183826</v>
      </c>
      <c r="H44" s="4"/>
      <c r="I44" s="4"/>
      <c r="J44" s="4">
        <f t="shared" ref="J44:K46" si="16">F44</f>
        <v>126855</v>
      </c>
      <c r="K44" s="4">
        <f t="shared" si="16"/>
        <v>183826</v>
      </c>
      <c r="U44">
        <f t="shared" si="12"/>
        <v>2008</v>
      </c>
      <c r="V44">
        <f>FuelConsump!BS66</f>
        <v>17144</v>
      </c>
      <c r="W44">
        <f>FuelConsump!BW66</f>
        <v>30561</v>
      </c>
      <c r="X44" s="279">
        <f t="shared" si="1"/>
        <v>7.3993817078861408</v>
      </c>
      <c r="Y44" s="279">
        <f t="shared" si="2"/>
        <v>6.0150518634861427</v>
      </c>
      <c r="AB44" s="5">
        <f t="shared" ref="AB44:AC46" si="17">V44</f>
        <v>17144</v>
      </c>
      <c r="AC44" s="5">
        <f t="shared" si="17"/>
        <v>30561</v>
      </c>
      <c r="AD44" s="279">
        <f t="shared" si="5"/>
        <v>7.3993817078861408</v>
      </c>
      <c r="AE44" s="279">
        <f t="shared" si="6"/>
        <v>6.0150518634861427</v>
      </c>
      <c r="AN44" s="136">
        <f t="shared" si="14"/>
        <v>0.74802392029529996</v>
      </c>
      <c r="AO44" s="136">
        <f t="shared" si="15"/>
        <v>1.0918504051075415</v>
      </c>
      <c r="AR44">
        <f t="shared" si="7"/>
        <v>2008</v>
      </c>
      <c r="AS44" s="279">
        <f t="shared" si="8"/>
        <v>7.3993817078861408</v>
      </c>
      <c r="AT44" s="279">
        <f t="shared" si="9"/>
        <v>6.0150518634861427</v>
      </c>
      <c r="AW44">
        <f t="shared" si="10"/>
        <v>2008</v>
      </c>
      <c r="AX44">
        <f>'Freight-based Activity'!C66</f>
        <v>1299513.4986523651</v>
      </c>
      <c r="AY44" s="279">
        <f t="shared" si="11"/>
        <v>7.0692584218356762</v>
      </c>
    </row>
    <row r="45" spans="3:51" x14ac:dyDescent="0.2">
      <c r="D45">
        <f t="shared" si="13"/>
        <v>2009</v>
      </c>
      <c r="E45" s="4">
        <v>220029.5</v>
      </c>
      <c r="F45" s="514">
        <f>'Freight-based Activity'!V67</f>
        <v>120207</v>
      </c>
      <c r="G45" s="514">
        <v>168100</v>
      </c>
      <c r="H45" s="4"/>
      <c r="I45" s="4"/>
      <c r="J45" s="4">
        <f t="shared" si="16"/>
        <v>120207</v>
      </c>
      <c r="K45" s="4">
        <f t="shared" si="16"/>
        <v>168100</v>
      </c>
      <c r="U45">
        <f t="shared" si="12"/>
        <v>2009</v>
      </c>
      <c r="V45">
        <f>FuelConsump!BS67</f>
        <v>16253</v>
      </c>
      <c r="W45">
        <f>FuelConsump!BW67</f>
        <v>28050</v>
      </c>
      <c r="X45" s="279">
        <f t="shared" si="1"/>
        <v>7.3959884329046943</v>
      </c>
      <c r="Y45" s="279">
        <f t="shared" si="2"/>
        <v>5.9928698752228167</v>
      </c>
      <c r="AB45" s="5">
        <f t="shared" si="17"/>
        <v>16253</v>
      </c>
      <c r="AC45" s="5">
        <f t="shared" si="17"/>
        <v>28050</v>
      </c>
      <c r="AD45" s="279">
        <f t="shared" si="5"/>
        <v>7.3959884329046943</v>
      </c>
      <c r="AE45" s="279">
        <f t="shared" si="6"/>
        <v>5.9928698752228167</v>
      </c>
      <c r="AN45" s="136">
        <f t="shared" si="14"/>
        <v>0.74836711321363514</v>
      </c>
      <c r="AO45" s="136">
        <f t="shared" si="15"/>
        <v>1.0958917764998251</v>
      </c>
      <c r="AR45">
        <f t="shared" si="7"/>
        <v>2009</v>
      </c>
      <c r="AS45" s="279">
        <f t="shared" si="8"/>
        <v>7.3959884329046943</v>
      </c>
      <c r="AT45" s="279">
        <f t="shared" si="9"/>
        <v>5.9928698752228167</v>
      </c>
      <c r="AW45">
        <f t="shared" si="10"/>
        <v>2009</v>
      </c>
      <c r="AX45">
        <f>'Freight-based Activity'!C67</f>
        <v>1188342.3407105771</v>
      </c>
      <c r="AY45" s="279">
        <f t="shared" si="11"/>
        <v>7.0692584218356753</v>
      </c>
    </row>
    <row r="46" spans="3:51" x14ac:dyDescent="0.2">
      <c r="D46">
        <f t="shared" si="13"/>
        <v>2010</v>
      </c>
      <c r="E46" s="4">
        <v>252273</v>
      </c>
      <c r="F46" s="514">
        <f>'Freight-based Activity'!V68</f>
        <v>110738</v>
      </c>
      <c r="G46" s="514">
        <v>175789</v>
      </c>
      <c r="H46" s="4"/>
      <c r="I46" s="4"/>
      <c r="J46" s="4">
        <f t="shared" si="16"/>
        <v>110738</v>
      </c>
      <c r="K46" s="4">
        <f t="shared" si="16"/>
        <v>175789</v>
      </c>
      <c r="U46">
        <f t="shared" si="12"/>
        <v>2010</v>
      </c>
      <c r="V46">
        <f>FuelConsump!BS68</f>
        <v>15097</v>
      </c>
      <c r="W46">
        <f>FuelConsump!BW68</f>
        <v>29927</v>
      </c>
      <c r="X46" s="279">
        <f t="shared" si="1"/>
        <v>7.3350996886798701</v>
      </c>
      <c r="Y46" s="279">
        <f t="shared" si="2"/>
        <v>5.8739265546162329</v>
      </c>
      <c r="AB46" s="5">
        <f t="shared" si="17"/>
        <v>15097</v>
      </c>
      <c r="AC46" s="5">
        <f t="shared" si="17"/>
        <v>29927</v>
      </c>
      <c r="AD46" s="279">
        <f t="shared" si="5"/>
        <v>7.3350996886798701</v>
      </c>
      <c r="AE46" s="279">
        <f t="shared" si="6"/>
        <v>5.8739265546162329</v>
      </c>
      <c r="AN46" s="136">
        <f t="shared" si="14"/>
        <v>0.75457931695683145</v>
      </c>
      <c r="AO46" s="136">
        <f t="shared" si="15"/>
        <v>1.1180828961385099</v>
      </c>
      <c r="AR46">
        <f t="shared" si="7"/>
        <v>2010</v>
      </c>
      <c r="AS46" s="279">
        <f t="shared" si="8"/>
        <v>7.3350996886798701</v>
      </c>
      <c r="AT46" s="279">
        <f t="shared" si="9"/>
        <v>5.8739265546162329</v>
      </c>
      <c r="AW46">
        <f t="shared" si="10"/>
        <v>2010</v>
      </c>
      <c r="AX46">
        <f>'Freight-based Activity'!C68</f>
        <v>1242697.8687160716</v>
      </c>
      <c r="AY46" s="279">
        <f t="shared" si="11"/>
        <v>7.0692584218356753</v>
      </c>
    </row>
    <row r="47" spans="3:51" x14ac:dyDescent="0.2">
      <c r="D47">
        <f t="shared" si="13"/>
        <v>2011</v>
      </c>
      <c r="E47" s="4"/>
      <c r="F47" s="514">
        <f>'Freight-based Activity'!V69</f>
        <v>103515</v>
      </c>
      <c r="G47" s="514">
        <v>163692</v>
      </c>
      <c r="J47" s="4">
        <f t="shared" ref="J47" si="18">F47</f>
        <v>103515</v>
      </c>
      <c r="K47" s="4">
        <f t="shared" ref="K47" si="19">G47</f>
        <v>163692</v>
      </c>
      <c r="U47">
        <f t="shared" si="12"/>
        <v>2011</v>
      </c>
      <c r="V47">
        <f>FuelConsump!BS69</f>
        <v>14183</v>
      </c>
      <c r="W47">
        <f>FuelConsump!BW69</f>
        <v>28193</v>
      </c>
      <c r="X47" s="279">
        <f t="shared" si="1"/>
        <v>7.298526404850878</v>
      </c>
      <c r="Y47" s="279">
        <f t="shared" ref="Y47" si="20">G47/W47</f>
        <v>5.8061220870428834</v>
      </c>
      <c r="AB47" s="5">
        <f t="shared" ref="AB47" si="21">V47</f>
        <v>14183</v>
      </c>
      <c r="AC47" s="5">
        <f t="shared" ref="AC47" si="22">W47</f>
        <v>28193</v>
      </c>
      <c r="AD47" s="279">
        <f t="shared" ref="AD47" si="23">J47/AB47</f>
        <v>7.298526404850878</v>
      </c>
      <c r="AE47" s="279">
        <f t="shared" ref="AE47" si="24">K47/AC47</f>
        <v>5.8061220870428834</v>
      </c>
    </row>
    <row r="50" spans="4:11" x14ac:dyDescent="0.2">
      <c r="D50" s="556" t="s">
        <v>1250</v>
      </c>
    </row>
    <row r="51" spans="4:11" x14ac:dyDescent="0.2">
      <c r="D51" s="556" t="s">
        <v>1248</v>
      </c>
      <c r="E51" s="556" t="s">
        <v>1249</v>
      </c>
    </row>
    <row r="52" spans="4:11" x14ac:dyDescent="0.2">
      <c r="D52" s="517" t="s">
        <v>903</v>
      </c>
      <c r="E52" s="518"/>
      <c r="F52" s="518"/>
      <c r="G52" s="518"/>
      <c r="H52" s="518"/>
      <c r="I52" s="518"/>
      <c r="J52" s="518"/>
      <c r="K52" s="518"/>
    </row>
    <row r="54" spans="4:11" ht="16.5" customHeight="1" x14ac:dyDescent="0.2"/>
    <row r="55" spans="4:11" x14ac:dyDescent="0.2">
      <c r="D55" s="8" t="s">
        <v>901</v>
      </c>
    </row>
    <row r="56" spans="4:11" x14ac:dyDescent="0.2">
      <c r="E56" s="308" t="s">
        <v>930</v>
      </c>
      <c r="F56" s="534" t="s">
        <v>940</v>
      </c>
      <c r="G56" s="534" t="s">
        <v>941</v>
      </c>
    </row>
    <row r="57" spans="4:11" ht="13.5" thickBot="1" x14ac:dyDescent="0.25">
      <c r="D57" s="130"/>
      <c r="E57" s="539" t="s">
        <v>931</v>
      </c>
      <c r="F57" s="539" t="s">
        <v>926</v>
      </c>
      <c r="G57" s="535" t="s">
        <v>939</v>
      </c>
    </row>
    <row r="58" spans="4:11" x14ac:dyDescent="0.2">
      <c r="D58" t="s">
        <v>937</v>
      </c>
      <c r="E58" s="538">
        <f>F21</f>
        <v>45441</v>
      </c>
      <c r="F58" s="538">
        <f>V21</f>
        <v>7399.3787012036664</v>
      </c>
      <c r="G58" s="536">
        <f>X21</f>
        <v>6.1411912857775555</v>
      </c>
    </row>
    <row r="59" spans="4:11" x14ac:dyDescent="0.2">
      <c r="D59" t="s">
        <v>927</v>
      </c>
      <c r="E59" s="538">
        <f>F42</f>
        <v>80344</v>
      </c>
      <c r="F59" s="538">
        <f>V42</f>
        <v>9852</v>
      </c>
      <c r="G59" s="536">
        <f>X42</f>
        <v>8.1550954120990653</v>
      </c>
    </row>
    <row r="60" spans="4:11" x14ac:dyDescent="0.2">
      <c r="D60" t="s">
        <v>928</v>
      </c>
      <c r="E60" s="538">
        <f>F43</f>
        <v>119979</v>
      </c>
      <c r="F60" s="538">
        <f>V43</f>
        <v>16314</v>
      </c>
      <c r="G60" s="536">
        <f>X43</f>
        <v>7.3543582199337996</v>
      </c>
    </row>
    <row r="61" spans="4:11" x14ac:dyDescent="0.2">
      <c r="E61" s="536"/>
      <c r="F61" s="536"/>
      <c r="G61" s="536"/>
    </row>
    <row r="62" spans="4:11" x14ac:dyDescent="0.2">
      <c r="D62" t="s">
        <v>929</v>
      </c>
      <c r="E62" s="536">
        <f>F43/H43</f>
        <v>1.4703426534066417</v>
      </c>
      <c r="F62" s="536" t="s">
        <v>938</v>
      </c>
      <c r="G62" s="536">
        <f>(Z42/X42)</f>
        <v>0.90127700886189388</v>
      </c>
      <c r="H62" s="136"/>
    </row>
    <row r="63" spans="4:11" x14ac:dyDescent="0.2">
      <c r="D63" t="s">
        <v>935</v>
      </c>
      <c r="E63" s="538">
        <f>J21</f>
        <v>66813.8405134512</v>
      </c>
      <c r="F63" s="538">
        <f>AB21</f>
        <v>12071.34100405696</v>
      </c>
      <c r="G63" s="536">
        <f>AD21</f>
        <v>5.5349145128943231</v>
      </c>
    </row>
    <row r="64" spans="4:11" x14ac:dyDescent="0.2">
      <c r="D64" t="s">
        <v>936</v>
      </c>
      <c r="E64" s="538">
        <f>J42</f>
        <v>118133.21014530322</v>
      </c>
      <c r="F64" s="538">
        <f>AB42</f>
        <v>16072.545598000439</v>
      </c>
      <c r="G64" s="537">
        <f>AD42</f>
        <v>7.35</v>
      </c>
    </row>
    <row r="65" spans="4:7" x14ac:dyDescent="0.2">
      <c r="D65" t="s">
        <v>928</v>
      </c>
      <c r="E65" s="538">
        <f>J43</f>
        <v>119979</v>
      </c>
      <c r="F65" s="538">
        <f>AB43</f>
        <v>16314</v>
      </c>
      <c r="G65" s="537">
        <f>AD43</f>
        <v>7.3543582199337996</v>
      </c>
    </row>
    <row r="68" spans="4:7" x14ac:dyDescent="0.2">
      <c r="D68" s="8" t="s">
        <v>169</v>
      </c>
    </row>
    <row r="69" spans="4:7" x14ac:dyDescent="0.2">
      <c r="E69" s="308" t="s">
        <v>930</v>
      </c>
      <c r="F69" s="534" t="s">
        <v>940</v>
      </c>
      <c r="G69" s="534" t="s">
        <v>941</v>
      </c>
    </row>
    <row r="70" spans="4:7" ht="13.5" thickBot="1" x14ac:dyDescent="0.25">
      <c r="D70" s="130"/>
      <c r="E70" s="539" t="s">
        <v>931</v>
      </c>
      <c r="F70" s="539" t="s">
        <v>926</v>
      </c>
      <c r="G70" s="535" t="s">
        <v>939</v>
      </c>
    </row>
    <row r="71" spans="4:7" x14ac:dyDescent="0.2">
      <c r="D71" t="s">
        <v>937</v>
      </c>
      <c r="E71" s="538">
        <f>G21</f>
        <v>78063</v>
      </c>
      <c r="F71" s="538">
        <f>W21</f>
        <v>14005.271115991143</v>
      </c>
      <c r="G71" s="536">
        <f>Y21</f>
        <v>5.5738299782621192</v>
      </c>
    </row>
    <row r="72" spans="4:7" x14ac:dyDescent="0.2">
      <c r="D72" t="s">
        <v>927</v>
      </c>
      <c r="E72" s="538">
        <f>G42</f>
        <v>142169</v>
      </c>
      <c r="F72" s="538">
        <f>W42</f>
        <v>28106.544000000002</v>
      </c>
      <c r="G72" s="536">
        <f>Y42</f>
        <v>5.0582170472470747</v>
      </c>
    </row>
    <row r="73" spans="4:7" x14ac:dyDescent="0.2">
      <c r="D73" t="s">
        <v>928</v>
      </c>
      <c r="E73" s="538">
        <f>G43</f>
        <v>184199</v>
      </c>
      <c r="F73" s="538">
        <f>W43</f>
        <v>30904</v>
      </c>
      <c r="G73" s="536">
        <f>Y43</f>
        <v>5.9603611183018383</v>
      </c>
    </row>
    <row r="74" spans="4:7" x14ac:dyDescent="0.2">
      <c r="E74" s="536"/>
      <c r="F74" s="536"/>
      <c r="G74" s="536"/>
    </row>
    <row r="75" spans="4:7" x14ac:dyDescent="0.2">
      <c r="D75" t="s">
        <v>929</v>
      </c>
      <c r="E75" s="536">
        <f>G43/I43</f>
        <v>1.2757016793058293</v>
      </c>
      <c r="F75" s="536" t="s">
        <v>938</v>
      </c>
      <c r="G75" s="536">
        <f>AA42/Y42</f>
        <v>1.1782807942659794</v>
      </c>
    </row>
    <row r="76" spans="4:7" x14ac:dyDescent="0.2">
      <c r="D76" t="s">
        <v>935</v>
      </c>
      <c r="E76" s="538">
        <f>K21</f>
        <v>99585.100191650956</v>
      </c>
      <c r="F76" s="538">
        <f>AC21</f>
        <v>15163.234407918406</v>
      </c>
      <c r="G76" s="536">
        <f>AE21</f>
        <v>6.567536813890217</v>
      </c>
    </row>
    <row r="77" spans="4:7" x14ac:dyDescent="0.2">
      <c r="D77" t="s">
        <v>936</v>
      </c>
      <c r="E77" s="538">
        <f>K42</f>
        <v>181365.23204523046</v>
      </c>
      <c r="F77" s="538">
        <f>AC42</f>
        <v>30430.408061280279</v>
      </c>
      <c r="G77" s="537">
        <f>AE42</f>
        <v>5.96</v>
      </c>
    </row>
    <row r="78" spans="4:7" x14ac:dyDescent="0.2">
      <c r="D78" t="s">
        <v>928</v>
      </c>
      <c r="E78" s="538">
        <f>K43</f>
        <v>184199</v>
      </c>
      <c r="F78" s="538">
        <f>AC43</f>
        <v>30904</v>
      </c>
      <c r="G78" s="537">
        <f>AE43</f>
        <v>5.9603611183018383</v>
      </c>
    </row>
  </sheetData>
  <mergeCells count="7">
    <mergeCell ref="F3:G3"/>
    <mergeCell ref="H4:I4"/>
    <mergeCell ref="Z4:AA4"/>
    <mergeCell ref="AB4:AC4"/>
    <mergeCell ref="AD4:AE4"/>
    <mergeCell ref="X4:Y4"/>
    <mergeCell ref="V4:W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T77"/>
  <sheetViews>
    <sheetView tabSelected="1" topLeftCell="B1" workbookViewId="0">
      <selection activeCell="J10" sqref="J10"/>
    </sheetView>
  </sheetViews>
  <sheetFormatPr defaultRowHeight="12.75" x14ac:dyDescent="0.2"/>
  <cols>
    <col min="5" max="5" width="5.5703125" customWidth="1"/>
    <col min="6" max="7" width="5.42578125" customWidth="1"/>
    <col min="8" max="8" width="6.7109375" customWidth="1"/>
    <col min="9" max="9" width="7.28515625" customWidth="1"/>
    <col min="10" max="10" width="8" customWidth="1"/>
    <col min="11" max="12" width="6.85546875" customWidth="1"/>
    <col min="13" max="13" width="9.140625" customWidth="1"/>
    <col min="14" max="14" width="3.85546875" customWidth="1"/>
    <col min="15" max="15" width="8.28515625" customWidth="1"/>
    <col min="16" max="16" width="8" customWidth="1"/>
    <col min="17" max="17" width="8.140625" customWidth="1"/>
    <col min="18" max="18" width="8.7109375" customWidth="1"/>
  </cols>
  <sheetData>
    <row r="6" spans="5:20" ht="12.75" customHeight="1" x14ac:dyDescent="0.2">
      <c r="J6" s="792" t="s">
        <v>1109</v>
      </c>
      <c r="K6" s="792"/>
      <c r="L6" s="792"/>
      <c r="M6" s="792"/>
      <c r="N6" s="792"/>
      <c r="O6" s="792"/>
      <c r="P6" s="792"/>
      <c r="Q6" s="792"/>
      <c r="R6" s="792"/>
    </row>
    <row r="7" spans="5:20" ht="18" customHeight="1" x14ac:dyDescent="0.25">
      <c r="J7" s="790">
        <v>1990</v>
      </c>
      <c r="K7" s="790"/>
      <c r="L7" s="790"/>
      <c r="M7" s="790"/>
      <c r="O7" s="790">
        <v>2010</v>
      </c>
      <c r="P7" s="790"/>
      <c r="Q7" s="790"/>
      <c r="R7" s="790"/>
    </row>
    <row r="8" spans="5:20" ht="15.75" x14ac:dyDescent="0.25">
      <c r="E8" s="631" t="s">
        <v>1094</v>
      </c>
      <c r="J8" s="629"/>
      <c r="K8" s="629"/>
      <c r="L8" s="630"/>
      <c r="M8" s="630"/>
      <c r="N8" s="608"/>
      <c r="O8" s="791"/>
      <c r="P8" s="791"/>
      <c r="Q8" s="791"/>
      <c r="R8" s="791"/>
    </row>
    <row r="9" spans="5:20" ht="19.5" customHeight="1" x14ac:dyDescent="0.25">
      <c r="E9" s="210" t="s">
        <v>1093</v>
      </c>
      <c r="F9" s="210"/>
      <c r="G9" s="210"/>
      <c r="H9" s="210"/>
      <c r="I9" s="210"/>
      <c r="J9" s="210"/>
      <c r="K9" s="129"/>
      <c r="L9" s="609"/>
      <c r="M9" s="141"/>
      <c r="N9" s="141"/>
      <c r="O9" s="609"/>
    </row>
    <row r="10" spans="5:20" ht="19.5" customHeight="1" x14ac:dyDescent="0.25">
      <c r="E10" s="210"/>
      <c r="F10" s="210" t="s">
        <v>1110</v>
      </c>
      <c r="G10" s="210"/>
      <c r="H10" s="210"/>
      <c r="I10" s="210"/>
      <c r="J10" s="609">
        <f>'[2]Energy Weights'!$G$12</f>
        <v>0.27831433484014928</v>
      </c>
      <c r="K10" s="129"/>
      <c r="L10" s="609"/>
      <c r="M10" s="141"/>
      <c r="N10" s="141"/>
      <c r="O10" s="609">
        <f>'[2]Energy Weights'!$I$12</f>
        <v>0.30137666246306588</v>
      </c>
    </row>
    <row r="11" spans="5:20" ht="19.5" customHeight="1" x14ac:dyDescent="0.25">
      <c r="E11" s="210"/>
      <c r="F11" s="210" t="s">
        <v>663</v>
      </c>
      <c r="G11" s="210"/>
      <c r="H11" s="210"/>
      <c r="I11" s="210"/>
      <c r="J11" s="609">
        <f>'[2]Energy Weights'!$G$18</f>
        <v>0.27831433484014928</v>
      </c>
      <c r="K11" s="129"/>
      <c r="L11" s="609"/>
      <c r="M11" s="141"/>
      <c r="N11" s="141"/>
      <c r="O11" s="609">
        <f>'[2]Energy Weights'!$I$18</f>
        <v>0.30137666246306588</v>
      </c>
    </row>
    <row r="12" spans="5:20" ht="15.75" x14ac:dyDescent="0.25">
      <c r="E12" s="210"/>
      <c r="F12" s="210"/>
      <c r="G12" s="210"/>
      <c r="H12" s="210"/>
      <c r="I12" s="210"/>
      <c r="J12" s="210"/>
      <c r="K12" s="129"/>
      <c r="L12" s="129"/>
      <c r="M12" s="141"/>
      <c r="N12" s="141"/>
      <c r="O12" s="129"/>
    </row>
    <row r="13" spans="5:20" ht="15.75" x14ac:dyDescent="0.25">
      <c r="E13" s="210" t="s">
        <v>1095</v>
      </c>
      <c r="F13" s="210"/>
      <c r="G13" s="210"/>
      <c r="H13" s="210"/>
      <c r="I13" s="210"/>
      <c r="J13" s="609">
        <f>'Total_Transportation '!$AI$51</f>
        <v>0.72178942952371206</v>
      </c>
      <c r="K13" s="609"/>
      <c r="L13" s="609"/>
      <c r="M13" s="618"/>
      <c r="N13" s="618"/>
      <c r="O13" s="609">
        <f>'Total_Transportation '!$AI$71</f>
        <v>0.70799516958296738</v>
      </c>
      <c r="P13" s="609"/>
      <c r="Q13" s="609"/>
      <c r="R13" s="618"/>
      <c r="S13" s="556"/>
      <c r="T13" s="556"/>
    </row>
    <row r="14" spans="5:20" ht="15.75" x14ac:dyDescent="0.25">
      <c r="E14" s="210"/>
      <c r="F14" s="613" t="s">
        <v>312</v>
      </c>
      <c r="G14" s="612"/>
      <c r="H14" s="612"/>
      <c r="I14" s="612"/>
      <c r="J14" s="556"/>
      <c r="K14" s="625">
        <f>Passenger_Total!$AN$51</f>
        <v>0.86469586156466827</v>
      </c>
      <c r="L14" s="619"/>
      <c r="M14" s="618"/>
      <c r="N14" s="618"/>
      <c r="O14" s="556"/>
      <c r="P14" s="625">
        <f>Passenger_Total!$AN$71</f>
        <v>0.88364672200759109</v>
      </c>
      <c r="Q14" s="619"/>
      <c r="R14" s="618"/>
      <c r="S14" s="556"/>
      <c r="T14" s="556"/>
    </row>
    <row r="15" spans="5:20" ht="15.75" x14ac:dyDescent="0.25">
      <c r="E15" s="210" t="s">
        <v>1031</v>
      </c>
      <c r="F15" s="614"/>
      <c r="G15" s="615" t="s">
        <v>1096</v>
      </c>
      <c r="H15" s="611"/>
      <c r="I15" s="611"/>
      <c r="J15" s="620"/>
      <c r="K15" s="625"/>
      <c r="L15" s="628">
        <f>'Passenger-Highway'!$AM$51</f>
        <v>0.98697264709036447</v>
      </c>
      <c r="M15" s="620"/>
      <c r="N15" s="620"/>
      <c r="O15" s="620"/>
      <c r="P15" s="625"/>
      <c r="Q15" s="628">
        <f>'Passenger-Highway'!$AM$71</f>
        <v>0.98606391661764381</v>
      </c>
      <c r="R15" s="620"/>
      <c r="S15" s="556"/>
      <c r="T15" s="556"/>
    </row>
    <row r="16" spans="5:20" ht="15.75" x14ac:dyDescent="0.25">
      <c r="E16" s="210"/>
      <c r="F16" s="614"/>
      <c r="G16" s="615"/>
      <c r="H16" s="611" t="s">
        <v>1102</v>
      </c>
      <c r="I16" s="611"/>
      <c r="J16" s="620"/>
      <c r="K16" s="625"/>
      <c r="L16" s="628"/>
      <c r="M16" s="625">
        <f>Personal_vehicles!$AJ$51</f>
        <v>0.66010663428858518</v>
      </c>
      <c r="N16" s="618"/>
      <c r="O16" s="620"/>
      <c r="P16" s="625"/>
      <c r="Q16" s="628"/>
      <c r="R16" s="625">
        <f>Personal_vehicles!$AJ$71</f>
        <v>0.53445968622391871</v>
      </c>
      <c r="S16" s="556"/>
      <c r="T16" s="556"/>
    </row>
    <row r="17" spans="5:20" ht="15.75" x14ac:dyDescent="0.25">
      <c r="E17" s="210"/>
      <c r="F17" s="614"/>
      <c r="G17" s="615"/>
      <c r="H17" s="611" t="s">
        <v>1103</v>
      </c>
      <c r="I17" s="611"/>
      <c r="J17" s="620"/>
      <c r="K17" s="625"/>
      <c r="L17" s="628"/>
      <c r="M17" s="625">
        <f>Personal_vehicles!$AK$51</f>
        <v>0.33807804313226808</v>
      </c>
      <c r="N17" s="618"/>
      <c r="O17" s="620"/>
      <c r="P17" s="625"/>
      <c r="Q17" s="628"/>
      <c r="R17" s="625">
        <f>Personal_vehicles!$AK$71</f>
        <v>0.46234706391678254</v>
      </c>
      <c r="S17" s="556"/>
      <c r="T17" s="556"/>
    </row>
    <row r="18" spans="5:20" ht="15.75" x14ac:dyDescent="0.25">
      <c r="E18" s="210"/>
      <c r="F18" s="614"/>
      <c r="G18" s="615"/>
      <c r="H18" s="611" t="s">
        <v>81</v>
      </c>
      <c r="I18" s="611"/>
      <c r="J18" s="620"/>
      <c r="K18" s="625"/>
      <c r="L18" s="628"/>
      <c r="M18" s="625">
        <f>Personal_vehicles!$AL$51</f>
        <v>1.8153225791467001E-3</v>
      </c>
      <c r="N18" s="618"/>
      <c r="O18" s="620"/>
      <c r="P18" s="625"/>
      <c r="Q18" s="628"/>
      <c r="R18" s="625">
        <f>Personal_vehicles!$AL$71</f>
        <v>3.193249859298608E-3</v>
      </c>
      <c r="S18" s="556"/>
      <c r="T18" s="556"/>
    </row>
    <row r="19" spans="5:20" ht="9" customHeight="1" x14ac:dyDescent="0.25">
      <c r="E19" s="210"/>
      <c r="F19" s="614"/>
      <c r="G19" s="615"/>
      <c r="H19" s="611"/>
      <c r="I19" s="611"/>
      <c r="J19" s="620"/>
      <c r="K19" s="625"/>
      <c r="L19" s="628"/>
      <c r="M19" s="620"/>
      <c r="N19" s="620"/>
      <c r="O19" s="620"/>
      <c r="P19" s="625"/>
      <c r="Q19" s="628"/>
      <c r="R19" s="620"/>
      <c r="S19" s="556"/>
      <c r="T19" s="556"/>
    </row>
    <row r="20" spans="5:20" ht="15.75" x14ac:dyDescent="0.25">
      <c r="E20" s="210"/>
      <c r="F20" s="610"/>
      <c r="G20" s="611" t="s">
        <v>91</v>
      </c>
      <c r="H20" s="611"/>
      <c r="I20" s="611"/>
      <c r="J20" s="620"/>
      <c r="K20" s="625"/>
      <c r="L20" s="628">
        <f>'Passenger-Highway'!$AN$51</f>
        <v>1.2590131651990228E-2</v>
      </c>
      <c r="M20" s="620"/>
      <c r="N20" s="620"/>
      <c r="O20" s="620"/>
      <c r="P20" s="625"/>
      <c r="Q20" s="628">
        <f>'Passenger-Highway'!$AN$71</f>
        <v>1.2526980090359933E-2</v>
      </c>
      <c r="R20" s="620"/>
      <c r="S20" s="556"/>
      <c r="T20" s="556"/>
    </row>
    <row r="21" spans="5:20" ht="15.75" x14ac:dyDescent="0.25">
      <c r="E21" s="210"/>
      <c r="F21" s="610"/>
      <c r="G21" s="611"/>
      <c r="H21" s="611" t="s">
        <v>1104</v>
      </c>
      <c r="I21" s="611"/>
      <c r="J21" s="620"/>
      <c r="K21" s="625"/>
      <c r="L21" s="628"/>
      <c r="M21" s="622">
        <f>Buses!$AJ$51</f>
        <v>0.46671975883324635</v>
      </c>
      <c r="N21" s="618"/>
      <c r="O21" s="620"/>
      <c r="P21" s="625"/>
      <c r="Q21" s="628"/>
      <c r="R21" s="622">
        <f>Buses!$AJ$71</f>
        <v>0.40826659581146652</v>
      </c>
      <c r="S21" s="556"/>
      <c r="T21" s="556"/>
    </row>
    <row r="22" spans="5:20" ht="15.75" x14ac:dyDescent="0.25">
      <c r="E22" s="210"/>
      <c r="F22" s="610"/>
      <c r="G22" s="611"/>
      <c r="H22" s="611" t="s">
        <v>534</v>
      </c>
      <c r="I22" s="611"/>
      <c r="J22" s="620"/>
      <c r="K22" s="625"/>
      <c r="L22" s="628"/>
      <c r="M22" s="622">
        <f>Buses!$AK$51</f>
        <v>0.14713731629096988</v>
      </c>
      <c r="N22" s="618"/>
      <c r="O22" s="620"/>
      <c r="P22" s="625"/>
      <c r="Q22" s="628"/>
      <c r="R22" s="622">
        <f>Buses!$AK$71</f>
        <v>0.21002393578662842</v>
      </c>
      <c r="S22" s="556"/>
      <c r="T22" s="556"/>
    </row>
    <row r="23" spans="5:20" ht="15.75" x14ac:dyDescent="0.25">
      <c r="E23" s="210"/>
      <c r="F23" s="610"/>
      <c r="G23" s="611"/>
      <c r="H23" s="611" t="s">
        <v>563</v>
      </c>
      <c r="I23" s="611"/>
      <c r="J23" s="620"/>
      <c r="K23" s="625"/>
      <c r="L23" s="628"/>
      <c r="M23" s="622">
        <f>Buses!$AL$51</f>
        <v>0.38614292487578378</v>
      </c>
      <c r="N23" s="618"/>
      <c r="O23" s="620"/>
      <c r="P23" s="625"/>
      <c r="Q23" s="628"/>
      <c r="R23" s="622">
        <f>Buses!$AL$71</f>
        <v>0.38170946840190512</v>
      </c>
      <c r="S23" s="556"/>
      <c r="T23" s="556"/>
    </row>
    <row r="24" spans="5:20" ht="15.75" x14ac:dyDescent="0.25">
      <c r="E24" s="210"/>
      <c r="F24" s="610"/>
      <c r="G24" s="611" t="s">
        <v>430</v>
      </c>
      <c r="H24" s="611"/>
      <c r="I24" s="611"/>
      <c r="J24" s="620"/>
      <c r="K24" s="625"/>
      <c r="L24" s="628">
        <f>'Passenger-Highway'!$AO$51</f>
        <v>4.3722125764518335E-4</v>
      </c>
      <c r="M24" s="620"/>
      <c r="N24" s="620"/>
      <c r="O24" s="620"/>
      <c r="P24" s="625"/>
      <c r="Q24" s="628">
        <f>'Passenger-Highway'!$AO$51</f>
        <v>4.3722125764518335E-4</v>
      </c>
      <c r="R24" s="620"/>
      <c r="S24" s="556"/>
      <c r="T24" s="556"/>
    </row>
    <row r="25" spans="5:20" ht="15.75" x14ac:dyDescent="0.25">
      <c r="E25" s="210"/>
      <c r="F25" s="610"/>
      <c r="G25" s="611"/>
      <c r="H25" s="611"/>
      <c r="I25" s="611"/>
      <c r="J25" s="620"/>
      <c r="K25" s="625"/>
      <c r="L25" s="618"/>
      <c r="M25" s="620"/>
      <c r="N25" s="620"/>
      <c r="O25" s="620"/>
      <c r="P25" s="625"/>
      <c r="Q25" s="618"/>
      <c r="R25" s="620"/>
      <c r="S25" s="556"/>
      <c r="T25" s="556"/>
    </row>
    <row r="26" spans="5:20" ht="15.75" x14ac:dyDescent="0.25">
      <c r="E26" s="210"/>
      <c r="F26" s="611" t="s">
        <v>316</v>
      </c>
      <c r="G26" s="611"/>
      <c r="H26" s="611"/>
      <c r="J26" s="620"/>
      <c r="K26" s="625">
        <f>Passenger_Total!$AO$51</f>
        <v>4.488202143193145E-3</v>
      </c>
      <c r="L26" s="618"/>
      <c r="M26" s="620"/>
      <c r="N26" s="620"/>
      <c r="O26" s="620"/>
      <c r="P26" s="625">
        <f>Passenger_Total!$AO$71</f>
        <v>4.846766219857232E-3</v>
      </c>
      <c r="Q26" s="618"/>
      <c r="R26" s="620"/>
      <c r="S26" s="556"/>
      <c r="T26" s="556"/>
    </row>
    <row r="27" spans="5:20" ht="15.75" x14ac:dyDescent="0.25">
      <c r="E27" s="210"/>
      <c r="F27" s="611"/>
      <c r="G27" s="611" t="s">
        <v>1097</v>
      </c>
      <c r="H27" s="611"/>
      <c r="J27" s="620"/>
      <c r="K27" s="626"/>
      <c r="L27" s="627">
        <f>'Passenger-Rail'!$AH$51</f>
        <v>0.8149284913298942</v>
      </c>
      <c r="M27" s="620"/>
      <c r="N27" s="620"/>
      <c r="O27" s="620"/>
      <c r="P27" s="626"/>
      <c r="Q27" s="627">
        <f>'Passenger-Rail'!$AH$71</f>
        <v>0.84307758853506065</v>
      </c>
      <c r="R27" s="620"/>
      <c r="S27" s="556"/>
      <c r="T27" s="556"/>
    </row>
    <row r="28" spans="5:20" ht="15.75" x14ac:dyDescent="0.25">
      <c r="E28" s="210"/>
      <c r="F28" s="611"/>
      <c r="G28" s="611" t="s">
        <v>1031</v>
      </c>
      <c r="H28" s="611" t="s">
        <v>1098</v>
      </c>
      <c r="J28" s="620"/>
      <c r="K28" s="626"/>
      <c r="L28" s="627"/>
      <c r="M28" s="625">
        <f>Urban_Rail!$AJ$51</f>
        <v>0.35425659408087634</v>
      </c>
      <c r="N28" s="618"/>
      <c r="O28" s="620"/>
      <c r="P28" s="626"/>
      <c r="Q28" s="627"/>
      <c r="R28" s="625">
        <f>Urban_Rail!$AJ$71</f>
        <v>0.40221471213174737</v>
      </c>
      <c r="S28" s="556"/>
      <c r="T28" s="556"/>
    </row>
    <row r="29" spans="5:20" ht="15.75" x14ac:dyDescent="0.25">
      <c r="E29" s="210"/>
      <c r="F29" s="611"/>
      <c r="G29" s="611"/>
      <c r="H29" s="611" t="s">
        <v>1099</v>
      </c>
      <c r="J29" s="620"/>
      <c r="K29" s="626"/>
      <c r="L29" s="627"/>
      <c r="M29" s="625">
        <f>Urban_Rail!$AK$51</f>
        <v>0.60193623191552714</v>
      </c>
      <c r="N29" s="618"/>
      <c r="O29" s="620"/>
      <c r="P29" s="626"/>
      <c r="Q29" s="627"/>
      <c r="R29" s="625">
        <f>Urban_Rail!$AK$71</f>
        <v>0.49892435154382753</v>
      </c>
      <c r="S29" s="556"/>
      <c r="T29" s="556"/>
    </row>
    <row r="30" spans="5:20" ht="15.75" x14ac:dyDescent="0.25">
      <c r="E30" s="210"/>
      <c r="F30" s="611"/>
      <c r="G30" s="611"/>
      <c r="H30" s="611" t="s">
        <v>1100</v>
      </c>
      <c r="J30" s="620"/>
      <c r="K30" s="626"/>
      <c r="L30" s="627"/>
      <c r="M30" s="625">
        <f>Urban_Rail!$AL$51</f>
        <v>4.3807174003596523E-2</v>
      </c>
      <c r="N30" s="618"/>
      <c r="O30" s="620"/>
      <c r="P30" s="626"/>
      <c r="Q30" s="627"/>
      <c r="R30" s="625">
        <f>Urban_Rail!$AL$71</f>
        <v>9.8860936324425081E-2</v>
      </c>
      <c r="S30" s="556"/>
      <c r="T30" s="556"/>
    </row>
    <row r="31" spans="5:20" ht="15.75" x14ac:dyDescent="0.25">
      <c r="E31" s="210"/>
      <c r="F31" s="611"/>
      <c r="G31" s="611" t="s">
        <v>1101</v>
      </c>
      <c r="H31" s="611"/>
      <c r="J31" s="620"/>
      <c r="K31" s="626"/>
      <c r="L31" s="627">
        <f>'Passenger-Rail'!$AI$51</f>
        <v>0.18507150867010583</v>
      </c>
      <c r="M31" s="620"/>
      <c r="N31" s="620"/>
      <c r="O31" s="620"/>
      <c r="P31" s="626"/>
      <c r="Q31" s="627">
        <f>'Passenger-Rail'!$AI$71</f>
        <v>0.15692241146493929</v>
      </c>
      <c r="R31" s="620"/>
      <c r="S31" s="556"/>
      <c r="T31" s="556"/>
    </row>
    <row r="32" spans="5:20" ht="15.75" x14ac:dyDescent="0.25">
      <c r="E32" s="210"/>
      <c r="F32" s="610"/>
      <c r="G32" s="611"/>
      <c r="H32" s="611"/>
      <c r="I32" s="611"/>
      <c r="J32" s="620"/>
      <c r="K32" s="626"/>
      <c r="L32" s="618"/>
      <c r="M32" s="620"/>
      <c r="N32" s="620"/>
      <c r="O32" s="620"/>
      <c r="P32" s="626"/>
      <c r="Q32" s="618"/>
      <c r="R32" s="620"/>
      <c r="S32" s="556"/>
      <c r="T32" s="556"/>
    </row>
    <row r="33" spans="4:20" ht="15.75" x14ac:dyDescent="0.25">
      <c r="E33" s="210"/>
      <c r="F33" s="616" t="s">
        <v>318</v>
      </c>
      <c r="G33" s="611"/>
      <c r="H33" s="611"/>
      <c r="I33" s="611"/>
      <c r="J33" s="620"/>
      <c r="K33" s="625">
        <f>Passenger_Total!$AP$51</f>
        <v>0.13081593629213853</v>
      </c>
      <c r="L33" s="618"/>
      <c r="M33" s="620"/>
      <c r="N33" s="620"/>
      <c r="O33" s="620"/>
      <c r="P33" s="625">
        <f>Passenger_Total!$AP$71</f>
        <v>0.11150651177255171</v>
      </c>
      <c r="Q33" s="618"/>
      <c r="R33" s="620"/>
      <c r="S33" s="556"/>
      <c r="T33" s="556"/>
    </row>
    <row r="34" spans="4:20" ht="15.75" x14ac:dyDescent="0.25">
      <c r="E34" s="210"/>
      <c r="F34" s="610"/>
      <c r="G34" s="611"/>
      <c r="H34" s="611"/>
      <c r="I34" s="611"/>
      <c r="J34" s="620"/>
      <c r="K34" s="620"/>
      <c r="L34" s="618"/>
      <c r="M34" s="620"/>
      <c r="N34" s="620"/>
      <c r="O34" s="620"/>
      <c r="P34" s="620"/>
      <c r="Q34" s="618"/>
      <c r="R34" s="620"/>
      <c r="S34" s="556"/>
      <c r="T34" s="556"/>
    </row>
    <row r="35" spans="4:20" ht="15.75" customHeight="1" x14ac:dyDescent="0.25">
      <c r="E35" s="210" t="s">
        <v>1105</v>
      </c>
      <c r="F35" s="610"/>
      <c r="G35" s="611"/>
      <c r="H35" s="611"/>
      <c r="I35" s="611"/>
      <c r="J35" s="609">
        <f>'Total_Transportation '!$AJ$51</f>
        <v>0.278210570476288</v>
      </c>
      <c r="K35" s="620"/>
      <c r="L35" s="618"/>
      <c r="M35" s="620"/>
      <c r="N35" s="620"/>
      <c r="O35" s="609">
        <f>'Total_Transportation '!$AJ$71</f>
        <v>0.29200483041703273</v>
      </c>
      <c r="P35" s="620"/>
      <c r="Q35" s="618"/>
      <c r="R35" s="620"/>
      <c r="S35" s="556"/>
      <c r="T35" s="556"/>
    </row>
    <row r="36" spans="4:20" ht="19.5" customHeight="1" x14ac:dyDescent="0.25">
      <c r="E36" s="617"/>
      <c r="F36" s="616" t="s">
        <v>1106</v>
      </c>
      <c r="G36" s="616"/>
      <c r="H36" s="616"/>
      <c r="I36" s="616"/>
      <c r="J36" s="621"/>
      <c r="K36" s="622">
        <f>Freight_Total!$AW$50</f>
        <v>0.71212380961635724</v>
      </c>
      <c r="L36" s="618"/>
      <c r="M36" s="620"/>
      <c r="N36" s="620"/>
      <c r="O36" s="621"/>
      <c r="P36" s="622">
        <f>Freight_Total!$AW$70</f>
        <v>0.77984076907671485</v>
      </c>
      <c r="Q36" s="618"/>
      <c r="R36" s="620"/>
      <c r="S36" s="556"/>
      <c r="T36" s="556"/>
    </row>
    <row r="37" spans="4:20" ht="15.75" x14ac:dyDescent="0.25">
      <c r="E37" s="210"/>
      <c r="F37" s="610"/>
      <c r="G37" s="611" t="s">
        <v>1107</v>
      </c>
      <c r="H37" s="611"/>
      <c r="I37" s="611"/>
      <c r="J37" s="620"/>
      <c r="K37" s="623"/>
      <c r="L37" s="628">
        <f>'Freight-Trucks'!$AF$51</f>
        <v>0.43836431124921743</v>
      </c>
      <c r="M37" s="620"/>
      <c r="N37" s="620"/>
      <c r="O37" s="620"/>
      <c r="P37" s="623"/>
      <c r="Q37" s="628">
        <f>'Freight-Trucks'!$AF$71</f>
        <v>0.33531005685856435</v>
      </c>
      <c r="R37" s="620"/>
      <c r="S37" s="556"/>
      <c r="T37" s="556"/>
    </row>
    <row r="38" spans="4:20" ht="15.75" x14ac:dyDescent="0.25">
      <c r="E38" s="210"/>
      <c r="F38" s="610"/>
      <c r="G38" s="611" t="s">
        <v>905</v>
      </c>
      <c r="H38" s="611"/>
      <c r="I38" s="611"/>
      <c r="J38" s="620"/>
      <c r="K38" s="623"/>
      <c r="L38" s="628">
        <f>'Freight-Trucks'!$AG$51</f>
        <v>0.56163568875078274</v>
      </c>
      <c r="M38" s="620"/>
      <c r="N38" s="620"/>
      <c r="O38" s="620"/>
      <c r="P38" s="623"/>
      <c r="Q38" s="628">
        <f>'Freight-Trucks'!$AG$71</f>
        <v>0.6646899431414357</v>
      </c>
      <c r="R38" s="620"/>
      <c r="S38" s="556"/>
      <c r="T38" s="556"/>
    </row>
    <row r="39" spans="4:20" ht="15.75" x14ac:dyDescent="0.25">
      <c r="E39" s="210"/>
      <c r="F39" s="616" t="s">
        <v>316</v>
      </c>
      <c r="G39" s="611"/>
      <c r="H39" s="611"/>
      <c r="I39" s="611"/>
      <c r="J39" s="620"/>
      <c r="K39" s="622">
        <f>Freight_Total!$AX$50</f>
        <v>7.31262084499813E-2</v>
      </c>
      <c r="L39" s="618"/>
      <c r="M39" s="620"/>
      <c r="N39" s="620"/>
      <c r="O39" s="620"/>
      <c r="P39" s="622">
        <f>Freight_Total!$AX$70</f>
        <v>6.1733367816960497E-2</v>
      </c>
      <c r="Q39" s="618"/>
      <c r="R39" s="620"/>
      <c r="S39" s="556"/>
      <c r="T39" s="556"/>
    </row>
    <row r="40" spans="4:20" ht="15.75" x14ac:dyDescent="0.25">
      <c r="E40" s="210"/>
      <c r="F40" s="616" t="s">
        <v>318</v>
      </c>
      <c r="G40" s="611"/>
      <c r="H40" s="611"/>
      <c r="I40" s="611"/>
      <c r="J40" s="620"/>
      <c r="K40" s="622">
        <f>Freight_Total!$AY$50</f>
        <v>5.5090005454553261E-2</v>
      </c>
      <c r="L40" s="618"/>
      <c r="M40" s="620"/>
      <c r="N40" s="620"/>
      <c r="O40" s="620"/>
      <c r="P40" s="622">
        <f>Freight_Total!$AY$70</f>
        <v>5.2739949750397516E-2</v>
      </c>
      <c r="Q40" s="618"/>
      <c r="R40" s="620"/>
      <c r="S40" s="556"/>
      <c r="T40" s="556"/>
    </row>
    <row r="41" spans="4:20" ht="15.75" x14ac:dyDescent="0.25">
      <c r="E41" s="210"/>
      <c r="F41" s="616" t="s">
        <v>328</v>
      </c>
      <c r="G41" s="611"/>
      <c r="H41" s="611"/>
      <c r="I41" s="611"/>
      <c r="J41" s="620"/>
      <c r="K41" s="622">
        <f>Freight_Total!$AZ$50</f>
        <v>4.00185457753129E-2</v>
      </c>
      <c r="L41" s="618"/>
      <c r="M41" s="620"/>
      <c r="N41" s="620"/>
      <c r="O41" s="620"/>
      <c r="P41" s="622">
        <f>Freight_Total!$AZ$70</f>
        <v>1.3783866614351683E-2</v>
      </c>
      <c r="Q41" s="618"/>
      <c r="R41" s="620"/>
      <c r="S41" s="556"/>
      <c r="T41" s="556"/>
    </row>
    <row r="42" spans="4:20" ht="15.75" x14ac:dyDescent="0.25">
      <c r="E42" s="210"/>
      <c r="F42" s="617" t="s">
        <v>1108</v>
      </c>
      <c r="G42" s="210"/>
      <c r="H42" s="210"/>
      <c r="I42" s="210"/>
      <c r="J42" s="556"/>
      <c r="K42" s="622">
        <f>Freight_Total!$BA$50</f>
        <v>0.11964143070379529</v>
      </c>
      <c r="L42" s="556"/>
      <c r="M42" s="556"/>
      <c r="N42" s="556"/>
      <c r="O42" s="556"/>
      <c r="P42" s="622">
        <f>Freight_Total!$BA$70</f>
        <v>9.1902046741575497E-2</v>
      </c>
      <c r="Q42" s="556"/>
      <c r="R42" s="556"/>
      <c r="S42" s="556"/>
      <c r="T42" s="556"/>
    </row>
    <row r="43" spans="4:20" ht="15.75" x14ac:dyDescent="0.25">
      <c r="E43" s="615"/>
      <c r="F43" s="615"/>
      <c r="G43" s="615"/>
      <c r="H43" s="615"/>
      <c r="I43" s="615"/>
      <c r="J43" s="143"/>
      <c r="K43" s="143"/>
      <c r="L43" s="624"/>
      <c r="M43" s="143"/>
      <c r="N43" s="143"/>
      <c r="O43" s="624"/>
      <c r="P43" s="143"/>
    </row>
    <row r="44" spans="4:20" ht="15.75" x14ac:dyDescent="0.25">
      <c r="E44" s="615"/>
      <c r="F44" s="615"/>
      <c r="G44" s="614"/>
      <c r="H44" s="614"/>
      <c r="I44" s="614"/>
      <c r="J44" s="143"/>
      <c r="K44" s="143"/>
      <c r="L44" s="143"/>
      <c r="M44" s="143"/>
      <c r="N44" s="143"/>
      <c r="O44" s="143"/>
      <c r="P44" s="143"/>
    </row>
    <row r="45" spans="4:20" ht="15.75" x14ac:dyDescent="0.25">
      <c r="E45" s="615"/>
      <c r="F45" s="615"/>
      <c r="G45" s="615"/>
      <c r="H45" s="615"/>
      <c r="I45" s="615"/>
      <c r="J45" s="143"/>
      <c r="K45" s="143"/>
      <c r="L45" s="624"/>
      <c r="M45" s="624"/>
      <c r="N45" s="624"/>
      <c r="O45" s="624"/>
      <c r="P45" s="143"/>
    </row>
    <row r="46" spans="4:20" ht="15.75" x14ac:dyDescent="0.25">
      <c r="E46" s="615"/>
      <c r="F46" s="615"/>
      <c r="G46" s="615"/>
      <c r="H46" s="615"/>
      <c r="I46" s="615"/>
      <c r="J46" s="143"/>
      <c r="K46" s="143"/>
      <c r="L46" s="624"/>
      <c r="M46" s="624"/>
      <c r="N46" s="624"/>
      <c r="O46" s="624"/>
      <c r="P46" s="143"/>
    </row>
    <row r="47" spans="4:20" ht="15.75" x14ac:dyDescent="0.25">
      <c r="D47" s="556" t="s">
        <v>1428</v>
      </c>
      <c r="E47" s="615"/>
      <c r="F47" s="615"/>
      <c r="G47" s="615"/>
      <c r="H47" s="615"/>
      <c r="I47" s="615"/>
      <c r="J47" s="143"/>
      <c r="K47" s="143"/>
      <c r="L47" s="624"/>
      <c r="M47" s="624"/>
      <c r="N47" s="624"/>
      <c r="O47" s="624"/>
      <c r="P47" s="143"/>
      <c r="R47" s="129">
        <f>R17</f>
        <v>0.46234706391678254</v>
      </c>
    </row>
    <row r="48" spans="4:20" x14ac:dyDescent="0.2">
      <c r="E48" s="143"/>
      <c r="F48" s="143"/>
      <c r="G48" s="143"/>
      <c r="H48" s="143"/>
      <c r="I48" s="143"/>
      <c r="J48" s="143"/>
      <c r="K48" s="143"/>
      <c r="L48" s="143"/>
      <c r="M48" s="143"/>
      <c r="N48" s="143"/>
      <c r="O48" s="143"/>
      <c r="P48" s="143"/>
      <c r="R48" s="129">
        <f>Q15</f>
        <v>0.98606391661764381</v>
      </c>
    </row>
    <row r="49" spans="5:18" x14ac:dyDescent="0.2">
      <c r="E49" s="143"/>
      <c r="F49" s="143"/>
      <c r="G49" s="143"/>
      <c r="H49" s="143"/>
      <c r="I49" s="143"/>
      <c r="J49" s="143"/>
      <c r="K49" s="143"/>
      <c r="L49" s="143"/>
      <c r="M49" s="143"/>
      <c r="N49" s="143"/>
      <c r="O49" s="143"/>
      <c r="P49" s="143"/>
      <c r="R49" s="129">
        <f>P14</f>
        <v>0.88364672200759109</v>
      </c>
    </row>
    <row r="50" spans="5:18" x14ac:dyDescent="0.2">
      <c r="E50" s="143"/>
      <c r="F50" s="143"/>
      <c r="G50" s="143"/>
      <c r="H50" s="143"/>
      <c r="I50" s="143"/>
      <c r="J50" s="143"/>
      <c r="K50" s="143"/>
      <c r="L50" s="143"/>
      <c r="M50" s="143"/>
      <c r="N50" s="143"/>
      <c r="O50" s="143"/>
      <c r="P50" s="143"/>
      <c r="R50" s="129">
        <f>O13</f>
        <v>0.70799516958296738</v>
      </c>
    </row>
    <row r="51" spans="5:18" x14ac:dyDescent="0.2">
      <c r="E51" s="143"/>
      <c r="F51" s="143"/>
      <c r="G51" s="143"/>
      <c r="H51" s="143"/>
      <c r="I51" s="143"/>
      <c r="J51" s="143"/>
      <c r="K51" s="143"/>
      <c r="L51" s="143"/>
      <c r="M51" s="143"/>
      <c r="N51" s="143"/>
      <c r="O51" s="143"/>
      <c r="P51" s="143"/>
      <c r="R51" s="129">
        <f>R47*R48*R49*R50</f>
        <v>0.28522141901005355</v>
      </c>
    </row>
    <row r="52" spans="5:18" x14ac:dyDescent="0.2">
      <c r="E52" s="143"/>
      <c r="F52" s="143"/>
      <c r="G52" s="143"/>
      <c r="H52" s="143"/>
      <c r="I52" s="143"/>
      <c r="J52" s="143"/>
      <c r="K52" s="143"/>
      <c r="L52" s="143"/>
      <c r="M52" s="143"/>
      <c r="N52" s="143"/>
      <c r="O52" s="143"/>
      <c r="P52" s="143"/>
    </row>
    <row r="53" spans="5:18" x14ac:dyDescent="0.2">
      <c r="E53" s="143"/>
      <c r="F53" s="143"/>
      <c r="G53" s="143"/>
      <c r="H53" s="143"/>
      <c r="I53" s="143"/>
      <c r="J53" s="143"/>
      <c r="K53" s="143"/>
      <c r="L53" s="143"/>
      <c r="M53" s="143"/>
      <c r="N53" s="143"/>
      <c r="O53" s="143"/>
      <c r="P53" s="143"/>
    </row>
    <row r="54" spans="5:18" x14ac:dyDescent="0.2">
      <c r="E54" s="143"/>
      <c r="F54" s="143"/>
      <c r="G54" s="143"/>
      <c r="H54" s="143"/>
      <c r="I54" s="143"/>
      <c r="J54" s="143"/>
      <c r="K54" s="143"/>
      <c r="L54" s="143"/>
      <c r="M54" s="143"/>
      <c r="N54" s="143"/>
      <c r="O54" s="143"/>
      <c r="P54" s="143"/>
      <c r="R54" s="129">
        <f>O10</f>
        <v>0.30137666246306588</v>
      </c>
    </row>
    <row r="55" spans="5:18" x14ac:dyDescent="0.2">
      <c r="E55" s="143"/>
      <c r="F55" s="143"/>
      <c r="G55" s="143"/>
      <c r="H55" s="143"/>
      <c r="I55" s="143"/>
      <c r="J55" s="143"/>
      <c r="K55" s="143"/>
      <c r="L55" s="143"/>
      <c r="M55" s="143"/>
      <c r="N55" s="143"/>
      <c r="O55" s="143"/>
      <c r="P55" s="143"/>
    </row>
    <row r="56" spans="5:18" x14ac:dyDescent="0.2">
      <c r="E56" s="143"/>
      <c r="F56" s="143"/>
      <c r="G56" s="143"/>
      <c r="H56" s="143"/>
      <c r="I56" s="143"/>
      <c r="J56" s="143"/>
      <c r="K56" s="143"/>
      <c r="L56" s="143"/>
      <c r="M56" s="143"/>
      <c r="N56" s="143"/>
      <c r="O56" s="143"/>
      <c r="P56" s="143"/>
      <c r="R56" s="129">
        <f>R51*R54</f>
        <v>8.5959079324229595E-2</v>
      </c>
    </row>
    <row r="57" spans="5:18" x14ac:dyDescent="0.2">
      <c r="E57" s="143"/>
      <c r="F57" s="143"/>
      <c r="G57" s="143"/>
      <c r="H57" s="143"/>
      <c r="I57" s="143"/>
      <c r="J57" s="143"/>
      <c r="K57" s="143"/>
      <c r="L57" s="143"/>
      <c r="M57" s="143"/>
      <c r="N57" s="143"/>
      <c r="O57" s="143"/>
      <c r="P57" s="143"/>
    </row>
    <row r="58" spans="5:18" x14ac:dyDescent="0.2">
      <c r="E58" s="143"/>
      <c r="F58" s="143"/>
      <c r="G58" s="143"/>
      <c r="H58" s="143"/>
      <c r="I58" s="143"/>
      <c r="J58" s="143"/>
      <c r="K58" s="143"/>
      <c r="L58" s="143"/>
      <c r="M58" s="143"/>
      <c r="N58" s="143"/>
      <c r="O58" s="143"/>
      <c r="P58" s="143"/>
    </row>
    <row r="59" spans="5:18" x14ac:dyDescent="0.2">
      <c r="E59" s="143"/>
      <c r="F59" s="143"/>
      <c r="G59" s="143"/>
      <c r="H59" s="143"/>
      <c r="I59" s="143"/>
      <c r="J59" s="143"/>
      <c r="K59" s="143"/>
      <c r="L59" s="143"/>
      <c r="M59" s="143"/>
      <c r="N59" s="143"/>
      <c r="O59" s="143"/>
      <c r="P59" s="143"/>
    </row>
    <row r="60" spans="5:18" x14ac:dyDescent="0.2">
      <c r="E60" s="143"/>
      <c r="F60" s="143"/>
      <c r="G60" s="143"/>
      <c r="H60" s="143"/>
      <c r="I60" s="143"/>
      <c r="J60" s="143"/>
      <c r="K60" s="143"/>
      <c r="L60" s="143"/>
      <c r="M60" s="143"/>
      <c r="N60" s="143"/>
      <c r="O60" s="143"/>
      <c r="P60" s="143"/>
    </row>
    <row r="61" spans="5:18" x14ac:dyDescent="0.2">
      <c r="E61" s="143"/>
      <c r="F61" s="143"/>
      <c r="G61" s="143"/>
      <c r="H61" s="143"/>
      <c r="I61" s="143"/>
      <c r="J61" s="143"/>
      <c r="K61" s="143"/>
      <c r="L61" s="143"/>
      <c r="M61" s="143"/>
      <c r="N61" s="143"/>
      <c r="O61" s="143"/>
      <c r="P61" s="143"/>
    </row>
    <row r="62" spans="5:18" x14ac:dyDescent="0.2">
      <c r="E62" s="143"/>
      <c r="F62" s="143"/>
      <c r="G62" s="143"/>
      <c r="H62" s="143"/>
      <c r="I62" s="143"/>
      <c r="J62" s="143"/>
      <c r="K62" s="143"/>
      <c r="L62" s="143"/>
      <c r="M62" s="143"/>
      <c r="N62" s="143"/>
      <c r="O62" s="143"/>
      <c r="P62" s="143"/>
    </row>
    <row r="63" spans="5:18" x14ac:dyDescent="0.2">
      <c r="E63" s="143"/>
      <c r="F63" s="143"/>
      <c r="G63" s="143"/>
      <c r="H63" s="143"/>
      <c r="I63" s="143"/>
      <c r="J63" s="143"/>
      <c r="K63" s="143"/>
      <c r="L63" s="143"/>
      <c r="M63" s="143"/>
      <c r="N63" s="143"/>
      <c r="O63" s="143"/>
      <c r="P63" s="143"/>
    </row>
    <row r="64" spans="5:18" x14ac:dyDescent="0.2">
      <c r="E64" s="143"/>
      <c r="F64" s="143"/>
      <c r="G64" s="143"/>
      <c r="H64" s="143"/>
      <c r="I64" s="143"/>
      <c r="J64" s="143"/>
      <c r="K64" s="143"/>
      <c r="L64" s="143"/>
      <c r="M64" s="143"/>
      <c r="N64" s="143"/>
      <c r="O64" s="143"/>
      <c r="P64" s="143"/>
    </row>
    <row r="65" spans="5:16" x14ac:dyDescent="0.2">
      <c r="E65" s="143"/>
      <c r="F65" s="143"/>
      <c r="G65" s="143"/>
      <c r="H65" s="143"/>
      <c r="I65" s="143"/>
      <c r="J65" s="143"/>
      <c r="K65" s="143"/>
      <c r="L65" s="143"/>
      <c r="M65" s="143"/>
      <c r="N65" s="143"/>
      <c r="O65" s="143"/>
      <c r="P65" s="143"/>
    </row>
    <row r="66" spans="5:16" x14ac:dyDescent="0.2">
      <c r="E66" s="143"/>
      <c r="F66" s="143"/>
      <c r="G66" s="143"/>
      <c r="H66" s="143"/>
      <c r="I66" s="143"/>
      <c r="J66" s="143"/>
      <c r="K66" s="143"/>
      <c r="L66" s="143"/>
      <c r="M66" s="143"/>
      <c r="N66" s="143"/>
      <c r="O66" s="143"/>
      <c r="P66" s="143"/>
    </row>
    <row r="67" spans="5:16" x14ac:dyDescent="0.2">
      <c r="E67" s="143"/>
      <c r="F67" s="143"/>
      <c r="G67" s="143"/>
      <c r="H67" s="143"/>
      <c r="I67" s="143"/>
      <c r="J67" s="143"/>
      <c r="K67" s="143"/>
      <c r="L67" s="143"/>
      <c r="M67" s="143"/>
      <c r="N67" s="143"/>
      <c r="O67" s="143"/>
      <c r="P67" s="143"/>
    </row>
    <row r="68" spans="5:16" x14ac:dyDescent="0.2">
      <c r="E68" s="143"/>
      <c r="F68" s="143"/>
      <c r="G68" s="143"/>
      <c r="H68" s="143"/>
      <c r="I68" s="143"/>
      <c r="J68" s="143"/>
      <c r="K68" s="143"/>
      <c r="L68" s="143"/>
      <c r="M68" s="143"/>
      <c r="N68" s="143"/>
      <c r="O68" s="143"/>
      <c r="P68" s="143"/>
    </row>
    <row r="69" spans="5:16" x14ac:dyDescent="0.2">
      <c r="E69" s="143"/>
      <c r="F69" s="143"/>
      <c r="G69" s="143"/>
      <c r="H69" s="143"/>
      <c r="I69" s="143"/>
      <c r="J69" s="143"/>
      <c r="K69" s="143"/>
      <c r="L69" s="143"/>
      <c r="M69" s="143"/>
      <c r="N69" s="143"/>
      <c r="O69" s="143"/>
      <c r="P69" s="143"/>
    </row>
    <row r="70" spans="5:16" x14ac:dyDescent="0.2">
      <c r="E70" s="143"/>
      <c r="F70" s="143"/>
      <c r="G70" s="143"/>
      <c r="H70" s="143"/>
      <c r="I70" s="143"/>
      <c r="J70" s="143"/>
      <c r="K70" s="143"/>
      <c r="L70" s="143"/>
      <c r="M70" s="143"/>
      <c r="N70" s="143"/>
      <c r="O70" s="143"/>
      <c r="P70" s="143"/>
    </row>
    <row r="71" spans="5:16" x14ac:dyDescent="0.2">
      <c r="E71" s="143"/>
      <c r="F71" s="143"/>
      <c r="G71" s="143"/>
      <c r="H71" s="143"/>
      <c r="I71" s="143"/>
      <c r="J71" s="143"/>
      <c r="K71" s="143"/>
      <c r="L71" s="143"/>
      <c r="M71" s="143"/>
      <c r="N71" s="143"/>
      <c r="O71" s="143"/>
      <c r="P71" s="143"/>
    </row>
    <row r="72" spans="5:16" x14ac:dyDescent="0.2">
      <c r="E72" s="143"/>
      <c r="F72" s="143"/>
      <c r="G72" s="143"/>
      <c r="H72" s="143"/>
      <c r="I72" s="143"/>
      <c r="J72" s="143"/>
      <c r="K72" s="143"/>
      <c r="L72" s="143"/>
      <c r="M72" s="143"/>
      <c r="N72" s="143"/>
      <c r="O72" s="143"/>
      <c r="P72" s="143"/>
    </row>
    <row r="73" spans="5:16" x14ac:dyDescent="0.2">
      <c r="E73" s="143"/>
      <c r="F73" s="143"/>
      <c r="G73" s="143"/>
      <c r="H73" s="143"/>
      <c r="I73" s="143"/>
      <c r="J73" s="143"/>
      <c r="K73" s="143"/>
      <c r="L73" s="143"/>
      <c r="M73" s="143"/>
      <c r="N73" s="143"/>
      <c r="O73" s="143"/>
      <c r="P73" s="143"/>
    </row>
    <row r="74" spans="5:16" x14ac:dyDescent="0.2">
      <c r="E74" s="143"/>
      <c r="F74" s="143"/>
      <c r="G74" s="143"/>
      <c r="H74" s="143"/>
      <c r="I74" s="143"/>
      <c r="J74" s="143"/>
      <c r="K74" s="143"/>
      <c r="L74" s="143"/>
      <c r="M74" s="143"/>
      <c r="N74" s="143"/>
      <c r="O74" s="143"/>
      <c r="P74" s="143"/>
    </row>
    <row r="75" spans="5:16" x14ac:dyDescent="0.2">
      <c r="E75" s="143"/>
      <c r="F75" s="143"/>
      <c r="G75" s="143"/>
      <c r="H75" s="143"/>
      <c r="I75" s="143"/>
      <c r="J75" s="143"/>
      <c r="K75" s="143"/>
      <c r="L75" s="143"/>
      <c r="M75" s="143"/>
      <c r="N75" s="143"/>
      <c r="O75" s="143"/>
      <c r="P75" s="143"/>
    </row>
    <row r="76" spans="5:16" x14ac:dyDescent="0.2">
      <c r="E76" s="143"/>
      <c r="F76" s="143"/>
      <c r="G76" s="143"/>
      <c r="H76" s="143"/>
      <c r="I76" s="143"/>
      <c r="J76" s="143"/>
      <c r="K76" s="143"/>
      <c r="L76" s="143"/>
      <c r="M76" s="143"/>
      <c r="N76" s="143"/>
      <c r="O76" s="143"/>
      <c r="P76" s="143"/>
    </row>
    <row r="77" spans="5:16" x14ac:dyDescent="0.2">
      <c r="E77" s="143"/>
      <c r="F77" s="143"/>
      <c r="G77" s="143"/>
      <c r="H77" s="143"/>
      <c r="I77" s="143"/>
      <c r="J77" s="143"/>
      <c r="K77" s="143"/>
      <c r="L77" s="143"/>
      <c r="M77" s="143"/>
      <c r="N77" s="143"/>
      <c r="O77" s="143"/>
      <c r="P77" s="143"/>
    </row>
  </sheetData>
  <mergeCells count="4">
    <mergeCell ref="J7:M7"/>
    <mergeCell ref="O7:R7"/>
    <mergeCell ref="O8:R8"/>
    <mergeCell ref="J6:R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258"/>
  <sheetViews>
    <sheetView topLeftCell="K1" workbookViewId="0">
      <pane ySplit="6" topLeftCell="A51" activePane="bottomLeft" state="frozen"/>
      <selection pane="bottomLeft" activeCell="AA69" sqref="AA69"/>
    </sheetView>
  </sheetViews>
  <sheetFormatPr defaultRowHeight="12.75" x14ac:dyDescent="0.2"/>
  <cols>
    <col min="1" max="1" width="7.140625" customWidth="1"/>
    <col min="2" max="2" width="10.28515625" customWidth="1"/>
    <col min="5" max="5" width="7" customWidth="1"/>
    <col min="6" max="6" width="8.140625" customWidth="1"/>
    <col min="7" max="7" width="9.5703125" customWidth="1"/>
    <col min="11" max="11" width="8" customWidth="1"/>
    <col min="12" max="12" width="6" customWidth="1"/>
    <col min="16" max="16" width="6" customWidth="1"/>
    <col min="17" max="17" width="9.7109375" customWidth="1"/>
    <col min="19" max="19" width="7.85546875" customWidth="1"/>
    <col min="20" max="20" width="5.28515625" customWidth="1"/>
    <col min="21" max="22" width="9.7109375" customWidth="1"/>
    <col min="23" max="23" width="9" customWidth="1"/>
    <col min="24" max="33" width="11.140625" customWidth="1"/>
    <col min="34" max="34" width="10.85546875" customWidth="1"/>
    <col min="35" max="35" width="9" customWidth="1"/>
    <col min="36" max="36" width="10.85546875" customWidth="1"/>
    <col min="37" max="37" width="9.42578125" customWidth="1"/>
    <col min="38" max="38" width="6.28515625" customWidth="1"/>
    <col min="39" max="39" width="13.140625" customWidth="1"/>
    <col min="40" max="40" width="11.28515625" customWidth="1"/>
    <col min="41" max="41" width="6" customWidth="1"/>
    <col min="42" max="43" width="12.5703125" customWidth="1"/>
    <col min="44" max="44" width="9.7109375" customWidth="1"/>
    <col min="45" max="45" width="8.7109375" customWidth="1"/>
    <col min="46" max="46" width="5.85546875" customWidth="1"/>
    <col min="47" max="47" width="8.28515625" customWidth="1"/>
    <col min="48" max="48" width="10" customWidth="1"/>
    <col min="49" max="49" width="13.140625" customWidth="1"/>
    <col min="50" max="50" width="12.5703125" customWidth="1"/>
    <col min="51" max="51" width="10" customWidth="1"/>
    <col min="52" max="53" width="11" customWidth="1"/>
    <col min="54" max="55" width="10" customWidth="1"/>
    <col min="56" max="57" width="9.28515625" customWidth="1"/>
    <col min="58" max="59" width="13.42578125" customWidth="1"/>
    <col min="60" max="60" width="11.140625" customWidth="1"/>
    <col min="63" max="63" width="17.85546875" customWidth="1"/>
    <col min="65" max="65" width="14.42578125" customWidth="1"/>
    <col min="66" max="66" width="9.85546875" customWidth="1"/>
    <col min="69" max="77" width="9.5703125" customWidth="1"/>
    <col min="78" max="78" width="10.140625" customWidth="1"/>
    <col min="79" max="79" width="19.5703125" customWidth="1"/>
    <col min="81" max="81" width="10.42578125" customWidth="1"/>
    <col min="86" max="86" width="9.5703125" customWidth="1"/>
    <col min="87" max="87" width="10.140625" customWidth="1"/>
    <col min="95" max="95" width="13.42578125" customWidth="1"/>
    <col min="96" max="96" width="12.7109375" customWidth="1"/>
    <col min="97" max="97" width="10.28515625" customWidth="1"/>
    <col min="98" max="98" width="10.7109375" customWidth="1"/>
    <col min="99" max="99" width="10" bestFit="1" customWidth="1"/>
    <col min="104" max="104" width="10.5703125" customWidth="1"/>
  </cols>
  <sheetData>
    <row r="1" spans="1:102" ht="40.5" customHeight="1" x14ac:dyDescent="0.25">
      <c r="B1" s="3" t="s">
        <v>1053</v>
      </c>
      <c r="AP1" s="173"/>
      <c r="AQ1" s="173"/>
      <c r="AR1" s="173"/>
      <c r="AS1" s="173"/>
      <c r="BK1" s="957" t="s">
        <v>358</v>
      </c>
      <c r="BL1" s="949"/>
      <c r="BM1" s="949"/>
      <c r="BN1" s="949"/>
      <c r="BO1" s="949"/>
      <c r="BP1" s="949"/>
      <c r="BQ1" s="949"/>
      <c r="BR1" s="949"/>
      <c r="BS1" s="949"/>
      <c r="BT1" s="949"/>
      <c r="BU1" s="949"/>
      <c r="BV1" s="949"/>
      <c r="BW1" s="949"/>
      <c r="BX1" s="949"/>
      <c r="BY1" s="949"/>
      <c r="BZ1" s="949"/>
      <c r="CA1" s="949"/>
      <c r="CB1" s="1"/>
      <c r="CC1" s="2" t="s">
        <v>527</v>
      </c>
      <c r="CD1" s="2"/>
      <c r="CE1" s="1"/>
      <c r="CF1" s="962" t="s">
        <v>548</v>
      </c>
      <c r="CG1" s="962"/>
      <c r="CH1" s="962"/>
      <c r="CI1" s="962"/>
      <c r="CJ1" s="371"/>
      <c r="CK1" s="962" t="s">
        <v>459</v>
      </c>
      <c r="CL1" s="943"/>
      <c r="CM1" s="943"/>
      <c r="CN1" s="943"/>
    </row>
    <row r="2" spans="1:102" x14ac:dyDescent="0.2">
      <c r="B2" t="s">
        <v>570</v>
      </c>
      <c r="AP2" s="173"/>
      <c r="AQ2" s="173"/>
      <c r="AR2" s="173"/>
      <c r="AS2" s="173"/>
      <c r="BG2">
        <v>220.65</v>
      </c>
      <c r="BH2" t="s">
        <v>998</v>
      </c>
      <c r="CB2" s="369"/>
      <c r="CC2" s="6" t="s">
        <v>102</v>
      </c>
      <c r="CD2" s="6"/>
      <c r="CE2" s="297"/>
      <c r="CF2" t="s">
        <v>438</v>
      </c>
      <c r="CG2" t="s">
        <v>337</v>
      </c>
      <c r="CH2" t="s">
        <v>533</v>
      </c>
      <c r="CI2" t="s">
        <v>430</v>
      </c>
      <c r="CJ2" s="289"/>
      <c r="CO2" s="289"/>
      <c r="CQ2" s="127" t="s">
        <v>383</v>
      </c>
      <c r="CR2" s="6"/>
      <c r="CS2" s="6"/>
      <c r="CT2" s="6"/>
      <c r="CU2" s="6"/>
      <c r="CV2" s="6"/>
      <c r="CW2" s="6"/>
      <c r="CX2" s="6"/>
    </row>
    <row r="3" spans="1:102" ht="15" x14ac:dyDescent="0.25">
      <c r="AP3" s="173"/>
      <c r="AQ3" s="173"/>
      <c r="AR3" s="173"/>
      <c r="AS3" s="173"/>
      <c r="BS3" s="248" t="s">
        <v>911</v>
      </c>
      <c r="CB3" s="369"/>
      <c r="CC3" s="6" t="s">
        <v>103</v>
      </c>
      <c r="CD3" s="6"/>
      <c r="CE3" s="297"/>
      <c r="CF3" t="s">
        <v>435</v>
      </c>
      <c r="CG3" t="s">
        <v>435</v>
      </c>
      <c r="CH3" t="s">
        <v>436</v>
      </c>
      <c r="CI3" t="s">
        <v>436</v>
      </c>
      <c r="CJ3" s="289"/>
      <c r="CO3" s="289"/>
    </row>
    <row r="4" spans="1:102" x14ac:dyDescent="0.2">
      <c r="A4" s="77"/>
      <c r="B4" s="67" t="s">
        <v>312</v>
      </c>
      <c r="C4" s="78"/>
      <c r="D4" s="78"/>
      <c r="E4" s="78"/>
      <c r="F4" s="78"/>
      <c r="G4" s="78"/>
      <c r="H4" s="78"/>
      <c r="I4" s="78"/>
      <c r="J4" s="78"/>
      <c r="K4" s="79"/>
      <c r="L4" s="79"/>
      <c r="M4" s="79"/>
      <c r="N4" s="79"/>
      <c r="O4" s="79"/>
      <c r="P4" s="79"/>
      <c r="Q4" s="79"/>
      <c r="R4" s="79"/>
      <c r="S4" s="79"/>
      <c r="T4" s="80"/>
      <c r="U4" s="79"/>
      <c r="V4" s="79"/>
      <c r="W4" s="79"/>
      <c r="X4" s="79"/>
      <c r="Y4" s="79"/>
      <c r="Z4" s="79"/>
      <c r="AA4" s="79"/>
      <c r="AB4" s="79"/>
      <c r="AC4" s="79"/>
      <c r="AD4" s="79"/>
      <c r="AE4" s="79"/>
      <c r="AF4" s="79"/>
      <c r="AG4" s="79"/>
      <c r="AH4" s="79"/>
      <c r="AI4" s="79"/>
      <c r="AJ4" s="79"/>
      <c r="AK4" s="79"/>
      <c r="AL4" s="87"/>
      <c r="AM4" s="88" t="s">
        <v>328</v>
      </c>
      <c r="AN4" s="89"/>
      <c r="AO4" s="81"/>
      <c r="AP4" s="67" t="s">
        <v>318</v>
      </c>
      <c r="AQ4" s="67"/>
      <c r="AR4" s="79"/>
      <c r="AS4" s="80"/>
      <c r="AT4" s="87"/>
      <c r="AU4" s="88" t="s">
        <v>316</v>
      </c>
      <c r="AV4" s="88"/>
      <c r="AW4" s="88"/>
      <c r="AX4" s="88"/>
      <c r="AY4" s="88"/>
      <c r="AZ4" s="88"/>
      <c r="BA4" s="88"/>
      <c r="BB4" s="88"/>
      <c r="BC4" s="88"/>
      <c r="BD4" s="90"/>
      <c r="BE4" s="92"/>
      <c r="BF4" s="82" t="s">
        <v>330</v>
      </c>
      <c r="BG4" s="82"/>
      <c r="BH4" s="83"/>
      <c r="BI4" s="65"/>
      <c r="BJ4" s="65"/>
      <c r="CB4" s="369"/>
      <c r="CE4" s="297"/>
      <c r="CH4" s="275" t="s">
        <v>437</v>
      </c>
      <c r="CJ4" s="289"/>
      <c r="CO4" s="289"/>
      <c r="CQ4" s="82" t="s">
        <v>643</v>
      </c>
      <c r="CR4" s="82"/>
      <c r="CS4" s="372"/>
      <c r="CT4" s="372"/>
    </row>
    <row r="5" spans="1:102" ht="25.5" customHeight="1" x14ac:dyDescent="0.2">
      <c r="A5" s="29"/>
      <c r="B5" s="953" t="s">
        <v>104</v>
      </c>
      <c r="C5" s="954"/>
      <c r="D5" s="954"/>
      <c r="E5" s="955"/>
      <c r="F5" s="958" t="s">
        <v>81</v>
      </c>
      <c r="G5" s="959"/>
      <c r="H5" s="953" t="s">
        <v>313</v>
      </c>
      <c r="I5" s="954"/>
      <c r="J5" s="954"/>
      <c r="K5" s="954"/>
      <c r="L5" s="955"/>
      <c r="M5" s="953" t="s">
        <v>912</v>
      </c>
      <c r="N5" s="954"/>
      <c r="O5" s="954"/>
      <c r="P5" s="955"/>
      <c r="Q5" s="953" t="s">
        <v>913</v>
      </c>
      <c r="R5" s="954"/>
      <c r="S5" s="954"/>
      <c r="T5" s="955"/>
      <c r="U5" s="953" t="s">
        <v>565</v>
      </c>
      <c r="V5" s="954"/>
      <c r="W5" s="954"/>
      <c r="X5" s="954"/>
      <c r="Y5" s="954"/>
      <c r="Z5" s="954"/>
      <c r="AA5" s="955"/>
      <c r="AB5" s="953" t="s">
        <v>431</v>
      </c>
      <c r="AC5" s="954"/>
      <c r="AD5" s="954"/>
      <c r="AE5" s="954"/>
      <c r="AF5" s="954"/>
      <c r="AG5" s="955"/>
      <c r="AH5" s="85" t="s">
        <v>564</v>
      </c>
      <c r="AI5" s="85"/>
      <c r="AJ5" s="757" t="s">
        <v>592</v>
      </c>
      <c r="AK5" s="758" t="s">
        <v>1357</v>
      </c>
      <c r="AL5" s="31"/>
      <c r="AM5" s="953" t="s">
        <v>556</v>
      </c>
      <c r="AN5" s="955"/>
      <c r="AO5" s="31"/>
      <c r="AP5" s="963" t="s">
        <v>359</v>
      </c>
      <c r="AQ5" s="964"/>
      <c r="AR5" s="953" t="s">
        <v>320</v>
      </c>
      <c r="AS5" s="955"/>
      <c r="AT5" s="31"/>
      <c r="AU5" s="963" t="s">
        <v>554</v>
      </c>
      <c r="AV5" s="965"/>
      <c r="AW5" s="789"/>
      <c r="AX5" s="789"/>
      <c r="AY5" s="789"/>
      <c r="AZ5" s="93" t="s">
        <v>594</v>
      </c>
      <c r="BA5" s="93"/>
      <c r="BB5" s="93" t="s">
        <v>595</v>
      </c>
      <c r="BC5" s="93" t="s">
        <v>596</v>
      </c>
      <c r="BD5" s="91" t="s">
        <v>555</v>
      </c>
      <c r="BE5" s="31"/>
      <c r="BF5" s="91" t="s">
        <v>591</v>
      </c>
      <c r="BG5" s="91" t="s">
        <v>591</v>
      </c>
      <c r="BH5" s="91" t="s">
        <v>331</v>
      </c>
      <c r="BI5" s="60"/>
      <c r="BJ5" s="60"/>
      <c r="BL5" s="6"/>
      <c r="BS5" s="953" t="s">
        <v>352</v>
      </c>
      <c r="BT5" s="954"/>
      <c r="BU5" s="954"/>
      <c r="BV5" s="955"/>
      <c r="BW5" s="953" t="s">
        <v>353</v>
      </c>
      <c r="BX5" s="954"/>
      <c r="BY5" s="954"/>
      <c r="BZ5" s="955"/>
      <c r="CB5" s="369"/>
      <c r="CE5" s="297"/>
      <c r="CJ5" s="289"/>
      <c r="CO5" s="289"/>
      <c r="CQ5" s="91" t="s">
        <v>644</v>
      </c>
      <c r="CR5" s="91" t="s">
        <v>645</v>
      </c>
    </row>
    <row r="6" spans="1:102" ht="38.25" x14ac:dyDescent="0.2">
      <c r="A6" s="416" t="s">
        <v>310</v>
      </c>
      <c r="B6" s="417" t="s">
        <v>186</v>
      </c>
      <c r="C6" s="76" t="s">
        <v>337</v>
      </c>
      <c r="D6" s="76" t="s">
        <v>336</v>
      </c>
      <c r="E6" s="75" t="s">
        <v>338</v>
      </c>
      <c r="F6" s="417" t="s">
        <v>186</v>
      </c>
      <c r="G6" s="76" t="s">
        <v>337</v>
      </c>
      <c r="H6" s="417" t="s">
        <v>186</v>
      </c>
      <c r="I6" s="76" t="s">
        <v>337</v>
      </c>
      <c r="J6" s="76" t="s">
        <v>336</v>
      </c>
      <c r="K6" s="76" t="s">
        <v>338</v>
      </c>
      <c r="L6" s="75" t="s">
        <v>339</v>
      </c>
      <c r="M6" s="74" t="s">
        <v>186</v>
      </c>
      <c r="N6" s="76" t="s">
        <v>337</v>
      </c>
      <c r="O6" s="76" t="s">
        <v>338</v>
      </c>
      <c r="P6" s="75" t="s">
        <v>339</v>
      </c>
      <c r="Q6" s="74" t="s">
        <v>186</v>
      </c>
      <c r="R6" s="76" t="s">
        <v>337</v>
      </c>
      <c r="S6" s="76" t="s">
        <v>338</v>
      </c>
      <c r="T6" s="76" t="s">
        <v>339</v>
      </c>
      <c r="U6" s="86" t="s">
        <v>338</v>
      </c>
      <c r="V6" s="85" t="s">
        <v>566</v>
      </c>
      <c r="W6" s="85" t="s">
        <v>337</v>
      </c>
      <c r="X6" s="85" t="s">
        <v>567</v>
      </c>
      <c r="Y6" s="85" t="s">
        <v>187</v>
      </c>
      <c r="Z6" s="85" t="s">
        <v>188</v>
      </c>
      <c r="AA6" s="418" t="s">
        <v>339</v>
      </c>
      <c r="AB6" s="86" t="s">
        <v>338</v>
      </c>
      <c r="AC6" s="85" t="s">
        <v>566</v>
      </c>
      <c r="AD6" s="85" t="s">
        <v>337</v>
      </c>
      <c r="AE6" s="85" t="s">
        <v>567</v>
      </c>
      <c r="AF6" s="85" t="s">
        <v>187</v>
      </c>
      <c r="AG6" s="85" t="s">
        <v>188</v>
      </c>
      <c r="AH6" s="653" t="s">
        <v>563</v>
      </c>
      <c r="AI6" s="653" t="s">
        <v>189</v>
      </c>
      <c r="AJ6" s="655" t="s">
        <v>534</v>
      </c>
      <c r="AK6" s="654" t="s">
        <v>190</v>
      </c>
      <c r="AL6" s="419" t="s">
        <v>310</v>
      </c>
      <c r="AM6" s="91" t="s">
        <v>191</v>
      </c>
      <c r="AN6" s="91" t="s">
        <v>192</v>
      </c>
      <c r="AO6" s="416" t="s">
        <v>310</v>
      </c>
      <c r="AP6" s="402" t="s">
        <v>196</v>
      </c>
      <c r="AQ6" s="76" t="s">
        <v>197</v>
      </c>
      <c r="AR6" s="74" t="s">
        <v>198</v>
      </c>
      <c r="AS6" s="75" t="s">
        <v>199</v>
      </c>
      <c r="AT6" s="416" t="s">
        <v>310</v>
      </c>
      <c r="AU6" s="91" t="s">
        <v>875</v>
      </c>
      <c r="AV6" s="91" t="s">
        <v>193</v>
      </c>
      <c r="AW6" s="413" t="s">
        <v>608</v>
      </c>
      <c r="AX6" s="413" t="s">
        <v>608</v>
      </c>
      <c r="AY6" s="413" t="s">
        <v>607</v>
      </c>
      <c r="AZ6" s="91" t="s">
        <v>338</v>
      </c>
      <c r="BA6" s="91" t="s">
        <v>193</v>
      </c>
      <c r="BB6" s="91" t="s">
        <v>193</v>
      </c>
      <c r="BC6" s="91" t="s">
        <v>193</v>
      </c>
      <c r="BD6" s="91" t="s">
        <v>194</v>
      </c>
      <c r="BE6" s="416" t="s">
        <v>310</v>
      </c>
      <c r="BF6" s="91" t="s">
        <v>195</v>
      </c>
      <c r="BG6" s="91" t="s">
        <v>999</v>
      </c>
      <c r="BH6" s="91"/>
      <c r="BI6" s="60"/>
      <c r="BJ6" s="60"/>
      <c r="BL6" s="6"/>
      <c r="BS6" s="74" t="s">
        <v>186</v>
      </c>
      <c r="BT6" s="76" t="s">
        <v>337</v>
      </c>
      <c r="BU6" s="76" t="s">
        <v>338</v>
      </c>
      <c r="BV6" s="75" t="s">
        <v>339</v>
      </c>
      <c r="BW6" s="74" t="s">
        <v>186</v>
      </c>
      <c r="BX6" s="76" t="s">
        <v>337</v>
      </c>
      <c r="BY6" s="76" t="s">
        <v>338</v>
      </c>
      <c r="BZ6" s="76" t="s">
        <v>339</v>
      </c>
      <c r="CB6" s="369"/>
      <c r="CE6" s="297"/>
      <c r="CJ6" s="289"/>
      <c r="CO6" s="289"/>
      <c r="CQ6" s="76"/>
      <c r="CR6" s="76"/>
    </row>
    <row r="7" spans="1:102" x14ac:dyDescent="0.2">
      <c r="A7" s="30">
        <v>1949</v>
      </c>
      <c r="B7" s="14">
        <f t="shared" ref="B7:B27" si="0">CC7-F7</f>
        <v>22850.825588819578</v>
      </c>
      <c r="C7" s="15"/>
      <c r="D7" s="15"/>
      <c r="E7" s="16"/>
      <c r="F7" s="15">
        <f>'Passenger-based Activity'!$AD8/50</f>
        <v>22.174411180422734</v>
      </c>
      <c r="G7" s="15">
        <f>F7</f>
        <v>22.174411180422734</v>
      </c>
      <c r="H7" s="14"/>
      <c r="I7" s="15"/>
      <c r="J7" s="15"/>
      <c r="K7" s="15"/>
      <c r="L7" s="16"/>
      <c r="M7" s="14"/>
      <c r="N7" s="15"/>
      <c r="O7" s="15"/>
      <c r="P7" s="16"/>
      <c r="Q7" s="11"/>
      <c r="R7" s="12"/>
      <c r="S7" s="12"/>
      <c r="T7" s="12"/>
      <c r="U7" s="11"/>
      <c r="V7" s="12"/>
      <c r="W7" s="12"/>
      <c r="X7" s="12"/>
      <c r="Y7" s="12"/>
      <c r="Z7" s="12"/>
      <c r="AA7" s="13"/>
      <c r="AB7" s="27"/>
      <c r="AC7" s="36"/>
      <c r="AD7" s="36"/>
      <c r="AE7" s="36"/>
      <c r="AF7" s="36"/>
      <c r="AG7" s="63"/>
      <c r="AH7" s="43"/>
      <c r="AI7" s="43"/>
      <c r="AJ7" s="102"/>
      <c r="AK7" s="41"/>
      <c r="AL7" s="42">
        <v>1949</v>
      </c>
      <c r="AM7" s="27"/>
      <c r="AN7" s="13"/>
      <c r="AO7" s="252">
        <v>1949</v>
      </c>
      <c r="AP7" s="12"/>
      <c r="AQ7" s="12"/>
      <c r="AR7" s="32"/>
      <c r="AS7" s="33"/>
      <c r="AT7" s="30">
        <v>1949</v>
      </c>
      <c r="AU7" s="35"/>
      <c r="AV7" s="33"/>
      <c r="AW7" s="33"/>
      <c r="AX7" s="33"/>
      <c r="AY7" s="33"/>
      <c r="AZ7" s="33"/>
      <c r="BA7" s="33"/>
      <c r="BB7" s="33"/>
      <c r="BC7" s="33"/>
      <c r="BD7" s="37"/>
      <c r="BE7" s="30">
        <v>1949</v>
      </c>
      <c r="BF7" s="28"/>
      <c r="BG7" s="61"/>
      <c r="BH7" s="112"/>
      <c r="BI7" s="36"/>
      <c r="BJ7" s="36"/>
      <c r="BK7" s="9" t="s">
        <v>354</v>
      </c>
      <c r="BL7" s="283">
        <v>0.39600000000000002</v>
      </c>
      <c r="BM7" s="283">
        <v>0.59399999999999997</v>
      </c>
      <c r="BN7" s="283">
        <v>0.01</v>
      </c>
      <c r="BO7" s="283"/>
      <c r="BP7" s="283"/>
      <c r="BQ7" s="283"/>
      <c r="BR7" s="283"/>
      <c r="BS7" s="14"/>
      <c r="BT7" s="15"/>
      <c r="BU7" s="15"/>
      <c r="BV7" s="16"/>
      <c r="BW7" s="11"/>
      <c r="BX7" s="12"/>
      <c r="BY7" s="12"/>
      <c r="BZ7" s="12"/>
      <c r="CA7" s="283"/>
      <c r="CB7" s="370"/>
      <c r="CC7" s="14">
        <v>22873</v>
      </c>
      <c r="CD7" s="283"/>
      <c r="CE7" s="298"/>
      <c r="CF7" s="283"/>
      <c r="CG7" s="283"/>
      <c r="CH7" s="283"/>
      <c r="CI7" s="283"/>
      <c r="CJ7" s="290"/>
      <c r="CK7" s="283"/>
      <c r="CL7" s="283"/>
      <c r="CM7" s="283"/>
      <c r="CN7" s="283"/>
      <c r="CO7" s="290"/>
    </row>
    <row r="8" spans="1:102" x14ac:dyDescent="0.2">
      <c r="A8" s="30">
        <v>1950</v>
      </c>
      <c r="B8" s="14">
        <f t="shared" si="0"/>
        <v>24281.32416704089</v>
      </c>
      <c r="C8" s="15"/>
      <c r="D8" s="15"/>
      <c r="E8" s="16"/>
      <c r="F8" s="15">
        <f>'Passenger-based Activity'!$AD9/50</f>
        <v>23.675832959108558</v>
      </c>
      <c r="G8" s="15">
        <f t="shared" ref="G8:G69" si="1">F8</f>
        <v>23.675832959108558</v>
      </c>
      <c r="H8" s="14"/>
      <c r="I8" s="15"/>
      <c r="J8" s="15"/>
      <c r="K8" s="15"/>
      <c r="L8" s="16"/>
      <c r="M8" s="14"/>
      <c r="N8" s="15"/>
      <c r="O8" s="15"/>
      <c r="P8" s="16"/>
      <c r="Q8" s="11"/>
      <c r="R8" s="12"/>
      <c r="S8" s="12"/>
      <c r="T8" s="12"/>
      <c r="U8" s="11"/>
      <c r="V8" s="12"/>
      <c r="W8" s="12"/>
      <c r="X8" s="12"/>
      <c r="Y8" s="12"/>
      <c r="Z8" s="12"/>
      <c r="AA8" s="13"/>
      <c r="AB8" s="27"/>
      <c r="AC8" s="36"/>
      <c r="AD8" s="36"/>
      <c r="AE8" s="36"/>
      <c r="AF8" s="36"/>
      <c r="AG8" s="63"/>
      <c r="AH8" s="43"/>
      <c r="AI8" s="43"/>
      <c r="AJ8" s="102"/>
      <c r="AK8" s="41"/>
      <c r="AL8" s="42">
        <v>1950</v>
      </c>
      <c r="AM8" s="27"/>
      <c r="AN8" s="13"/>
      <c r="AO8" s="252">
        <v>1950</v>
      </c>
      <c r="AP8" s="12"/>
      <c r="AQ8" s="12"/>
      <c r="AR8" s="32"/>
      <c r="AS8" s="33"/>
      <c r="AT8" s="30">
        <v>1950</v>
      </c>
      <c r="AU8" s="35"/>
      <c r="AV8" s="33"/>
      <c r="AW8" s="33"/>
      <c r="AX8" s="33"/>
      <c r="AY8" s="33"/>
      <c r="AZ8" s="33"/>
      <c r="BA8" s="33"/>
      <c r="BB8" s="33"/>
      <c r="BC8" s="33"/>
      <c r="BD8" s="37"/>
      <c r="BE8" s="30">
        <v>1950</v>
      </c>
      <c r="BF8" s="28">
        <v>125546</v>
      </c>
      <c r="BG8" s="61"/>
      <c r="BH8" s="112"/>
      <c r="BI8" s="36"/>
      <c r="BJ8" s="36"/>
      <c r="BK8" s="9" t="s">
        <v>355</v>
      </c>
      <c r="BL8" s="283">
        <v>0.19400000000000001</v>
      </c>
      <c r="BM8" s="283">
        <v>0.80400000000000005</v>
      </c>
      <c r="BN8" s="283">
        <v>2E-3</v>
      </c>
      <c r="BO8" s="283"/>
      <c r="BP8" s="283"/>
      <c r="BQ8" s="283"/>
      <c r="BR8" s="283"/>
      <c r="BS8" s="14"/>
      <c r="BT8" s="15"/>
      <c r="BU8" s="15"/>
      <c r="BV8" s="16"/>
      <c r="BW8" s="11"/>
      <c r="BX8" s="12"/>
      <c r="BY8" s="12"/>
      <c r="BZ8" s="12"/>
      <c r="CA8" s="283"/>
      <c r="CB8" s="370"/>
      <c r="CC8" s="14">
        <v>24305</v>
      </c>
      <c r="CD8" s="283"/>
      <c r="CE8" s="298"/>
      <c r="CF8" s="283"/>
      <c r="CG8" s="283"/>
      <c r="CH8" s="283"/>
      <c r="CI8" s="283"/>
      <c r="CJ8" s="290"/>
      <c r="CK8" s="283"/>
      <c r="CL8" s="283"/>
      <c r="CM8" s="283"/>
      <c r="CN8" s="283"/>
      <c r="CO8" s="290"/>
    </row>
    <row r="9" spans="1:102" x14ac:dyDescent="0.2">
      <c r="A9" s="30">
        <v>1951</v>
      </c>
      <c r="B9" s="14">
        <f t="shared" si="0"/>
        <v>26191.59639180627</v>
      </c>
      <c r="C9" s="15"/>
      <c r="D9" s="15"/>
      <c r="E9" s="16"/>
      <c r="F9" s="15">
        <f>'Passenger-based Activity'!$AD10/50</f>
        <v>25.403608193728463</v>
      </c>
      <c r="G9" s="15">
        <f t="shared" si="1"/>
        <v>25.403608193728463</v>
      </c>
      <c r="H9" s="14"/>
      <c r="I9" s="15"/>
      <c r="J9" s="15"/>
      <c r="K9" s="15"/>
      <c r="L9" s="16"/>
      <c r="M9" s="14"/>
      <c r="N9" s="15"/>
      <c r="O9" s="15"/>
      <c r="P9" s="16"/>
      <c r="Q9" s="11"/>
      <c r="R9" s="12"/>
      <c r="S9" s="12"/>
      <c r="T9" s="12"/>
      <c r="U9" s="11"/>
      <c r="V9" s="12"/>
      <c r="W9" s="12"/>
      <c r="X9" s="12"/>
      <c r="Y9" s="12"/>
      <c r="Z9" s="12"/>
      <c r="AA9" s="13"/>
      <c r="AB9" s="27"/>
      <c r="AC9" s="36"/>
      <c r="AD9" s="36"/>
      <c r="AE9" s="36"/>
      <c r="AF9" s="36"/>
      <c r="AG9" s="63"/>
      <c r="AH9" s="43"/>
      <c r="AI9" s="43"/>
      <c r="AJ9" s="102"/>
      <c r="AK9" s="41"/>
      <c r="AL9" s="42">
        <v>1951</v>
      </c>
      <c r="AM9" s="27"/>
      <c r="AN9" s="13"/>
      <c r="AO9" s="252">
        <v>1951</v>
      </c>
      <c r="AP9" s="12"/>
      <c r="AQ9" s="12"/>
      <c r="AR9" s="32"/>
      <c r="AS9" s="33"/>
      <c r="AT9" s="30">
        <v>1951</v>
      </c>
      <c r="AU9" s="35"/>
      <c r="AV9" s="33"/>
      <c r="AW9" s="33"/>
      <c r="AX9" s="33"/>
      <c r="AY9" s="33"/>
      <c r="AZ9" s="33"/>
      <c r="BA9" s="33"/>
      <c r="BB9" s="33"/>
      <c r="BC9" s="33"/>
      <c r="BD9" s="37"/>
      <c r="BE9" s="30">
        <v>1951</v>
      </c>
      <c r="BF9" s="28">
        <v>192496</v>
      </c>
      <c r="BG9" s="61"/>
      <c r="BH9" s="112"/>
      <c r="BI9" s="36"/>
      <c r="BJ9" s="36"/>
      <c r="BK9" s="9" t="s">
        <v>356</v>
      </c>
      <c r="BL9" s="283">
        <v>0.16200000000000001</v>
      </c>
      <c r="BM9" s="283">
        <v>0.83299999999999996</v>
      </c>
      <c r="BN9" s="283">
        <v>5.0000000000000001E-3</v>
      </c>
      <c r="BO9" s="283"/>
      <c r="BP9" s="283"/>
      <c r="BQ9" s="283"/>
      <c r="BR9" s="283"/>
      <c r="BS9" s="14"/>
      <c r="BT9" s="15"/>
      <c r="BU9" s="15"/>
      <c r="BV9" s="16"/>
      <c r="BW9" s="11"/>
      <c r="BX9" s="12"/>
      <c r="BY9" s="12"/>
      <c r="BZ9" s="12"/>
      <c r="CA9" s="283"/>
      <c r="CB9" s="370"/>
      <c r="CC9" s="14">
        <v>26217</v>
      </c>
      <c r="CD9" s="283"/>
      <c r="CE9" s="298"/>
      <c r="CF9" s="283"/>
      <c r="CG9" s="283"/>
      <c r="CH9" s="283"/>
      <c r="CI9" s="283"/>
      <c r="CJ9" s="290"/>
      <c r="CK9" s="283"/>
      <c r="CL9" s="283"/>
      <c r="CM9" s="283"/>
      <c r="CN9" s="283"/>
      <c r="CO9" s="290"/>
    </row>
    <row r="10" spans="1:102" x14ac:dyDescent="0.2">
      <c r="A10" s="30">
        <v>1952</v>
      </c>
      <c r="B10" s="14">
        <f t="shared" si="0"/>
        <v>27955.426661411209</v>
      </c>
      <c r="C10" s="15"/>
      <c r="D10" s="15"/>
      <c r="E10" s="16"/>
      <c r="F10" s="15">
        <f>'Passenger-based Activity'!$AD11/50</f>
        <v>26.573338588790222</v>
      </c>
      <c r="G10" s="15">
        <f t="shared" si="1"/>
        <v>26.573338588790222</v>
      </c>
      <c r="H10" s="14"/>
      <c r="I10" s="15"/>
      <c r="J10" s="15"/>
      <c r="K10" s="15"/>
      <c r="L10" s="16"/>
      <c r="M10" s="14"/>
      <c r="N10" s="15"/>
      <c r="O10" s="15"/>
      <c r="P10" s="16"/>
      <c r="Q10" s="11"/>
      <c r="R10" s="12"/>
      <c r="S10" s="12"/>
      <c r="T10" s="12"/>
      <c r="U10" s="11"/>
      <c r="V10" s="12"/>
      <c r="W10" s="12"/>
      <c r="X10" s="12"/>
      <c r="Y10" s="12"/>
      <c r="Z10" s="12"/>
      <c r="AA10" s="13"/>
      <c r="AB10" s="27"/>
      <c r="AC10" s="36"/>
      <c r="AD10" s="36"/>
      <c r="AE10" s="36"/>
      <c r="AF10" s="36"/>
      <c r="AG10" s="63"/>
      <c r="AH10" s="43"/>
      <c r="AI10" s="43"/>
      <c r="AJ10" s="102"/>
      <c r="AK10" s="41"/>
      <c r="AL10" s="42">
        <v>1952</v>
      </c>
      <c r="AM10" s="27"/>
      <c r="AN10" s="13"/>
      <c r="AO10" s="252">
        <v>1952</v>
      </c>
      <c r="AP10" s="12"/>
      <c r="AQ10" s="12"/>
      <c r="AR10" s="32"/>
      <c r="AS10" s="33"/>
      <c r="AT10" s="30">
        <v>1952</v>
      </c>
      <c r="AU10" s="35"/>
      <c r="AV10" s="33"/>
      <c r="AW10" s="33"/>
      <c r="AX10" s="33"/>
      <c r="AY10" s="33"/>
      <c r="AZ10" s="33"/>
      <c r="BA10" s="33"/>
      <c r="BB10" s="33"/>
      <c r="BC10" s="33"/>
      <c r="BD10" s="37"/>
      <c r="BE10" s="30">
        <v>1952</v>
      </c>
      <c r="BF10" s="28">
        <v>207207</v>
      </c>
      <c r="BG10" s="61"/>
      <c r="BH10" s="112"/>
      <c r="BI10" s="36"/>
      <c r="BJ10" s="36"/>
      <c r="BK10" s="9" t="s">
        <v>357</v>
      </c>
      <c r="BL10" s="283">
        <v>0.124</v>
      </c>
      <c r="BM10" s="283">
        <v>0.871</v>
      </c>
      <c r="BN10" s="283">
        <v>5.0000000000000001E-3</v>
      </c>
      <c r="BO10" s="283"/>
      <c r="BP10" s="283"/>
      <c r="BQ10" s="283"/>
      <c r="BR10" s="283"/>
      <c r="BS10" s="14"/>
      <c r="BT10" s="15"/>
      <c r="BU10" s="15"/>
      <c r="BV10" s="16"/>
      <c r="BW10" s="11"/>
      <c r="BX10" s="12"/>
      <c r="BY10" s="12"/>
      <c r="BZ10" s="12"/>
      <c r="CA10" s="283"/>
      <c r="CB10" s="370"/>
      <c r="CC10" s="14">
        <v>27982</v>
      </c>
      <c r="CD10" s="283"/>
      <c r="CE10" s="298"/>
      <c r="CF10" s="283"/>
      <c r="CG10" s="283"/>
      <c r="CH10" s="283"/>
      <c r="CI10" s="283"/>
      <c r="CJ10" s="290"/>
      <c r="CK10" s="283"/>
      <c r="CL10" s="283"/>
      <c r="CM10" s="283"/>
      <c r="CN10" s="283"/>
      <c r="CO10" s="290"/>
    </row>
    <row r="11" spans="1:102" x14ac:dyDescent="0.2">
      <c r="A11" s="30">
        <v>1953</v>
      </c>
      <c r="B11" s="14">
        <f t="shared" si="0"/>
        <v>29701.796450087477</v>
      </c>
      <c r="C11" s="15"/>
      <c r="D11" s="15"/>
      <c r="E11" s="16"/>
      <c r="F11" s="15">
        <f>'Passenger-based Activity'!$AD12/50</f>
        <v>28.203549912523826</v>
      </c>
      <c r="G11" s="15">
        <f t="shared" si="1"/>
        <v>28.203549912523826</v>
      </c>
      <c r="H11" s="14"/>
      <c r="I11" s="15"/>
      <c r="J11" s="15"/>
      <c r="K11" s="15"/>
      <c r="L11" s="16"/>
      <c r="M11" s="14"/>
      <c r="N11" s="15"/>
      <c r="O11" s="15"/>
      <c r="P11" s="16"/>
      <c r="Q11" s="11"/>
      <c r="R11" s="12"/>
      <c r="S11" s="12"/>
      <c r="T11" s="12"/>
      <c r="U11" s="11"/>
      <c r="V11" s="12"/>
      <c r="W11" s="12"/>
      <c r="X11" s="12"/>
      <c r="Y11" s="12"/>
      <c r="Z11" s="12"/>
      <c r="AA11" s="13"/>
      <c r="AB11" s="27"/>
      <c r="AC11" s="36"/>
      <c r="AD11" s="36"/>
      <c r="AE11" s="36"/>
      <c r="AF11" s="36"/>
      <c r="AG11" s="63"/>
      <c r="AH11" s="43"/>
      <c r="AI11" s="43"/>
      <c r="AJ11" s="102"/>
      <c r="AK11" s="41"/>
      <c r="AL11" s="42">
        <v>1953</v>
      </c>
      <c r="AM11" s="27"/>
      <c r="AN11" s="13"/>
      <c r="AO11" s="252">
        <v>1953</v>
      </c>
      <c r="AP11" s="12"/>
      <c r="AQ11" s="12"/>
      <c r="AR11" s="32"/>
      <c r="AS11" s="33"/>
      <c r="AT11" s="30">
        <v>1953</v>
      </c>
      <c r="AU11" s="35"/>
      <c r="AV11" s="33"/>
      <c r="AW11" s="33"/>
      <c r="AX11" s="33"/>
      <c r="AY11" s="33"/>
      <c r="AZ11" s="33"/>
      <c r="BA11" s="33"/>
      <c r="BB11" s="33"/>
      <c r="BC11" s="33"/>
      <c r="BD11" s="37"/>
      <c r="BE11" s="30">
        <v>1953</v>
      </c>
      <c r="BF11" s="25">
        <v>230314</v>
      </c>
      <c r="BG11" s="21"/>
      <c r="BH11" s="112"/>
      <c r="BI11" s="36"/>
      <c r="BJ11" s="36"/>
      <c r="BS11" s="14"/>
      <c r="BT11" s="15"/>
      <c r="BU11" s="15"/>
      <c r="BV11" s="16"/>
      <c r="BW11" s="11"/>
      <c r="BX11" s="12"/>
      <c r="BY11" s="12"/>
      <c r="BZ11" s="12"/>
      <c r="CB11" s="369"/>
      <c r="CC11" s="14">
        <v>29730</v>
      </c>
      <c r="CE11" s="297"/>
      <c r="CJ11" s="289"/>
      <c r="CO11" s="289"/>
    </row>
    <row r="12" spans="1:102" x14ac:dyDescent="0.2">
      <c r="A12" s="30">
        <v>1954</v>
      </c>
      <c r="B12" s="14">
        <f t="shared" si="0"/>
        <v>31040.643239478122</v>
      </c>
      <c r="C12" s="15"/>
      <c r="D12" s="15"/>
      <c r="E12" s="16"/>
      <c r="F12" s="15">
        <f>'Passenger-based Activity'!$AD13/50</f>
        <v>29.356760521877742</v>
      </c>
      <c r="G12" s="15">
        <f t="shared" si="1"/>
        <v>29.356760521877742</v>
      </c>
      <c r="H12" s="14"/>
      <c r="I12" s="15"/>
      <c r="J12" s="15"/>
      <c r="K12" s="15"/>
      <c r="L12" s="16"/>
      <c r="M12" s="14"/>
      <c r="N12" s="15"/>
      <c r="O12" s="15"/>
      <c r="P12" s="16"/>
      <c r="Q12" s="11"/>
      <c r="R12" s="12"/>
      <c r="S12" s="12"/>
      <c r="T12" s="12"/>
      <c r="U12" s="11"/>
      <c r="V12" s="12"/>
      <c r="W12" s="12"/>
      <c r="X12" s="12"/>
      <c r="Y12" s="12"/>
      <c r="Z12" s="12"/>
      <c r="AA12" s="13"/>
      <c r="AB12" s="27"/>
      <c r="AC12" s="36"/>
      <c r="AD12" s="36"/>
      <c r="AE12" s="36"/>
      <c r="AF12" s="36"/>
      <c r="AG12" s="63"/>
      <c r="AH12" s="43"/>
      <c r="AI12" s="43"/>
      <c r="AJ12" s="102"/>
      <c r="AK12" s="41"/>
      <c r="AL12" s="42">
        <v>1954</v>
      </c>
      <c r="AM12" s="27"/>
      <c r="AN12" s="13"/>
      <c r="AO12" s="252">
        <v>1954</v>
      </c>
      <c r="AP12" s="12"/>
      <c r="AQ12" s="12"/>
      <c r="AR12" s="32"/>
      <c r="AS12" s="33"/>
      <c r="AT12" s="30">
        <v>1954</v>
      </c>
      <c r="AU12" s="35"/>
      <c r="AV12" s="33"/>
      <c r="AW12" s="33"/>
      <c r="AX12" s="33"/>
      <c r="AY12" s="33"/>
      <c r="AZ12" s="33"/>
      <c r="BA12" s="33"/>
      <c r="BB12" s="33"/>
      <c r="BC12" s="33"/>
      <c r="BD12" s="37"/>
      <c r="BE12" s="30">
        <v>1954</v>
      </c>
      <c r="BF12" s="25">
        <v>230615</v>
      </c>
      <c r="BG12" s="21"/>
      <c r="BH12" s="112"/>
      <c r="BI12" s="36"/>
      <c r="BJ12" s="36"/>
      <c r="BS12" s="14"/>
      <c r="BT12" s="15"/>
      <c r="BU12" s="15"/>
      <c r="BV12" s="16"/>
      <c r="BW12" s="11"/>
      <c r="BX12" s="12"/>
      <c r="BY12" s="12"/>
      <c r="BZ12" s="12"/>
      <c r="CB12" s="369"/>
      <c r="CC12" s="14">
        <v>31070</v>
      </c>
      <c r="CE12" s="297"/>
      <c r="CJ12" s="289"/>
      <c r="CO12" s="289"/>
    </row>
    <row r="13" spans="1:102" x14ac:dyDescent="0.2">
      <c r="A13" s="30">
        <v>1955</v>
      </c>
      <c r="B13" s="14">
        <f t="shared" si="0"/>
        <v>33621.085393599285</v>
      </c>
      <c r="C13" s="15"/>
      <c r="D13" s="15"/>
      <c r="E13" s="16"/>
      <c r="F13" s="15">
        <f>'Passenger-based Activity'!$AD14/50</f>
        <v>31.914606400711548</v>
      </c>
      <c r="G13" s="15">
        <f t="shared" si="1"/>
        <v>31.914606400711548</v>
      </c>
      <c r="H13" s="14"/>
      <c r="I13" s="15"/>
      <c r="J13" s="15"/>
      <c r="K13" s="15"/>
      <c r="L13" s="16"/>
      <c r="M13" s="14"/>
      <c r="N13" s="15"/>
      <c r="O13" s="15"/>
      <c r="P13" s="16"/>
      <c r="Q13" s="11"/>
      <c r="R13" s="12"/>
      <c r="S13" s="12"/>
      <c r="T13" s="12"/>
      <c r="U13" s="11"/>
      <c r="V13" s="12"/>
      <c r="W13" s="12"/>
      <c r="X13" s="12"/>
      <c r="Y13" s="12"/>
      <c r="Z13" s="12"/>
      <c r="AA13" s="13"/>
      <c r="AB13" s="27"/>
      <c r="AC13" s="36"/>
      <c r="AD13" s="36"/>
      <c r="AE13" s="36"/>
      <c r="AF13" s="36"/>
      <c r="AG13" s="63"/>
      <c r="AH13" s="43"/>
      <c r="AI13" s="43"/>
      <c r="AJ13" s="102"/>
      <c r="AK13" s="41"/>
      <c r="AL13" s="42">
        <v>1955</v>
      </c>
      <c r="AM13" s="27"/>
      <c r="AN13" s="13"/>
      <c r="AO13" s="252">
        <v>1955</v>
      </c>
      <c r="AP13" s="12"/>
      <c r="AQ13" s="12"/>
      <c r="AR13" s="32"/>
      <c r="AS13" s="33"/>
      <c r="AT13" s="30">
        <v>1955</v>
      </c>
      <c r="AU13" s="35"/>
      <c r="AV13" s="33"/>
      <c r="AW13" s="33"/>
      <c r="AX13" s="33"/>
      <c r="AY13" s="33"/>
      <c r="AZ13" s="33"/>
      <c r="BA13" s="33"/>
      <c r="BB13" s="33"/>
      <c r="BC13" s="33"/>
      <c r="BD13" s="37"/>
      <c r="BE13" s="30">
        <v>1955</v>
      </c>
      <c r="BF13" s="25">
        <v>245246</v>
      </c>
      <c r="BG13" s="21"/>
      <c r="BH13" s="112"/>
      <c r="BI13" s="36"/>
      <c r="BJ13" s="36"/>
      <c r="BS13" s="14"/>
      <c r="BT13" s="15"/>
      <c r="BU13" s="15"/>
      <c r="BV13" s="16"/>
      <c r="BW13" s="11"/>
      <c r="BX13" s="12"/>
      <c r="BY13" s="12"/>
      <c r="BZ13" s="12"/>
      <c r="CB13" s="369"/>
      <c r="CC13" s="14">
        <v>33653</v>
      </c>
      <c r="CE13" s="297"/>
      <c r="CJ13" s="289"/>
      <c r="CO13" s="289"/>
    </row>
    <row r="14" spans="1:102" x14ac:dyDescent="0.2">
      <c r="A14" s="30">
        <v>1956</v>
      </c>
      <c r="B14" s="14">
        <f t="shared" si="0"/>
        <v>35402.65069879817</v>
      </c>
      <c r="C14" s="15"/>
      <c r="D14" s="15"/>
      <c r="E14" s="16"/>
      <c r="F14" s="15">
        <f>'Passenger-based Activity'!$AD15/50</f>
        <v>33.349301201832375</v>
      </c>
      <c r="G14" s="15">
        <f t="shared" si="1"/>
        <v>33.349301201832375</v>
      </c>
      <c r="H14" s="14"/>
      <c r="I14" s="15"/>
      <c r="J14" s="15"/>
      <c r="K14" s="15"/>
      <c r="L14" s="16"/>
      <c r="M14" s="14"/>
      <c r="N14" s="15"/>
      <c r="O14" s="15"/>
      <c r="P14" s="16"/>
      <c r="Q14" s="11"/>
      <c r="R14" s="12"/>
      <c r="S14" s="12"/>
      <c r="T14" s="12"/>
      <c r="U14" s="11"/>
      <c r="V14" s="12"/>
      <c r="W14" s="12"/>
      <c r="X14" s="12"/>
      <c r="Y14" s="12"/>
      <c r="Z14" s="12"/>
      <c r="AA14" s="13"/>
      <c r="AB14" s="27"/>
      <c r="AC14" s="36"/>
      <c r="AD14" s="36"/>
      <c r="AE14" s="36"/>
      <c r="AF14" s="36"/>
      <c r="AG14" s="63"/>
      <c r="AH14" s="43"/>
      <c r="AI14" s="43"/>
      <c r="AJ14" s="102"/>
      <c r="AK14" s="41"/>
      <c r="AL14" s="42">
        <v>1956</v>
      </c>
      <c r="AM14" s="27"/>
      <c r="AN14" s="13"/>
      <c r="AO14" s="252">
        <v>1956</v>
      </c>
      <c r="AP14" s="12"/>
      <c r="AQ14" s="12"/>
      <c r="AR14" s="32"/>
      <c r="AS14" s="33"/>
      <c r="AT14" s="30">
        <v>1956</v>
      </c>
      <c r="AU14" s="35"/>
      <c r="AV14" s="33"/>
      <c r="AW14" s="33"/>
      <c r="AX14" s="33"/>
      <c r="AY14" s="33"/>
      <c r="AZ14" s="33"/>
      <c r="BA14" s="33"/>
      <c r="BB14" s="33"/>
      <c r="BC14" s="33"/>
      <c r="BD14" s="37"/>
      <c r="BE14" s="30">
        <v>1956</v>
      </c>
      <c r="BF14" s="25">
        <v>295972</v>
      </c>
      <c r="BG14" s="21"/>
      <c r="BH14" s="112"/>
      <c r="BI14" s="36"/>
      <c r="BJ14" s="36"/>
      <c r="BS14" s="14"/>
      <c r="BT14" s="15"/>
      <c r="BU14" s="15"/>
      <c r="BV14" s="16"/>
      <c r="BW14" s="11"/>
      <c r="BX14" s="12"/>
      <c r="BY14" s="12"/>
      <c r="BZ14" s="12"/>
      <c r="CB14" s="369"/>
      <c r="CC14" s="14">
        <v>35436</v>
      </c>
      <c r="CE14" s="297"/>
      <c r="CJ14" s="289"/>
      <c r="CO14" s="289"/>
    </row>
    <row r="15" spans="1:102" x14ac:dyDescent="0.2">
      <c r="A15" s="30">
        <v>1957</v>
      </c>
      <c r="B15" s="14">
        <f t="shared" si="0"/>
        <v>36736.134633649352</v>
      </c>
      <c r="C15" s="15"/>
      <c r="D15" s="15"/>
      <c r="E15" s="16"/>
      <c r="F15" s="15">
        <f>'Passenger-based Activity'!$AD16/50</f>
        <v>33.865366350650604</v>
      </c>
      <c r="G15" s="15">
        <f t="shared" si="1"/>
        <v>33.865366350650604</v>
      </c>
      <c r="H15" s="14"/>
      <c r="I15" s="15"/>
      <c r="J15" s="15"/>
      <c r="K15" s="15"/>
      <c r="L15" s="16"/>
      <c r="M15" s="14"/>
      <c r="N15" s="15"/>
      <c r="O15" s="15"/>
      <c r="P15" s="16"/>
      <c r="Q15" s="11"/>
      <c r="R15" s="12"/>
      <c r="S15" s="12"/>
      <c r="T15" s="12"/>
      <c r="U15" s="11"/>
      <c r="V15" s="12"/>
      <c r="W15" s="12"/>
      <c r="X15" s="12"/>
      <c r="Y15" s="12"/>
      <c r="Z15" s="12"/>
      <c r="AA15" s="13"/>
      <c r="AB15" s="27"/>
      <c r="AC15" s="36"/>
      <c r="AD15" s="36"/>
      <c r="AE15" s="36"/>
      <c r="AF15" s="36"/>
      <c r="AG15" s="63"/>
      <c r="AH15" s="43"/>
      <c r="AI15" s="43"/>
      <c r="AJ15" s="102"/>
      <c r="AK15" s="41"/>
      <c r="AL15" s="42">
        <v>1957</v>
      </c>
      <c r="AM15" s="27"/>
      <c r="AN15" s="13"/>
      <c r="AO15" s="252">
        <v>1957</v>
      </c>
      <c r="AP15" s="12"/>
      <c r="AQ15" s="12"/>
      <c r="AR15" s="32"/>
      <c r="AS15" s="33"/>
      <c r="AT15" s="30">
        <v>1957</v>
      </c>
      <c r="AU15" s="35"/>
      <c r="AV15" s="33"/>
      <c r="AW15" s="33"/>
      <c r="AX15" s="33"/>
      <c r="AY15" s="33"/>
      <c r="AZ15" s="33"/>
      <c r="BA15" s="33"/>
      <c r="BB15" s="33"/>
      <c r="BC15" s="33"/>
      <c r="BD15" s="37"/>
      <c r="BE15" s="30">
        <v>1957</v>
      </c>
      <c r="BF15" s="25">
        <v>299235</v>
      </c>
      <c r="BG15" s="21"/>
      <c r="BH15" s="112"/>
      <c r="BI15" s="36"/>
      <c r="BJ15" s="36"/>
      <c r="BS15" s="14"/>
      <c r="BT15" s="15"/>
      <c r="BU15" s="15"/>
      <c r="BV15" s="16"/>
      <c r="BW15" s="11"/>
      <c r="BX15" s="12"/>
      <c r="BY15" s="12"/>
      <c r="BZ15" s="12"/>
      <c r="CB15" s="369"/>
      <c r="CC15" s="14">
        <v>36770</v>
      </c>
      <c r="CE15" s="297"/>
      <c r="CJ15" s="289"/>
      <c r="CO15" s="289"/>
    </row>
    <row r="16" spans="1:102" x14ac:dyDescent="0.2">
      <c r="A16" s="30">
        <v>1958</v>
      </c>
      <c r="B16" s="14">
        <f t="shared" si="0"/>
        <v>38061.987771820386</v>
      </c>
      <c r="C16" s="15"/>
      <c r="D16" s="15"/>
      <c r="E16" s="16"/>
      <c r="F16" s="15">
        <f>'Passenger-based Activity'!$AD17/50</f>
        <v>35.012228179614844</v>
      </c>
      <c r="G16" s="15">
        <f t="shared" si="1"/>
        <v>35.012228179614844</v>
      </c>
      <c r="H16" s="14"/>
      <c r="I16" s="15"/>
      <c r="J16" s="15"/>
      <c r="K16" s="15"/>
      <c r="L16" s="16"/>
      <c r="M16" s="14"/>
      <c r="N16" s="15"/>
      <c r="O16" s="15"/>
      <c r="P16" s="16"/>
      <c r="Q16" s="11"/>
      <c r="R16" s="12"/>
      <c r="S16" s="12"/>
      <c r="T16" s="12"/>
      <c r="U16" s="11"/>
      <c r="V16" s="12"/>
      <c r="W16" s="12"/>
      <c r="X16" s="12"/>
      <c r="Y16" s="12"/>
      <c r="Z16" s="12"/>
      <c r="AA16" s="13"/>
      <c r="AB16" s="27"/>
      <c r="AC16" s="36"/>
      <c r="AD16" s="36"/>
      <c r="AE16" s="36"/>
      <c r="AF16" s="36"/>
      <c r="AG16" s="63"/>
      <c r="AH16" s="43"/>
      <c r="AI16" s="43"/>
      <c r="AJ16" s="102"/>
      <c r="AK16" s="41"/>
      <c r="AL16" s="42">
        <v>1958</v>
      </c>
      <c r="AM16" s="27"/>
      <c r="AN16" s="13"/>
      <c r="AO16" s="252">
        <v>1958</v>
      </c>
      <c r="AP16" s="12"/>
      <c r="AQ16" s="12"/>
      <c r="AR16" s="32"/>
      <c r="AS16" s="33"/>
      <c r="AT16" s="30">
        <v>1958</v>
      </c>
      <c r="AU16" s="35"/>
      <c r="AV16" s="33"/>
      <c r="AW16" s="33"/>
      <c r="AX16" s="33"/>
      <c r="AY16" s="33"/>
      <c r="AZ16" s="33"/>
      <c r="BA16" s="33"/>
      <c r="BB16" s="33"/>
      <c r="BC16" s="33"/>
      <c r="BD16" s="37"/>
      <c r="BE16" s="30">
        <v>1958</v>
      </c>
      <c r="BF16" s="25">
        <v>312221</v>
      </c>
      <c r="BG16" s="21"/>
      <c r="BH16" s="112"/>
      <c r="BI16" s="36"/>
      <c r="BJ16" s="36"/>
      <c r="BS16" s="14"/>
      <c r="BT16" s="15"/>
      <c r="BU16" s="15"/>
      <c r="BV16" s="16"/>
      <c r="BW16" s="11"/>
      <c r="BX16" s="12"/>
      <c r="BY16" s="12"/>
      <c r="BZ16" s="12"/>
      <c r="CB16" s="369"/>
      <c r="CC16" s="14">
        <v>38097</v>
      </c>
      <c r="CE16" s="297"/>
      <c r="CJ16" s="289"/>
      <c r="CO16" s="289"/>
    </row>
    <row r="17" spans="1:108" x14ac:dyDescent="0.2">
      <c r="A17" s="30">
        <v>1959</v>
      </c>
      <c r="B17" s="14">
        <f t="shared" si="0"/>
        <v>40020.968082254789</v>
      </c>
      <c r="C17" s="15"/>
      <c r="D17" s="15"/>
      <c r="E17" s="16"/>
      <c r="F17" s="15">
        <f>'Passenger-based Activity'!$AD18/50</f>
        <v>37.031917745213271</v>
      </c>
      <c r="G17" s="15">
        <f t="shared" si="1"/>
        <v>37.031917745213271</v>
      </c>
      <c r="H17" s="14"/>
      <c r="I17" s="15"/>
      <c r="J17" s="15"/>
      <c r="K17" s="15"/>
      <c r="L17" s="16"/>
      <c r="M17" s="14"/>
      <c r="N17" s="15"/>
      <c r="O17" s="15"/>
      <c r="P17" s="16"/>
      <c r="Q17" s="11"/>
      <c r="R17" s="12"/>
      <c r="S17" s="12"/>
      <c r="T17" s="12"/>
      <c r="U17" s="11"/>
      <c r="V17" s="12"/>
      <c r="W17" s="12"/>
      <c r="X17" s="12"/>
      <c r="Y17" s="12"/>
      <c r="Z17" s="12"/>
      <c r="AA17" s="13"/>
      <c r="AB17" s="27"/>
      <c r="AC17" s="36"/>
      <c r="AD17" s="36"/>
      <c r="AE17" s="36"/>
      <c r="AF17" s="36"/>
      <c r="AG17" s="63"/>
      <c r="AH17" s="43"/>
      <c r="AI17" s="43"/>
      <c r="AJ17" s="102"/>
      <c r="AK17" s="41"/>
      <c r="AL17" s="42">
        <v>1959</v>
      </c>
      <c r="AM17" s="27"/>
      <c r="AN17" s="13"/>
      <c r="AO17" s="252">
        <v>1959</v>
      </c>
      <c r="AP17" s="12"/>
      <c r="AQ17" s="12"/>
      <c r="AR17" s="32"/>
      <c r="AS17" s="33"/>
      <c r="AT17" s="30">
        <v>1959</v>
      </c>
      <c r="AU17" s="35"/>
      <c r="AV17" s="33"/>
      <c r="AW17" s="33"/>
      <c r="AX17" s="33"/>
      <c r="AY17" s="33"/>
      <c r="AZ17" s="33"/>
      <c r="BA17" s="33"/>
      <c r="BB17" s="33"/>
      <c r="BC17" s="33"/>
      <c r="BD17" s="37"/>
      <c r="BE17" s="30">
        <v>1959</v>
      </c>
      <c r="BF17" s="25">
        <v>349348</v>
      </c>
      <c r="BG17" s="21"/>
      <c r="BH17" s="112"/>
      <c r="BI17" s="36"/>
      <c r="BJ17" s="36"/>
      <c r="BP17">
        <f>3031</f>
        <v>3031</v>
      </c>
      <c r="BQ17">
        <f>668847</f>
        <v>668847</v>
      </c>
      <c r="BR17" s="125">
        <f>BQ17/BP17</f>
        <v>220.66875618607719</v>
      </c>
      <c r="BS17" s="14"/>
      <c r="BT17" s="15"/>
      <c r="BU17" s="15"/>
      <c r="BV17" s="16"/>
      <c r="BW17" s="11"/>
      <c r="BX17" s="12"/>
      <c r="BY17" s="12"/>
      <c r="BZ17" s="12"/>
      <c r="CB17" s="369"/>
      <c r="CC17" s="14">
        <v>40058</v>
      </c>
      <c r="CE17" s="297"/>
      <c r="CJ17" s="289"/>
      <c r="CO17" s="289"/>
    </row>
    <row r="18" spans="1:108" x14ac:dyDescent="0.2">
      <c r="A18" s="30">
        <v>1960</v>
      </c>
      <c r="B18" s="14">
        <f t="shared" si="0"/>
        <v>41132.971323733604</v>
      </c>
      <c r="C18" s="15"/>
      <c r="D18" s="15"/>
      <c r="E18" s="16"/>
      <c r="F18" s="15">
        <f>'Passenger-based Activity'!$AD19/50</f>
        <v>38.028676266392942</v>
      </c>
      <c r="G18" s="15">
        <f t="shared" si="1"/>
        <v>38.028676266392942</v>
      </c>
      <c r="H18" s="14"/>
      <c r="I18" s="15"/>
      <c r="J18" s="15"/>
      <c r="K18" s="15"/>
      <c r="L18" s="16"/>
      <c r="M18" s="14"/>
      <c r="N18" s="15"/>
      <c r="O18" s="15"/>
      <c r="P18" s="16"/>
      <c r="Q18" s="11"/>
      <c r="R18" s="12"/>
      <c r="S18" s="12"/>
      <c r="T18" s="12"/>
      <c r="U18" s="11"/>
      <c r="V18" s="12"/>
      <c r="W18" s="12"/>
      <c r="X18" s="12"/>
      <c r="Y18" s="12"/>
      <c r="Z18" s="12"/>
      <c r="AA18" s="13"/>
      <c r="AB18" s="27"/>
      <c r="AC18" s="36"/>
      <c r="AD18" s="36"/>
      <c r="AE18" s="36"/>
      <c r="AF18" s="36"/>
      <c r="AG18" s="63"/>
      <c r="AH18" s="43"/>
      <c r="AI18" s="43"/>
      <c r="AJ18" s="102"/>
      <c r="AK18" s="41"/>
      <c r="AL18" s="42">
        <v>1960</v>
      </c>
      <c r="AM18" s="27"/>
      <c r="AN18" s="13"/>
      <c r="AO18" s="252">
        <v>1960</v>
      </c>
      <c r="AP18" s="12"/>
      <c r="AQ18" s="12"/>
      <c r="AR18" s="32"/>
      <c r="AS18" s="33"/>
      <c r="AT18" s="30">
        <v>1960</v>
      </c>
      <c r="AU18" s="35"/>
      <c r="AV18" s="33"/>
      <c r="AW18" s="33"/>
      <c r="AX18" s="33"/>
      <c r="AY18" s="33"/>
      <c r="AZ18" s="33"/>
      <c r="BA18" s="33"/>
      <c r="BB18" s="33"/>
      <c r="BC18" s="33"/>
      <c r="BD18" s="37"/>
      <c r="BE18" s="30">
        <v>1960</v>
      </c>
      <c r="BF18" s="25">
        <v>347075</v>
      </c>
      <c r="BG18" s="21"/>
      <c r="BH18" s="112"/>
      <c r="BI18" s="36"/>
      <c r="BJ18" s="36"/>
      <c r="BP18">
        <v>2936.6</v>
      </c>
      <c r="BQ18">
        <f>647956</f>
        <v>647956</v>
      </c>
      <c r="BR18" s="125">
        <f>BQ18/BP18</f>
        <v>220.64836886194919</v>
      </c>
      <c r="BS18" s="14"/>
      <c r="BT18" s="15"/>
      <c r="BU18" s="15"/>
      <c r="BV18" s="16"/>
      <c r="BW18" s="11"/>
      <c r="BX18" s="12"/>
      <c r="BY18" s="12"/>
      <c r="BZ18" s="12"/>
      <c r="CB18" s="369"/>
      <c r="CC18" s="14">
        <v>41171</v>
      </c>
      <c r="CE18" s="297"/>
      <c r="CJ18" s="289"/>
      <c r="CO18" s="289"/>
    </row>
    <row r="19" spans="1:108" x14ac:dyDescent="0.2">
      <c r="A19" s="30">
        <v>1961</v>
      </c>
      <c r="B19" s="14">
        <f t="shared" si="0"/>
        <v>41993.881989628993</v>
      </c>
      <c r="C19" s="15"/>
      <c r="D19" s="15"/>
      <c r="E19" s="16"/>
      <c r="F19" s="15">
        <f>'Passenger-based Activity'!$AD20/50</f>
        <v>39.118010371009881</v>
      </c>
      <c r="G19" s="15">
        <f t="shared" si="1"/>
        <v>39.118010371009881</v>
      </c>
      <c r="H19" s="14"/>
      <c r="I19" s="15"/>
      <c r="J19" s="15"/>
      <c r="K19" s="15"/>
      <c r="L19" s="16"/>
      <c r="M19" s="14"/>
      <c r="N19" s="15"/>
      <c r="O19" s="15"/>
      <c r="P19" s="16"/>
      <c r="Q19" s="11"/>
      <c r="R19" s="12"/>
      <c r="S19" s="12"/>
      <c r="T19" s="12"/>
      <c r="U19" s="11"/>
      <c r="V19" s="12"/>
      <c r="W19" s="12"/>
      <c r="X19" s="12"/>
      <c r="Y19" s="12"/>
      <c r="Z19" s="12"/>
      <c r="AA19" s="13"/>
      <c r="AB19" s="27"/>
      <c r="AC19" s="36"/>
      <c r="AD19" s="36"/>
      <c r="AE19" s="36"/>
      <c r="AF19" s="36"/>
      <c r="AG19" s="63"/>
      <c r="AH19" s="43"/>
      <c r="AI19" s="43"/>
      <c r="AJ19" s="102"/>
      <c r="AK19" s="41"/>
      <c r="AL19" s="42">
        <v>1961</v>
      </c>
      <c r="AM19" s="27"/>
      <c r="AN19" s="13"/>
      <c r="AO19" s="252">
        <v>1961</v>
      </c>
      <c r="AP19" s="12"/>
      <c r="AQ19" s="12"/>
      <c r="AR19" s="32"/>
      <c r="AS19" s="33"/>
      <c r="AT19" s="30">
        <v>1961</v>
      </c>
      <c r="AU19" s="35"/>
      <c r="AV19" s="33"/>
      <c r="AW19" s="33"/>
      <c r="AX19" s="33"/>
      <c r="AY19" s="33"/>
      <c r="AZ19" s="33"/>
      <c r="BA19" s="33"/>
      <c r="BB19" s="33"/>
      <c r="BC19" s="33"/>
      <c r="BD19" s="37"/>
      <c r="BE19" s="30">
        <v>1961</v>
      </c>
      <c r="BF19" s="25">
        <v>377607</v>
      </c>
      <c r="BG19" s="21"/>
      <c r="BH19" s="112"/>
      <c r="BI19" s="36"/>
      <c r="BJ19" s="36"/>
      <c r="BP19">
        <v>2990.3</v>
      </c>
      <c r="BQ19">
        <v>659816</v>
      </c>
      <c r="BR19" s="125">
        <f>BQ19/BP19</f>
        <v>220.65210848409856</v>
      </c>
      <c r="BS19" s="14"/>
      <c r="BT19" s="15"/>
      <c r="BU19" s="15"/>
      <c r="BV19" s="16"/>
      <c r="BW19" s="11"/>
      <c r="BX19" s="12"/>
      <c r="BY19" s="12"/>
      <c r="BZ19" s="12"/>
      <c r="CB19" s="369"/>
      <c r="CC19" s="14">
        <v>42033</v>
      </c>
      <c r="CE19" s="297"/>
      <c r="CJ19" s="289"/>
      <c r="CO19" s="289"/>
      <c r="CU19" t="s">
        <v>372</v>
      </c>
    </row>
    <row r="20" spans="1:108" x14ac:dyDescent="0.2">
      <c r="A20" s="30">
        <v>1962</v>
      </c>
      <c r="B20" s="14">
        <f t="shared" si="0"/>
        <v>43730.355690996534</v>
      </c>
      <c r="C20" s="15"/>
      <c r="D20" s="15"/>
      <c r="E20" s="16"/>
      <c r="F20" s="15">
        <f>'Passenger-based Activity'!$AD21/50</f>
        <v>40.644309003467512</v>
      </c>
      <c r="G20" s="15">
        <f t="shared" si="1"/>
        <v>40.644309003467512</v>
      </c>
      <c r="H20" s="14"/>
      <c r="I20" s="15"/>
      <c r="J20" s="15"/>
      <c r="K20" s="15"/>
      <c r="L20" s="16"/>
      <c r="M20" s="14"/>
      <c r="N20" s="15"/>
      <c r="O20" s="15"/>
      <c r="P20" s="16"/>
      <c r="Q20" s="11"/>
      <c r="R20" s="12"/>
      <c r="S20" s="12"/>
      <c r="T20" s="12"/>
      <c r="U20" s="11"/>
      <c r="V20" s="12"/>
      <c r="W20" s="12"/>
      <c r="X20" s="12"/>
      <c r="Y20" s="12"/>
      <c r="Z20" s="12"/>
      <c r="AA20" s="13"/>
      <c r="AB20" s="27"/>
      <c r="AC20" s="36"/>
      <c r="AD20" s="36"/>
      <c r="AE20" s="36"/>
      <c r="AF20" s="36"/>
      <c r="AG20" s="63"/>
      <c r="AH20" s="43"/>
      <c r="AI20" s="43"/>
      <c r="AJ20" s="102"/>
      <c r="AK20" s="41"/>
      <c r="AL20" s="42">
        <v>1962</v>
      </c>
      <c r="AM20" s="27"/>
      <c r="AN20" s="13"/>
      <c r="AO20" s="252">
        <v>1962</v>
      </c>
      <c r="AP20" s="12"/>
      <c r="AQ20" s="12"/>
      <c r="AR20" s="32">
        <v>241</v>
      </c>
      <c r="AS20" s="33">
        <v>20</v>
      </c>
      <c r="AT20" s="30">
        <v>1962</v>
      </c>
      <c r="AU20" s="35"/>
      <c r="AV20" s="33"/>
      <c r="AW20" s="33"/>
      <c r="AX20" s="33"/>
      <c r="AY20" s="33"/>
      <c r="AZ20" s="33"/>
      <c r="BA20" s="33"/>
      <c r="BB20" s="33"/>
      <c r="BC20" s="33"/>
      <c r="BD20" s="37"/>
      <c r="BE20" s="30">
        <v>1962</v>
      </c>
      <c r="BF20" s="25">
        <v>382496</v>
      </c>
      <c r="BG20" s="21"/>
      <c r="BH20" s="112"/>
      <c r="BI20" s="36"/>
      <c r="BJ20" s="36"/>
      <c r="BS20" s="14"/>
      <c r="BT20" s="15"/>
      <c r="BU20" s="15"/>
      <c r="BV20" s="16"/>
      <c r="BW20" s="11"/>
      <c r="BX20" s="12"/>
      <c r="BY20" s="12"/>
      <c r="BZ20" s="12"/>
      <c r="CB20" s="369"/>
      <c r="CC20" s="14">
        <v>43771</v>
      </c>
      <c r="CE20" s="297"/>
      <c r="CJ20" s="289"/>
      <c r="CO20" s="289"/>
      <c r="CU20" s="288">
        <v>138.69999999999999</v>
      </c>
      <c r="CV20" s="288">
        <v>149.69999999999999</v>
      </c>
    </row>
    <row r="21" spans="1:108" x14ac:dyDescent="0.2">
      <c r="A21" s="30">
        <v>1963</v>
      </c>
      <c r="B21" s="14">
        <f t="shared" si="0"/>
        <v>45203.120855515896</v>
      </c>
      <c r="C21" s="15"/>
      <c r="D21" s="15"/>
      <c r="E21" s="16"/>
      <c r="F21" s="15">
        <f>'Passenger-based Activity'!$AD22/50</f>
        <v>42.879144484108039</v>
      </c>
      <c r="G21" s="15">
        <f t="shared" si="1"/>
        <v>42.879144484108039</v>
      </c>
      <c r="H21" s="14"/>
      <c r="I21" s="15"/>
      <c r="J21" s="15"/>
      <c r="K21" s="15"/>
      <c r="L21" s="16"/>
      <c r="M21" s="14"/>
      <c r="N21" s="15"/>
      <c r="O21" s="15"/>
      <c r="P21" s="16"/>
      <c r="Q21" s="14"/>
      <c r="R21" s="21"/>
      <c r="S21" s="21"/>
      <c r="T21" s="21"/>
      <c r="U21" s="25"/>
      <c r="V21" s="21"/>
      <c r="W21" s="21"/>
      <c r="X21" s="21"/>
      <c r="Y21" s="21"/>
      <c r="Z21" s="21"/>
      <c r="AA21" s="22"/>
      <c r="AB21" s="27"/>
      <c r="AC21" s="36"/>
      <c r="AD21" s="36"/>
      <c r="AE21" s="36"/>
      <c r="AF21" s="36"/>
      <c r="AG21" s="63"/>
      <c r="AH21" s="40"/>
      <c r="AI21" s="40"/>
      <c r="AJ21" s="103"/>
      <c r="AK21" s="39"/>
      <c r="AL21" s="42">
        <v>1963</v>
      </c>
      <c r="AM21" s="27"/>
      <c r="AN21" s="22"/>
      <c r="AO21" s="252">
        <v>1963</v>
      </c>
      <c r="AP21" s="21"/>
      <c r="AQ21" s="21"/>
      <c r="AR21" s="34">
        <v>250</v>
      </c>
      <c r="AS21" s="33">
        <v>32</v>
      </c>
      <c r="AT21" s="30">
        <v>1963</v>
      </c>
      <c r="AU21" s="35"/>
      <c r="AV21" s="33"/>
      <c r="AW21" s="33"/>
      <c r="AX21" s="33"/>
      <c r="AY21" s="33"/>
      <c r="AZ21" s="33"/>
      <c r="BA21" s="33"/>
      <c r="BB21" s="33"/>
      <c r="BC21" s="33"/>
      <c r="BD21" s="37"/>
      <c r="BE21" s="30">
        <v>1963</v>
      </c>
      <c r="BF21" s="25">
        <v>423783</v>
      </c>
      <c r="BG21" s="21"/>
      <c r="BH21" s="112"/>
      <c r="BI21" s="36"/>
      <c r="BJ21" s="36"/>
      <c r="BS21" s="14"/>
      <c r="BT21" s="15"/>
      <c r="BU21" s="15"/>
      <c r="BV21" s="16"/>
      <c r="BW21" s="14">
        <v>6084</v>
      </c>
      <c r="BX21" s="21">
        <v>2409.2640000000001</v>
      </c>
      <c r="BY21" s="21">
        <v>3613.8959999999997</v>
      </c>
      <c r="BZ21" s="21">
        <v>60.84</v>
      </c>
      <c r="CB21" s="369"/>
      <c r="CC21" s="14">
        <v>45246</v>
      </c>
      <c r="CE21" s="297"/>
      <c r="CJ21" s="289"/>
      <c r="CO21" s="289"/>
    </row>
    <row r="22" spans="1:108" x14ac:dyDescent="0.2">
      <c r="A22" s="30">
        <v>1964</v>
      </c>
      <c r="B22" s="14">
        <f t="shared" si="0"/>
        <v>47515.921391811709</v>
      </c>
      <c r="C22" s="15"/>
      <c r="D22" s="15"/>
      <c r="E22" s="16"/>
      <c r="F22" s="15">
        <f>'Passenger-based Activity'!$AD23/50</f>
        <v>45.078608188291781</v>
      </c>
      <c r="G22" s="15">
        <f t="shared" si="1"/>
        <v>45.078608188291781</v>
      </c>
      <c r="H22" s="14"/>
      <c r="I22" s="15"/>
      <c r="J22" s="15"/>
      <c r="K22" s="15"/>
      <c r="L22" s="16"/>
      <c r="M22" s="14"/>
      <c r="N22" s="15"/>
      <c r="O22" s="15"/>
      <c r="P22" s="16"/>
      <c r="Q22" s="14"/>
      <c r="R22" s="21"/>
      <c r="S22" s="21"/>
      <c r="T22" s="21"/>
      <c r="U22" s="25"/>
      <c r="V22" s="21"/>
      <c r="W22" s="21"/>
      <c r="X22" s="21"/>
      <c r="Y22" s="21"/>
      <c r="Z22" s="21"/>
      <c r="AA22" s="22"/>
      <c r="AB22" s="27"/>
      <c r="AC22" s="36"/>
      <c r="AD22" s="36"/>
      <c r="AE22" s="36"/>
      <c r="AF22" s="36"/>
      <c r="AG22" s="63"/>
      <c r="AH22" s="40"/>
      <c r="AI22" s="40"/>
      <c r="AJ22" s="103"/>
      <c r="AK22" s="39"/>
      <c r="AL22" s="42">
        <v>1964</v>
      </c>
      <c r="AM22" s="27"/>
      <c r="AN22" s="22"/>
      <c r="AO22" s="252">
        <v>1964</v>
      </c>
      <c r="AP22" s="21"/>
      <c r="AQ22" s="21"/>
      <c r="AR22" s="34">
        <v>262</v>
      </c>
      <c r="AS22" s="33">
        <v>41</v>
      </c>
      <c r="AT22" s="30">
        <v>1964</v>
      </c>
      <c r="AU22" s="35"/>
      <c r="AV22" s="33"/>
      <c r="AW22" s="33"/>
      <c r="AX22" s="33"/>
      <c r="AY22" s="33"/>
      <c r="AZ22" s="33"/>
      <c r="BA22" s="33"/>
      <c r="BB22" s="33"/>
      <c r="BC22" s="33"/>
      <c r="BD22" s="37"/>
      <c r="BE22" s="30">
        <v>1964</v>
      </c>
      <c r="BF22" s="25">
        <v>435570</v>
      </c>
      <c r="BG22" s="21"/>
      <c r="BH22" s="112"/>
      <c r="BI22" s="36"/>
      <c r="BJ22" s="36"/>
      <c r="BS22" s="14"/>
      <c r="BT22" s="15"/>
      <c r="BU22" s="15"/>
      <c r="BV22" s="16"/>
      <c r="BW22" s="14">
        <v>6271</v>
      </c>
      <c r="BX22" s="21">
        <v>2483.3160000000003</v>
      </c>
      <c r="BY22" s="21">
        <v>3724.9739999999997</v>
      </c>
      <c r="BZ22" s="21">
        <v>62.71</v>
      </c>
      <c r="CB22" s="369"/>
      <c r="CC22" s="14">
        <v>47561</v>
      </c>
      <c r="CE22" s="297"/>
      <c r="CJ22" s="289"/>
      <c r="CO22" s="289"/>
    </row>
    <row r="23" spans="1:108" x14ac:dyDescent="0.2">
      <c r="A23" s="30">
        <v>1965</v>
      </c>
      <c r="B23" s="14">
        <f t="shared" si="0"/>
        <v>49676.181242933679</v>
      </c>
      <c r="C23" s="15"/>
      <c r="D23" s="15"/>
      <c r="E23" s="16"/>
      <c r="F23" s="15">
        <f>'Passenger-based Activity'!$AD24/50</f>
        <v>46.818757066324224</v>
      </c>
      <c r="G23" s="15">
        <f t="shared" si="1"/>
        <v>46.818757066324224</v>
      </c>
      <c r="H23" s="14"/>
      <c r="I23" s="15"/>
      <c r="J23" s="15"/>
      <c r="K23" s="15"/>
      <c r="L23" s="16"/>
      <c r="M23" s="14"/>
      <c r="N23" s="15"/>
      <c r="O23" s="15"/>
      <c r="P23" s="16"/>
      <c r="Q23" s="14"/>
      <c r="R23" s="21"/>
      <c r="S23" s="21"/>
      <c r="T23" s="21"/>
      <c r="U23" s="44">
        <v>248.4</v>
      </c>
      <c r="V23" s="45"/>
      <c r="W23" s="45">
        <f>CH23</f>
        <v>91.5</v>
      </c>
      <c r="X23" s="45"/>
      <c r="Y23" s="45"/>
      <c r="Z23" s="45"/>
      <c r="AA23" s="109"/>
      <c r="AB23" s="27"/>
      <c r="AC23" s="36"/>
      <c r="AD23" s="36"/>
      <c r="AE23" s="36"/>
      <c r="AF23" s="36"/>
      <c r="AG23" s="63"/>
      <c r="AH23" s="40"/>
      <c r="AI23" s="40"/>
      <c r="AJ23" s="103"/>
      <c r="AK23" s="39"/>
      <c r="AL23" s="42">
        <v>1965</v>
      </c>
      <c r="AM23" s="27"/>
      <c r="AN23" s="22"/>
      <c r="AO23" s="252">
        <v>1965</v>
      </c>
      <c r="AP23" s="21"/>
      <c r="AQ23" s="21"/>
      <c r="AR23" s="34">
        <v>292</v>
      </c>
      <c r="AS23" s="33">
        <v>56</v>
      </c>
      <c r="AT23" s="30">
        <v>1965</v>
      </c>
      <c r="AU23" s="35"/>
      <c r="AV23" s="33"/>
      <c r="AW23" s="33"/>
      <c r="AX23" s="33"/>
      <c r="AY23" s="33"/>
      <c r="AZ23" s="33"/>
      <c r="BA23" s="57"/>
      <c r="BB23" s="57">
        <v>2185</v>
      </c>
      <c r="BC23" s="123">
        <v>218</v>
      </c>
      <c r="BD23" s="37"/>
      <c r="BE23" s="30">
        <v>1965</v>
      </c>
      <c r="BF23" s="25">
        <v>500524</v>
      </c>
      <c r="BG23" s="21"/>
      <c r="BH23" s="112"/>
      <c r="BI23" s="36"/>
      <c r="BJ23" s="36"/>
      <c r="BS23" s="14"/>
      <c r="BT23" s="15"/>
      <c r="BU23" s="15"/>
      <c r="BV23" s="16"/>
      <c r="BW23" s="14">
        <v>6658</v>
      </c>
      <c r="BX23" s="21">
        <v>2636.5680000000002</v>
      </c>
      <c r="BY23" s="21">
        <v>3954.8519999999999</v>
      </c>
      <c r="BZ23" s="21">
        <v>66.58</v>
      </c>
      <c r="CB23" s="369"/>
      <c r="CC23" s="14">
        <v>49723</v>
      </c>
      <c r="CE23" s="297"/>
      <c r="CG23" s="125">
        <v>91.5</v>
      </c>
      <c r="CH23" s="125">
        <f t="shared" ref="CH23:CH28" si="2">CG23</f>
        <v>91.5</v>
      </c>
      <c r="CJ23" s="289"/>
      <c r="CO23" s="289"/>
      <c r="CU23" t="s">
        <v>367</v>
      </c>
      <c r="CZ23" t="s">
        <v>377</v>
      </c>
      <c r="DA23" t="s">
        <v>378</v>
      </c>
      <c r="DC23" t="s">
        <v>373</v>
      </c>
    </row>
    <row r="24" spans="1:108" x14ac:dyDescent="0.2">
      <c r="A24" s="30">
        <v>1966</v>
      </c>
      <c r="B24" s="14">
        <f t="shared" si="0"/>
        <v>54936.632145128897</v>
      </c>
      <c r="C24" s="15"/>
      <c r="D24" s="15"/>
      <c r="E24" s="16"/>
      <c r="F24" s="15">
        <f>'Passenger-based Activity'!$AD25/50</f>
        <v>50.367854871101763</v>
      </c>
      <c r="G24" s="15">
        <f t="shared" si="1"/>
        <v>50.367854871101763</v>
      </c>
      <c r="H24" s="14">
        <v>9425</v>
      </c>
      <c r="I24" s="21">
        <f>H24-J24-K24-L24</f>
        <v>9198.8000000000011</v>
      </c>
      <c r="J24" s="21"/>
      <c r="K24" s="21">
        <f>H24*0.016</f>
        <v>150.80000000000001</v>
      </c>
      <c r="L24" s="22">
        <f>H24*0.008</f>
        <v>75.400000000000006</v>
      </c>
      <c r="M24" s="14"/>
      <c r="N24" s="21"/>
      <c r="O24" s="21"/>
      <c r="P24" s="22"/>
      <c r="Q24" s="14"/>
      <c r="R24" s="21"/>
      <c r="S24" s="21"/>
      <c r="T24" s="21"/>
      <c r="U24" s="44">
        <v>256</v>
      </c>
      <c r="V24" s="45"/>
      <c r="W24" s="45">
        <f t="shared" ref="W24:W52" si="3">CH24</f>
        <v>76</v>
      </c>
      <c r="X24" s="45"/>
      <c r="Y24" s="45"/>
      <c r="Z24" s="45"/>
      <c r="AA24" s="109"/>
      <c r="AB24" s="27"/>
      <c r="AC24" s="36"/>
      <c r="AD24" s="36"/>
      <c r="AE24" s="36"/>
      <c r="AF24" s="36"/>
      <c r="AG24" s="63"/>
      <c r="AH24" s="40"/>
      <c r="AI24" s="40"/>
      <c r="AJ24" s="103"/>
      <c r="AK24" s="39"/>
      <c r="AL24" s="42">
        <v>1966</v>
      </c>
      <c r="AM24" s="27"/>
      <c r="AN24" s="22"/>
      <c r="AO24" s="252">
        <v>1966</v>
      </c>
      <c r="AP24" s="21"/>
      <c r="AQ24" s="21"/>
      <c r="AR24" s="34">
        <v>375</v>
      </c>
      <c r="AS24" s="33">
        <v>83</v>
      </c>
      <c r="AT24" s="30">
        <v>1966</v>
      </c>
      <c r="AU24" s="35"/>
      <c r="AV24" s="33"/>
      <c r="AW24" s="33"/>
      <c r="AX24" s="33"/>
      <c r="AY24" s="33"/>
      <c r="AZ24" s="33"/>
      <c r="BA24" s="57"/>
      <c r="BB24" s="57">
        <v>2075</v>
      </c>
      <c r="BC24" s="123">
        <v>226</v>
      </c>
      <c r="BD24" s="37"/>
      <c r="BE24" s="30">
        <v>1966</v>
      </c>
      <c r="BF24" s="25">
        <v>535353</v>
      </c>
      <c r="BG24" s="21"/>
      <c r="BH24" s="112"/>
      <c r="BI24" s="36"/>
      <c r="BJ24" s="36"/>
      <c r="BS24" s="14">
        <v>3598</v>
      </c>
      <c r="BT24" s="21">
        <v>1424.808</v>
      </c>
      <c r="BU24" s="21">
        <v>2137.212</v>
      </c>
      <c r="BV24" s="22">
        <v>35.980000000000004</v>
      </c>
      <c r="BW24" s="14">
        <v>5819</v>
      </c>
      <c r="BX24" s="21">
        <v>2304.3240000000001</v>
      </c>
      <c r="BY24" s="21">
        <v>3456.4859999999999</v>
      </c>
      <c r="BZ24" s="21">
        <v>58.19</v>
      </c>
      <c r="CB24" s="369"/>
      <c r="CC24" s="14">
        <v>54987</v>
      </c>
      <c r="CE24" s="297"/>
      <c r="CG24" s="390">
        <v>76</v>
      </c>
      <c r="CH24" s="125">
        <f t="shared" si="2"/>
        <v>76</v>
      </c>
      <c r="CJ24" s="289"/>
      <c r="CO24" s="289"/>
      <c r="CS24" t="s">
        <v>644</v>
      </c>
      <c r="CT24" t="s">
        <v>645</v>
      </c>
      <c r="CU24" t="s">
        <v>368</v>
      </c>
      <c r="CV24" t="s">
        <v>369</v>
      </c>
      <c r="CW24" t="s">
        <v>370</v>
      </c>
      <c r="CZ24" t="s">
        <v>376</v>
      </c>
      <c r="DA24" t="s">
        <v>379</v>
      </c>
      <c r="DC24" t="s">
        <v>374</v>
      </c>
    </row>
    <row r="25" spans="1:108" x14ac:dyDescent="0.2">
      <c r="A25" s="30">
        <v>1967</v>
      </c>
      <c r="B25" s="14">
        <f t="shared" si="0"/>
        <v>57493.457623061957</v>
      </c>
      <c r="C25" s="18"/>
      <c r="D25" s="18"/>
      <c r="E25" s="19"/>
      <c r="F25" s="15">
        <f>'Passenger-based Activity'!$AD26/50</f>
        <v>52.542376938040334</v>
      </c>
      <c r="G25" s="15">
        <f t="shared" si="1"/>
        <v>52.542376938040334</v>
      </c>
      <c r="H25" s="14">
        <v>9534</v>
      </c>
      <c r="I25" s="21">
        <f t="shared" ref="I25:I61" si="4">H25-J25-K25-L25</f>
        <v>9305.1839999999993</v>
      </c>
      <c r="J25" s="21"/>
      <c r="K25" s="21">
        <f t="shared" ref="K25:K35" si="5">H25*0.016</f>
        <v>152.54400000000001</v>
      </c>
      <c r="L25" s="22">
        <f t="shared" ref="L25:L35" si="6">H25*0.008</f>
        <v>76.272000000000006</v>
      </c>
      <c r="M25" s="14"/>
      <c r="N25" s="21"/>
      <c r="O25" s="21"/>
      <c r="P25" s="22"/>
      <c r="Q25" s="14"/>
      <c r="R25" s="21"/>
      <c r="S25" s="21"/>
      <c r="T25" s="21"/>
      <c r="U25" s="44">
        <v>270.3</v>
      </c>
      <c r="V25" s="45"/>
      <c r="W25" s="45">
        <f t="shared" si="3"/>
        <v>57.8</v>
      </c>
      <c r="X25" s="45"/>
      <c r="Y25" s="45"/>
      <c r="Z25" s="45"/>
      <c r="AA25" s="109"/>
      <c r="AD25" s="36"/>
      <c r="AE25" s="36"/>
      <c r="AF25" s="36"/>
      <c r="AG25" s="63"/>
      <c r="AH25" s="40"/>
      <c r="AI25" s="40"/>
      <c r="AJ25" s="103"/>
      <c r="AK25" s="39"/>
      <c r="AL25" s="42">
        <v>1967</v>
      </c>
      <c r="AM25" s="27"/>
      <c r="AN25" s="22"/>
      <c r="AO25" s="252">
        <v>1967</v>
      </c>
      <c r="AP25" s="21"/>
      <c r="AQ25" s="21"/>
      <c r="AR25" s="34">
        <v>396</v>
      </c>
      <c r="AS25" s="33">
        <v>100</v>
      </c>
      <c r="AT25" s="30">
        <v>1967</v>
      </c>
      <c r="AU25" s="35"/>
      <c r="AV25" s="33"/>
      <c r="AW25" s="33"/>
      <c r="AX25" s="33"/>
      <c r="AY25" s="33"/>
      <c r="AZ25" s="33"/>
      <c r="BA25" s="57"/>
      <c r="BB25" s="57">
        <v>2194</v>
      </c>
      <c r="BC25" s="123">
        <v>180</v>
      </c>
      <c r="BD25" s="37"/>
      <c r="BE25" s="30">
        <v>1967</v>
      </c>
      <c r="BF25" s="25">
        <v>575752</v>
      </c>
      <c r="BG25" s="21"/>
      <c r="BH25" s="112"/>
      <c r="BI25" s="36"/>
      <c r="BJ25" s="36"/>
      <c r="BS25" s="14">
        <v>3687</v>
      </c>
      <c r="BT25" s="21">
        <v>1460.0520000000001</v>
      </c>
      <c r="BU25" s="21">
        <v>2190.078</v>
      </c>
      <c r="BV25" s="22">
        <v>36.869999999999997</v>
      </c>
      <c r="BW25" s="14">
        <v>6104</v>
      </c>
      <c r="BX25" s="21">
        <v>2417.1840000000002</v>
      </c>
      <c r="BY25" s="21">
        <v>3625.7759999999998</v>
      </c>
      <c r="BZ25" s="21">
        <v>61.04</v>
      </c>
      <c r="CB25" s="369"/>
      <c r="CC25" s="17">
        <v>57546</v>
      </c>
      <c r="CE25" s="297"/>
      <c r="CG25" s="390">
        <v>57.8</v>
      </c>
      <c r="CH25" s="125">
        <f t="shared" si="2"/>
        <v>57.8</v>
      </c>
      <c r="CJ25" s="289"/>
      <c r="CO25" s="289"/>
      <c r="CX25" t="s">
        <v>371</v>
      </c>
      <c r="CZ25" t="s">
        <v>776</v>
      </c>
      <c r="DA25" t="s">
        <v>380</v>
      </c>
      <c r="DC25" t="s">
        <v>375</v>
      </c>
      <c r="DD25" t="s">
        <v>375</v>
      </c>
    </row>
    <row r="26" spans="1:108" x14ac:dyDescent="0.2">
      <c r="A26" s="30">
        <v>1968</v>
      </c>
      <c r="B26" s="14">
        <f t="shared" si="0"/>
        <v>61120.915390000206</v>
      </c>
      <c r="C26" s="18"/>
      <c r="D26" s="18"/>
      <c r="E26" s="19"/>
      <c r="F26" s="15">
        <f>'Passenger-based Activity'!$AD27/50</f>
        <v>55.0846099997934</v>
      </c>
      <c r="G26" s="15">
        <f t="shared" si="1"/>
        <v>55.0846099997934</v>
      </c>
      <c r="H26" s="14">
        <v>10432</v>
      </c>
      <c r="I26" s="21">
        <f t="shared" si="4"/>
        <v>10181.632</v>
      </c>
      <c r="J26" s="21"/>
      <c r="K26" s="21">
        <f t="shared" si="5"/>
        <v>166.91200000000001</v>
      </c>
      <c r="L26" s="22">
        <f t="shared" si="6"/>
        <v>83.456000000000003</v>
      </c>
      <c r="M26" s="14"/>
      <c r="N26" s="21"/>
      <c r="O26" s="21"/>
      <c r="P26" s="22"/>
      <c r="Q26" s="14"/>
      <c r="R26" s="21"/>
      <c r="S26" s="21"/>
      <c r="T26" s="21"/>
      <c r="U26" s="44">
        <v>274.2</v>
      </c>
      <c r="V26" s="45"/>
      <c r="W26" s="45">
        <f t="shared" si="3"/>
        <v>45.7</v>
      </c>
      <c r="X26" s="45"/>
      <c r="Y26" s="45"/>
      <c r="Z26" s="45"/>
      <c r="AA26" s="109"/>
      <c r="AD26" s="36"/>
      <c r="AE26" s="36"/>
      <c r="AF26" s="36"/>
      <c r="AG26" s="63"/>
      <c r="AH26" s="40"/>
      <c r="AI26" s="40"/>
      <c r="AJ26" s="103"/>
      <c r="AK26" s="39"/>
      <c r="AL26" s="42">
        <v>1968</v>
      </c>
      <c r="AM26" s="27"/>
      <c r="AN26" s="22"/>
      <c r="AO26" s="252">
        <v>1968</v>
      </c>
      <c r="AP26" s="21"/>
      <c r="AQ26" s="21"/>
      <c r="AR26" s="34">
        <v>495</v>
      </c>
      <c r="AS26" s="33">
        <v>115</v>
      </c>
      <c r="AT26" s="30">
        <v>1968</v>
      </c>
      <c r="AU26" s="35"/>
      <c r="AV26" s="33"/>
      <c r="AW26" s="33"/>
      <c r="AX26" s="33"/>
      <c r="AY26" s="33"/>
      <c r="AZ26" s="33"/>
      <c r="BA26" s="57"/>
      <c r="BB26" s="57">
        <v>2250</v>
      </c>
      <c r="BC26" s="123">
        <v>179</v>
      </c>
      <c r="BD26" s="37">
        <v>3922.4920000000002</v>
      </c>
      <c r="BE26" s="30">
        <v>1968</v>
      </c>
      <c r="BF26" s="25">
        <v>590965</v>
      </c>
      <c r="BG26" s="21"/>
      <c r="BH26" s="112"/>
      <c r="BI26" s="36"/>
      <c r="BJ26" s="36"/>
      <c r="BS26">
        <v>3851</v>
      </c>
      <c r="BT26">
        <v>1524.9960000000001</v>
      </c>
      <c r="BU26">
        <v>2287.4939999999997</v>
      </c>
      <c r="BV26">
        <v>38.51</v>
      </c>
      <c r="BW26">
        <v>6584</v>
      </c>
      <c r="BX26">
        <v>2607.2640000000001</v>
      </c>
      <c r="BY26">
        <v>3910.8959999999997</v>
      </c>
      <c r="BZ26">
        <v>65.84</v>
      </c>
      <c r="CB26" s="369"/>
      <c r="CC26" s="17">
        <v>61176</v>
      </c>
      <c r="CE26" s="297"/>
      <c r="CG26" s="390">
        <v>45.7</v>
      </c>
      <c r="CH26" s="125">
        <f t="shared" si="2"/>
        <v>45.7</v>
      </c>
      <c r="CJ26" s="289"/>
      <c r="CO26" s="289"/>
      <c r="CQ26" s="26" t="s">
        <v>382</v>
      </c>
      <c r="CR26" s="26" t="s">
        <v>382</v>
      </c>
      <c r="CS26" s="26" t="s">
        <v>375</v>
      </c>
      <c r="CT26" s="26" t="s">
        <v>375</v>
      </c>
      <c r="CU26" s="26" t="s">
        <v>381</v>
      </c>
      <c r="CV26" s="26" t="s">
        <v>381</v>
      </c>
      <c r="CW26" s="26" t="s">
        <v>381</v>
      </c>
      <c r="CX26" s="26" t="s">
        <v>644</v>
      </c>
      <c r="CY26" s="26" t="s">
        <v>369</v>
      </c>
      <c r="CZ26" s="26" t="s">
        <v>381</v>
      </c>
      <c r="DA26" s="26" t="s">
        <v>381</v>
      </c>
      <c r="DB26" s="26"/>
      <c r="DC26" s="26"/>
      <c r="DD26" s="26"/>
    </row>
    <row r="27" spans="1:108" x14ac:dyDescent="0.2">
      <c r="A27" s="30">
        <v>1969</v>
      </c>
      <c r="B27" s="14">
        <f t="shared" si="0"/>
        <v>64792.685737197433</v>
      </c>
      <c r="C27" s="18"/>
      <c r="D27" s="18"/>
      <c r="E27" s="19"/>
      <c r="F27" s="15">
        <f>'Passenger-based Activity'!$AD28/50</f>
        <v>57.314262802564805</v>
      </c>
      <c r="G27" s="15">
        <f t="shared" si="1"/>
        <v>57.314262802564805</v>
      </c>
      <c r="H27" s="17">
        <v>11408</v>
      </c>
      <c r="I27" s="21">
        <f t="shared" si="4"/>
        <v>11134.208000000001</v>
      </c>
      <c r="J27" s="21"/>
      <c r="K27" s="21">
        <f t="shared" si="5"/>
        <v>182.52799999999999</v>
      </c>
      <c r="L27" s="22">
        <f t="shared" si="6"/>
        <v>91.263999999999996</v>
      </c>
      <c r="M27" s="17"/>
      <c r="N27" s="21"/>
      <c r="O27" s="21"/>
      <c r="P27" s="22"/>
      <c r="Q27" s="17"/>
      <c r="R27" s="21"/>
      <c r="S27" s="21"/>
      <c r="T27" s="21"/>
      <c r="U27" s="44">
        <v>273.8</v>
      </c>
      <c r="V27" s="45"/>
      <c r="W27" s="45">
        <f t="shared" si="3"/>
        <v>40</v>
      </c>
      <c r="X27" s="45"/>
      <c r="Y27" s="45"/>
      <c r="Z27" s="45"/>
      <c r="AA27" s="109"/>
      <c r="AD27" s="36"/>
      <c r="AE27" s="36"/>
      <c r="AF27" s="36"/>
      <c r="AG27" s="63"/>
      <c r="AH27" s="40"/>
      <c r="AI27" s="40"/>
      <c r="AJ27" s="103"/>
      <c r="AK27" s="39"/>
      <c r="AL27" s="42">
        <v>1969</v>
      </c>
      <c r="AM27" s="27"/>
      <c r="AN27" s="22"/>
      <c r="AO27" s="252">
        <v>1969</v>
      </c>
      <c r="AP27" s="21"/>
      <c r="AQ27" s="21"/>
      <c r="AR27" s="34">
        <v>522</v>
      </c>
      <c r="AS27" s="33">
        <v>168</v>
      </c>
      <c r="AT27" s="30">
        <v>1969</v>
      </c>
      <c r="AU27" s="35"/>
      <c r="AV27" s="33"/>
      <c r="AW27" s="33"/>
      <c r="AX27" s="33"/>
      <c r="AY27" s="46"/>
      <c r="AZ27" s="33"/>
      <c r="BA27" s="57"/>
      <c r="BB27" s="57">
        <v>2291</v>
      </c>
      <c r="BC27" s="123">
        <v>173</v>
      </c>
      <c r="BD27" s="37">
        <v>3924.0549999999998</v>
      </c>
      <c r="BE27" s="30">
        <v>1969</v>
      </c>
      <c r="BF27" s="25">
        <v>630962</v>
      </c>
      <c r="BG27" s="21"/>
      <c r="BH27" s="112"/>
      <c r="BI27" s="36"/>
      <c r="BJ27" s="36"/>
      <c r="BK27" t="s">
        <v>1000</v>
      </c>
      <c r="BS27">
        <v>3919</v>
      </c>
      <c r="BT27">
        <v>1551.924</v>
      </c>
      <c r="BU27">
        <v>2327.886</v>
      </c>
      <c r="BV27">
        <v>39.19</v>
      </c>
      <c r="BW27">
        <v>7069</v>
      </c>
      <c r="BX27">
        <v>2799.3240000000001</v>
      </c>
      <c r="BY27">
        <v>4198.9859999999999</v>
      </c>
      <c r="BZ27">
        <v>70.69</v>
      </c>
      <c r="CB27" s="369"/>
      <c r="CC27" s="17">
        <v>64850</v>
      </c>
      <c r="CE27" s="297"/>
      <c r="CG27" s="390">
        <v>40</v>
      </c>
      <c r="CH27" s="125">
        <f t="shared" si="2"/>
        <v>40</v>
      </c>
      <c r="CJ27" s="289"/>
      <c r="CO27" s="289"/>
    </row>
    <row r="28" spans="1:108" x14ac:dyDescent="0.2">
      <c r="A28" s="30">
        <v>1970</v>
      </c>
      <c r="B28" s="25">
        <f>CC28</f>
        <v>67820</v>
      </c>
      <c r="C28" s="21">
        <f>B28-D28-E28</f>
        <v>67684.36</v>
      </c>
      <c r="D28" s="21">
        <f t="shared" ref="D28:D37" si="7">B28*0</f>
        <v>0</v>
      </c>
      <c r="E28" s="22">
        <f>B28*0.002</f>
        <v>135.64000000000001</v>
      </c>
      <c r="F28" s="43">
        <v>59.58</v>
      </c>
      <c r="G28" s="15">
        <f t="shared" si="1"/>
        <v>59.58</v>
      </c>
      <c r="H28" s="20">
        <v>12313.439</v>
      </c>
      <c r="I28" s="21">
        <f t="shared" si="4"/>
        <v>12017.916464</v>
      </c>
      <c r="J28" s="21"/>
      <c r="K28" s="21">
        <f t="shared" si="5"/>
        <v>197.01502400000001</v>
      </c>
      <c r="L28" s="22">
        <f t="shared" si="6"/>
        <v>98.507512000000006</v>
      </c>
      <c r="M28" s="522">
        <f>Adjust_Truck_Freight!AB6</f>
        <v>6474.0040740423256</v>
      </c>
      <c r="N28" s="21">
        <f>M28-O28-P28</f>
        <v>673.29642370040187</v>
      </c>
      <c r="O28" s="21">
        <f>M28*FuelConsump!$BM28</f>
        <v>5794.2336462678813</v>
      </c>
      <c r="P28" s="22">
        <f>M28*FuelConsump!$BN28</f>
        <v>6.4740040740423259</v>
      </c>
      <c r="Q28" s="522">
        <f>Adjust_Truck_Freight!AC6</f>
        <v>7955.4683535115373</v>
      </c>
      <c r="R28" s="21">
        <f>Q28-S28-T28</f>
        <v>827.36870876519981</v>
      </c>
      <c r="S28" s="21">
        <f>Q28*FuelConsump!$BM28</f>
        <v>7120.144176392826</v>
      </c>
      <c r="T28" s="21">
        <f>Q28*FuelConsump!$BN28</f>
        <v>7.9554683535115371</v>
      </c>
      <c r="U28" s="49">
        <v>270.60000000000002</v>
      </c>
      <c r="V28" s="45"/>
      <c r="W28" s="45">
        <f t="shared" si="3"/>
        <v>37.200000000000003</v>
      </c>
      <c r="X28" s="45"/>
      <c r="Y28" s="45"/>
      <c r="Z28" s="45"/>
      <c r="AA28" s="109"/>
      <c r="AD28" s="36"/>
      <c r="AE28" s="36"/>
      <c r="AF28" s="36"/>
      <c r="AG28" s="63"/>
      <c r="AH28" s="40">
        <v>299.88</v>
      </c>
      <c r="AI28" s="40"/>
      <c r="AJ28" s="759" t="s">
        <v>15</v>
      </c>
      <c r="AK28" s="760">
        <v>7.27</v>
      </c>
      <c r="AL28" s="42">
        <v>1970</v>
      </c>
      <c r="AM28" s="28">
        <v>19503</v>
      </c>
      <c r="AN28" s="22">
        <v>89850</v>
      </c>
      <c r="AO28" s="252">
        <v>1970</v>
      </c>
      <c r="AP28" s="406">
        <f>0.828*(10085)</f>
        <v>8350.3799999999992</v>
      </c>
      <c r="AQ28" s="406">
        <f>10085-AP28</f>
        <v>1734.6200000000008</v>
      </c>
      <c r="AR28" s="34">
        <v>551</v>
      </c>
      <c r="AS28" s="33">
        <v>208</v>
      </c>
      <c r="AT28" s="30">
        <v>1970</v>
      </c>
      <c r="AU28" s="49"/>
      <c r="AV28" s="46"/>
      <c r="AW28" s="33"/>
      <c r="AX28" s="375"/>
      <c r="AY28" s="381">
        <f>AY29</f>
        <v>6.0882916259852333</v>
      </c>
      <c r="AZ28" s="49">
        <f>0.3*5.89*42</f>
        <v>74.213999999999999</v>
      </c>
      <c r="BA28" s="178">
        <f>0.73*915</f>
        <v>667.94999999999993</v>
      </c>
      <c r="BB28" s="57">
        <v>2261</v>
      </c>
      <c r="BC28" s="123">
        <v>157</v>
      </c>
      <c r="BD28" s="37">
        <v>3807.663</v>
      </c>
      <c r="BE28" s="30">
        <v>1970</v>
      </c>
      <c r="BF28" s="25">
        <v>722166</v>
      </c>
      <c r="BG28" s="21">
        <f>BF28/BG$2</f>
        <v>3272.9027872195784</v>
      </c>
      <c r="BH28" s="112"/>
      <c r="BI28" s="36"/>
      <c r="BJ28" s="36">
        <f>BE28</f>
        <v>1970</v>
      </c>
      <c r="BM28" s="136">
        <v>0.89500000000000002</v>
      </c>
      <c r="BN28" s="136">
        <v>1E-3</v>
      </c>
      <c r="BS28">
        <v>3968.375</v>
      </c>
      <c r="BT28">
        <v>1571.4765</v>
      </c>
      <c r="BU28">
        <v>2357.2147500000001</v>
      </c>
      <c r="BV28">
        <v>39.683750000000003</v>
      </c>
      <c r="BW28">
        <v>7347.9369999999999</v>
      </c>
      <c r="BX28">
        <v>2909.7830520000002</v>
      </c>
      <c r="BY28">
        <v>4364.6745780000001</v>
      </c>
      <c r="BZ28">
        <v>73.479370000000003</v>
      </c>
      <c r="CB28" s="369"/>
      <c r="CC28" s="25">
        <v>67820</v>
      </c>
      <c r="CE28" s="297"/>
      <c r="CG28" s="125">
        <v>37.200000000000003</v>
      </c>
      <c r="CH28" s="125">
        <f t="shared" si="2"/>
        <v>37.200000000000003</v>
      </c>
      <c r="CJ28" s="289"/>
      <c r="CO28" s="289"/>
      <c r="CQ28" s="4">
        <v>819000</v>
      </c>
      <c r="CR28" s="4">
        <v>3774120</v>
      </c>
      <c r="CS28" s="4">
        <f>CQ28/42</f>
        <v>19500</v>
      </c>
      <c r="CT28" s="4">
        <f>CR28/42</f>
        <v>89860</v>
      </c>
      <c r="CU28" s="4">
        <f t="shared" ref="CU28:CU65" si="8">CQ28*$CU$20*0.000001</f>
        <v>113.59529999999998</v>
      </c>
      <c r="CV28" s="4">
        <f>CR28*$CV$20*0.000001</f>
        <v>564.98576400000002</v>
      </c>
      <c r="CW28" s="4">
        <f>SUM(CU28:CV28)</f>
        <v>678.58106399999997</v>
      </c>
      <c r="CX28" s="4"/>
      <c r="CY28" s="4"/>
      <c r="CZ28" s="4"/>
      <c r="DA28" s="293">
        <v>324.8</v>
      </c>
      <c r="DB28" s="4"/>
      <c r="DC28" s="4">
        <f t="shared" ref="DC28:DC57" si="9">CS28-AM28</f>
        <v>-3</v>
      </c>
      <c r="DD28" s="4">
        <f t="shared" ref="DD28:DD57" si="10">CT28-AN28</f>
        <v>10</v>
      </c>
    </row>
    <row r="29" spans="1:108" x14ac:dyDescent="0.2">
      <c r="A29" s="30">
        <v>1971</v>
      </c>
      <c r="B29" s="25">
        <f t="shared" ref="B29:B65" si="11">CC29</f>
        <v>71346</v>
      </c>
      <c r="C29" s="21">
        <f t="shared" ref="C29:C61" si="12">B29-D29-E29</f>
        <v>70775.232000000004</v>
      </c>
      <c r="D29" s="21">
        <f t="shared" si="7"/>
        <v>0</v>
      </c>
      <c r="E29" s="22">
        <f>B29*0.008</f>
        <v>570.76800000000003</v>
      </c>
      <c r="F29" s="43">
        <v>72.14</v>
      </c>
      <c r="G29" s="15">
        <f t="shared" si="1"/>
        <v>72.14</v>
      </c>
      <c r="H29" s="20">
        <v>13484.433999999999</v>
      </c>
      <c r="I29" s="21">
        <f t="shared" si="4"/>
        <v>13160.807584</v>
      </c>
      <c r="J29" s="21"/>
      <c r="K29" s="21">
        <f t="shared" si="5"/>
        <v>215.750944</v>
      </c>
      <c r="L29" s="22">
        <f t="shared" si="6"/>
        <v>107.875472</v>
      </c>
      <c r="M29" s="522">
        <f>Adjust_Truck_Freight!AB7</f>
        <v>6879.8928885482392</v>
      </c>
      <c r="N29" s="21">
        <f t="shared" ref="N29:N68" si="13">M29-O29-P29</f>
        <v>715.50886040901673</v>
      </c>
      <c r="O29" s="21">
        <f>M29*FuelConsump!$BM29</f>
        <v>6157.5041352506742</v>
      </c>
      <c r="P29" s="22">
        <f>M29*FuelConsump!$BN29</f>
        <v>6.8798928885482393</v>
      </c>
      <c r="Q29" s="522">
        <f>Adjust_Truck_Freight!AC7</f>
        <v>8223.079914454318</v>
      </c>
      <c r="R29" s="21">
        <f t="shared" ref="R29:R68" si="14">Q29-S29-T29</f>
        <v>855.20031110324931</v>
      </c>
      <c r="S29" s="21">
        <f>Q29*FuelConsump!$BM29</f>
        <v>7359.6565234366144</v>
      </c>
      <c r="T29" s="21">
        <f>Q29*FuelConsump!$BN29</f>
        <v>8.2230799144543187</v>
      </c>
      <c r="U29" s="49">
        <v>256.8</v>
      </c>
      <c r="V29" s="45"/>
      <c r="W29" s="45">
        <f t="shared" si="3"/>
        <v>29.4</v>
      </c>
      <c r="X29" s="45"/>
      <c r="Y29" s="45"/>
      <c r="Z29" s="45"/>
      <c r="AA29" s="109"/>
      <c r="AD29" s="36"/>
      <c r="AE29" s="36"/>
      <c r="AF29" s="36"/>
      <c r="AG29" s="63"/>
      <c r="AH29" s="40">
        <v>309.75</v>
      </c>
      <c r="AI29" s="40"/>
      <c r="AJ29" s="759" t="s">
        <v>15</v>
      </c>
      <c r="AK29" s="760">
        <v>7.07</v>
      </c>
      <c r="AL29" s="42">
        <v>1971</v>
      </c>
      <c r="AM29" s="28">
        <v>20959</v>
      </c>
      <c r="AN29" s="22">
        <v>78727</v>
      </c>
      <c r="AO29" s="252">
        <v>1971</v>
      </c>
      <c r="AP29" s="406">
        <f>0.828*(10140)</f>
        <v>8395.92</v>
      </c>
      <c r="AQ29" s="406">
        <f>10140-AP29</f>
        <v>1744.08</v>
      </c>
      <c r="AR29" s="34">
        <v>508</v>
      </c>
      <c r="AS29" s="33">
        <v>226</v>
      </c>
      <c r="AT29" s="30">
        <v>1971</v>
      </c>
      <c r="AU29" s="179">
        <f>AU28+((AU$32-AU$28)/4)</f>
        <v>26.239499999999996</v>
      </c>
      <c r="AV29" s="180">
        <f t="shared" ref="AV29:BA31" si="15">AV28+((AV$32-AV$28)/4)</f>
        <v>70.784999999999997</v>
      </c>
      <c r="AW29" s="33">
        <f>(FuelConsump!AU29*'Fuel Heat Content'!$D$7/1000000)+(FuelConsump!AV29*'Fuel Heat Content'!$D$21/1000000)</f>
        <v>4.3712647649999994</v>
      </c>
      <c r="AX29" s="107"/>
      <c r="AY29" s="382">
        <f>'Passenger-based Activity'!$M30/'Passenger-based Activity'!$M31*AY30</f>
        <v>6.0882916259852333</v>
      </c>
      <c r="AZ29" s="179">
        <f t="shared" si="15"/>
        <v>66.906000000000006</v>
      </c>
      <c r="BA29" s="181">
        <f t="shared" si="15"/>
        <v>699.70499999999993</v>
      </c>
      <c r="BB29" s="59">
        <v>2262</v>
      </c>
      <c r="BC29" s="123">
        <v>153</v>
      </c>
      <c r="BD29" s="37">
        <v>3822.9070000000002</v>
      </c>
      <c r="BE29" s="30">
        <v>1971</v>
      </c>
      <c r="BF29" s="25">
        <v>742592</v>
      </c>
      <c r="BG29" s="21">
        <f t="shared" ref="BG29:BG69" si="16">BF29/BG$2</f>
        <v>3365.4747337412191</v>
      </c>
      <c r="BH29" s="112"/>
      <c r="BI29" s="36"/>
      <c r="BJ29" s="36">
        <f t="shared" ref="BJ29:BJ69" si="17">BE29</f>
        <v>1971</v>
      </c>
      <c r="BM29" s="136">
        <v>0.89500000000000002</v>
      </c>
      <c r="BN29" s="136">
        <v>1E-3</v>
      </c>
      <c r="BS29">
        <v>4217.1729627203395</v>
      </c>
      <c r="BT29">
        <v>1670.0004932372544</v>
      </c>
      <c r="BU29">
        <v>2505.0007398558814</v>
      </c>
      <c r="BV29">
        <v>42.171729627203398</v>
      </c>
      <c r="BW29">
        <v>7595.1120000000001</v>
      </c>
      <c r="BX29">
        <v>3007.6643520000002</v>
      </c>
      <c r="BY29">
        <v>4511.4965279999997</v>
      </c>
      <c r="BZ29">
        <v>75.951120000000003</v>
      </c>
      <c r="CB29" s="369"/>
      <c r="CC29" s="25">
        <v>71346</v>
      </c>
      <c r="CE29" s="297"/>
      <c r="CG29" s="125">
        <v>29.4</v>
      </c>
      <c r="CH29" s="125">
        <f t="shared" ref="CH29:CH41" si="18">CG29</f>
        <v>29.4</v>
      </c>
      <c r="CJ29" s="289"/>
      <c r="CO29" s="289"/>
      <c r="CQ29" s="4">
        <v>880000</v>
      </c>
      <c r="CR29" s="4">
        <v>3307000</v>
      </c>
      <c r="CS29" s="4">
        <f t="shared" ref="CS29:CS65" si="19">CQ29/42</f>
        <v>20952.380952380954</v>
      </c>
      <c r="CT29" s="4">
        <f t="shared" ref="CT29:CT65" si="20">CR29/42</f>
        <v>78738.095238095237</v>
      </c>
      <c r="CU29" s="4">
        <f t="shared" si="8"/>
        <v>122.05599999999998</v>
      </c>
      <c r="CV29" s="4">
        <f t="shared" ref="CV29:CV65" si="21">CR29*$CV$20*0.000001</f>
        <v>495.0578999999999</v>
      </c>
      <c r="CW29" s="4">
        <f t="shared" ref="CW29:CW65" si="22">SUM(CU29:CV29)</f>
        <v>617.11389999999983</v>
      </c>
      <c r="CX29" s="4"/>
      <c r="CY29" s="4"/>
      <c r="CZ29" s="4"/>
      <c r="DA29" s="293">
        <v>300</v>
      </c>
      <c r="DB29" s="4"/>
      <c r="DC29" s="4">
        <f t="shared" si="9"/>
        <v>-6.6190476190458867</v>
      </c>
      <c r="DD29" s="4">
        <f t="shared" si="10"/>
        <v>11.095238095236709</v>
      </c>
    </row>
    <row r="30" spans="1:108" x14ac:dyDescent="0.2">
      <c r="A30" s="30">
        <v>1972</v>
      </c>
      <c r="B30" s="25">
        <f t="shared" si="11"/>
        <v>75937</v>
      </c>
      <c r="C30" s="21">
        <f t="shared" si="12"/>
        <v>74949.819000000003</v>
      </c>
      <c r="D30" s="21">
        <f t="shared" si="7"/>
        <v>0</v>
      </c>
      <c r="E30" s="22">
        <f>B30*0.013</f>
        <v>987.18099999999993</v>
      </c>
      <c r="F30" s="43">
        <v>86.62</v>
      </c>
      <c r="G30" s="15">
        <f t="shared" si="1"/>
        <v>86.62</v>
      </c>
      <c r="H30" s="20">
        <v>15150.210999999999</v>
      </c>
      <c r="I30" s="21">
        <f t="shared" si="4"/>
        <v>14786.605936</v>
      </c>
      <c r="J30" s="21"/>
      <c r="K30" s="21">
        <f t="shared" si="5"/>
        <v>242.40337599999998</v>
      </c>
      <c r="L30" s="22">
        <f t="shared" si="6"/>
        <v>121.20168799999999</v>
      </c>
      <c r="M30" s="522">
        <f>Adjust_Truck_Freight!AB8</f>
        <v>7902.8122857308763</v>
      </c>
      <c r="N30" s="21">
        <f t="shared" si="13"/>
        <v>821.89247771601083</v>
      </c>
      <c r="O30" s="21">
        <f>M30*FuelConsump!$BM30</f>
        <v>7073.0169957291346</v>
      </c>
      <c r="P30" s="22">
        <f>M30*FuelConsump!$BN30</f>
        <v>7.9028122857308762</v>
      </c>
      <c r="Q30" s="522">
        <f>Adjust_Truck_Freight!AC8</f>
        <v>8791.4557969654652</v>
      </c>
      <c r="R30" s="21">
        <f t="shared" si="14"/>
        <v>914.31140288440815</v>
      </c>
      <c r="S30" s="21">
        <f>Q30*FuelConsump!$BM30</f>
        <v>7868.3529382840916</v>
      </c>
      <c r="T30" s="21">
        <f>Q30*FuelConsump!$BN30</f>
        <v>8.7914557969654652</v>
      </c>
      <c r="U30" s="49">
        <v>253.25</v>
      </c>
      <c r="V30" s="45"/>
      <c r="W30" s="45">
        <f t="shared" si="3"/>
        <v>19.600000000000001</v>
      </c>
      <c r="X30" s="45"/>
      <c r="Y30" s="45"/>
      <c r="Z30" s="45"/>
      <c r="AA30" s="109"/>
      <c r="AD30" s="36"/>
      <c r="AE30" s="36"/>
      <c r="AF30" s="36"/>
      <c r="AG30" s="63"/>
      <c r="AH30" s="40">
        <v>319.75</v>
      </c>
      <c r="AI30" s="40"/>
      <c r="AJ30" s="759" t="s">
        <v>15</v>
      </c>
      <c r="AK30" s="760">
        <v>6.86</v>
      </c>
      <c r="AL30" s="42">
        <v>1972</v>
      </c>
      <c r="AM30" s="28">
        <v>22125</v>
      </c>
      <c r="AN30" s="22">
        <v>77932</v>
      </c>
      <c r="AO30" s="252">
        <v>1972</v>
      </c>
      <c r="AP30" s="406">
        <f>0.828*(10302)</f>
        <v>8530.0559999999987</v>
      </c>
      <c r="AQ30" s="406">
        <f>10302-AP30</f>
        <v>1771.9440000000013</v>
      </c>
      <c r="AR30" s="34">
        <v>584</v>
      </c>
      <c r="AS30" s="33">
        <v>245</v>
      </c>
      <c r="AT30" s="30">
        <v>1972</v>
      </c>
      <c r="AU30" s="179">
        <f>AU29+((AU$32-AU$28)/4)</f>
        <v>52.478999999999992</v>
      </c>
      <c r="AV30" s="180">
        <f t="shared" si="15"/>
        <v>141.57</v>
      </c>
      <c r="AW30" s="33">
        <f>(FuelConsump!AU30*'Fuel Heat Content'!$D$7/1000000)+(FuelConsump!AV30*'Fuel Heat Content'!$D$21/1000000)</f>
        <v>8.7425295299999988</v>
      </c>
      <c r="AX30" s="107"/>
      <c r="AY30" s="382">
        <f>'Passenger-based Activity'!$M31/'Passenger-based Activity'!$M32*AY31</f>
        <v>9.2836519073603228</v>
      </c>
      <c r="AZ30" s="179">
        <f t="shared" si="15"/>
        <v>59.598000000000006</v>
      </c>
      <c r="BA30" s="181">
        <f t="shared" si="15"/>
        <v>731.45999999999992</v>
      </c>
      <c r="BB30" s="59">
        <v>2149</v>
      </c>
      <c r="BC30" s="123">
        <v>146</v>
      </c>
      <c r="BD30" s="37">
        <v>3996.9850000000001</v>
      </c>
      <c r="BE30" s="30">
        <v>1972</v>
      </c>
      <c r="BF30" s="25">
        <v>766156</v>
      </c>
      <c r="BG30" s="21">
        <f t="shared" si="16"/>
        <v>3472.2682982098345</v>
      </c>
      <c r="BH30" s="112"/>
      <c r="BI30" s="36"/>
      <c r="BJ30" s="36">
        <f t="shared" si="17"/>
        <v>1972</v>
      </c>
      <c r="BM30" s="136">
        <v>0.89500000000000002</v>
      </c>
      <c r="BN30" s="136">
        <v>1E-3</v>
      </c>
      <c r="BS30">
        <v>4844.1926118229121</v>
      </c>
      <c r="BT30">
        <v>1918.3002742818733</v>
      </c>
      <c r="BU30">
        <v>2877.4504114228098</v>
      </c>
      <c r="BV30">
        <v>48.441926118229119</v>
      </c>
      <c r="BW30">
        <v>8120.0829999999996</v>
      </c>
      <c r="BX30">
        <v>3215.5528680000002</v>
      </c>
      <c r="BY30">
        <v>4823.3293019999992</v>
      </c>
      <c r="BZ30">
        <v>81.200829999999996</v>
      </c>
      <c r="CB30" s="369"/>
      <c r="CC30" s="25">
        <v>75937</v>
      </c>
      <c r="CE30" s="297"/>
      <c r="CG30" s="125">
        <v>19.600000000000001</v>
      </c>
      <c r="CH30" s="125">
        <f t="shared" si="18"/>
        <v>19.600000000000001</v>
      </c>
      <c r="CJ30" s="289"/>
      <c r="CO30" s="289"/>
      <c r="CQ30" s="4">
        <v>1013000</v>
      </c>
      <c r="CR30" s="4">
        <v>3273000</v>
      </c>
      <c r="CS30" s="4">
        <f t="shared" si="19"/>
        <v>24119.047619047618</v>
      </c>
      <c r="CT30" s="4">
        <f t="shared" si="20"/>
        <v>77928.571428571435</v>
      </c>
      <c r="CU30" s="4">
        <f t="shared" si="8"/>
        <v>140.50309999999999</v>
      </c>
      <c r="CV30" s="4">
        <f t="shared" si="21"/>
        <v>489.96809999999994</v>
      </c>
      <c r="CW30" s="4">
        <f t="shared" si="22"/>
        <v>630.47119999999995</v>
      </c>
      <c r="CX30" s="4"/>
      <c r="CY30" s="4"/>
      <c r="CZ30" s="4"/>
      <c r="DA30" s="293">
        <v>315.10000000000002</v>
      </c>
      <c r="DB30" s="4"/>
      <c r="DC30" s="4">
        <f t="shared" si="9"/>
        <v>1994.0476190476184</v>
      </c>
      <c r="DD30" s="4">
        <f t="shared" si="10"/>
        <v>-3.428571428565192</v>
      </c>
    </row>
    <row r="31" spans="1:108" x14ac:dyDescent="0.2">
      <c r="A31" s="30">
        <v>1973</v>
      </c>
      <c r="B31" s="25">
        <f t="shared" si="11"/>
        <v>78233</v>
      </c>
      <c r="C31" s="21">
        <f t="shared" si="12"/>
        <v>76746.573000000004</v>
      </c>
      <c r="D31" s="21">
        <f t="shared" si="7"/>
        <v>0</v>
      </c>
      <c r="E31" s="22">
        <f>B31*0.019</f>
        <v>1486.4269999999999</v>
      </c>
      <c r="F31" s="43">
        <v>103.88</v>
      </c>
      <c r="G31" s="15">
        <f t="shared" si="1"/>
        <v>103.88</v>
      </c>
      <c r="H31" s="20">
        <v>16828.078000000001</v>
      </c>
      <c r="I31" s="21">
        <f t="shared" si="4"/>
        <v>16424.204128000001</v>
      </c>
      <c r="J31" s="21"/>
      <c r="K31" s="21">
        <f t="shared" si="5"/>
        <v>269.24924800000002</v>
      </c>
      <c r="L31" s="22">
        <f t="shared" si="6"/>
        <v>134.62462400000001</v>
      </c>
      <c r="M31" s="522">
        <f>Adjust_Truck_Freight!AB9</f>
        <v>8636.5765879002702</v>
      </c>
      <c r="N31" s="21">
        <f t="shared" si="13"/>
        <v>898.20396514162769</v>
      </c>
      <c r="O31" s="21">
        <f>M31*FuelConsump!$BM31</f>
        <v>7729.7360461707422</v>
      </c>
      <c r="P31" s="22">
        <f>M31*FuelConsump!$BN31</f>
        <v>8.6365765879002705</v>
      </c>
      <c r="Q31" s="522">
        <f>Adjust_Truck_Freight!AC9</f>
        <v>9772.0806982912145</v>
      </c>
      <c r="R31" s="21">
        <f t="shared" si="14"/>
        <v>1016.2963926222868</v>
      </c>
      <c r="S31" s="21">
        <f>Q31*FuelConsump!$BM31</f>
        <v>8746.0122249706365</v>
      </c>
      <c r="T31" s="21">
        <f>Q31*FuelConsump!$BN31</f>
        <v>9.7720806982912141</v>
      </c>
      <c r="U31" s="49">
        <v>282.62</v>
      </c>
      <c r="V31" s="45"/>
      <c r="W31" s="45">
        <f t="shared" si="3"/>
        <v>12.3</v>
      </c>
      <c r="X31" s="45"/>
      <c r="Y31" s="45"/>
      <c r="Z31" s="45"/>
      <c r="AA31" s="109"/>
      <c r="AD31" s="36"/>
      <c r="AE31" s="36"/>
      <c r="AF31" s="36"/>
      <c r="AG31" s="63"/>
      <c r="AH31" s="40">
        <v>327.04000000000002</v>
      </c>
      <c r="AI31" s="40"/>
      <c r="AJ31" s="759" t="s">
        <v>15</v>
      </c>
      <c r="AK31" s="760">
        <v>6.01</v>
      </c>
      <c r="AL31" s="42">
        <v>1973</v>
      </c>
      <c r="AM31" s="28">
        <v>26786</v>
      </c>
      <c r="AN31" s="22">
        <v>92415</v>
      </c>
      <c r="AO31" s="252">
        <v>1973</v>
      </c>
      <c r="AP31" s="406">
        <f>0.828*(10671)</f>
        <v>8835.5879999999997</v>
      </c>
      <c r="AQ31" s="406">
        <f>10671-AP31</f>
        <v>1835.4120000000003</v>
      </c>
      <c r="AR31" s="34">
        <v>411</v>
      </c>
      <c r="AS31" s="33">
        <v>304</v>
      </c>
      <c r="AT31" s="30">
        <v>1973</v>
      </c>
      <c r="AU31" s="179">
        <f>AU30+((AU$32-AU$28)/4)</f>
        <v>78.718499999999992</v>
      </c>
      <c r="AV31" s="180">
        <f t="shared" si="15"/>
        <v>212.35499999999999</v>
      </c>
      <c r="AW31" s="33">
        <f>(FuelConsump!AU31*'Fuel Heat Content'!$D$7/1000000)+(FuelConsump!AV31*'Fuel Heat Content'!$D$21/1000000)</f>
        <v>13.113794294999998</v>
      </c>
      <c r="AX31" s="287">
        <f>'TEDB_Ed31_Table 9.10'!J14</f>
        <v>13.7995</v>
      </c>
      <c r="AY31" s="382">
        <f t="shared" ref="AY31:AY50" si="23">AX31/AX32*AY32</f>
        <v>11.629767295597482</v>
      </c>
      <c r="AZ31" s="179">
        <f t="shared" si="15"/>
        <v>52.290000000000006</v>
      </c>
      <c r="BA31" s="181">
        <f t="shared" si="15"/>
        <v>763.21499999999992</v>
      </c>
      <c r="BB31" s="59">
        <v>2098</v>
      </c>
      <c r="BC31" s="123">
        <v>140</v>
      </c>
      <c r="BD31" s="37">
        <v>4160.7299999999996</v>
      </c>
      <c r="BE31" s="30">
        <v>1973</v>
      </c>
      <c r="BF31" s="25">
        <v>728177</v>
      </c>
      <c r="BG31" s="21">
        <f t="shared" si="16"/>
        <v>3300.1450260593701</v>
      </c>
      <c r="BH31" s="112"/>
      <c r="BI31" s="36"/>
      <c r="BJ31" s="36">
        <f t="shared" si="17"/>
        <v>1973</v>
      </c>
      <c r="BM31" s="136">
        <v>0.89500000000000002</v>
      </c>
      <c r="BN31" s="136">
        <v>1E-3</v>
      </c>
      <c r="BS31">
        <v>5293.9686513988845</v>
      </c>
      <c r="BT31">
        <v>2096.4115859539584</v>
      </c>
      <c r="BU31">
        <v>3144.6173789309373</v>
      </c>
      <c r="BV31">
        <v>52.939686513988846</v>
      </c>
      <c r="BW31">
        <v>9025.8209999999999</v>
      </c>
      <c r="BX31">
        <v>3574.2251160000001</v>
      </c>
      <c r="BY31">
        <v>5361.3376739999994</v>
      </c>
      <c r="BZ31">
        <v>90.258210000000005</v>
      </c>
      <c r="CB31" s="369"/>
      <c r="CC31" s="25">
        <v>78233</v>
      </c>
      <c r="CE31" s="297"/>
      <c r="CG31" s="125">
        <v>12.3</v>
      </c>
      <c r="CH31" s="125">
        <f t="shared" si="18"/>
        <v>12.3</v>
      </c>
      <c r="CJ31" s="289"/>
      <c r="CO31" s="289"/>
      <c r="CQ31" s="4">
        <v>1125000</v>
      </c>
      <c r="CR31" s="4">
        <v>3859000</v>
      </c>
      <c r="CS31" s="4">
        <f t="shared" si="19"/>
        <v>26785.714285714286</v>
      </c>
      <c r="CT31" s="4">
        <f t="shared" si="20"/>
        <v>91880.952380952382</v>
      </c>
      <c r="CU31" s="4">
        <f t="shared" si="8"/>
        <v>156.03749999999999</v>
      </c>
      <c r="CV31" s="4">
        <f t="shared" si="21"/>
        <v>577.69229999999993</v>
      </c>
      <c r="CW31" s="4">
        <f t="shared" si="22"/>
        <v>733.72979999999995</v>
      </c>
      <c r="CX31" s="4"/>
      <c r="CY31" s="4"/>
      <c r="CZ31" s="4"/>
      <c r="DA31" s="293">
        <v>337</v>
      </c>
      <c r="DB31" s="4"/>
      <c r="DC31" s="4">
        <f t="shared" si="9"/>
        <v>-0.285714285713766</v>
      </c>
      <c r="DD31" s="4">
        <f t="shared" si="10"/>
        <v>-534.04761904761835</v>
      </c>
    </row>
    <row r="32" spans="1:108" x14ac:dyDescent="0.2">
      <c r="A32" s="30">
        <v>1974</v>
      </c>
      <c r="B32" s="25">
        <f t="shared" si="11"/>
        <v>74229</v>
      </c>
      <c r="C32" s="21">
        <f t="shared" si="12"/>
        <v>72373.274999999994</v>
      </c>
      <c r="D32" s="21">
        <f t="shared" si="7"/>
        <v>0</v>
      </c>
      <c r="E32" s="22">
        <f>B32*0.025</f>
        <v>1855.7250000000001</v>
      </c>
      <c r="F32" s="43">
        <v>108.9</v>
      </c>
      <c r="G32" s="15">
        <f t="shared" si="1"/>
        <v>108.9</v>
      </c>
      <c r="H32" s="20">
        <v>16657.192999999999</v>
      </c>
      <c r="I32" s="21">
        <f t="shared" si="4"/>
        <v>16257.420367999999</v>
      </c>
      <c r="J32" s="21"/>
      <c r="K32" s="21">
        <f t="shared" si="5"/>
        <v>266.51508799999999</v>
      </c>
      <c r="L32" s="22">
        <f t="shared" si="6"/>
        <v>133.257544</v>
      </c>
      <c r="M32" s="522">
        <f>Adjust_Truck_Freight!AB10</f>
        <v>8582.3144701448891</v>
      </c>
      <c r="N32" s="21">
        <f t="shared" si="13"/>
        <v>892.56070489506828</v>
      </c>
      <c r="O32" s="21">
        <f>M32*FuelConsump!$BM32</f>
        <v>7681.171450779676</v>
      </c>
      <c r="P32" s="22">
        <f>M32*FuelConsump!$BN32</f>
        <v>8.5823144701448886</v>
      </c>
      <c r="Q32" s="522">
        <f>Adjust_Truck_Freight!AC10</f>
        <v>9831.1238708057153</v>
      </c>
      <c r="R32" s="21">
        <f t="shared" si="14"/>
        <v>1022.4368825637947</v>
      </c>
      <c r="S32" s="21">
        <f>Q32*FuelConsump!$BM32</f>
        <v>8798.8558643711149</v>
      </c>
      <c r="T32" s="21">
        <f>Q32*FuelConsump!$BN32</f>
        <v>9.8311238708057154</v>
      </c>
      <c r="U32" s="44">
        <v>316.36</v>
      </c>
      <c r="V32" s="45"/>
      <c r="W32" s="45">
        <f t="shared" si="3"/>
        <v>7.5</v>
      </c>
      <c r="X32" s="45"/>
      <c r="Y32" s="45"/>
      <c r="Z32" s="45"/>
      <c r="AA32" s="109"/>
      <c r="AD32" s="36"/>
      <c r="AE32" s="36"/>
      <c r="AF32" s="36"/>
      <c r="AG32" s="63"/>
      <c r="AH32" s="387">
        <v>334.06</v>
      </c>
      <c r="AI32" s="182"/>
      <c r="AJ32" s="761" t="s">
        <v>15</v>
      </c>
      <c r="AK32" s="762">
        <v>5.16</v>
      </c>
      <c r="AL32" s="42">
        <v>1974</v>
      </c>
      <c r="AM32" s="28">
        <v>24257</v>
      </c>
      <c r="AN32" s="22">
        <v>91128</v>
      </c>
      <c r="AO32" s="252">
        <v>1974</v>
      </c>
      <c r="AP32" s="406">
        <f>0.828*(10417.3)</f>
        <v>8625.5243999999984</v>
      </c>
      <c r="AQ32" s="406">
        <f>10417.3-AP32</f>
        <v>1791.7756000000008</v>
      </c>
      <c r="AR32" s="34">
        <v>443</v>
      </c>
      <c r="AS32" s="33">
        <v>357</v>
      </c>
      <c r="AT32" s="30">
        <v>1974</v>
      </c>
      <c r="AU32" s="49">
        <f>0.7*3.57*42</f>
        <v>104.95799999999998</v>
      </c>
      <c r="AV32" s="46">
        <f>0.26*1089</f>
        <v>283.14</v>
      </c>
      <c r="AW32" s="33">
        <f>(FuelConsump!AU32*'Fuel Heat Content'!$D$7/1000000)+(FuelConsump!AV32*'Fuel Heat Content'!$D$21/1000000)</f>
        <v>17.485059059999998</v>
      </c>
      <c r="AX32" s="287">
        <f>'TEDB_Ed31_Table 9.10'!J15</f>
        <v>13.317</v>
      </c>
      <c r="AY32" s="382">
        <f t="shared" si="23"/>
        <v>11.223132075471696</v>
      </c>
      <c r="AZ32" s="49">
        <f>0.3*3.57*42</f>
        <v>44.981999999999999</v>
      </c>
      <c r="BA32" s="37">
        <f>0.73*1089</f>
        <v>794.97</v>
      </c>
      <c r="BB32" s="407">
        <f>2630-BC32</f>
        <v>2487.4615384615386</v>
      </c>
      <c r="BC32" s="410">
        <f>BC31+(BC$44-BC$31)/(AT44-AT31)</f>
        <v>142.53846153846155</v>
      </c>
      <c r="BD32" s="37">
        <v>4175.375</v>
      </c>
      <c r="BE32" s="30">
        <v>1974</v>
      </c>
      <c r="BF32" s="25">
        <v>668792</v>
      </c>
      <c r="BG32" s="21">
        <f t="shared" si="16"/>
        <v>3031.0083843190573</v>
      </c>
      <c r="BH32" s="112"/>
      <c r="BI32" s="36"/>
      <c r="BJ32" s="36">
        <f t="shared" si="17"/>
        <v>1974</v>
      </c>
      <c r="BM32" s="136">
        <v>0.89500000000000002</v>
      </c>
      <c r="BN32" s="136">
        <v>1E-3</v>
      </c>
      <c r="BS32">
        <v>5260.707561494587</v>
      </c>
      <c r="BT32">
        <v>2083.2401943518566</v>
      </c>
      <c r="BU32">
        <v>3124.8602915277847</v>
      </c>
      <c r="BV32">
        <v>52.60707561494587</v>
      </c>
      <c r="BW32">
        <v>9080.3552514906951</v>
      </c>
      <c r="BX32">
        <v>3595.8206795903156</v>
      </c>
      <c r="BY32">
        <v>5393.7310193854728</v>
      </c>
      <c r="BZ32">
        <v>90.803552514906954</v>
      </c>
      <c r="CB32" s="369"/>
      <c r="CC32" s="25">
        <v>74229</v>
      </c>
      <c r="CE32" s="297"/>
      <c r="CG32" s="125">
        <v>7.5</v>
      </c>
      <c r="CH32" s="125">
        <f t="shared" si="18"/>
        <v>7.5</v>
      </c>
      <c r="CJ32" s="289"/>
      <c r="CO32" s="289"/>
      <c r="CQ32" s="4">
        <v>1018920</v>
      </c>
      <c r="CR32" s="4">
        <v>3827040</v>
      </c>
      <c r="CS32" s="4">
        <f t="shared" si="19"/>
        <v>24260</v>
      </c>
      <c r="CT32" s="4">
        <f t="shared" si="20"/>
        <v>91120</v>
      </c>
      <c r="CU32" s="4">
        <f t="shared" si="8"/>
        <v>141.32420399999998</v>
      </c>
      <c r="CV32" s="4">
        <f t="shared" si="21"/>
        <v>572.90788799999996</v>
      </c>
      <c r="CW32" s="4">
        <f t="shared" si="22"/>
        <v>714.23209199999997</v>
      </c>
      <c r="CX32" s="4"/>
      <c r="CY32" s="4"/>
      <c r="CZ32" s="4"/>
      <c r="DA32" s="293">
        <v>283.3</v>
      </c>
      <c r="DB32" s="4"/>
      <c r="DC32" s="4">
        <f t="shared" si="9"/>
        <v>3</v>
      </c>
      <c r="DD32" s="4">
        <f t="shared" si="10"/>
        <v>-8</v>
      </c>
    </row>
    <row r="33" spans="1:108" x14ac:dyDescent="0.2">
      <c r="A33" s="30">
        <v>1975</v>
      </c>
      <c r="B33" s="25">
        <f t="shared" si="11"/>
        <v>74140</v>
      </c>
      <c r="C33" s="21">
        <f t="shared" si="12"/>
        <v>71915.8</v>
      </c>
      <c r="D33" s="21">
        <f t="shared" si="7"/>
        <v>0</v>
      </c>
      <c r="E33" s="22">
        <f>B33*0.03</f>
        <v>2224.1999999999998</v>
      </c>
      <c r="F33" s="43">
        <v>112.58</v>
      </c>
      <c r="G33" s="15">
        <f t="shared" si="1"/>
        <v>112.58</v>
      </c>
      <c r="H33" s="20">
        <v>19080.67769871189</v>
      </c>
      <c r="I33" s="21">
        <f t="shared" si="4"/>
        <v>18622.741433942803</v>
      </c>
      <c r="J33" s="21"/>
      <c r="K33" s="21">
        <f t="shared" si="5"/>
        <v>305.29084317939027</v>
      </c>
      <c r="L33" s="22">
        <f t="shared" si="6"/>
        <v>152.64542158969513</v>
      </c>
      <c r="M33" s="522">
        <f>Adjust_Truck_Freight!AB11</f>
        <v>8842.976426551264</v>
      </c>
      <c r="N33" s="21">
        <f t="shared" si="13"/>
        <v>919.66954836133107</v>
      </c>
      <c r="O33" s="21">
        <f>M33*FuelConsump!$BM33</f>
        <v>7914.4639017633817</v>
      </c>
      <c r="P33" s="22">
        <f>M33*FuelConsump!$BN33</f>
        <v>8.8429764265512638</v>
      </c>
      <c r="Q33" s="522">
        <f>Adjust_Truck_Freight!AC11</f>
        <v>9936.2741585224103</v>
      </c>
      <c r="R33" s="21">
        <f t="shared" si="14"/>
        <v>1033.3725124863308</v>
      </c>
      <c r="S33" s="21">
        <f>Q33*FuelConsump!$BM33</f>
        <v>8892.9653718775571</v>
      </c>
      <c r="T33" s="21">
        <f>Q33*FuelConsump!$BN33</f>
        <v>9.9362741585224104</v>
      </c>
      <c r="U33" s="44">
        <v>365.06</v>
      </c>
      <c r="V33" s="45"/>
      <c r="W33" s="45">
        <f t="shared" si="3"/>
        <v>5</v>
      </c>
      <c r="X33" s="45"/>
      <c r="Y33" s="45"/>
      <c r="Z33" s="45"/>
      <c r="AA33" s="109"/>
      <c r="AD33" s="36"/>
      <c r="AE33" s="36"/>
      <c r="AF33" s="36"/>
      <c r="AG33" s="63"/>
      <c r="AH33" s="40">
        <f>AI33*42</f>
        <v>341.88</v>
      </c>
      <c r="AI33" s="40">
        <v>8.14</v>
      </c>
      <c r="AJ33" s="759">
        <f>AK33*42</f>
        <v>181.01999999999998</v>
      </c>
      <c r="AK33" s="760">
        <v>4.3099999999999996</v>
      </c>
      <c r="AL33" s="42">
        <v>1975</v>
      </c>
      <c r="AM33" s="28">
        <v>26138</v>
      </c>
      <c r="AN33" s="22">
        <v>96673</v>
      </c>
      <c r="AO33" s="252">
        <v>1975</v>
      </c>
      <c r="AP33" s="406">
        <f>0.828*(10412.6)</f>
        <v>8621.6327999999994</v>
      </c>
      <c r="AQ33" s="406">
        <f>10412.6-AP33</f>
        <v>1790.967200000001</v>
      </c>
      <c r="AR33" s="34">
        <v>412</v>
      </c>
      <c r="AS33" s="33">
        <v>453</v>
      </c>
      <c r="AT33" s="30">
        <v>1975</v>
      </c>
      <c r="AU33" s="49">
        <f>0.7*3.31*42</f>
        <v>97.313999999999993</v>
      </c>
      <c r="AV33" s="46">
        <f>0.26*1132</f>
        <v>294.32</v>
      </c>
      <c r="AW33" s="33">
        <f>(FuelConsump!AU33*'Fuel Heat Content'!$D$7/1000000)+(FuelConsump!AV33*'Fuel Heat Content'!$D$21/1000000)</f>
        <v>16.540426279999998</v>
      </c>
      <c r="AX33" s="287">
        <f>'TEDB_Ed31_Table 9.10'!J16</f>
        <v>13.3</v>
      </c>
      <c r="AY33" s="382">
        <f t="shared" si="23"/>
        <v>11.20880503144654</v>
      </c>
      <c r="AZ33" s="49">
        <f>0.3*3.31*42</f>
        <v>41.706000000000003</v>
      </c>
      <c r="BA33" s="37">
        <f>0.73*1132</f>
        <v>826.36</v>
      </c>
      <c r="BB33" s="407">
        <f>2646-BC33</f>
        <v>2500.9230769230771</v>
      </c>
      <c r="BC33" s="410">
        <f t="shared" ref="BC33:BC43" si="24">BC32+(BC$44-BC$31)/(AT45-AT32)</f>
        <v>145.07692307692309</v>
      </c>
      <c r="BD33" s="37">
        <v>3736.4839999999999</v>
      </c>
      <c r="BE33" s="30">
        <v>1975</v>
      </c>
      <c r="BF33" s="25">
        <v>582963</v>
      </c>
      <c r="BG33" s="21">
        <f t="shared" si="16"/>
        <v>2642.0258327668253</v>
      </c>
      <c r="BH33" s="112"/>
      <c r="BI33" s="36"/>
      <c r="BJ33" s="36">
        <f t="shared" si="17"/>
        <v>1975</v>
      </c>
      <c r="BM33" s="136">
        <v>0.89500000000000002</v>
      </c>
      <c r="BN33" s="136">
        <v>1E-3</v>
      </c>
      <c r="BS33">
        <v>5420.4857110638186</v>
      </c>
      <c r="BT33">
        <v>2146.5123415812723</v>
      </c>
      <c r="BU33">
        <v>3219.7685123719079</v>
      </c>
      <c r="BV33">
        <v>54.204857110638187</v>
      </c>
      <c r="BW33">
        <v>9177.4755787097856</v>
      </c>
      <c r="BX33">
        <v>3634.2803291690752</v>
      </c>
      <c r="BY33">
        <v>5451.4204937536124</v>
      </c>
      <c r="BZ33">
        <v>91.77475578709786</v>
      </c>
      <c r="CB33" s="369"/>
      <c r="CC33" s="25">
        <v>74140</v>
      </c>
      <c r="CE33" s="297"/>
      <c r="CG33" s="125">
        <v>5</v>
      </c>
      <c r="CH33" s="125">
        <f t="shared" si="18"/>
        <v>5</v>
      </c>
      <c r="CJ33" s="289"/>
      <c r="CO33" s="289"/>
      <c r="CQ33" s="4">
        <v>1097880</v>
      </c>
      <c r="CR33" s="4">
        <v>4060140</v>
      </c>
      <c r="CS33" s="4">
        <f t="shared" si="19"/>
        <v>26140</v>
      </c>
      <c r="CT33" s="4">
        <f t="shared" si="20"/>
        <v>96670</v>
      </c>
      <c r="CU33" s="4">
        <f t="shared" si="8"/>
        <v>152.27595599999998</v>
      </c>
      <c r="CV33" s="4">
        <f t="shared" si="21"/>
        <v>607.80295799999999</v>
      </c>
      <c r="CW33" s="4">
        <f t="shared" si="22"/>
        <v>760.07891399999994</v>
      </c>
      <c r="CX33" s="4"/>
      <c r="CY33" s="4"/>
      <c r="CZ33" s="4"/>
      <c r="DA33" s="293">
        <v>311</v>
      </c>
      <c r="DB33" s="4"/>
      <c r="DC33" s="4">
        <f t="shared" si="9"/>
        <v>2</v>
      </c>
      <c r="DD33" s="4">
        <f t="shared" si="10"/>
        <v>-3</v>
      </c>
    </row>
    <row r="34" spans="1:108" x14ac:dyDescent="0.2">
      <c r="A34" s="30">
        <v>1976</v>
      </c>
      <c r="B34" s="25">
        <f t="shared" si="11"/>
        <v>78297</v>
      </c>
      <c r="C34" s="21">
        <f t="shared" si="12"/>
        <v>75478.308000000005</v>
      </c>
      <c r="D34" s="21">
        <f t="shared" si="7"/>
        <v>0</v>
      </c>
      <c r="E34" s="22">
        <f>B34*0.036</f>
        <v>2818.692</v>
      </c>
      <c r="F34" s="43">
        <v>120.06</v>
      </c>
      <c r="G34" s="15">
        <f t="shared" si="1"/>
        <v>120.06</v>
      </c>
      <c r="H34" s="20">
        <v>20827.909013057597</v>
      </c>
      <c r="I34" s="21">
        <f t="shared" si="4"/>
        <v>20328.039196744212</v>
      </c>
      <c r="J34" s="21"/>
      <c r="K34" s="21">
        <f t="shared" si="5"/>
        <v>333.24654420892153</v>
      </c>
      <c r="L34" s="22">
        <f t="shared" si="6"/>
        <v>166.62327210446077</v>
      </c>
      <c r="M34" s="522">
        <f>Adjust_Truck_Freight!AB12</f>
        <v>9308.3902777116818</v>
      </c>
      <c r="N34" s="21">
        <f t="shared" si="13"/>
        <v>968.07258888201511</v>
      </c>
      <c r="O34" s="21">
        <f>M34*FuelConsump!$BM34</f>
        <v>8331.009298551955</v>
      </c>
      <c r="P34" s="22">
        <f>M34*FuelConsump!$BN34</f>
        <v>9.3083902777116823</v>
      </c>
      <c r="Q34" s="522">
        <f>Adjust_Truck_Freight!AC12</f>
        <v>10504.725844348139</v>
      </c>
      <c r="R34" s="21">
        <f t="shared" si="14"/>
        <v>1092.4914878122056</v>
      </c>
      <c r="S34" s="21">
        <f>Q34*FuelConsump!$BM34</f>
        <v>9401.729630691585</v>
      </c>
      <c r="T34" s="21">
        <f>Q34*FuelConsump!$BN34</f>
        <v>10.504725844348139</v>
      </c>
      <c r="U34" s="44">
        <v>389.18700000000001</v>
      </c>
      <c r="V34" s="45"/>
      <c r="W34" s="45">
        <f t="shared" si="3"/>
        <v>5.2</v>
      </c>
      <c r="X34" s="45"/>
      <c r="Y34" s="45"/>
      <c r="Z34" s="45"/>
      <c r="AA34" s="109"/>
      <c r="AD34" s="36"/>
      <c r="AE34" s="36"/>
      <c r="AF34" s="36"/>
      <c r="AG34" s="63"/>
      <c r="AH34" s="40">
        <f t="shared" ref="AH34:AH58" si="25">AI34*42</f>
        <v>389.76</v>
      </c>
      <c r="AI34" s="40">
        <v>9.2799999999999994</v>
      </c>
      <c r="AJ34" s="759">
        <f t="shared" ref="AJ34:AJ58" si="26">AK34*42</f>
        <v>182.28</v>
      </c>
      <c r="AK34" s="760">
        <v>4.34</v>
      </c>
      <c r="AL34" s="42">
        <v>1976</v>
      </c>
      <c r="AM34" s="28">
        <v>28330</v>
      </c>
      <c r="AN34" s="22">
        <v>117458</v>
      </c>
      <c r="AO34" s="252">
        <v>1976</v>
      </c>
      <c r="AP34" s="406">
        <f>0.828*(10400)</f>
        <v>8611.1999999999989</v>
      </c>
      <c r="AQ34" s="406">
        <f>10400-AP34</f>
        <v>1788.8000000000011</v>
      </c>
      <c r="AR34" s="34">
        <v>432</v>
      </c>
      <c r="AS34" s="33">
        <v>495</v>
      </c>
      <c r="AT34" s="30">
        <v>1976</v>
      </c>
      <c r="AU34" s="49">
        <f>0.7*3.13*42</f>
        <v>92.021999999999991</v>
      </c>
      <c r="AV34" s="46">
        <f>0.26*1061</f>
        <v>275.86</v>
      </c>
      <c r="AW34" s="33">
        <f>(FuelConsump!AU34*'Fuel Heat Content'!$D$7/1000000)+(FuelConsump!AV34*'Fuel Heat Content'!$D$21/1000000)</f>
        <v>15.615567939999998</v>
      </c>
      <c r="AX34" s="287">
        <f>'TEDB_Ed31_Table 9.10'!J17</f>
        <v>13.9925</v>
      </c>
      <c r="AY34" s="382">
        <f t="shared" si="23"/>
        <v>11.792421383647797</v>
      </c>
      <c r="AZ34" s="49">
        <f>0.3*3.13*42</f>
        <v>39.437999999999995</v>
      </c>
      <c r="BA34" s="37">
        <f>0.73*1061</f>
        <v>774.53</v>
      </c>
      <c r="BB34" s="407">
        <f>2576-BC34</f>
        <v>2428.3846153846152</v>
      </c>
      <c r="BC34" s="410">
        <f t="shared" si="24"/>
        <v>147.61538461538464</v>
      </c>
      <c r="BD34" s="37">
        <v>3895.5419999999999</v>
      </c>
      <c r="BE34" s="30">
        <v>1976</v>
      </c>
      <c r="BF34" s="25">
        <v>548323</v>
      </c>
      <c r="BG34" s="21">
        <f t="shared" si="16"/>
        <v>2485.0351234987538</v>
      </c>
      <c r="BH34" s="112"/>
      <c r="BI34" s="36"/>
      <c r="BJ34" s="36">
        <f t="shared" si="17"/>
        <v>1976</v>
      </c>
      <c r="BM34" s="136">
        <v>0.89500000000000002</v>
      </c>
      <c r="BN34" s="136">
        <v>1E-3</v>
      </c>
      <c r="BS34">
        <v>5705.7707789253072</v>
      </c>
      <c r="BT34">
        <v>2259.4852284544218</v>
      </c>
      <c r="BU34">
        <v>3389.2278426816324</v>
      </c>
      <c r="BV34">
        <v>57.057707789253072</v>
      </c>
      <c r="BW34">
        <v>9702.5165931897864</v>
      </c>
      <c r="BX34">
        <v>3842.1965709031556</v>
      </c>
      <c r="BY34">
        <v>5763.2948563547325</v>
      </c>
      <c r="BZ34">
        <v>97.02516593189786</v>
      </c>
      <c r="CB34" s="369"/>
      <c r="CC34" s="25">
        <v>78297</v>
      </c>
      <c r="CE34" s="297"/>
      <c r="CG34" s="125">
        <v>5.2</v>
      </c>
      <c r="CH34" s="125">
        <f t="shared" si="18"/>
        <v>5.2</v>
      </c>
      <c r="CJ34" s="289"/>
      <c r="CO34" s="289"/>
      <c r="CQ34" s="4">
        <v>1220100</v>
      </c>
      <c r="CR34" s="4">
        <v>4977000</v>
      </c>
      <c r="CS34" s="4">
        <f t="shared" si="19"/>
        <v>29050</v>
      </c>
      <c r="CT34" s="4">
        <f t="shared" si="20"/>
        <v>118500</v>
      </c>
      <c r="CU34" s="4">
        <f t="shared" si="8"/>
        <v>169.22787</v>
      </c>
      <c r="CV34" s="4">
        <f t="shared" si="21"/>
        <v>745.05689999999993</v>
      </c>
      <c r="CW34" s="4">
        <f t="shared" si="22"/>
        <v>914.28476999999998</v>
      </c>
      <c r="CX34" s="4"/>
      <c r="CY34" s="4"/>
      <c r="CZ34" s="4"/>
      <c r="DA34" s="293">
        <v>277.3</v>
      </c>
      <c r="DB34" s="4"/>
      <c r="DC34" s="4">
        <f t="shared" si="9"/>
        <v>720</v>
      </c>
      <c r="DD34" s="4">
        <f t="shared" si="10"/>
        <v>1042</v>
      </c>
    </row>
    <row r="35" spans="1:108" x14ac:dyDescent="0.2">
      <c r="A35" s="30">
        <v>1977</v>
      </c>
      <c r="B35" s="25">
        <f t="shared" si="11"/>
        <v>79060</v>
      </c>
      <c r="C35" s="21">
        <f t="shared" si="12"/>
        <v>75739.48</v>
      </c>
      <c r="D35" s="21">
        <f t="shared" si="7"/>
        <v>0</v>
      </c>
      <c r="E35" s="22">
        <f>B35*0.042</f>
        <v>3320.52</v>
      </c>
      <c r="F35" s="43">
        <v>126.98</v>
      </c>
      <c r="G35" s="15">
        <f t="shared" si="1"/>
        <v>126.98</v>
      </c>
      <c r="H35" s="20">
        <v>22382.663499565762</v>
      </c>
      <c r="I35" s="21">
        <f t="shared" si="4"/>
        <v>21845.479575576184</v>
      </c>
      <c r="J35" s="21"/>
      <c r="K35" s="21">
        <f t="shared" si="5"/>
        <v>358.12261599305219</v>
      </c>
      <c r="L35" s="22">
        <f t="shared" si="6"/>
        <v>179.0613079965261</v>
      </c>
      <c r="M35" s="522">
        <f>Adjust_Truck_Freight!AB13</f>
        <v>10225.1602191698</v>
      </c>
      <c r="N35" s="21">
        <f t="shared" si="13"/>
        <v>1063.4166627936595</v>
      </c>
      <c r="O35" s="21">
        <f>M35*FuelConsump!$BM35</f>
        <v>9151.518396156971</v>
      </c>
      <c r="P35" s="22">
        <f>M35*FuelConsump!$BN35</f>
        <v>10.225160219169801</v>
      </c>
      <c r="Q35" s="522">
        <f>Adjust_Truck_Freight!AC13</f>
        <v>11708.362942582162</v>
      </c>
      <c r="R35" s="21">
        <f t="shared" si="14"/>
        <v>1217.6697460285443</v>
      </c>
      <c r="S35" s="21">
        <f>Q35*FuelConsump!$BM35</f>
        <v>10478.984833611035</v>
      </c>
      <c r="T35" s="21">
        <f>Q35*FuelConsump!$BN35</f>
        <v>11.708362942582163</v>
      </c>
      <c r="U35" s="44">
        <v>402.84199999999998</v>
      </c>
      <c r="V35" s="45"/>
      <c r="W35" s="45">
        <f t="shared" si="3"/>
        <v>8.1</v>
      </c>
      <c r="X35" s="45"/>
      <c r="Y35" s="45"/>
      <c r="Z35" s="45"/>
      <c r="AA35" s="109"/>
      <c r="AD35" s="36"/>
      <c r="AE35" s="36"/>
      <c r="AF35" s="36"/>
      <c r="AG35" s="63"/>
      <c r="AH35" s="40">
        <f t="shared" si="25"/>
        <v>401.52000000000004</v>
      </c>
      <c r="AI35" s="40">
        <v>9.56</v>
      </c>
      <c r="AJ35" s="759">
        <f t="shared" si="26"/>
        <v>181.86</v>
      </c>
      <c r="AK35" s="760">
        <v>4.33</v>
      </c>
      <c r="AL35" s="42">
        <v>1977</v>
      </c>
      <c r="AM35" s="28">
        <v>33512</v>
      </c>
      <c r="AN35" s="22">
        <v>128966</v>
      </c>
      <c r="AO35" s="252">
        <v>1977</v>
      </c>
      <c r="AP35" s="168">
        <v>8202</v>
      </c>
      <c r="AQ35" s="168">
        <v>1708.4</v>
      </c>
      <c r="AR35" s="34">
        <v>456</v>
      </c>
      <c r="AS35" s="33">
        <v>536</v>
      </c>
      <c r="AT35" s="30">
        <v>1977</v>
      </c>
      <c r="AU35" s="51">
        <f>0.7*3.12*42</f>
        <v>91.727999999999994</v>
      </c>
      <c r="AV35" s="48">
        <f>0.26*1250</f>
        <v>325</v>
      </c>
      <c r="AW35" s="33">
        <f>(FuelConsump!AU35*'Fuel Heat Content'!$D$7/1000000)+(FuelConsump!AV35*'Fuel Heat Content'!$D$21/1000000)</f>
        <v>16.082848599999998</v>
      </c>
      <c r="AX35" s="287">
        <f>'TEDB_Ed31_Table 9.10'!J18</f>
        <v>14.475</v>
      </c>
      <c r="AY35" s="382">
        <f t="shared" si="23"/>
        <v>12.199056603773583</v>
      </c>
      <c r="AZ35" s="51">
        <f>0.3*3.12*42</f>
        <v>39.311999999999998</v>
      </c>
      <c r="BA35" s="38">
        <f>0.73*1250</f>
        <v>912.5</v>
      </c>
      <c r="BB35" s="407">
        <f>2303-BC35</f>
        <v>2152.8461538461538</v>
      </c>
      <c r="BC35" s="410">
        <f t="shared" si="24"/>
        <v>150.15384615384619</v>
      </c>
      <c r="BD35" s="37">
        <v>3985.069</v>
      </c>
      <c r="BE35" s="30">
        <v>1977</v>
      </c>
      <c r="BF35" s="25">
        <v>532669</v>
      </c>
      <c r="BG35" s="21">
        <f t="shared" si="16"/>
        <v>2414.0901880806705</v>
      </c>
      <c r="BH35" s="112"/>
      <c r="BI35" s="36"/>
      <c r="BJ35" s="36">
        <f t="shared" si="17"/>
        <v>1977</v>
      </c>
      <c r="BM35" s="136">
        <v>0.89500000000000002</v>
      </c>
      <c r="BN35" s="136">
        <v>1E-3</v>
      </c>
      <c r="BO35" s="136">
        <f>AP35/(AP35+AQ35)</f>
        <v>0.82761543429124962</v>
      </c>
      <c r="BS35">
        <v>6267.7239187172427</v>
      </c>
      <c r="BT35">
        <v>2482.0186718120281</v>
      </c>
      <c r="BU35">
        <v>3723.0280077180419</v>
      </c>
      <c r="BV35">
        <v>62.677239187172425</v>
      </c>
      <c r="BW35">
        <v>10814.236126934469</v>
      </c>
      <c r="BX35">
        <v>4282.4375062660501</v>
      </c>
      <c r="BY35">
        <v>6423.6562593990748</v>
      </c>
      <c r="BZ35">
        <v>108.14236126934469</v>
      </c>
      <c r="CB35" s="369"/>
      <c r="CC35" s="25">
        <v>79060</v>
      </c>
      <c r="CE35" s="297"/>
      <c r="CG35" s="125">
        <v>8.1</v>
      </c>
      <c r="CH35" s="125">
        <f t="shared" si="18"/>
        <v>8.1</v>
      </c>
      <c r="CJ35" s="289"/>
      <c r="CO35" s="289"/>
      <c r="CQ35" s="4">
        <v>1407420</v>
      </c>
      <c r="CR35" s="4">
        <v>5416740</v>
      </c>
      <c r="CS35" s="4">
        <f t="shared" si="19"/>
        <v>33510</v>
      </c>
      <c r="CT35" s="4">
        <f t="shared" si="20"/>
        <v>128970</v>
      </c>
      <c r="CU35" s="4">
        <f t="shared" si="8"/>
        <v>195.20915399999996</v>
      </c>
      <c r="CV35" s="4">
        <f t="shared" si="21"/>
        <v>810.8859779999998</v>
      </c>
      <c r="CW35" s="4">
        <f t="shared" si="22"/>
        <v>1006.0951319999997</v>
      </c>
      <c r="CX35" s="4"/>
      <c r="CY35" s="4"/>
      <c r="CZ35" s="4"/>
      <c r="DA35" s="293">
        <v>274.3</v>
      </c>
      <c r="DB35" s="4"/>
      <c r="DC35" s="4">
        <f t="shared" si="9"/>
        <v>-2</v>
      </c>
      <c r="DD35" s="4">
        <f t="shared" si="10"/>
        <v>4</v>
      </c>
    </row>
    <row r="36" spans="1:108" x14ac:dyDescent="0.2">
      <c r="A36" s="30">
        <v>1978</v>
      </c>
      <c r="B36" s="25">
        <f t="shared" si="11"/>
        <v>80652</v>
      </c>
      <c r="C36" s="21">
        <f t="shared" si="12"/>
        <v>76861.356</v>
      </c>
      <c r="D36" s="21">
        <f t="shared" si="7"/>
        <v>0</v>
      </c>
      <c r="E36" s="22">
        <f>B36*0.047</f>
        <v>3790.6440000000002</v>
      </c>
      <c r="F36" s="43">
        <v>143.16</v>
      </c>
      <c r="G36" s="15">
        <f t="shared" si="1"/>
        <v>143.16</v>
      </c>
      <c r="H36" s="20">
        <v>24162.056698983626</v>
      </c>
      <c r="I36" s="21">
        <f t="shared" si="4"/>
        <v>23461.357054713102</v>
      </c>
      <c r="J36" s="21"/>
      <c r="K36" s="21">
        <f>H36*0.02</f>
        <v>483.24113397967255</v>
      </c>
      <c r="L36" s="22">
        <f>H36*0.009</f>
        <v>217.45851029085262</v>
      </c>
      <c r="M36" s="522">
        <f>Adjust_Truck_Freight!AB14</f>
        <v>11347.141820940411</v>
      </c>
      <c r="N36" s="21">
        <f t="shared" si="13"/>
        <v>1849.5841168132877</v>
      </c>
      <c r="O36" s="21">
        <f>M36*FuelConsump!$BM36</f>
        <v>9474.8634204852424</v>
      </c>
      <c r="P36" s="22">
        <f>M36*FuelConsump!$BN36</f>
        <v>22.694283641880823</v>
      </c>
      <c r="Q36" s="522">
        <f>Adjust_Truck_Freight!AC14</f>
        <v>13171.15703351792</v>
      </c>
      <c r="R36" s="21">
        <f t="shared" si="14"/>
        <v>2146.8985964634221</v>
      </c>
      <c r="S36" s="21">
        <f>Q36*FuelConsump!$BM36</f>
        <v>10997.916122987463</v>
      </c>
      <c r="T36" s="21">
        <f>Q36*FuelConsump!$BN36</f>
        <v>26.34231406703584</v>
      </c>
      <c r="U36" s="44">
        <v>422.017</v>
      </c>
      <c r="V36" s="45"/>
      <c r="W36" s="45">
        <f t="shared" si="3"/>
        <v>9.3000000000000007</v>
      </c>
      <c r="X36" s="45"/>
      <c r="Y36" s="45"/>
      <c r="Z36" s="45"/>
      <c r="AA36" s="109"/>
      <c r="AD36" s="36"/>
      <c r="AE36" s="36"/>
      <c r="AF36" s="36"/>
      <c r="AG36" s="63"/>
      <c r="AH36" s="40">
        <f t="shared" si="25"/>
        <v>406.97999999999996</v>
      </c>
      <c r="AI36" s="40">
        <v>9.69</v>
      </c>
      <c r="AJ36" s="759">
        <f t="shared" si="26"/>
        <v>180.18</v>
      </c>
      <c r="AK36" s="760">
        <v>4.29</v>
      </c>
      <c r="AL36" s="42">
        <v>1978</v>
      </c>
      <c r="AM36" s="28">
        <v>37591</v>
      </c>
      <c r="AN36" s="22">
        <v>157495</v>
      </c>
      <c r="AO36" s="252">
        <v>1978</v>
      </c>
      <c r="AP36" s="168">
        <v>8446.1</v>
      </c>
      <c r="AQ36" s="168">
        <v>1741.9</v>
      </c>
      <c r="AR36" s="34">
        <v>518</v>
      </c>
      <c r="AS36" s="33">
        <v>763</v>
      </c>
      <c r="AT36" s="30">
        <v>1978</v>
      </c>
      <c r="AU36" s="49">
        <v>101.874</v>
      </c>
      <c r="AV36" s="46">
        <v>341</v>
      </c>
      <c r="AW36" s="33">
        <f>(FuelConsump!AU36*'Fuel Heat Content'!$D$7/1000000)+(FuelConsump!AV36*'Fuel Heat Content'!$D$21/1000000)</f>
        <v>17.6555228</v>
      </c>
      <c r="AX36" s="287">
        <f>'TEDB_Ed31_Table 9.10'!J19</f>
        <v>14.7645</v>
      </c>
      <c r="AY36" s="382">
        <f t="shared" si="23"/>
        <v>12.443037735849055</v>
      </c>
      <c r="AZ36" s="46">
        <v>41.146000000000001</v>
      </c>
      <c r="BA36" s="57">
        <v>935</v>
      </c>
      <c r="BB36" s="407">
        <f>2223-BC36</f>
        <v>2070.3076923076924</v>
      </c>
      <c r="BC36" s="410">
        <f t="shared" si="24"/>
        <v>152.69230769230774</v>
      </c>
      <c r="BD36" s="37">
        <v>3968.0070000000001</v>
      </c>
      <c r="BE36" s="30">
        <v>1978</v>
      </c>
      <c r="BF36" s="25">
        <v>530451</v>
      </c>
      <c r="BG36" s="21">
        <f t="shared" si="16"/>
        <v>2404.0380693405846</v>
      </c>
      <c r="BH36" s="112"/>
      <c r="BI36" s="36"/>
      <c r="BJ36" s="36">
        <f t="shared" si="17"/>
        <v>1978</v>
      </c>
      <c r="BM36" s="136">
        <v>0.83499999999999996</v>
      </c>
      <c r="BN36" s="575">
        <v>2E-3</v>
      </c>
      <c r="BO36" s="136">
        <f>AP36/(AP36+AQ36)</f>
        <v>0.82902434236356504</v>
      </c>
      <c r="BS36">
        <v>6955.4657996311935</v>
      </c>
      <c r="BT36">
        <v>2754.3644566539529</v>
      </c>
      <c r="BU36">
        <v>4131.5466849809291</v>
      </c>
      <c r="BV36">
        <v>69.554657996311931</v>
      </c>
      <c r="BW36">
        <v>12165.321738308166</v>
      </c>
      <c r="BX36">
        <v>4817.4674083700338</v>
      </c>
      <c r="BY36">
        <v>7226.2011125550507</v>
      </c>
      <c r="BZ36">
        <v>121.65321738308167</v>
      </c>
      <c r="CB36" s="369"/>
      <c r="CC36" s="25">
        <v>80652</v>
      </c>
      <c r="CE36" s="297"/>
      <c r="CG36" s="125">
        <v>9.3000000000000007</v>
      </c>
      <c r="CH36" s="125">
        <f t="shared" si="18"/>
        <v>9.3000000000000007</v>
      </c>
      <c r="CJ36" s="289"/>
      <c r="CO36" s="289"/>
      <c r="CQ36" s="4">
        <v>1578822</v>
      </c>
      <c r="CR36" s="4">
        <v>6614790</v>
      </c>
      <c r="CS36" s="4">
        <f t="shared" si="19"/>
        <v>37591</v>
      </c>
      <c r="CT36" s="4">
        <f t="shared" si="20"/>
        <v>157495</v>
      </c>
      <c r="CU36" s="4">
        <f t="shared" si="8"/>
        <v>218.98261139999997</v>
      </c>
      <c r="CV36" s="4">
        <f t="shared" si="21"/>
        <v>990.23406299999988</v>
      </c>
      <c r="CW36" s="4">
        <f t="shared" si="22"/>
        <v>1209.2166743999999</v>
      </c>
      <c r="CX36" s="4"/>
      <c r="CY36" s="4"/>
      <c r="CZ36" s="4"/>
      <c r="DA36" s="293">
        <v>316.60000000000002</v>
      </c>
      <c r="DB36" s="4"/>
      <c r="DC36" s="4">
        <f t="shared" si="9"/>
        <v>0</v>
      </c>
      <c r="DD36" s="4">
        <f t="shared" si="10"/>
        <v>0</v>
      </c>
    </row>
    <row r="37" spans="1:108" x14ac:dyDescent="0.2">
      <c r="A37" s="30">
        <v>1979</v>
      </c>
      <c r="B37" s="25">
        <f t="shared" si="11"/>
        <v>76588</v>
      </c>
      <c r="C37" s="21">
        <f t="shared" si="12"/>
        <v>72528.835999999996</v>
      </c>
      <c r="D37" s="21">
        <f t="shared" si="7"/>
        <v>0</v>
      </c>
      <c r="E37" s="22">
        <f>B37*0.053</f>
        <v>4059.1639999999998</v>
      </c>
      <c r="F37" s="43">
        <v>172.74</v>
      </c>
      <c r="G37" s="15">
        <f t="shared" si="1"/>
        <v>172.74</v>
      </c>
      <c r="H37" s="20">
        <v>24444.55050473749</v>
      </c>
      <c r="I37" s="21">
        <f t="shared" si="4"/>
        <v>23613.435787576418</v>
      </c>
      <c r="J37" s="21"/>
      <c r="K37" s="21">
        <f>H37*0.024</f>
        <v>586.66921211369981</v>
      </c>
      <c r="L37" s="22">
        <f>H37*0.01</f>
        <v>244.44550504737489</v>
      </c>
      <c r="M37" s="522">
        <f>Adjust_Truck_Freight!AB15</f>
        <v>11500.558105368769</v>
      </c>
      <c r="N37" s="21">
        <f t="shared" si="13"/>
        <v>2265.6099467576464</v>
      </c>
      <c r="O37" s="21">
        <f>M37*FuelConsump!$BM37</f>
        <v>9200.4464842950165</v>
      </c>
      <c r="P37" s="22">
        <f>M37*FuelConsump!$BN37</f>
        <v>34.50167431610631</v>
      </c>
      <c r="Q37" s="522">
        <f>Adjust_Truck_Freight!AC15</f>
        <v>13927.360625484529</v>
      </c>
      <c r="R37" s="21">
        <f t="shared" si="14"/>
        <v>2743.6900432204516</v>
      </c>
      <c r="S37" s="21">
        <f>Q37*FuelConsump!$BM37</f>
        <v>11141.888500387624</v>
      </c>
      <c r="T37" s="21">
        <f>Q37*FuelConsump!$BN37</f>
        <v>41.782081876453589</v>
      </c>
      <c r="U37" s="44">
        <v>423.21199999999999</v>
      </c>
      <c r="V37" s="21"/>
      <c r="W37" s="45">
        <f t="shared" si="3"/>
        <v>9</v>
      </c>
      <c r="X37" s="21"/>
      <c r="Y37" s="21"/>
      <c r="Z37" s="21"/>
      <c r="AA37" s="22"/>
      <c r="AD37" s="36"/>
      <c r="AE37" s="36"/>
      <c r="AF37" s="36"/>
      <c r="AG37" s="63"/>
      <c r="AH37" s="40">
        <f t="shared" si="25"/>
        <v>404.88</v>
      </c>
      <c r="AI37" s="40">
        <v>9.64</v>
      </c>
      <c r="AJ37" s="759">
        <f t="shared" si="26"/>
        <v>205.38</v>
      </c>
      <c r="AK37" s="760">
        <v>4.8899999999999997</v>
      </c>
      <c r="AL37" s="42">
        <v>1979</v>
      </c>
      <c r="AM37" s="28">
        <v>38826</v>
      </c>
      <c r="AN37" s="22">
        <v>190543</v>
      </c>
      <c r="AO37" s="252">
        <v>1979</v>
      </c>
      <c r="AP37" s="168">
        <v>8865.9</v>
      </c>
      <c r="AQ37" s="168">
        <v>1828.4</v>
      </c>
      <c r="AR37" s="34">
        <v>570</v>
      </c>
      <c r="AS37" s="33">
        <v>736</v>
      </c>
      <c r="AT37" s="30">
        <v>1979</v>
      </c>
      <c r="AU37" s="106">
        <f>(AU38+AU36)/2</f>
        <v>82.660143475126176</v>
      </c>
      <c r="AV37" s="108">
        <f>(AV38+AV36)/2</f>
        <v>359.10624818647841</v>
      </c>
      <c r="AW37" s="33">
        <f>(FuelConsump!AU37*'Fuel Heat Content'!$D$7/1000000)+(FuelConsump!AV37*'Fuel Heat Content'!$D$21/1000000)</f>
        <v>15.177761400000001</v>
      </c>
      <c r="AX37" s="287">
        <f>'TEDB_Ed31_Table 9.10'!J20</f>
        <v>16.308499999999999</v>
      </c>
      <c r="AY37" s="382">
        <f t="shared" si="23"/>
        <v>13.744270440251569</v>
      </c>
      <c r="AZ37" s="179">
        <f>(AZ38+AZ36)/2</f>
        <v>37.876532804614271</v>
      </c>
      <c r="BA37" s="184">
        <f>(BA38+BA36)/2</f>
        <v>1018.8105716220138</v>
      </c>
      <c r="BB37" s="408">
        <f>2473-BC37</f>
        <v>2317.7692307692305</v>
      </c>
      <c r="BC37" s="410">
        <f t="shared" si="24"/>
        <v>155.23076923076928</v>
      </c>
      <c r="BD37" s="37">
        <v>4072.1869999999999</v>
      </c>
      <c r="BE37" s="30">
        <v>1979</v>
      </c>
      <c r="BF37" s="25">
        <v>600964</v>
      </c>
      <c r="BG37" s="21">
        <f t="shared" si="16"/>
        <v>2723.6075232268299</v>
      </c>
      <c r="BH37" s="112"/>
      <c r="BI37" s="36"/>
      <c r="BJ37" s="36">
        <f t="shared" si="17"/>
        <v>1979</v>
      </c>
      <c r="BM37" s="575">
        <v>0.8</v>
      </c>
      <c r="BN37" s="575">
        <v>3.0000000000000001E-3</v>
      </c>
      <c r="BO37" s="136">
        <f>AP37/(AP37+AQ37)</f>
        <v>0.82903041807317923</v>
      </c>
      <c r="BS37">
        <v>7049.5054914131979</v>
      </c>
      <c r="BT37">
        <v>2791.6041745996263</v>
      </c>
      <c r="BU37">
        <v>4187.4062618994394</v>
      </c>
      <c r="BV37">
        <v>70.495054914131984</v>
      </c>
      <c r="BW37">
        <v>12863.776701112673</v>
      </c>
      <c r="BX37">
        <v>5094.0555736406186</v>
      </c>
      <c r="BY37">
        <v>7641.083360460927</v>
      </c>
      <c r="BZ37">
        <v>128.63776701112673</v>
      </c>
      <c r="CB37" s="369"/>
      <c r="CC37" s="25">
        <v>76588</v>
      </c>
      <c r="CE37" s="297"/>
      <c r="CG37" s="125">
        <v>9</v>
      </c>
      <c r="CH37" s="125">
        <f t="shared" si="18"/>
        <v>9</v>
      </c>
      <c r="CJ37" s="289"/>
      <c r="CO37" s="289"/>
      <c r="CQ37" s="4">
        <v>1630858</v>
      </c>
      <c r="CR37" s="4">
        <v>8002672</v>
      </c>
      <c r="CS37" s="4">
        <f t="shared" si="19"/>
        <v>38829.952380952382</v>
      </c>
      <c r="CT37" s="4">
        <f t="shared" si="20"/>
        <v>190539.80952380953</v>
      </c>
      <c r="CU37" s="4">
        <f t="shared" si="8"/>
        <v>226.20000459999997</v>
      </c>
      <c r="CV37" s="4">
        <f t="shared" si="21"/>
        <v>1197.9999983999999</v>
      </c>
      <c r="CW37" s="4">
        <f t="shared" si="22"/>
        <v>1424.2000029999999</v>
      </c>
      <c r="CX37" s="4"/>
      <c r="CY37" s="4"/>
      <c r="CZ37" s="4"/>
      <c r="DA37" s="293">
        <v>378.7</v>
      </c>
      <c r="DB37" s="4"/>
      <c r="DC37" s="4">
        <f t="shared" si="9"/>
        <v>3.9523809523816453</v>
      </c>
      <c r="DD37" s="4">
        <f t="shared" si="10"/>
        <v>-3.1904761904734187</v>
      </c>
    </row>
    <row r="38" spans="1:108" x14ac:dyDescent="0.2">
      <c r="A38" s="30">
        <v>1980</v>
      </c>
      <c r="B38" s="25">
        <f t="shared" si="11"/>
        <v>69981</v>
      </c>
      <c r="C38" s="21">
        <f t="shared" si="12"/>
        <v>65712.159</v>
      </c>
      <c r="D38" s="21">
        <f>B38*0.005</f>
        <v>349.90500000000003</v>
      </c>
      <c r="E38" s="24">
        <f>B38*0.056</f>
        <v>3918.9360000000001</v>
      </c>
      <c r="F38" s="43">
        <v>204.28</v>
      </c>
      <c r="G38" s="15">
        <f t="shared" si="1"/>
        <v>204.28</v>
      </c>
      <c r="H38" s="20">
        <v>23796.196146445756</v>
      </c>
      <c r="I38" s="21">
        <f t="shared" si="4"/>
        <v>22796.755908295036</v>
      </c>
      <c r="J38" s="21">
        <f>H38*0.005</f>
        <v>118.98098073222879</v>
      </c>
      <c r="K38" s="21">
        <f>H38*0.027</f>
        <v>642.49729595403539</v>
      </c>
      <c r="L38" s="22">
        <f>H38*0.01</f>
        <v>237.96196146445757</v>
      </c>
      <c r="M38" s="522">
        <f>Adjust_Truck_Freight!AB16</f>
        <v>11293.797478502338</v>
      </c>
      <c r="N38" s="21">
        <f t="shared" si="13"/>
        <v>2224.8781032649604</v>
      </c>
      <c r="O38" s="21">
        <f>M38*FuelConsump!$BM38</f>
        <v>9035.0379828018704</v>
      </c>
      <c r="P38" s="22">
        <f>M38*FuelConsump!$BN38</f>
        <v>33.881392435507017</v>
      </c>
      <c r="Q38" s="522">
        <f>Adjust_Truck_Freight!AC16</f>
        <v>14114.909178414164</v>
      </c>
      <c r="R38" s="21">
        <f t="shared" si="14"/>
        <v>2780.6371081475904</v>
      </c>
      <c r="S38" s="21">
        <f>Q38*FuelConsump!$BM38</f>
        <v>11291.927342731331</v>
      </c>
      <c r="T38" s="21">
        <f>Q38*FuelConsump!$BN38</f>
        <v>42.344727535242491</v>
      </c>
      <c r="U38" s="44">
        <v>431.4</v>
      </c>
      <c r="V38" s="21"/>
      <c r="W38" s="45">
        <f t="shared" si="3"/>
        <v>11.4</v>
      </c>
      <c r="X38" s="21"/>
      <c r="Y38" s="21"/>
      <c r="Z38" s="21"/>
      <c r="AA38" s="22"/>
      <c r="AD38" s="36"/>
      <c r="AE38" s="36"/>
      <c r="AF38" s="36"/>
      <c r="AG38" s="63"/>
      <c r="AH38" s="40">
        <f t="shared" si="25"/>
        <v>379.67999999999995</v>
      </c>
      <c r="AI38" s="40">
        <v>9.0399999999999991</v>
      </c>
      <c r="AJ38" s="759">
        <f t="shared" si="26"/>
        <v>213.78</v>
      </c>
      <c r="AK38" s="760">
        <v>5.09</v>
      </c>
      <c r="AL38" s="42">
        <v>1980</v>
      </c>
      <c r="AM38" s="28">
        <v>35201</v>
      </c>
      <c r="AN38" s="22">
        <v>213131</v>
      </c>
      <c r="AO38" s="252">
        <v>1980</v>
      </c>
      <c r="AP38" s="168">
        <v>8519.2000000000007</v>
      </c>
      <c r="AQ38" s="168">
        <v>1747.3</v>
      </c>
      <c r="AR38" s="34">
        <v>520</v>
      </c>
      <c r="AS38" s="33">
        <v>766</v>
      </c>
      <c r="AT38" s="30">
        <v>1980</v>
      </c>
      <c r="AU38" s="44">
        <f>8.8/'Fuel Heat Content'!B7*1000000</f>
        <v>63.44628695025235</v>
      </c>
      <c r="AV38" s="52">
        <f>3.9/'Fuel Heat Content'!B21*1000000</f>
        <v>377.21249637295676</v>
      </c>
      <c r="AW38" s="33">
        <f>(FuelConsump!AU38*'Fuel Heat Content'!$D$7/1000000)+(FuelConsump!AV38*'Fuel Heat Content'!$D$21/1000000)</f>
        <v>12.700000000000003</v>
      </c>
      <c r="AX38" s="287">
        <f>'TEDB_Ed31_Table 9.10'!J21</f>
        <v>13.8</v>
      </c>
      <c r="AY38" s="382">
        <f t="shared" si="23"/>
        <v>11.630188679245281</v>
      </c>
      <c r="AZ38" s="46">
        <f>4.8/'Fuel Heat Content'!$B$7*1000000</f>
        <v>34.607065609228549</v>
      </c>
      <c r="BA38" s="57">
        <f>11.4/'Fuel Heat Content'!$B$21*1000000</f>
        <v>1102.6211432440275</v>
      </c>
      <c r="BB38" s="407">
        <f>2446-BC38</f>
        <v>2288.2307692307691</v>
      </c>
      <c r="BC38" s="410">
        <f t="shared" si="24"/>
        <v>157.76923076923083</v>
      </c>
      <c r="BD38" s="37">
        <v>3955.9960000000001</v>
      </c>
      <c r="BE38" s="30">
        <v>1980</v>
      </c>
      <c r="BF38" s="25">
        <v>634622</v>
      </c>
      <c r="BG38" s="21">
        <f t="shared" si="16"/>
        <v>2876.147745297983</v>
      </c>
      <c r="BH38" s="112"/>
      <c r="BI38" s="36"/>
      <c r="BJ38" s="36">
        <f t="shared" si="17"/>
        <v>1980</v>
      </c>
      <c r="BM38" s="575">
        <v>0.8</v>
      </c>
      <c r="BN38" s="575">
        <v>3.0000000000000001E-3</v>
      </c>
      <c r="BO38" s="136">
        <f>AP38/(AP38+AQ38)</f>
        <v>0.82980567866361477</v>
      </c>
      <c r="BS38">
        <v>6922.7672791326549</v>
      </c>
      <c r="BT38">
        <v>2741.4158425365313</v>
      </c>
      <c r="BU38">
        <v>4112.1237638047969</v>
      </c>
      <c r="BV38">
        <v>69.227672791326555</v>
      </c>
      <c r="BW38">
        <v>13037.002825600974</v>
      </c>
      <c r="BX38">
        <v>5162.6531189379857</v>
      </c>
      <c r="BY38">
        <v>7743.9796784069777</v>
      </c>
      <c r="BZ38">
        <v>130.37002825600973</v>
      </c>
      <c r="CB38" s="369"/>
      <c r="CC38" s="25">
        <v>69981</v>
      </c>
      <c r="CE38" s="297"/>
      <c r="CG38" s="125">
        <v>11.4</v>
      </c>
      <c r="CH38" s="125">
        <f t="shared" si="18"/>
        <v>11.4</v>
      </c>
      <c r="CJ38" s="289"/>
      <c r="CO38" s="289"/>
      <c r="CQ38" s="4">
        <v>717376</v>
      </c>
      <c r="CR38" s="4">
        <v>7454242</v>
      </c>
      <c r="CS38" s="4">
        <f t="shared" si="19"/>
        <v>17080.380952380954</v>
      </c>
      <c r="CT38" s="4">
        <f t="shared" si="20"/>
        <v>177481.95238095237</v>
      </c>
      <c r="CU38" s="4">
        <f t="shared" si="8"/>
        <v>99.500051199999987</v>
      </c>
      <c r="CV38" s="4">
        <f t="shared" si="21"/>
        <v>1115.9000273999998</v>
      </c>
      <c r="CW38" s="4">
        <f t="shared" si="22"/>
        <v>1215.4000785999997</v>
      </c>
      <c r="CX38" s="4"/>
      <c r="CY38" s="4"/>
      <c r="CZ38" s="4"/>
      <c r="DA38" s="293">
        <v>329.4</v>
      </c>
      <c r="DB38" s="4"/>
      <c r="DC38" s="4">
        <f t="shared" si="9"/>
        <v>-18120.619047619046</v>
      </c>
      <c r="DD38" s="4">
        <f t="shared" si="10"/>
        <v>-35649.047619047633</v>
      </c>
    </row>
    <row r="39" spans="1:108" x14ac:dyDescent="0.2">
      <c r="A39" s="30">
        <v>1981</v>
      </c>
      <c r="B39" s="25">
        <f t="shared" si="11"/>
        <v>69112</v>
      </c>
      <c r="C39" s="21">
        <f t="shared" si="12"/>
        <v>64550.608</v>
      </c>
      <c r="D39" s="21">
        <f>B39*0.007</f>
        <v>483.78399999999999</v>
      </c>
      <c r="E39" s="22">
        <f>B39*0.059</f>
        <v>4077.6079999999997</v>
      </c>
      <c r="F39" s="43">
        <v>213.8</v>
      </c>
      <c r="G39" s="15">
        <f t="shared" si="1"/>
        <v>213.8</v>
      </c>
      <c r="H39" s="20">
        <v>23697.319</v>
      </c>
      <c r="I39" s="21">
        <f t="shared" si="4"/>
        <v>22536.150368999999</v>
      </c>
      <c r="J39" s="21">
        <f>H39*0.007</f>
        <v>165.88123300000001</v>
      </c>
      <c r="K39" s="21">
        <f>H39*0.031</f>
        <v>734.61688900000001</v>
      </c>
      <c r="L39" s="22">
        <f>H39*0.011</f>
        <v>260.67050899999998</v>
      </c>
      <c r="M39" s="522">
        <f>Adjust_Truck_Freight!AB17</f>
        <v>11203.109984861778</v>
      </c>
      <c r="N39" s="21">
        <f t="shared" si="13"/>
        <v>2207.0126670177697</v>
      </c>
      <c r="O39" s="21">
        <f>M39*FuelConsump!$BM39</f>
        <v>8962.4879878894226</v>
      </c>
      <c r="P39" s="22">
        <f>M39*FuelConsump!$BN39</f>
        <v>33.609329954585334</v>
      </c>
      <c r="Q39" s="522">
        <f>Adjust_Truck_Freight!AC17</f>
        <v>14625.422032833427</v>
      </c>
      <c r="R39" s="21">
        <f t="shared" si="14"/>
        <v>2881.208140468184</v>
      </c>
      <c r="S39" s="21">
        <f>Q39*FuelConsump!$BM39</f>
        <v>11700.337626266743</v>
      </c>
      <c r="T39" s="21">
        <f>Q39*FuelConsump!$BN39</f>
        <v>43.876266098500281</v>
      </c>
      <c r="U39" s="44">
        <v>445.95</v>
      </c>
      <c r="V39" s="21"/>
      <c r="W39" s="45">
        <f t="shared" si="3"/>
        <v>14</v>
      </c>
      <c r="X39" s="21"/>
      <c r="Y39" s="21"/>
      <c r="Z39" s="21"/>
      <c r="AA39" s="22"/>
      <c r="AD39" s="36"/>
      <c r="AE39" s="36"/>
      <c r="AF39" s="36"/>
      <c r="AG39" s="63"/>
      <c r="AH39" s="40">
        <f t="shared" si="25"/>
        <v>386.82000000000005</v>
      </c>
      <c r="AI39" s="40">
        <v>9.2100000000000009</v>
      </c>
      <c r="AJ39" s="759">
        <f t="shared" si="26"/>
        <v>205.38</v>
      </c>
      <c r="AK39" s="760">
        <v>4.8899999999999997</v>
      </c>
      <c r="AL39" s="42">
        <v>1981</v>
      </c>
      <c r="AM39" s="28">
        <v>41024</v>
      </c>
      <c r="AN39" s="22">
        <v>188632</v>
      </c>
      <c r="AO39" s="252">
        <v>1981</v>
      </c>
      <c r="AP39" s="168">
        <v>8555.2000000000007</v>
      </c>
      <c r="AQ39" s="168">
        <v>2032.5</v>
      </c>
      <c r="AR39" s="34">
        <v>489</v>
      </c>
      <c r="AS39" s="33">
        <v>759</v>
      </c>
      <c r="AT39" s="30">
        <v>1981</v>
      </c>
      <c r="AU39" s="44">
        <f>9.6/'Fuel Heat Content'!B7*1000000</f>
        <v>69.214131218457098</v>
      </c>
      <c r="AV39" s="52">
        <f>3.5/'Fuel Heat Content'!B21*1000000</f>
        <v>338.52403520649966</v>
      </c>
      <c r="AW39" s="33">
        <f>(FuelConsump!AU39*'Fuel Heat Content'!$D$7/1000000)+(FuelConsump!AV39*'Fuel Heat Content'!$D$21/1000000)</f>
        <v>13.1</v>
      </c>
      <c r="AX39" s="287">
        <f>'TEDB_Ed31_Table 9.10'!J22</f>
        <v>12.7</v>
      </c>
      <c r="AY39" s="382">
        <f t="shared" si="23"/>
        <v>10.703144654088048</v>
      </c>
      <c r="AZ39" s="46">
        <f>4.8/'Fuel Heat Content'!$B$7*1000000</f>
        <v>34.607065609228549</v>
      </c>
      <c r="BA39" s="185">
        <f>10.8/'Fuel Heat Content'!$B$21*1000000</f>
        <v>1044.5884514943418</v>
      </c>
      <c r="BB39" s="407">
        <f>2655-BC39</f>
        <v>2494.6923076923076</v>
      </c>
      <c r="BC39" s="410">
        <f t="shared" si="24"/>
        <v>160.30769230769238</v>
      </c>
      <c r="BD39" s="37">
        <v>3774.239</v>
      </c>
      <c r="BE39" s="30">
        <v>1981</v>
      </c>
      <c r="BF39" s="25">
        <v>642325</v>
      </c>
      <c r="BG39" s="21">
        <f t="shared" si="16"/>
        <v>2911.0582370269658</v>
      </c>
      <c r="BH39" s="112"/>
      <c r="BI39" s="36"/>
      <c r="BJ39" s="36">
        <f t="shared" si="17"/>
        <v>1981</v>
      </c>
      <c r="BM39" s="575">
        <v>0.8</v>
      </c>
      <c r="BN39" s="575">
        <v>3.0000000000000001E-3</v>
      </c>
      <c r="BS39">
        <v>6867.1785</v>
      </c>
      <c r="BT39">
        <v>2719.4026859999999</v>
      </c>
      <c r="BU39">
        <v>4079.1040289999996</v>
      </c>
      <c r="BV39">
        <v>68.671785</v>
      </c>
      <c r="BW39">
        <v>13508.529595022052</v>
      </c>
      <c r="BX39">
        <v>5349.3777196287328</v>
      </c>
      <c r="BY39">
        <v>8024.0665794430979</v>
      </c>
      <c r="BZ39">
        <v>135.08529595022051</v>
      </c>
      <c r="CB39" s="369"/>
      <c r="CC39" s="25">
        <v>69112</v>
      </c>
      <c r="CE39" s="297"/>
      <c r="CG39" s="125">
        <v>14</v>
      </c>
      <c r="CH39" s="125">
        <f t="shared" si="18"/>
        <v>14</v>
      </c>
      <c r="CJ39" s="289"/>
      <c r="CO39" s="289"/>
      <c r="CQ39" s="4">
        <v>1723143</v>
      </c>
      <c r="CR39" s="4">
        <v>7922512</v>
      </c>
      <c r="CS39" s="4">
        <f t="shared" si="19"/>
        <v>41027.214285714283</v>
      </c>
      <c r="CT39" s="4">
        <f t="shared" si="20"/>
        <v>188631.23809523811</v>
      </c>
      <c r="CU39" s="4">
        <f t="shared" si="8"/>
        <v>238.99993409999999</v>
      </c>
      <c r="CV39" s="4">
        <f t="shared" si="21"/>
        <v>1186.0000463999997</v>
      </c>
      <c r="CW39" s="4">
        <f t="shared" si="22"/>
        <v>1424.9999804999998</v>
      </c>
      <c r="CX39" s="4"/>
      <c r="CY39" s="4"/>
      <c r="CZ39" s="4"/>
      <c r="DA39" s="293">
        <v>334.5</v>
      </c>
      <c r="DB39" s="4"/>
      <c r="DC39" s="4">
        <f t="shared" si="9"/>
        <v>3.214285714282596</v>
      </c>
      <c r="DD39" s="4">
        <f t="shared" si="10"/>
        <v>-0.76190476189367473</v>
      </c>
    </row>
    <row r="40" spans="1:108" x14ac:dyDescent="0.2">
      <c r="A40" s="30">
        <v>1982</v>
      </c>
      <c r="B40" s="25">
        <f t="shared" si="11"/>
        <v>69314</v>
      </c>
      <c r="C40" s="21">
        <f t="shared" si="12"/>
        <v>64808.590000000004</v>
      </c>
      <c r="D40" s="21">
        <f>B40*0.023</f>
        <v>1594.222</v>
      </c>
      <c r="E40" s="22">
        <f>B40*0.042</f>
        <v>2911.1880000000001</v>
      </c>
      <c r="F40" s="43">
        <v>198.2</v>
      </c>
      <c r="G40" s="15">
        <f t="shared" si="1"/>
        <v>198.2</v>
      </c>
      <c r="H40" s="20">
        <v>22702.354899999998</v>
      </c>
      <c r="I40" s="21">
        <f t="shared" si="4"/>
        <v>21113.190057</v>
      </c>
      <c r="J40" s="21">
        <f>H40*0.023</f>
        <v>522.15416269999992</v>
      </c>
      <c r="K40" s="21">
        <f t="shared" ref="K40:K46" si="27">H40*0.035</f>
        <v>794.58242150000001</v>
      </c>
      <c r="L40" s="22">
        <f t="shared" ref="L40:L45" si="28">H40*0.012</f>
        <v>272.42825879999998</v>
      </c>
      <c r="M40" s="522">
        <f>Adjust_Truck_Freight!AB18</f>
        <v>11098.438755204254</v>
      </c>
      <c r="N40" s="21">
        <f t="shared" si="13"/>
        <v>2186.3924347752377</v>
      </c>
      <c r="O40" s="21">
        <f>M40*FuelConsump!$BM40</f>
        <v>8878.7510041634032</v>
      </c>
      <c r="P40" s="22">
        <f>M40*FuelConsump!$BN40</f>
        <v>33.295316265612762</v>
      </c>
      <c r="Q40" s="522">
        <f>Adjust_Truck_Freight!AC18</f>
        <v>14705.561875758925</v>
      </c>
      <c r="R40" s="21">
        <f t="shared" si="14"/>
        <v>2896.9956895245077</v>
      </c>
      <c r="S40" s="21">
        <f>Q40*FuelConsump!$BM40</f>
        <v>11764.449500607141</v>
      </c>
      <c r="T40" s="21">
        <f>Q40*FuelConsump!$BN40</f>
        <v>44.11668562727678</v>
      </c>
      <c r="U40" s="44">
        <v>455.59</v>
      </c>
      <c r="V40" s="21"/>
      <c r="W40" s="45">
        <f t="shared" si="3"/>
        <v>11.7</v>
      </c>
      <c r="X40" s="21"/>
      <c r="Y40" s="21"/>
      <c r="Z40" s="21"/>
      <c r="AA40" s="22"/>
      <c r="AD40" s="36"/>
      <c r="AE40" s="36"/>
      <c r="AF40" s="36"/>
      <c r="AG40" s="63"/>
      <c r="AH40" s="40">
        <f t="shared" si="25"/>
        <v>398.58</v>
      </c>
      <c r="AI40" s="40">
        <v>9.49</v>
      </c>
      <c r="AJ40" s="759">
        <f t="shared" si="26"/>
        <v>227.22</v>
      </c>
      <c r="AK40" s="760">
        <v>5.41</v>
      </c>
      <c r="AL40" s="42">
        <v>1982</v>
      </c>
      <c r="AM40" s="28">
        <v>33885</v>
      </c>
      <c r="AN40" s="22">
        <v>152586</v>
      </c>
      <c r="AO40" s="252">
        <v>1982</v>
      </c>
      <c r="AP40" s="168">
        <v>8432.5</v>
      </c>
      <c r="AQ40" s="168">
        <v>1967.7</v>
      </c>
      <c r="AR40" s="34">
        <v>448</v>
      </c>
      <c r="AS40" s="33">
        <v>887</v>
      </c>
      <c r="AT40" s="30">
        <v>1982</v>
      </c>
      <c r="AU40" s="44">
        <f>9.2/'Fuel Heat Content'!B7*1000000</f>
        <v>66.330209084354706</v>
      </c>
      <c r="AV40" s="52">
        <f>3.4/'Fuel Heat Content'!B21*1000000</f>
        <v>328.8519199148854</v>
      </c>
      <c r="AW40" s="33">
        <f>(FuelConsump!AU40*'Fuel Heat Content'!$D$7/1000000)+(FuelConsump!AV40*'Fuel Heat Content'!$D$21/1000000)</f>
        <v>12.599999999999998</v>
      </c>
      <c r="AX40" s="287">
        <f>'TEDB_Ed31_Table 9.10'!J23</f>
        <v>12.2</v>
      </c>
      <c r="AY40" s="382">
        <f t="shared" si="23"/>
        <v>10.281761006289306</v>
      </c>
      <c r="AZ40" s="46">
        <f>4.7/'Fuel Heat Content'!$B$7*1000000</f>
        <v>33.886085075702958</v>
      </c>
      <c r="BA40" s="57">
        <f>10.6/'Fuel Heat Content'!$B$21*1000000</f>
        <v>1025.2442209111132</v>
      </c>
      <c r="BB40" s="407">
        <f>2722-BC40</f>
        <v>2559.1538461538462</v>
      </c>
      <c r="BC40" s="410">
        <f t="shared" si="24"/>
        <v>162.84615384615392</v>
      </c>
      <c r="BD40" s="37">
        <v>3178.116</v>
      </c>
      <c r="BE40" s="30">
        <v>1982</v>
      </c>
      <c r="BF40" s="25">
        <v>596411</v>
      </c>
      <c r="BG40" s="21">
        <f t="shared" si="16"/>
        <v>2702.973034217086</v>
      </c>
      <c r="BH40" s="112"/>
      <c r="BI40" s="36"/>
      <c r="BJ40" s="36">
        <f t="shared" si="17"/>
        <v>1982</v>
      </c>
      <c r="BM40" s="575">
        <v>0.8</v>
      </c>
      <c r="BN40" s="575">
        <v>3.0000000000000001E-3</v>
      </c>
      <c r="BS40">
        <v>6803.0181000000002</v>
      </c>
      <c r="BT40">
        <v>2693.9951676000001</v>
      </c>
      <c r="BU40">
        <v>4040.9927514000001</v>
      </c>
      <c r="BV40">
        <v>68.030180999999999</v>
      </c>
      <c r="BW40">
        <v>13582.549437832002</v>
      </c>
      <c r="BX40">
        <v>5378.6895773814731</v>
      </c>
      <c r="BY40">
        <v>8068.0343660722083</v>
      </c>
      <c r="BZ40">
        <v>135.82549437832003</v>
      </c>
      <c r="CB40" s="369"/>
      <c r="CC40" s="25">
        <v>69314</v>
      </c>
      <c r="CE40" s="297"/>
      <c r="CG40" s="125">
        <v>11.7</v>
      </c>
      <c r="CH40" s="125">
        <f t="shared" si="18"/>
        <v>11.7</v>
      </c>
      <c r="CJ40" s="289"/>
      <c r="CO40" s="289"/>
      <c r="CQ40" s="4">
        <v>1423216</v>
      </c>
      <c r="CR40" s="4">
        <v>6408818</v>
      </c>
      <c r="CS40" s="4">
        <f t="shared" si="19"/>
        <v>33886.095238095237</v>
      </c>
      <c r="CT40" s="4">
        <f t="shared" si="20"/>
        <v>152590.90476190476</v>
      </c>
      <c r="CU40" s="4">
        <f t="shared" si="8"/>
        <v>197.40005919999999</v>
      </c>
      <c r="CV40" s="4">
        <f t="shared" si="21"/>
        <v>959.40005459999986</v>
      </c>
      <c r="CW40" s="4">
        <f t="shared" si="22"/>
        <v>1156.8001138</v>
      </c>
      <c r="CX40" s="4"/>
      <c r="CY40" s="4"/>
      <c r="CZ40" s="4"/>
      <c r="DA40" s="293">
        <v>274.5</v>
      </c>
      <c r="DB40" s="4"/>
      <c r="DC40" s="4">
        <f t="shared" si="9"/>
        <v>1.0952380952367093</v>
      </c>
      <c r="DD40" s="4">
        <f t="shared" si="10"/>
        <v>4.9047619047632907</v>
      </c>
    </row>
    <row r="41" spans="1:108" x14ac:dyDescent="0.2">
      <c r="A41" s="30">
        <v>1983</v>
      </c>
      <c r="B41" s="25">
        <f t="shared" si="11"/>
        <v>70322</v>
      </c>
      <c r="C41" s="21">
        <f t="shared" si="12"/>
        <v>65540.103999999992</v>
      </c>
      <c r="D41" s="21">
        <f>B41*0.043</f>
        <v>3023.8459999999995</v>
      </c>
      <c r="E41" s="22">
        <f>B41*0.025</f>
        <v>1758.0500000000002</v>
      </c>
      <c r="F41" s="43">
        <v>175.2</v>
      </c>
      <c r="G41" s="15">
        <f t="shared" si="1"/>
        <v>175.2</v>
      </c>
      <c r="H41" s="20">
        <v>23945.395300112163</v>
      </c>
      <c r="I41" s="21">
        <f t="shared" si="4"/>
        <v>21790.309723102069</v>
      </c>
      <c r="J41" s="21">
        <f>H41*0.043</f>
        <v>1029.651997904823</v>
      </c>
      <c r="K41" s="21">
        <f t="shared" si="27"/>
        <v>838.08883550392579</v>
      </c>
      <c r="L41" s="22">
        <f t="shared" si="28"/>
        <v>287.34474360134595</v>
      </c>
      <c r="M41" s="522">
        <f>Adjust_Truck_Freight!AB19</f>
        <v>11362.47289617233</v>
      </c>
      <c r="N41" s="21">
        <f t="shared" si="13"/>
        <v>2238.407160545949</v>
      </c>
      <c r="O41" s="21">
        <f>M41*FuelConsump!$BM41</f>
        <v>9089.9783169378643</v>
      </c>
      <c r="P41" s="22">
        <f>M41*FuelConsump!$BN41</f>
        <v>34.087418688516991</v>
      </c>
      <c r="Q41" s="522">
        <f>Adjust_Truck_Freight!AC19</f>
        <v>14936.406312606632</v>
      </c>
      <c r="R41" s="21">
        <f t="shared" si="14"/>
        <v>2942.4720435835065</v>
      </c>
      <c r="S41" s="21">
        <f>Q41*FuelConsump!$BM41</f>
        <v>11949.125050085306</v>
      </c>
      <c r="T41" s="21">
        <f>Q41*FuelConsump!$BN41</f>
        <v>44.8092189378199</v>
      </c>
      <c r="U41" s="186">
        <v>450.26</v>
      </c>
      <c r="V41" s="187"/>
      <c r="W41" s="45">
        <f t="shared" si="3"/>
        <v>9.5</v>
      </c>
      <c r="X41" s="187"/>
      <c r="Y41" s="187"/>
      <c r="Z41" s="187"/>
      <c r="AA41" s="176"/>
      <c r="AD41" s="36"/>
      <c r="AE41" s="36"/>
      <c r="AF41" s="36"/>
      <c r="AG41" s="63"/>
      <c r="AH41" s="40">
        <f t="shared" si="25"/>
        <v>400.67999999999995</v>
      </c>
      <c r="AI41" s="40">
        <v>9.5399999999999991</v>
      </c>
      <c r="AJ41" s="759">
        <f t="shared" si="26"/>
        <v>237.3</v>
      </c>
      <c r="AK41" s="760">
        <v>5.65</v>
      </c>
      <c r="AL41" s="42">
        <v>1983</v>
      </c>
      <c r="AM41" s="28">
        <v>39108</v>
      </c>
      <c r="AN41" s="22">
        <v>136290</v>
      </c>
      <c r="AO41" s="252">
        <v>1983</v>
      </c>
      <c r="AP41" s="168">
        <v>8672.6</v>
      </c>
      <c r="AQ41" s="168">
        <v>1998.3</v>
      </c>
      <c r="AR41" s="34">
        <v>428</v>
      </c>
      <c r="AS41" s="33">
        <v>613</v>
      </c>
      <c r="AT41" s="30">
        <v>1983</v>
      </c>
      <c r="AU41" s="44">
        <f>8.9/'Fuel Heat Content'!B7*1000000</f>
        <v>64.167267483777934</v>
      </c>
      <c r="AV41" s="52">
        <f>3.7/'Fuel Heat Content'!B21*1000000</f>
        <v>357.86826578972824</v>
      </c>
      <c r="AW41" s="33">
        <f>(FuelConsump!AU41*'Fuel Heat Content'!$D$7/1000000)+(FuelConsump!AV41*'Fuel Heat Content'!$D$21/1000000)</f>
        <v>12.600000000000001</v>
      </c>
      <c r="AX41" s="287">
        <f>'TEDB_Ed31_Table 9.10'!J24</f>
        <v>12.2</v>
      </c>
      <c r="AY41" s="382">
        <f t="shared" si="23"/>
        <v>10.281761006289306</v>
      </c>
      <c r="AZ41" s="188">
        <f>8.9/'Fuel Heat Content'!$B$7*1000000</f>
        <v>64.167267483777934</v>
      </c>
      <c r="BA41" s="184">
        <f>(BA42+BA40)/2</f>
        <v>963.12211045555659</v>
      </c>
      <c r="BB41" s="409">
        <f>2930-BC41</f>
        <v>2764.6153846153848</v>
      </c>
      <c r="BC41" s="410">
        <f t="shared" si="24"/>
        <v>165.38461538461547</v>
      </c>
      <c r="BD41" s="37">
        <v>3137.2950000000001</v>
      </c>
      <c r="BE41" s="30">
        <v>1983</v>
      </c>
      <c r="BF41" s="25">
        <v>490042</v>
      </c>
      <c r="BG41" s="21">
        <f t="shared" si="16"/>
        <v>2220.9018808067076</v>
      </c>
      <c r="BH41" s="112"/>
      <c r="BI41" s="36"/>
      <c r="BJ41" s="36">
        <f t="shared" si="17"/>
        <v>1983</v>
      </c>
      <c r="BM41" s="575">
        <v>0.8</v>
      </c>
      <c r="BN41" s="575">
        <v>3.0000000000000001E-3</v>
      </c>
      <c r="BS41">
        <v>6964.8633</v>
      </c>
      <c r="BT41">
        <v>2758.0858668000001</v>
      </c>
      <c r="BU41">
        <v>4137.1288002000001</v>
      </c>
      <c r="BV41">
        <v>69.648633000000004</v>
      </c>
      <c r="BW41">
        <v>13795.765090686522</v>
      </c>
      <c r="BX41">
        <v>5463.1229759118633</v>
      </c>
      <c r="BY41">
        <v>8194.684463867794</v>
      </c>
      <c r="BZ41">
        <v>137.95765090686521</v>
      </c>
      <c r="CB41" s="369"/>
      <c r="CC41" s="25">
        <v>70322</v>
      </c>
      <c r="CE41" s="297"/>
      <c r="CG41" s="125">
        <v>9.5</v>
      </c>
      <c r="CH41" s="125">
        <f t="shared" si="18"/>
        <v>9.5</v>
      </c>
      <c r="CJ41" s="289"/>
      <c r="CO41" s="289"/>
      <c r="CQ41" s="4">
        <v>1418890</v>
      </c>
      <c r="CR41" s="4">
        <v>5724115</v>
      </c>
      <c r="CS41" s="4">
        <f t="shared" si="19"/>
        <v>33783.095238095237</v>
      </c>
      <c r="CT41" s="4">
        <f t="shared" si="20"/>
        <v>136288.45238095237</v>
      </c>
      <c r="CU41" s="4">
        <f t="shared" si="8"/>
        <v>196.80004299999996</v>
      </c>
      <c r="CV41" s="4">
        <f t="shared" si="21"/>
        <v>856.90001549999988</v>
      </c>
      <c r="CW41" s="4">
        <f t="shared" si="22"/>
        <v>1053.7000584999998</v>
      </c>
      <c r="CX41" s="4"/>
      <c r="CY41" s="4"/>
      <c r="CZ41" s="4"/>
      <c r="DA41" s="293">
        <v>293.7</v>
      </c>
      <c r="DB41" s="4"/>
      <c r="DC41" s="4">
        <f t="shared" si="9"/>
        <v>-5324.9047619047633</v>
      </c>
      <c r="DD41" s="4">
        <f t="shared" si="10"/>
        <v>-1.5476190476329066</v>
      </c>
    </row>
    <row r="42" spans="1:108" x14ac:dyDescent="0.2">
      <c r="A42" s="30">
        <v>1984</v>
      </c>
      <c r="B42" s="25">
        <f t="shared" si="11"/>
        <v>70663</v>
      </c>
      <c r="C42" s="21">
        <f t="shared" si="12"/>
        <v>65504.601000000002</v>
      </c>
      <c r="D42" s="21">
        <f>B42*0.053</f>
        <v>3745.1389999999997</v>
      </c>
      <c r="E42" s="22">
        <f>B42*0.02</f>
        <v>1413.26</v>
      </c>
      <c r="F42" s="43">
        <v>181.72</v>
      </c>
      <c r="G42" s="15">
        <f t="shared" si="1"/>
        <v>181.72</v>
      </c>
      <c r="H42" s="20">
        <v>25603.91126311789</v>
      </c>
      <c r="I42" s="21">
        <f t="shared" si="4"/>
        <v>23043.520136806103</v>
      </c>
      <c r="J42" s="21">
        <f>H42*0.053</f>
        <v>1357.0072969452481</v>
      </c>
      <c r="K42" s="21">
        <f t="shared" si="27"/>
        <v>896.13689420912624</v>
      </c>
      <c r="L42" s="22">
        <f t="shared" si="28"/>
        <v>307.24693515741467</v>
      </c>
      <c r="M42" s="522">
        <f>Adjust_Truck_Freight!AB20</f>
        <v>11811.205343668811</v>
      </c>
      <c r="N42" s="21">
        <f t="shared" si="13"/>
        <v>2326.8074527027552</v>
      </c>
      <c r="O42" s="21">
        <f>M42*FuelConsump!$BM42</f>
        <v>9448.9642749350496</v>
      </c>
      <c r="P42" s="22">
        <f>M42*FuelConsump!$BN42</f>
        <v>35.433616031006437</v>
      </c>
      <c r="Q42" s="522">
        <f>Adjust_Truck_Freight!AC20</f>
        <v>15361.055817928222</v>
      </c>
      <c r="R42" s="21">
        <f t="shared" si="14"/>
        <v>3026.1279961318587</v>
      </c>
      <c r="S42" s="21">
        <f>Q42*FuelConsump!$BM42</f>
        <v>12288.844654342578</v>
      </c>
      <c r="T42" s="21">
        <f>Q42*FuelConsump!$BN42</f>
        <v>46.083167453784668</v>
      </c>
      <c r="U42" s="44">
        <v>505.04899999999998</v>
      </c>
      <c r="V42" s="36"/>
      <c r="W42" s="392">
        <f t="shared" si="3"/>
        <v>8</v>
      </c>
      <c r="X42" s="45"/>
      <c r="Y42" s="45"/>
      <c r="Z42" s="45"/>
      <c r="AA42" s="52"/>
      <c r="AB42" s="125">
        <v>15.4</v>
      </c>
      <c r="AC42" s="125"/>
      <c r="AD42" s="403">
        <f t="shared" ref="AD42:AD51" si="29">CI42</f>
        <v>39.404999999999994</v>
      </c>
      <c r="AE42" s="403"/>
      <c r="AF42" s="403"/>
      <c r="AG42" s="63"/>
      <c r="AH42" s="40">
        <f t="shared" si="25"/>
        <v>375.06</v>
      </c>
      <c r="AI42" s="40">
        <v>8.93</v>
      </c>
      <c r="AJ42" s="759">
        <f t="shared" si="26"/>
        <v>169.26000000000002</v>
      </c>
      <c r="AK42" s="760">
        <v>4.03</v>
      </c>
      <c r="AL42" s="42">
        <v>1984</v>
      </c>
      <c r="AM42" s="28">
        <v>40287</v>
      </c>
      <c r="AN42" s="22">
        <v>135408</v>
      </c>
      <c r="AO42" s="252">
        <v>1984</v>
      </c>
      <c r="AP42" s="168">
        <v>9626</v>
      </c>
      <c r="AQ42" s="168">
        <v>2286.4</v>
      </c>
      <c r="AR42" s="34">
        <f>254.3+199.4+8.7</f>
        <v>462.40000000000003</v>
      </c>
      <c r="AS42" s="33">
        <f>238.8+433.2+66.9</f>
        <v>738.9</v>
      </c>
      <c r="AT42" s="30">
        <v>1984</v>
      </c>
      <c r="AU42" s="106">
        <f>(AU43+AU41)/2</f>
        <v>66.708502741888964</v>
      </c>
      <c r="AV42" s="108">
        <f>(AV43+AV41)/2</f>
        <v>339.94353289486412</v>
      </c>
      <c r="AW42" s="33">
        <f>(FuelConsump!AU42*'Fuel Heat Content'!$D$7/1000000)+(FuelConsump!AV42*'Fuel Heat Content'!$D$21/1000000)</f>
        <v>12.767145516900001</v>
      </c>
      <c r="AX42" s="287">
        <f>'TEDB_Ed31_Table 9.10'!J25</f>
        <v>12.9</v>
      </c>
      <c r="AY42" s="382">
        <f t="shared" si="23"/>
        <v>10.871698113207547</v>
      </c>
      <c r="AZ42" s="46">
        <v>58.32</v>
      </c>
      <c r="BA42" s="57">
        <v>901</v>
      </c>
      <c r="BB42" s="407">
        <f>3092-BC42</f>
        <v>2924.0769230769229</v>
      </c>
      <c r="BC42" s="410">
        <f t="shared" si="24"/>
        <v>167.92307692307702</v>
      </c>
      <c r="BD42" s="37">
        <v>3388.1729999999998</v>
      </c>
      <c r="BE42" s="30">
        <v>1984</v>
      </c>
      <c r="BF42" s="25">
        <v>528754</v>
      </c>
      <c r="BG42" s="21">
        <f t="shared" si="16"/>
        <v>2396.3471561296169</v>
      </c>
      <c r="BH42" s="112"/>
      <c r="BI42" s="36"/>
      <c r="BJ42" s="36">
        <f t="shared" si="17"/>
        <v>1984</v>
      </c>
      <c r="BM42" s="575">
        <v>0.8</v>
      </c>
      <c r="BN42" s="575">
        <v>3.0000000000000001E-3</v>
      </c>
      <c r="BS42">
        <v>7239.9231556886534</v>
      </c>
      <c r="BT42">
        <v>2867.0095696527069</v>
      </c>
      <c r="BU42">
        <v>4300.5143544790599</v>
      </c>
      <c r="BV42">
        <v>72.399231556886534</v>
      </c>
      <c r="BW42">
        <v>14187.985595316761</v>
      </c>
      <c r="BX42">
        <v>5618.4422957454371</v>
      </c>
      <c r="BY42">
        <v>8427.6634436181557</v>
      </c>
      <c r="BZ42">
        <v>141.87985595316761</v>
      </c>
      <c r="CB42" s="369"/>
      <c r="CC42" s="25">
        <v>70663</v>
      </c>
      <c r="CE42" s="297"/>
      <c r="CF42" s="125">
        <v>49.9</v>
      </c>
      <c r="CG42" s="389">
        <f>1*CF42</f>
        <v>49.9</v>
      </c>
      <c r="CH42" s="389">
        <v>8</v>
      </c>
      <c r="CI42" s="389">
        <f>(0.95*CG42-CH42)</f>
        <v>39.404999999999994</v>
      </c>
      <c r="CJ42" s="289"/>
      <c r="CO42" s="289"/>
      <c r="CQ42" s="4">
        <v>1692141</v>
      </c>
      <c r="CR42" s="4">
        <v>5687375</v>
      </c>
      <c r="CS42" s="4">
        <f t="shared" si="19"/>
        <v>40289.071428571428</v>
      </c>
      <c r="CT42" s="4">
        <f t="shared" si="20"/>
        <v>135413.69047619047</v>
      </c>
      <c r="CU42" s="4">
        <f t="shared" si="8"/>
        <v>234.69995669999997</v>
      </c>
      <c r="CV42" s="4">
        <f t="shared" si="21"/>
        <v>851.40003749999983</v>
      </c>
      <c r="CW42" s="4">
        <f t="shared" si="22"/>
        <v>1086.0999941999999</v>
      </c>
      <c r="CX42" s="4"/>
      <c r="CY42" s="4"/>
      <c r="CZ42" s="4"/>
      <c r="DA42" s="293">
        <v>307.3</v>
      </c>
      <c r="DB42" s="4"/>
      <c r="DC42" s="4">
        <f t="shared" si="9"/>
        <v>2.071428571427532</v>
      </c>
      <c r="DD42" s="4">
        <f t="shared" si="10"/>
        <v>5.6904761904734187</v>
      </c>
    </row>
    <row r="43" spans="1:108" x14ac:dyDescent="0.2">
      <c r="A43" s="30">
        <v>1985</v>
      </c>
      <c r="B43" s="25">
        <f t="shared" si="11"/>
        <v>71518</v>
      </c>
      <c r="C43" s="21">
        <f t="shared" si="12"/>
        <v>64938.344000000005</v>
      </c>
      <c r="D43" s="21">
        <f>B43*0.077</f>
        <v>5506.8859999999995</v>
      </c>
      <c r="E43" s="22">
        <f>B43*0.015</f>
        <v>1072.77</v>
      </c>
      <c r="F43" s="43">
        <v>187.94</v>
      </c>
      <c r="G43" s="15">
        <f t="shared" si="1"/>
        <v>187.94</v>
      </c>
      <c r="H43" s="20">
        <v>27363.169913761038</v>
      </c>
      <c r="I43" s="21">
        <f t="shared" si="4"/>
        <v>23970.136844454672</v>
      </c>
      <c r="J43" s="21">
        <f>H43*0.077</f>
        <v>2106.9640833596</v>
      </c>
      <c r="K43" s="21">
        <f t="shared" si="27"/>
        <v>957.71094698163643</v>
      </c>
      <c r="L43" s="22">
        <f t="shared" si="28"/>
        <v>328.35803896513244</v>
      </c>
      <c r="M43" s="522">
        <f>Adjust_Truck_Freight!AB21</f>
        <v>12071.34100405696</v>
      </c>
      <c r="N43" s="21">
        <f t="shared" si="13"/>
        <v>2378.0541777992207</v>
      </c>
      <c r="O43" s="21">
        <f>M43*FuelConsump!$BM43</f>
        <v>9657.0728032455681</v>
      </c>
      <c r="P43" s="22">
        <f>M43*FuelConsump!$BN43</f>
        <v>36.214023012170877</v>
      </c>
      <c r="Q43" s="522">
        <f>Adjust_Truck_Freight!AC21</f>
        <v>15163.234407918406</v>
      </c>
      <c r="R43" s="21">
        <f t="shared" si="14"/>
        <v>2987.1571783599243</v>
      </c>
      <c r="S43" s="21">
        <f>Q43*FuelConsump!$BM43</f>
        <v>12130.587526334726</v>
      </c>
      <c r="T43" s="21">
        <f>Q43*FuelConsump!$BN43</f>
        <v>45.489703223755221</v>
      </c>
      <c r="U43" s="44">
        <v>518.13699999999994</v>
      </c>
      <c r="V43" s="36"/>
      <c r="W43" s="392">
        <f t="shared" si="3"/>
        <v>6</v>
      </c>
      <c r="X43" s="45"/>
      <c r="Y43" s="45"/>
      <c r="Z43" s="45"/>
      <c r="AA43" s="52"/>
      <c r="AB43" s="125">
        <v>14.5</v>
      </c>
      <c r="AC43" s="125"/>
      <c r="AD43" s="403">
        <f t="shared" si="29"/>
        <v>37.414999999999999</v>
      </c>
      <c r="AE43" s="403"/>
      <c r="AF43" s="403"/>
      <c r="AG43" s="63"/>
      <c r="AH43" s="40">
        <f t="shared" si="25"/>
        <v>425.03999999999996</v>
      </c>
      <c r="AI43" s="40">
        <v>10.119999999999999</v>
      </c>
      <c r="AJ43" s="759">
        <f t="shared" si="26"/>
        <v>165.48</v>
      </c>
      <c r="AK43" s="760">
        <v>3.94</v>
      </c>
      <c r="AL43" s="42">
        <v>1985</v>
      </c>
      <c r="AM43" s="28">
        <v>45102</v>
      </c>
      <c r="AN43" s="22">
        <v>130323</v>
      </c>
      <c r="AO43" s="252">
        <v>1985</v>
      </c>
      <c r="AP43" s="168">
        <v>10115</v>
      </c>
      <c r="AQ43" s="168">
        <v>2487.9</v>
      </c>
      <c r="AR43" s="34">
        <v>421</v>
      </c>
      <c r="AS43" s="33">
        <v>691</v>
      </c>
      <c r="AT43" s="30">
        <v>1985</v>
      </c>
      <c r="AU43" s="49">
        <v>69.249737999999994</v>
      </c>
      <c r="AV43" s="46">
        <v>322.0188</v>
      </c>
      <c r="AW43" s="33">
        <f>(FuelConsump!AU43*'Fuel Heat Content'!$D$7/1000000)+(FuelConsump!AV43*'Fuel Heat Content'!$D$21/1000000)</f>
        <v>12.934291033799997</v>
      </c>
      <c r="AX43" s="287">
        <f>'TEDB_Ed31_Table 9.10'!J26</f>
        <v>12.9</v>
      </c>
      <c r="AY43" s="382">
        <f t="shared" si="23"/>
        <v>10.871698113207547</v>
      </c>
      <c r="AZ43" s="46">
        <v>55.372</v>
      </c>
      <c r="BA43" s="57">
        <v>1043</v>
      </c>
      <c r="BB43" s="407">
        <f>2928-BC43</f>
        <v>2757.5384615384614</v>
      </c>
      <c r="BC43" s="410">
        <f t="shared" si="24"/>
        <v>170.46153846153857</v>
      </c>
      <c r="BD43" s="37">
        <v>3144.19</v>
      </c>
      <c r="BE43" s="30">
        <v>1985</v>
      </c>
      <c r="BF43" s="28">
        <v>503766</v>
      </c>
      <c r="BG43" s="21">
        <f t="shared" si="16"/>
        <v>2283.0999320190344</v>
      </c>
      <c r="BH43" s="112"/>
      <c r="BI43" s="36"/>
      <c r="BJ43" s="36">
        <f t="shared" si="17"/>
        <v>1985</v>
      </c>
      <c r="BM43" s="575">
        <v>0.8</v>
      </c>
      <c r="BN43" s="575">
        <v>3.0000000000000001E-3</v>
      </c>
      <c r="BS43">
        <v>7399.3787012036664</v>
      </c>
      <c r="BT43">
        <v>2930.1539656766522</v>
      </c>
      <c r="BU43">
        <v>4395.2309485149781</v>
      </c>
      <c r="BV43">
        <v>73.993787012036663</v>
      </c>
      <c r="BW43">
        <v>14005.271115991143</v>
      </c>
      <c r="BX43">
        <v>5546.087361932493</v>
      </c>
      <c r="BY43">
        <v>8319.1310428987381</v>
      </c>
      <c r="BZ43">
        <v>140.05271115991144</v>
      </c>
      <c r="CB43" s="369"/>
      <c r="CC43" s="25">
        <v>71518</v>
      </c>
      <c r="CE43" s="297"/>
      <c r="CF43" s="125">
        <v>45.7</v>
      </c>
      <c r="CG43" s="389">
        <f t="shared" ref="CG43:CG49" si="30">1*CF43</f>
        <v>45.7</v>
      </c>
      <c r="CH43" s="389">
        <v>6</v>
      </c>
      <c r="CI43" s="389">
        <f t="shared" ref="CI43:CI49" si="31">(0.95*CG43-CH43)</f>
        <v>37.414999999999999</v>
      </c>
      <c r="CJ43" s="289"/>
      <c r="CO43" s="289"/>
      <c r="CQ43" s="4">
        <v>1894106</v>
      </c>
      <c r="CR43" s="4">
        <v>5473614</v>
      </c>
      <c r="CS43" s="4">
        <f t="shared" si="19"/>
        <v>45097.761904761908</v>
      </c>
      <c r="CT43" s="4">
        <f t="shared" si="20"/>
        <v>130324.14285714286</v>
      </c>
      <c r="CU43" s="4">
        <f t="shared" si="8"/>
        <v>262.71250219999996</v>
      </c>
      <c r="CV43" s="4">
        <f t="shared" si="21"/>
        <v>819.40001579999989</v>
      </c>
      <c r="CW43" s="4">
        <f t="shared" si="22"/>
        <v>1082.1125179999999</v>
      </c>
      <c r="CX43" s="4"/>
      <c r="CY43" s="4"/>
      <c r="CZ43" s="4"/>
      <c r="DA43" s="293">
        <v>398.6</v>
      </c>
      <c r="DB43" s="4"/>
      <c r="DC43" s="4">
        <f t="shared" si="9"/>
        <v>-4.2380952380917734</v>
      </c>
      <c r="DD43" s="4">
        <f t="shared" si="10"/>
        <v>1.142857142855064</v>
      </c>
    </row>
    <row r="44" spans="1:108" x14ac:dyDescent="0.2">
      <c r="A44" s="30">
        <v>1986</v>
      </c>
      <c r="B44" s="25">
        <f t="shared" si="11"/>
        <v>73174</v>
      </c>
      <c r="C44" s="21">
        <f t="shared" si="12"/>
        <v>66515.165999999997</v>
      </c>
      <c r="D44" s="21">
        <f>B44*0.076</f>
        <v>5561.2240000000002</v>
      </c>
      <c r="E44" s="22">
        <f>B44*0.015</f>
        <v>1097.6099999999999</v>
      </c>
      <c r="F44" s="43">
        <v>187.94</v>
      </c>
      <c r="G44" s="15">
        <f t="shared" si="1"/>
        <v>187.94</v>
      </c>
      <c r="H44" s="20">
        <v>29074.181654580065</v>
      </c>
      <c r="I44" s="21">
        <f t="shared" si="4"/>
        <v>25498.057311066721</v>
      </c>
      <c r="J44" s="21">
        <f>H44*0.076</f>
        <v>2209.6378057480847</v>
      </c>
      <c r="K44" s="21">
        <f t="shared" si="27"/>
        <v>1017.5963579103023</v>
      </c>
      <c r="L44" s="22">
        <f t="shared" si="28"/>
        <v>348.89017985496076</v>
      </c>
      <c r="M44" s="522">
        <f>Adjust_Truck_Freight!AB22</f>
        <v>12049.417142839635</v>
      </c>
      <c r="N44" s="21">
        <f t="shared" si="13"/>
        <v>2373.7351771394069</v>
      </c>
      <c r="O44" s="21">
        <f>M44*FuelConsump!$BM44</f>
        <v>9639.533714271709</v>
      </c>
      <c r="P44" s="22">
        <f>M44*FuelConsump!$BN44</f>
        <v>36.148251428518904</v>
      </c>
      <c r="Q44" s="522">
        <f>Adjust_Truck_Freight!AC22</f>
        <v>15671.350108174873</v>
      </c>
      <c r="R44" s="21">
        <f t="shared" si="14"/>
        <v>3087.2559713104483</v>
      </c>
      <c r="S44" s="21">
        <f>Q44*FuelConsump!$BM44</f>
        <v>12537.0800865399</v>
      </c>
      <c r="T44" s="21">
        <f>Q44*FuelConsump!$BN44</f>
        <v>47.014050324524618</v>
      </c>
      <c r="U44" s="44">
        <v>546.89200000000005</v>
      </c>
      <c r="V44" s="36"/>
      <c r="W44" s="392">
        <f t="shared" si="3"/>
        <v>4</v>
      </c>
      <c r="X44" s="45"/>
      <c r="Y44" s="45"/>
      <c r="Z44" s="45"/>
      <c r="AA44" s="52"/>
      <c r="AB44" s="125">
        <v>15.9</v>
      </c>
      <c r="AC44" s="125"/>
      <c r="AD44" s="403">
        <f t="shared" si="29"/>
        <v>32.29</v>
      </c>
      <c r="AE44" s="403"/>
      <c r="AF44" s="403"/>
      <c r="AG44" s="63"/>
      <c r="AH44" s="40">
        <f t="shared" si="25"/>
        <v>462.42</v>
      </c>
      <c r="AI44" s="40">
        <v>11.01</v>
      </c>
      <c r="AJ44" s="759">
        <f t="shared" si="26"/>
        <v>148.68</v>
      </c>
      <c r="AK44" s="760">
        <v>3.54</v>
      </c>
      <c r="AL44" s="42">
        <v>1986</v>
      </c>
      <c r="AM44" s="28">
        <v>48434</v>
      </c>
      <c r="AN44" s="22">
        <v>125889</v>
      </c>
      <c r="AO44" s="252">
        <v>1986</v>
      </c>
      <c r="AP44" s="168">
        <v>11137.3</v>
      </c>
      <c r="AQ44" s="168">
        <v>2545</v>
      </c>
      <c r="AR44" s="34">
        <f>242.4+154.4+11.8</f>
        <v>408.6</v>
      </c>
      <c r="AS44" s="33">
        <f>237.3+420.8+74</f>
        <v>732.1</v>
      </c>
      <c r="AT44" s="30">
        <v>1986</v>
      </c>
      <c r="AU44" s="49">
        <v>65.718001000000001</v>
      </c>
      <c r="AV44" s="46">
        <v>320.65795700000001</v>
      </c>
      <c r="AW44" s="33">
        <f>(FuelConsump!AU44*'Fuel Heat Content'!$D$7/1000000)+(FuelConsump!AV44*'Fuel Heat Content'!$D$21/1000000)</f>
        <v>12.430369356123</v>
      </c>
      <c r="AX44" s="287">
        <f>'TEDB_Ed31_Table 9.10'!J27</f>
        <v>12.4</v>
      </c>
      <c r="AY44" s="382">
        <f t="shared" si="23"/>
        <v>10.450314465408805</v>
      </c>
      <c r="AZ44" s="46">
        <v>54.607999999999997</v>
      </c>
      <c r="BA44" s="57">
        <v>1170</v>
      </c>
      <c r="BB44" s="57">
        <v>3066</v>
      </c>
      <c r="BC44" s="57">
        <v>173</v>
      </c>
      <c r="BD44" s="37">
        <v>3039.069</v>
      </c>
      <c r="BE44" s="30">
        <v>1986</v>
      </c>
      <c r="BF44" s="28">
        <v>485041</v>
      </c>
      <c r="BG44" s="21">
        <f t="shared" si="16"/>
        <v>2198.2370269657827</v>
      </c>
      <c r="BH44" s="112"/>
      <c r="BI44" s="36"/>
      <c r="BJ44" s="36">
        <f t="shared" si="17"/>
        <v>1986</v>
      </c>
      <c r="BM44" s="575">
        <v>0.8</v>
      </c>
      <c r="BN44" s="575">
        <v>3.0000000000000001E-3</v>
      </c>
      <c r="BS44">
        <v>7385.9400159999996</v>
      </c>
      <c r="BT44">
        <v>2924.832246336</v>
      </c>
      <c r="BU44">
        <v>4387.2483695039991</v>
      </c>
      <c r="BV44">
        <v>73.859400159999993</v>
      </c>
      <c r="BW44">
        <v>14474.58379354675</v>
      </c>
      <c r="BX44">
        <v>5731.9351822445133</v>
      </c>
      <c r="BY44">
        <v>8597.9027733667681</v>
      </c>
      <c r="BZ44">
        <v>144.74583793546751</v>
      </c>
      <c r="CB44" s="369"/>
      <c r="CC44" s="25">
        <v>73174</v>
      </c>
      <c r="CE44" s="297"/>
      <c r="CF44" s="125">
        <v>38.200000000000003</v>
      </c>
      <c r="CG44" s="389">
        <f t="shared" si="30"/>
        <v>38.200000000000003</v>
      </c>
      <c r="CH44" s="389">
        <v>4</v>
      </c>
      <c r="CI44" s="389">
        <f t="shared" si="31"/>
        <v>32.29</v>
      </c>
      <c r="CJ44" s="289"/>
      <c r="CO44" s="289"/>
      <c r="CQ44" s="4">
        <v>2034215</v>
      </c>
      <c r="CR44" s="4">
        <v>5287347</v>
      </c>
      <c r="CS44" s="4">
        <f t="shared" si="19"/>
        <v>48433.690476190473</v>
      </c>
      <c r="CT44" s="4">
        <f t="shared" si="20"/>
        <v>125889.21428571429</v>
      </c>
      <c r="CU44" s="4">
        <f t="shared" si="8"/>
        <v>282.14562050000001</v>
      </c>
      <c r="CV44" s="4">
        <f t="shared" si="21"/>
        <v>791.51584589999993</v>
      </c>
      <c r="CW44" s="4">
        <f t="shared" si="22"/>
        <v>1073.6614663999999</v>
      </c>
      <c r="CX44" s="4"/>
      <c r="CY44" s="4"/>
      <c r="CZ44" s="4"/>
      <c r="DA44" s="293">
        <v>404</v>
      </c>
      <c r="DB44" s="4"/>
      <c r="DC44" s="4">
        <f t="shared" si="9"/>
        <v>-0.30952380952658132</v>
      </c>
      <c r="DD44" s="4">
        <f t="shared" si="10"/>
        <v>0.21428571428987198</v>
      </c>
    </row>
    <row r="45" spans="1:108" x14ac:dyDescent="0.2">
      <c r="A45" s="30">
        <v>1987</v>
      </c>
      <c r="B45" s="25">
        <f t="shared" si="11"/>
        <v>73308</v>
      </c>
      <c r="C45" s="21">
        <f t="shared" si="12"/>
        <v>67663.284</v>
      </c>
      <c r="D45" s="21">
        <f>B45*0.063</f>
        <v>4618.4040000000005</v>
      </c>
      <c r="E45" s="22">
        <f>B45*0.014</f>
        <v>1026.3120000000001</v>
      </c>
      <c r="F45" s="43">
        <v>190.12</v>
      </c>
      <c r="G45" s="15">
        <f t="shared" si="1"/>
        <v>190.12</v>
      </c>
      <c r="H45" s="20">
        <v>30597.935144204836</v>
      </c>
      <c r="I45" s="21">
        <f t="shared" si="4"/>
        <v>27232.162278342304</v>
      </c>
      <c r="J45" s="21">
        <f>H45*0.063</f>
        <v>1927.6699140849046</v>
      </c>
      <c r="K45" s="21">
        <f t="shared" si="27"/>
        <v>1070.9277300471692</v>
      </c>
      <c r="L45" s="22">
        <f t="shared" si="28"/>
        <v>367.17522173045802</v>
      </c>
      <c r="M45" s="522">
        <f>Adjust_Truck_Freight!AB23</f>
        <v>12272.466659374968</v>
      </c>
      <c r="N45" s="21">
        <f t="shared" si="13"/>
        <v>2368.5860652593692</v>
      </c>
      <c r="O45" s="21">
        <f>M45*FuelConsump!$BM45</f>
        <v>9867.0631941374741</v>
      </c>
      <c r="P45" s="22">
        <f>M45*FuelConsump!$BN45</f>
        <v>36.817399978124904</v>
      </c>
      <c r="Q45" s="522">
        <f>Adjust_Truck_Freight!AC23</f>
        <v>16229.51574228832</v>
      </c>
      <c r="R45" s="21">
        <f t="shared" si="14"/>
        <v>3132.2965382616449</v>
      </c>
      <c r="S45" s="21">
        <f>Q45*FuelConsump!$BM45</f>
        <v>13048.53065679981</v>
      </c>
      <c r="T45" s="21">
        <f>Q45*FuelConsump!$BN45</f>
        <v>48.688547226864962</v>
      </c>
      <c r="U45" s="44">
        <v>543.31399999999996</v>
      </c>
      <c r="V45" s="36"/>
      <c r="W45" s="392">
        <f t="shared" si="3"/>
        <v>2</v>
      </c>
      <c r="X45" s="45"/>
      <c r="Y45" s="45"/>
      <c r="Z45" s="45"/>
      <c r="AA45" s="52"/>
      <c r="AB45" s="125">
        <v>15.4</v>
      </c>
      <c r="AC45" s="125"/>
      <c r="AD45" s="403">
        <f t="shared" si="29"/>
        <v>30.490000000000002</v>
      </c>
      <c r="AE45" s="403"/>
      <c r="AF45" s="403"/>
      <c r="AG45" s="63"/>
      <c r="AH45" s="40">
        <f t="shared" si="25"/>
        <v>487.2</v>
      </c>
      <c r="AI45" s="40">
        <v>11.6</v>
      </c>
      <c r="AJ45" s="759">
        <f t="shared" si="26"/>
        <v>155.82</v>
      </c>
      <c r="AK45" s="760">
        <v>3.71</v>
      </c>
      <c r="AL45" s="42">
        <v>1987</v>
      </c>
      <c r="AM45" s="28">
        <v>52935</v>
      </c>
      <c r="AN45" s="22">
        <v>125221</v>
      </c>
      <c r="AO45" s="252">
        <v>1987</v>
      </c>
      <c r="AP45" s="168">
        <v>11586.8</v>
      </c>
      <c r="AQ45" s="168">
        <v>2893.6</v>
      </c>
      <c r="AR45" s="34">
        <f>236.4+156.6+8.8</f>
        <v>401.8</v>
      </c>
      <c r="AS45" s="33">
        <f>198+407.8+66.9</f>
        <v>672.69999999999993</v>
      </c>
      <c r="AT45" s="30">
        <v>1987</v>
      </c>
      <c r="AU45" s="49">
        <v>68.103565000000003</v>
      </c>
      <c r="AV45" s="46">
        <v>356.92789900000002</v>
      </c>
      <c r="AW45" s="33">
        <f>(FuelConsump!AU45*'Fuel Heat Content'!$D$7/1000000)+(FuelConsump!AV45*'Fuel Heat Content'!$D$21/1000000)</f>
        <v>13.136242013261</v>
      </c>
      <c r="AX45" s="287">
        <f>'TEDB_Ed31_Table 9.10'!J28</f>
        <v>13.1</v>
      </c>
      <c r="AY45" s="382">
        <f t="shared" si="23"/>
        <v>11.040251572327044</v>
      </c>
      <c r="AZ45" s="46">
        <v>51.594000000000001</v>
      </c>
      <c r="BA45" s="57">
        <v>1155</v>
      </c>
      <c r="BB45" s="57">
        <v>3219</v>
      </c>
      <c r="BC45" s="57">
        <v>191</v>
      </c>
      <c r="BD45" s="37">
        <v>3102.2269999999999</v>
      </c>
      <c r="BE45" s="30">
        <v>1987</v>
      </c>
      <c r="BF45" s="28">
        <v>519170</v>
      </c>
      <c r="BG45" s="21">
        <f t="shared" si="16"/>
        <v>2352.911851348289</v>
      </c>
      <c r="BH45" s="112"/>
      <c r="BI45" s="36"/>
      <c r="BJ45" s="36">
        <f t="shared" si="17"/>
        <v>1987</v>
      </c>
      <c r="BM45" s="575">
        <v>0.80400000000000005</v>
      </c>
      <c r="BN45" s="575">
        <v>3.0000000000000001E-3</v>
      </c>
      <c r="BO45" s="579" t="s">
        <v>1001</v>
      </c>
      <c r="BS45">
        <v>7522.6628408635042</v>
      </c>
      <c r="BT45">
        <v>1459.39659112752</v>
      </c>
      <c r="BU45">
        <v>6048.2209240542579</v>
      </c>
      <c r="BV45">
        <v>15.045325681727009</v>
      </c>
      <c r="BW45">
        <v>14990.124266185339</v>
      </c>
      <c r="BX45">
        <v>2908.0841076399561</v>
      </c>
      <c r="BY45">
        <v>12052.059910013013</v>
      </c>
      <c r="BZ45">
        <v>29.98024853237068</v>
      </c>
      <c r="CB45" s="369"/>
      <c r="CC45" s="25">
        <v>73308</v>
      </c>
      <c r="CE45" s="297"/>
      <c r="CF45" s="125">
        <v>34.200000000000003</v>
      </c>
      <c r="CG45" s="389">
        <f t="shared" si="30"/>
        <v>34.200000000000003</v>
      </c>
      <c r="CH45" s="389">
        <v>2</v>
      </c>
      <c r="CI45" s="389">
        <f t="shared" si="31"/>
        <v>30.490000000000002</v>
      </c>
      <c r="CJ45" s="289"/>
      <c r="CO45" s="289"/>
      <c r="CQ45" s="4">
        <v>2223258</v>
      </c>
      <c r="CR45" s="4">
        <v>5259272</v>
      </c>
      <c r="CS45" s="4">
        <f t="shared" si="19"/>
        <v>52934.714285714283</v>
      </c>
      <c r="CT45" s="4">
        <f t="shared" si="20"/>
        <v>125220.76190476191</v>
      </c>
      <c r="CU45" s="4">
        <f t="shared" si="8"/>
        <v>308.36588459999996</v>
      </c>
      <c r="CV45" s="4">
        <f t="shared" si="21"/>
        <v>787.31301839999992</v>
      </c>
      <c r="CW45" s="4">
        <f t="shared" si="22"/>
        <v>1095.678903</v>
      </c>
      <c r="CX45" s="4"/>
      <c r="CY45" s="4"/>
      <c r="CZ45" s="4"/>
      <c r="DA45" s="293">
        <v>370.7</v>
      </c>
      <c r="DB45" s="4"/>
      <c r="DC45" s="4">
        <f t="shared" si="9"/>
        <v>-0.28571428571740398</v>
      </c>
      <c r="DD45" s="4">
        <f t="shared" si="10"/>
        <v>-0.23809523809177335</v>
      </c>
    </row>
    <row r="46" spans="1:108" x14ac:dyDescent="0.2">
      <c r="A46" s="30">
        <v>1988</v>
      </c>
      <c r="B46" s="25">
        <f t="shared" si="11"/>
        <v>73345</v>
      </c>
      <c r="C46" s="21">
        <f t="shared" si="12"/>
        <v>67037.33</v>
      </c>
      <c r="D46" s="21">
        <f>B46*0.074</f>
        <v>5427.53</v>
      </c>
      <c r="E46" s="22">
        <f>B46*0.012</f>
        <v>880.14</v>
      </c>
      <c r="F46" s="43">
        <v>200.48</v>
      </c>
      <c r="G46" s="15">
        <f t="shared" si="1"/>
        <v>200.48</v>
      </c>
      <c r="H46" s="20">
        <v>32653.332974457222</v>
      </c>
      <c r="I46" s="21">
        <f t="shared" si="4"/>
        <v>28767.586350496811</v>
      </c>
      <c r="J46" s="21">
        <f>H46*0.074</f>
        <v>2416.3466401098344</v>
      </c>
      <c r="K46" s="21">
        <f t="shared" si="27"/>
        <v>1142.8666541060029</v>
      </c>
      <c r="L46" s="22">
        <f>H46*0.01</f>
        <v>326.5333297445722</v>
      </c>
      <c r="M46" s="522">
        <f>Adjust_Truck_Freight!AB24</f>
        <v>12563.870408248746</v>
      </c>
      <c r="N46" s="21">
        <f t="shared" si="13"/>
        <v>2349.4437663425151</v>
      </c>
      <c r="O46" s="21">
        <f>M46*FuelConsump!$BM46</f>
        <v>10176.735030681484</v>
      </c>
      <c r="P46" s="22">
        <f>M46*FuelConsump!$BN46</f>
        <v>37.691611224746239</v>
      </c>
      <c r="Q46" s="522">
        <f>Adjust_Truck_Freight!AC24</f>
        <v>16482.245696066966</v>
      </c>
      <c r="R46" s="21">
        <f t="shared" si="14"/>
        <v>3082.1799451645225</v>
      </c>
      <c r="S46" s="21">
        <f>Q46*FuelConsump!$BM46</f>
        <v>13350.619013814243</v>
      </c>
      <c r="T46" s="21">
        <f>Q46*FuelConsump!$BN46</f>
        <v>49.446737088200898</v>
      </c>
      <c r="U46" s="44">
        <v>552.65800000000002</v>
      </c>
      <c r="V46" s="36"/>
      <c r="W46" s="392">
        <f t="shared" si="3"/>
        <v>2</v>
      </c>
      <c r="X46" s="45"/>
      <c r="Y46" s="45"/>
      <c r="Z46" s="45"/>
      <c r="AA46" s="52"/>
      <c r="AB46" s="125">
        <v>15.1</v>
      </c>
      <c r="AC46" s="125"/>
      <c r="AD46" s="403">
        <f t="shared" si="29"/>
        <v>36.094999999999999</v>
      </c>
      <c r="AE46" s="403"/>
      <c r="AF46" s="403"/>
      <c r="AG46" s="63"/>
      <c r="AH46" s="40">
        <f t="shared" si="25"/>
        <v>511.14</v>
      </c>
      <c r="AI46" s="40">
        <v>12.17</v>
      </c>
      <c r="AJ46" s="759">
        <f t="shared" si="26"/>
        <v>160.44</v>
      </c>
      <c r="AK46" s="760">
        <v>3.82</v>
      </c>
      <c r="AL46" s="42">
        <v>1988</v>
      </c>
      <c r="AM46" s="28">
        <v>55009</v>
      </c>
      <c r="AN46" s="22">
        <v>124976</v>
      </c>
      <c r="AO46" s="252">
        <v>1988</v>
      </c>
      <c r="AP46" s="168">
        <v>11917.9</v>
      </c>
      <c r="AQ46" s="168">
        <v>3262.8</v>
      </c>
      <c r="AR46" s="34">
        <f>244+143+11</f>
        <v>398</v>
      </c>
      <c r="AS46" s="33">
        <f>211+454+81</f>
        <v>746</v>
      </c>
      <c r="AT46" s="30">
        <v>1988</v>
      </c>
      <c r="AU46" s="49">
        <v>72.331149999999994</v>
      </c>
      <c r="AV46" s="46">
        <v>337.97011800000001</v>
      </c>
      <c r="AW46" s="33">
        <f>(FuelConsump!AU46*'Fuel Heat Content'!$D$7/1000000)+(FuelConsump!AV46*'Fuel Heat Content'!$D$21/1000000)</f>
        <v>13.526603555002</v>
      </c>
      <c r="AX46" s="287">
        <f>'TEDB_Ed31_Table 9.10'!J29</f>
        <v>13.5</v>
      </c>
      <c r="AY46" s="382">
        <f t="shared" si="23"/>
        <v>11.377358490566039</v>
      </c>
      <c r="AZ46" s="46">
        <v>53.054000000000002</v>
      </c>
      <c r="BA46" s="57">
        <v>1195</v>
      </c>
      <c r="BB46" s="57">
        <v>3256</v>
      </c>
      <c r="BC46" s="57">
        <v>243</v>
      </c>
      <c r="BD46" s="37">
        <v>3182.2669999999998</v>
      </c>
      <c r="BE46" s="30">
        <v>1988</v>
      </c>
      <c r="BF46" s="28">
        <v>613912</v>
      </c>
      <c r="BG46" s="21">
        <f t="shared" si="16"/>
        <v>2782.2886924994336</v>
      </c>
      <c r="BH46" s="112"/>
      <c r="BI46" s="36"/>
      <c r="BJ46" s="36">
        <f t="shared" si="17"/>
        <v>1988</v>
      </c>
      <c r="BM46" s="576">
        <v>0.81</v>
      </c>
      <c r="BN46" s="136">
        <v>3.0000000000000001E-3</v>
      </c>
      <c r="BS46">
        <v>7701.2848093873727</v>
      </c>
      <c r="BT46">
        <v>1494.0492530211504</v>
      </c>
      <c r="BU46">
        <v>6191.8329867474476</v>
      </c>
      <c r="BV46">
        <v>15.402569618774745</v>
      </c>
      <c r="BW46">
        <v>15223.554115423403</v>
      </c>
      <c r="BX46">
        <v>2953.3694983921405</v>
      </c>
      <c r="BY46">
        <v>12239.737508800417</v>
      </c>
      <c r="BZ46">
        <v>30.447108230846808</v>
      </c>
      <c r="CB46" s="369"/>
      <c r="CC46" s="25">
        <v>73345</v>
      </c>
      <c r="CE46" s="297"/>
      <c r="CF46" s="125">
        <v>40.1</v>
      </c>
      <c r="CG46" s="389">
        <f t="shared" si="30"/>
        <v>40.1</v>
      </c>
      <c r="CH46" s="389">
        <v>2</v>
      </c>
      <c r="CI46" s="389">
        <f t="shared" si="31"/>
        <v>36.094999999999999</v>
      </c>
      <c r="CJ46" s="289"/>
      <c r="CO46" s="289"/>
      <c r="CQ46" s="4">
        <v>2310367</v>
      </c>
      <c r="CR46" s="4">
        <v>5248981</v>
      </c>
      <c r="CS46" s="4">
        <f t="shared" si="19"/>
        <v>55008.738095238092</v>
      </c>
      <c r="CT46" s="4">
        <f t="shared" si="20"/>
        <v>124975.73809523809</v>
      </c>
      <c r="CU46" s="4">
        <f t="shared" si="8"/>
        <v>320.44790289999997</v>
      </c>
      <c r="CV46" s="4">
        <f t="shared" si="21"/>
        <v>785.77245569999991</v>
      </c>
      <c r="CW46" s="4">
        <f t="shared" si="22"/>
        <v>1106.2203585999998</v>
      </c>
      <c r="CX46" s="50">
        <v>0.77500000000000002</v>
      </c>
      <c r="CY46" s="50">
        <v>9.2999999999999999E-2</v>
      </c>
      <c r="CZ46" s="4">
        <f>CX46*CU46+CY46*CV46</f>
        <v>321.42396312759996</v>
      </c>
      <c r="DA46" s="293">
        <v>321.3</v>
      </c>
      <c r="DB46" s="4"/>
      <c r="DC46" s="4">
        <f t="shared" si="9"/>
        <v>-0.26190476190822665</v>
      </c>
      <c r="DD46" s="4">
        <f t="shared" si="10"/>
        <v>-0.26190476190822665</v>
      </c>
    </row>
    <row r="47" spans="1:108" x14ac:dyDescent="0.2">
      <c r="A47" s="30">
        <v>1989</v>
      </c>
      <c r="B47" s="25">
        <f t="shared" si="11"/>
        <v>73913</v>
      </c>
      <c r="C47" s="21">
        <f t="shared" si="12"/>
        <v>68443.437999999995</v>
      </c>
      <c r="D47" s="21">
        <f>B47*0.062</f>
        <v>4582.6059999999998</v>
      </c>
      <c r="E47" s="22">
        <f>B47*0.012</f>
        <v>886.95600000000002</v>
      </c>
      <c r="F47" s="43">
        <v>207.42</v>
      </c>
      <c r="G47" s="15">
        <f t="shared" si="1"/>
        <v>207.42</v>
      </c>
      <c r="H47" s="20">
        <v>33270.783574316076</v>
      </c>
      <c r="I47" s="21">
        <f t="shared" si="4"/>
        <v>29810.622082587201</v>
      </c>
      <c r="J47" s="21">
        <f>H47*0.062</f>
        <v>2062.7885816075968</v>
      </c>
      <c r="K47" s="21">
        <f>H47*0.034</f>
        <v>1131.2066415267466</v>
      </c>
      <c r="L47" s="22">
        <f>H47*0.008</f>
        <v>266.16626859452862</v>
      </c>
      <c r="M47" s="522">
        <f>Adjust_Truck_Freight!AB25</f>
        <v>12691.09212840699</v>
      </c>
      <c r="N47" s="21">
        <f t="shared" si="13"/>
        <v>2297.0876752416661</v>
      </c>
      <c r="O47" s="21">
        <f>M47*FuelConsump!$BM47</f>
        <v>10355.931176780103</v>
      </c>
      <c r="P47" s="22">
        <f>M47*FuelConsump!$BN47</f>
        <v>38.073276385220971</v>
      </c>
      <c r="Q47" s="522">
        <f>Adjust_Truck_Freight!AC25</f>
        <v>17033.519146890525</v>
      </c>
      <c r="R47" s="21">
        <f t="shared" si="14"/>
        <v>3083.0669655871861</v>
      </c>
      <c r="S47" s="21">
        <f>Q47*FuelConsump!$BM47</f>
        <v>13899.351623862667</v>
      </c>
      <c r="T47" s="21">
        <f>Q47*FuelConsump!$BN47</f>
        <v>51.100557440671579</v>
      </c>
      <c r="U47" s="44">
        <v>551.15599999999995</v>
      </c>
      <c r="V47" s="36"/>
      <c r="W47" s="392">
        <f t="shared" si="3"/>
        <v>2</v>
      </c>
      <c r="X47" s="45"/>
      <c r="Y47" s="45"/>
      <c r="Z47" s="45"/>
      <c r="AA47" s="52"/>
      <c r="AB47" s="125">
        <v>14.8</v>
      </c>
      <c r="AC47" s="125"/>
      <c r="AD47" s="403">
        <f t="shared" si="29"/>
        <v>35.43</v>
      </c>
      <c r="AE47" s="403"/>
      <c r="AF47" s="403"/>
      <c r="AG47" s="63"/>
      <c r="AH47" s="40">
        <f t="shared" si="25"/>
        <v>498.12</v>
      </c>
      <c r="AI47" s="40">
        <v>11.86</v>
      </c>
      <c r="AJ47" s="759">
        <f t="shared" si="26"/>
        <v>166.74</v>
      </c>
      <c r="AK47" s="760">
        <v>3.97</v>
      </c>
      <c r="AL47" s="42">
        <v>1989</v>
      </c>
      <c r="AM47" s="28">
        <v>56106</v>
      </c>
      <c r="AN47" s="22">
        <v>128816</v>
      </c>
      <c r="AO47" s="252">
        <v>1989</v>
      </c>
      <c r="AP47" s="168">
        <v>11905.1</v>
      </c>
      <c r="AQ47" s="168">
        <v>3557.3</v>
      </c>
      <c r="AR47" s="34">
        <v>342.8</v>
      </c>
      <c r="AS47" s="33">
        <v>688</v>
      </c>
      <c r="AT47" s="30">
        <v>1989</v>
      </c>
      <c r="AU47" s="49">
        <v>76.888012000000003</v>
      </c>
      <c r="AV47" s="46">
        <v>449.78108700000001</v>
      </c>
      <c r="AW47" s="33">
        <f>(FuelConsump!AU47*'Fuel Heat Content'!$D$7/1000000)+(FuelConsump!AV47*'Fuel Heat Content'!$D$21/1000000)</f>
        <v>15.314653922892999</v>
      </c>
      <c r="AX47" s="287">
        <f>'TEDB_Ed31_Table 9.10'!J30</f>
        <v>15.3</v>
      </c>
      <c r="AY47" s="382">
        <f t="shared" si="23"/>
        <v>12.89433962264151</v>
      </c>
      <c r="AZ47" s="46">
        <v>52.515999999999998</v>
      </c>
      <c r="BA47" s="57">
        <v>1293</v>
      </c>
      <c r="BB47" s="57">
        <v>3286</v>
      </c>
      <c r="BC47" s="57">
        <v>242</v>
      </c>
      <c r="BD47" s="37">
        <v>3190.8150000000001</v>
      </c>
      <c r="BE47" s="30">
        <v>1989</v>
      </c>
      <c r="BF47" s="28">
        <v>629308</v>
      </c>
      <c r="BG47" s="21">
        <f t="shared" si="16"/>
        <v>2852.0643553138452</v>
      </c>
      <c r="BH47" s="112"/>
      <c r="BI47" s="36"/>
      <c r="BJ47" s="36">
        <f t="shared" si="17"/>
        <v>1989</v>
      </c>
      <c r="BM47" s="576">
        <v>0.81599999999999995</v>
      </c>
      <c r="BN47" s="136">
        <v>3.0000000000000001E-3</v>
      </c>
      <c r="BS47">
        <v>7779.268</v>
      </c>
      <c r="BT47">
        <v>1509.1779920000001</v>
      </c>
      <c r="BU47">
        <v>6254.5314720000006</v>
      </c>
      <c r="BV47">
        <v>15.558536</v>
      </c>
      <c r="BW47">
        <v>15732.728736756177</v>
      </c>
      <c r="BX47">
        <v>3052.1493749306983</v>
      </c>
      <c r="BY47">
        <v>12649.113904351967</v>
      </c>
      <c r="BZ47">
        <v>31.465457473512355</v>
      </c>
      <c r="CB47" s="369"/>
      <c r="CC47" s="25">
        <v>73913</v>
      </c>
      <c r="CE47" s="297"/>
      <c r="CF47" s="125">
        <v>39.4</v>
      </c>
      <c r="CG47" s="389">
        <f t="shared" si="30"/>
        <v>39.4</v>
      </c>
      <c r="CH47" s="389">
        <v>2</v>
      </c>
      <c r="CI47" s="389">
        <f t="shared" si="31"/>
        <v>35.43</v>
      </c>
      <c r="CJ47" s="289"/>
      <c r="CO47" s="289"/>
      <c r="CQ47" s="4">
        <v>2356444</v>
      </c>
      <c r="CR47" s="4">
        <v>5410263</v>
      </c>
      <c r="CS47" s="4">
        <f t="shared" si="19"/>
        <v>56105.809523809527</v>
      </c>
      <c r="CT47" s="4">
        <f t="shared" si="20"/>
        <v>128815.78571428571</v>
      </c>
      <c r="CU47" s="4">
        <f t="shared" si="8"/>
        <v>326.83878279999993</v>
      </c>
      <c r="CV47" s="4">
        <f t="shared" si="21"/>
        <v>809.91637109999988</v>
      </c>
      <c r="CW47" s="4">
        <f t="shared" si="22"/>
        <v>1136.7551538999999</v>
      </c>
      <c r="CX47" s="50">
        <v>0.77500000000000002</v>
      </c>
      <c r="CY47" s="50">
        <v>9.2999999999999999E-2</v>
      </c>
      <c r="CZ47" s="4">
        <f t="shared" ref="CZ47:CZ61" si="32">CX47*CU47+CY47*CV47</f>
        <v>328.62227918229996</v>
      </c>
      <c r="DA47" s="293">
        <v>328.6</v>
      </c>
      <c r="DB47" s="4"/>
      <c r="DC47" s="4">
        <f t="shared" si="9"/>
        <v>-0.19047619047341868</v>
      </c>
      <c r="DD47" s="4">
        <f t="shared" si="10"/>
        <v>-0.21428571428987198</v>
      </c>
    </row>
    <row r="48" spans="1:108" x14ac:dyDescent="0.2">
      <c r="A48" s="30">
        <v>1990</v>
      </c>
      <c r="B48" s="25">
        <f t="shared" si="11"/>
        <v>69568</v>
      </c>
      <c r="C48" s="21">
        <f t="shared" si="12"/>
        <v>64002.559999999998</v>
      </c>
      <c r="D48" s="21">
        <f>B48*0.068</f>
        <v>4730.6240000000007</v>
      </c>
      <c r="E48" s="22">
        <f>B48*0.012</f>
        <v>834.81600000000003</v>
      </c>
      <c r="F48" s="43">
        <v>191.14</v>
      </c>
      <c r="G48" s="15">
        <f t="shared" si="1"/>
        <v>191.14</v>
      </c>
      <c r="H48" s="20">
        <v>35611.040834766216</v>
      </c>
      <c r="I48" s="21">
        <f t="shared" si="4"/>
        <v>31729.437383776698</v>
      </c>
      <c r="J48" s="21">
        <f>H48*0.068</f>
        <v>2421.5507767641029</v>
      </c>
      <c r="K48" s="21">
        <f>H48*0.034</f>
        <v>1210.7753883820515</v>
      </c>
      <c r="L48" s="22">
        <f>H48*0.007</f>
        <v>249.27728584336353</v>
      </c>
      <c r="M48" s="522">
        <f>Adjust_Truck_Freight!AB26</f>
        <v>13633.074438175439</v>
      </c>
      <c r="N48" s="21">
        <f t="shared" si="13"/>
        <v>2385.7880266807019</v>
      </c>
      <c r="O48" s="21">
        <f>M48*FuelConsump!$BM48</f>
        <v>11192.754113742036</v>
      </c>
      <c r="P48" s="22">
        <f>M48*FuelConsump!$BN48</f>
        <v>54.532297752701758</v>
      </c>
      <c r="Q48" s="522">
        <f>Adjust_Truck_Freight!AC26</f>
        <v>17466.798631611971</v>
      </c>
      <c r="R48" s="21">
        <f t="shared" si="14"/>
        <v>3056.6897605320964</v>
      </c>
      <c r="S48" s="21">
        <f>Q48*FuelConsump!$BM48</f>
        <v>14340.241676553427</v>
      </c>
      <c r="T48" s="21">
        <f>Q48*FuelConsump!$BN48</f>
        <v>69.867194526447889</v>
      </c>
      <c r="U48" s="44">
        <v>563.15099999999995</v>
      </c>
      <c r="V48" s="36"/>
      <c r="W48" s="392">
        <f t="shared" si="3"/>
        <v>2</v>
      </c>
      <c r="X48" s="45"/>
      <c r="Y48" s="45"/>
      <c r="Z48" s="45"/>
      <c r="AA48" s="52"/>
      <c r="AB48" s="125">
        <v>15.5</v>
      </c>
      <c r="AC48" s="125"/>
      <c r="AD48" s="403">
        <f t="shared" si="29"/>
        <v>29.445</v>
      </c>
      <c r="AE48" s="403"/>
      <c r="AF48" s="403"/>
      <c r="AG48" s="63"/>
      <c r="AH48" s="40">
        <f t="shared" si="25"/>
        <v>472.08</v>
      </c>
      <c r="AI48" s="40">
        <v>11.24</v>
      </c>
      <c r="AJ48" s="759">
        <f t="shared" si="26"/>
        <v>159.6</v>
      </c>
      <c r="AK48" s="760">
        <v>3.8</v>
      </c>
      <c r="AL48" s="42">
        <v>1990</v>
      </c>
      <c r="AM48" s="28">
        <v>52310</v>
      </c>
      <c r="AN48" s="22">
        <v>148764</v>
      </c>
      <c r="AO48" s="252">
        <v>1990</v>
      </c>
      <c r="AP48" s="168">
        <v>12429.3</v>
      </c>
      <c r="AQ48" s="168">
        <v>3963.1</v>
      </c>
      <c r="AR48" s="34">
        <f>220+122+11</f>
        <v>353</v>
      </c>
      <c r="AS48" s="33">
        <v>663</v>
      </c>
      <c r="AT48" s="30">
        <v>1990</v>
      </c>
      <c r="AU48" s="49">
        <v>79.855889000000005</v>
      </c>
      <c r="AV48" s="46">
        <v>396.04014699999999</v>
      </c>
      <c r="AW48" s="33">
        <f>(FuelConsump!AU48*'Fuel Heat Content'!$D$7/1000000)+(FuelConsump!AV48*'Fuel Heat Content'!$D$21/1000000)</f>
        <v>15.170670884132999</v>
      </c>
      <c r="AX48" s="287">
        <f>'TEDB_Ed31_Table 9.10'!J31</f>
        <v>15.2</v>
      </c>
      <c r="AY48" s="382">
        <f t="shared" si="23"/>
        <v>12.81006289308176</v>
      </c>
      <c r="AZ48" s="46">
        <v>52.680999999999997</v>
      </c>
      <c r="BA48" s="57">
        <v>1226</v>
      </c>
      <c r="BB48" s="57">
        <v>3284</v>
      </c>
      <c r="BC48" s="57">
        <v>239</v>
      </c>
      <c r="BD48" s="37">
        <v>3134</v>
      </c>
      <c r="BE48" s="30">
        <v>1990</v>
      </c>
      <c r="BF48" s="28">
        <v>659816</v>
      </c>
      <c r="BG48" s="21">
        <f t="shared" si="16"/>
        <v>2990.3285746657602</v>
      </c>
      <c r="BH48" s="112"/>
      <c r="BI48" s="36">
        <f>353*120.2+663*135</f>
        <v>131935.6</v>
      </c>
      <c r="BJ48" s="36">
        <f t="shared" si="17"/>
        <v>1990</v>
      </c>
      <c r="BM48" s="576">
        <v>0.82099999999999995</v>
      </c>
      <c r="BN48" s="136">
        <v>4.0000000000000001E-3</v>
      </c>
      <c r="BS48">
        <v>8356.6755835873391</v>
      </c>
      <c r="BT48">
        <v>1621.1950632159439</v>
      </c>
      <c r="BU48">
        <v>6718.7671692042213</v>
      </c>
      <c r="BV48">
        <v>16.713351167174679</v>
      </c>
      <c r="BW48">
        <v>16132.920179378207</v>
      </c>
      <c r="BX48">
        <v>3129.7865147993721</v>
      </c>
      <c r="BY48">
        <v>12970.867824220079</v>
      </c>
      <c r="BZ48">
        <v>32.265840358756414</v>
      </c>
      <c r="CB48" s="369"/>
      <c r="CC48" s="25">
        <v>69568</v>
      </c>
      <c r="CE48" s="297"/>
      <c r="CF48" s="125">
        <v>33.1</v>
      </c>
      <c r="CG48" s="389">
        <f t="shared" si="30"/>
        <v>33.1</v>
      </c>
      <c r="CH48" s="389">
        <v>2</v>
      </c>
      <c r="CI48" s="389">
        <f t="shared" si="31"/>
        <v>29.445</v>
      </c>
      <c r="CJ48" s="289"/>
      <c r="CO48" s="289"/>
      <c r="CQ48" s="4">
        <v>2197004</v>
      </c>
      <c r="CR48" s="4">
        <v>6248095</v>
      </c>
      <c r="CS48" s="4">
        <f t="shared" si="19"/>
        <v>52309.619047619046</v>
      </c>
      <c r="CT48" s="4">
        <f t="shared" si="20"/>
        <v>148764.16666666666</v>
      </c>
      <c r="CU48" s="4">
        <f t="shared" si="8"/>
        <v>304.72445479999993</v>
      </c>
      <c r="CV48" s="4">
        <f t="shared" si="21"/>
        <v>935.33982149999986</v>
      </c>
      <c r="CW48" s="4">
        <f t="shared" si="22"/>
        <v>1240.0642762999998</v>
      </c>
      <c r="CX48" s="50">
        <v>0.77500000000000002</v>
      </c>
      <c r="CY48" s="50">
        <v>9.2999999999999999E-2</v>
      </c>
      <c r="CZ48" s="4">
        <f t="shared" si="32"/>
        <v>323.1480558694999</v>
      </c>
      <c r="DA48" s="293">
        <v>323.2</v>
      </c>
      <c r="DB48" s="4"/>
      <c r="DC48" s="4">
        <f t="shared" si="9"/>
        <v>-0.38095238095411332</v>
      </c>
      <c r="DD48" s="4">
        <f t="shared" si="10"/>
        <v>0.16666666665696539</v>
      </c>
    </row>
    <row r="49" spans="1:108" x14ac:dyDescent="0.2">
      <c r="A49" s="30">
        <v>1991</v>
      </c>
      <c r="B49" s="25">
        <f t="shared" si="11"/>
        <v>64318</v>
      </c>
      <c r="C49" s="21">
        <f t="shared" si="12"/>
        <v>58400.743999999999</v>
      </c>
      <c r="D49" s="21">
        <f>B49*0.08</f>
        <v>5145.4400000000005</v>
      </c>
      <c r="E49" s="22">
        <f>B49*0.012</f>
        <v>771.81600000000003</v>
      </c>
      <c r="F49" s="43">
        <v>183.56</v>
      </c>
      <c r="G49" s="15">
        <f t="shared" si="1"/>
        <v>183.56</v>
      </c>
      <c r="H49" s="20">
        <v>38216.904843411023</v>
      </c>
      <c r="I49" s="21">
        <f t="shared" si="4"/>
        <v>33707.310071888525</v>
      </c>
      <c r="J49" s="21">
        <f>H49*0.08</f>
        <v>3057.3523874728817</v>
      </c>
      <c r="K49" s="21">
        <f>H49*0.033</f>
        <v>1261.1578598325639</v>
      </c>
      <c r="L49" s="22">
        <f>H49*0.005</f>
        <v>191.0845242170551</v>
      </c>
      <c r="M49" s="522">
        <f>Adjust_Truck_Freight!AB27</f>
        <v>13332.417933573681</v>
      </c>
      <c r="N49" s="21">
        <f t="shared" si="13"/>
        <v>2253.178630773953</v>
      </c>
      <c r="O49" s="21">
        <f>M49*FuelConsump!$BM49</f>
        <v>11025.909631065433</v>
      </c>
      <c r="P49" s="22">
        <f>M49*FuelConsump!$BN49</f>
        <v>53.329671734294728</v>
      </c>
      <c r="Q49" s="522">
        <f>Adjust_Truck_Freight!AC27</f>
        <v>18198.369863411124</v>
      </c>
      <c r="R49" s="21">
        <f t="shared" si="14"/>
        <v>3075.5245069164816</v>
      </c>
      <c r="S49" s="21">
        <f>Q49*FuelConsump!$BM49</f>
        <v>15050.051877040998</v>
      </c>
      <c r="T49" s="21">
        <f>Q49*FuelConsump!$BN49</f>
        <v>72.793479453644494</v>
      </c>
      <c r="U49" s="44">
        <v>572.86099999999999</v>
      </c>
      <c r="V49" s="36"/>
      <c r="W49" s="392">
        <f t="shared" si="3"/>
        <v>2</v>
      </c>
      <c r="X49" s="45"/>
      <c r="Y49" s="45"/>
      <c r="Z49" s="45"/>
      <c r="AA49" s="52"/>
      <c r="AB49" s="125">
        <v>17.399999999999999</v>
      </c>
      <c r="AC49" s="125"/>
      <c r="AD49" s="403">
        <f t="shared" si="29"/>
        <v>30.774999999999999</v>
      </c>
      <c r="AE49" s="403"/>
      <c r="AF49" s="403"/>
      <c r="AG49" s="63"/>
      <c r="AH49" s="40">
        <f t="shared" si="25"/>
        <v>533.4</v>
      </c>
      <c r="AI49" s="40">
        <v>12.7</v>
      </c>
      <c r="AJ49" s="759">
        <f t="shared" si="26"/>
        <v>160.44</v>
      </c>
      <c r="AK49" s="760">
        <v>3.82</v>
      </c>
      <c r="AL49" s="42">
        <v>1991</v>
      </c>
      <c r="AM49" s="28">
        <v>51610</v>
      </c>
      <c r="AN49" s="22">
        <v>161573</v>
      </c>
      <c r="AO49" s="252">
        <v>1991</v>
      </c>
      <c r="AP49" s="168">
        <v>11506.5</v>
      </c>
      <c r="AQ49" s="168">
        <v>3339.7</v>
      </c>
      <c r="AR49" s="34">
        <v>354</v>
      </c>
      <c r="AS49" s="33">
        <v>577</v>
      </c>
      <c r="AT49" s="30">
        <v>1991</v>
      </c>
      <c r="AU49" s="49">
        <v>81.932141999999999</v>
      </c>
      <c r="AV49" s="46">
        <v>367.16662700000001</v>
      </c>
      <c r="AW49" s="33">
        <f>(FuelConsump!AU49*'Fuel Heat Content'!$D$7/1000000)+(FuelConsump!AV49*'Fuel Heat Content'!$D$21/1000000)</f>
        <v>15.160123851952999</v>
      </c>
      <c r="AX49" s="287">
        <f>'TEDB_Ed31_Table 9.10'!J32</f>
        <v>15.2</v>
      </c>
      <c r="AY49" s="382">
        <f t="shared" si="23"/>
        <v>12.81006289308176</v>
      </c>
      <c r="AZ49" s="46">
        <v>54.314999999999998</v>
      </c>
      <c r="BA49" s="57">
        <v>1239</v>
      </c>
      <c r="BB49" s="57">
        <v>3248</v>
      </c>
      <c r="BC49" s="57">
        <v>274</v>
      </c>
      <c r="BD49" s="37">
        <v>2926</v>
      </c>
      <c r="BE49" s="30">
        <v>1991</v>
      </c>
      <c r="BF49" s="28">
        <v>601305</v>
      </c>
      <c r="BG49" s="21">
        <f t="shared" si="16"/>
        <v>2725.1529571719916</v>
      </c>
      <c r="BH49" s="112"/>
      <c r="BI49" s="36"/>
      <c r="BJ49" s="36">
        <f t="shared" si="17"/>
        <v>1991</v>
      </c>
      <c r="BM49" s="576">
        <v>0.82699999999999996</v>
      </c>
      <c r="BN49" s="136">
        <v>4.0000000000000001E-3</v>
      </c>
      <c r="BS49">
        <v>8172.3819466350797</v>
      </c>
      <c r="BT49">
        <v>1585.4420976472054</v>
      </c>
      <c r="BU49">
        <v>6570.5950850946047</v>
      </c>
      <c r="BV49">
        <v>16.344763893270159</v>
      </c>
      <c r="BW49">
        <v>16808.623869394116</v>
      </c>
      <c r="BX49">
        <v>3260.8730306624584</v>
      </c>
      <c r="BY49">
        <v>13514.133590992869</v>
      </c>
      <c r="BZ49">
        <v>33.61724773878823</v>
      </c>
      <c r="CB49" s="369"/>
      <c r="CC49" s="25">
        <v>64318</v>
      </c>
      <c r="CE49" s="297"/>
      <c r="CF49" s="125">
        <v>34.5</v>
      </c>
      <c r="CG49" s="389">
        <f t="shared" si="30"/>
        <v>34.5</v>
      </c>
      <c r="CH49" s="389">
        <v>2</v>
      </c>
      <c r="CI49" s="389">
        <f t="shared" si="31"/>
        <v>30.774999999999999</v>
      </c>
      <c r="CJ49" s="289"/>
      <c r="CO49" s="289"/>
      <c r="CQ49" s="4">
        <v>2167640</v>
      </c>
      <c r="CR49" s="4">
        <v>6786055</v>
      </c>
      <c r="CS49" s="4">
        <f t="shared" si="19"/>
        <v>51610.476190476191</v>
      </c>
      <c r="CT49" s="4">
        <f t="shared" si="20"/>
        <v>161572.73809523811</v>
      </c>
      <c r="CU49" s="4">
        <f t="shared" si="8"/>
        <v>300.65166799999997</v>
      </c>
      <c r="CV49" s="4">
        <f t="shared" si="21"/>
        <v>1015.8724334999998</v>
      </c>
      <c r="CW49" s="4">
        <f t="shared" si="22"/>
        <v>1316.5241014999997</v>
      </c>
      <c r="CX49" s="50">
        <v>0.77500000000000002</v>
      </c>
      <c r="CY49" s="50">
        <v>9.2999999999999999E-2</v>
      </c>
      <c r="CZ49" s="4">
        <f t="shared" si="32"/>
        <v>327.48117901549995</v>
      </c>
      <c r="DA49" s="293">
        <v>327.5</v>
      </c>
      <c r="DB49" s="4"/>
      <c r="DC49" s="4">
        <f t="shared" si="9"/>
        <v>0.47619047619082266</v>
      </c>
      <c r="DD49" s="4">
        <f t="shared" si="10"/>
        <v>-0.26190476189367473</v>
      </c>
    </row>
    <row r="50" spans="1:108" x14ac:dyDescent="0.2">
      <c r="A50" s="30">
        <v>1992</v>
      </c>
      <c r="B50" s="25">
        <f t="shared" si="11"/>
        <v>65436</v>
      </c>
      <c r="C50" s="21">
        <f t="shared" si="12"/>
        <v>59481.323999999993</v>
      </c>
      <c r="D50" s="21">
        <f>B50*0.079</f>
        <v>5169.4440000000004</v>
      </c>
      <c r="E50" s="22">
        <f>B50*0.012</f>
        <v>785.23199999999997</v>
      </c>
      <c r="F50" s="43">
        <v>191.14</v>
      </c>
      <c r="G50" s="15">
        <f t="shared" si="1"/>
        <v>191.14</v>
      </c>
      <c r="H50" s="20">
        <v>40929.421682287357</v>
      </c>
      <c r="I50" s="21">
        <f t="shared" si="4"/>
        <v>36222.538188824314</v>
      </c>
      <c r="J50" s="21">
        <f>H50*0.079</f>
        <v>3233.4243129007014</v>
      </c>
      <c r="K50" s="21">
        <f>H50*0.033</f>
        <v>1350.6709155154829</v>
      </c>
      <c r="L50" s="22">
        <f>H50*0.003</f>
        <v>122.78826504686208</v>
      </c>
      <c r="M50" s="522">
        <f>Adjust_Truck_Freight!AB28</f>
        <v>13437.716445693837</v>
      </c>
      <c r="N50" s="21">
        <f t="shared" si="13"/>
        <v>2176.9100642024023</v>
      </c>
      <c r="O50" s="21">
        <f>M50*FuelConsump!$BM50</f>
        <v>11193.617799262965</v>
      </c>
      <c r="P50" s="22">
        <f>M50*FuelConsump!$BN50</f>
        <v>67.188582228469187</v>
      </c>
      <c r="Q50" s="522">
        <f>Adjust_Truck_Freight!AC28</f>
        <v>18639.680330148854</v>
      </c>
      <c r="R50" s="21">
        <f t="shared" si="14"/>
        <v>3019.6282134841153</v>
      </c>
      <c r="S50" s="21">
        <f>Q50*FuelConsump!$BM50</f>
        <v>15526.853715013995</v>
      </c>
      <c r="T50" s="21">
        <f>Q50*FuelConsump!$BN50</f>
        <v>93.198401650744273</v>
      </c>
      <c r="U50" s="44">
        <v>592.04899999999998</v>
      </c>
      <c r="V50" s="45">
        <f>1.009</f>
        <v>1.0089999999999999</v>
      </c>
      <c r="W50" s="392">
        <f t="shared" si="3"/>
        <v>2</v>
      </c>
      <c r="X50" s="45">
        <v>0.191</v>
      </c>
      <c r="Y50" s="45"/>
      <c r="Z50" s="45">
        <v>1.583</v>
      </c>
      <c r="AA50" s="266"/>
      <c r="AB50" s="125">
        <v>16.899999999999999</v>
      </c>
      <c r="AC50" s="125"/>
      <c r="AD50" s="403">
        <f t="shared" si="29"/>
        <v>29.254999999999995</v>
      </c>
      <c r="AE50" s="403"/>
      <c r="AF50" s="403"/>
      <c r="AG50" s="63"/>
      <c r="AH50" s="40">
        <f t="shared" si="25"/>
        <v>546</v>
      </c>
      <c r="AI50" s="40">
        <v>13</v>
      </c>
      <c r="AJ50" s="759">
        <f t="shared" si="26"/>
        <v>157.08000000000001</v>
      </c>
      <c r="AK50" s="760">
        <v>3.74</v>
      </c>
      <c r="AL50" s="42">
        <v>1992</v>
      </c>
      <c r="AM50" s="28">
        <v>53337</v>
      </c>
      <c r="AN50" s="22">
        <v>171407</v>
      </c>
      <c r="AO50" s="252">
        <v>1992</v>
      </c>
      <c r="AP50" s="168">
        <v>11762.9</v>
      </c>
      <c r="AQ50" s="168">
        <v>4120.1000000000004</v>
      </c>
      <c r="AR50" s="34">
        <v>314</v>
      </c>
      <c r="AS50" s="33">
        <v>494</v>
      </c>
      <c r="AT50" s="30">
        <v>1992</v>
      </c>
      <c r="AU50" s="49">
        <v>83.964060000000003</v>
      </c>
      <c r="AV50" s="46">
        <v>366.47138799999999</v>
      </c>
      <c r="AW50" s="33">
        <f>(FuelConsump!AU50*'Fuel Heat Content'!$D$7/1000000)+(FuelConsump!AV50*'Fuel Heat Content'!$D$21/1000000)</f>
        <v>15.434762802532003</v>
      </c>
      <c r="AX50" s="287">
        <f>'TEDB_Ed31_Table 9.10'!J33</f>
        <v>15.4</v>
      </c>
      <c r="AY50" s="382">
        <f t="shared" si="23"/>
        <v>12.978616352201259</v>
      </c>
      <c r="AZ50" s="46">
        <v>54.951000000000001</v>
      </c>
      <c r="BA50" s="57">
        <v>1124</v>
      </c>
      <c r="BB50" s="57">
        <v>3193</v>
      </c>
      <c r="BC50" s="57">
        <v>297</v>
      </c>
      <c r="BD50" s="37">
        <v>3022</v>
      </c>
      <c r="BE50" s="30">
        <v>1992</v>
      </c>
      <c r="BF50" s="28">
        <v>587710</v>
      </c>
      <c r="BG50" s="21">
        <f t="shared" si="16"/>
        <v>2663.5395422615002</v>
      </c>
      <c r="BH50" s="112"/>
      <c r="BI50" s="36"/>
      <c r="BJ50" s="36">
        <f t="shared" si="17"/>
        <v>1992</v>
      </c>
      <c r="BM50" s="577">
        <v>0.83299999999999996</v>
      </c>
      <c r="BN50" s="136">
        <v>5.0000000000000001E-3</v>
      </c>
      <c r="BS50">
        <v>8236.9268524237959</v>
      </c>
      <c r="BT50">
        <v>1334.3821500926549</v>
      </c>
      <c r="BU50">
        <v>6861.3600680690215</v>
      </c>
      <c r="BV50">
        <v>41.184634262118983</v>
      </c>
      <c r="BW50">
        <v>17216.232995964034</v>
      </c>
      <c r="BX50">
        <v>2789.0297453461735</v>
      </c>
      <c r="BY50">
        <v>14341.122085638039</v>
      </c>
      <c r="BZ50">
        <v>86.081164979820173</v>
      </c>
      <c r="CB50" s="369"/>
      <c r="CC50" s="25">
        <v>65436</v>
      </c>
      <c r="CE50" s="297"/>
      <c r="CF50" s="125">
        <v>38.200000000000003</v>
      </c>
      <c r="CG50" s="125">
        <v>32.9</v>
      </c>
      <c r="CH50" s="389">
        <v>2</v>
      </c>
      <c r="CI50" s="389">
        <f>(0.95*CG50-CH50)</f>
        <v>29.254999999999995</v>
      </c>
      <c r="CJ50" s="289"/>
      <c r="CL50" s="136"/>
      <c r="CO50" s="289"/>
      <c r="CQ50" s="4">
        <v>2240170</v>
      </c>
      <c r="CR50" s="4">
        <v>7199078</v>
      </c>
      <c r="CS50" s="4">
        <f t="shared" si="19"/>
        <v>53337.380952380954</v>
      </c>
      <c r="CT50" s="4">
        <f t="shared" si="20"/>
        <v>171406.61904761905</v>
      </c>
      <c r="CU50" s="4">
        <f t="shared" si="8"/>
        <v>310.71157899999997</v>
      </c>
      <c r="CV50" s="4">
        <f t="shared" si="21"/>
        <v>1077.7019765999999</v>
      </c>
      <c r="CW50" s="4">
        <f t="shared" si="22"/>
        <v>1388.4135555999999</v>
      </c>
      <c r="CX50" s="50">
        <v>0.77500000000000002</v>
      </c>
      <c r="CY50" s="50">
        <v>9.2999999999999999E-2</v>
      </c>
      <c r="CZ50" s="4">
        <f t="shared" si="32"/>
        <v>341.02775754879997</v>
      </c>
      <c r="DA50" s="293">
        <v>341</v>
      </c>
      <c r="DB50" s="4"/>
      <c r="DC50" s="4">
        <f t="shared" si="9"/>
        <v>0.38095238095411332</v>
      </c>
      <c r="DD50" s="4">
        <f t="shared" si="10"/>
        <v>-0.38095238094683737</v>
      </c>
    </row>
    <row r="51" spans="1:108" x14ac:dyDescent="0.2">
      <c r="A51" s="30">
        <v>1993</v>
      </c>
      <c r="B51" s="25">
        <f t="shared" si="11"/>
        <v>67047</v>
      </c>
      <c r="C51" s="21">
        <f t="shared" si="12"/>
        <v>60074.112000000001</v>
      </c>
      <c r="D51" s="21">
        <f>B51*0.091</f>
        <v>6101.277</v>
      </c>
      <c r="E51" s="22">
        <f>B51*0.013</f>
        <v>871.61099999999999</v>
      </c>
      <c r="F51" s="43">
        <v>198.12</v>
      </c>
      <c r="G51" s="15">
        <f t="shared" si="1"/>
        <v>198.12</v>
      </c>
      <c r="H51" s="20">
        <v>42851.206704676886</v>
      </c>
      <c r="I51" s="21">
        <f t="shared" si="4"/>
        <v>37409.103453182921</v>
      </c>
      <c r="J51" s="21">
        <f>H51*0.091</f>
        <v>3899.4598101255965</v>
      </c>
      <c r="K51" s="21">
        <f>H51*0.033</f>
        <v>1414.0898212543373</v>
      </c>
      <c r="L51" s="22">
        <f>H51*0.003</f>
        <v>128.55362011403065</v>
      </c>
      <c r="M51" s="522">
        <f>Adjust_Truck_Freight!AB29</f>
        <v>13847.650282475062</v>
      </c>
      <c r="N51" s="21">
        <f t="shared" si="13"/>
        <v>2243.3193457609609</v>
      </c>
      <c r="O51" s="21">
        <f>M51*FuelConsump!$BM51</f>
        <v>11535.092685301726</v>
      </c>
      <c r="P51" s="22">
        <f>M51*FuelConsump!$BN51</f>
        <v>69.23825141237532</v>
      </c>
      <c r="Q51" s="522">
        <f>Adjust_Truck_Freight!AC29</f>
        <v>19215.378648573245</v>
      </c>
      <c r="R51" s="21">
        <f t="shared" si="14"/>
        <v>3112.8913410688665</v>
      </c>
      <c r="S51" s="21">
        <f>Q51*FuelConsump!$BM51</f>
        <v>16006.410414261512</v>
      </c>
      <c r="T51" s="21">
        <f>Q51*FuelConsump!$BN51</f>
        <v>96.076893242866234</v>
      </c>
      <c r="U51" s="44">
        <v>575.74</v>
      </c>
      <c r="V51" s="45">
        <v>1.579</v>
      </c>
      <c r="W51" s="392">
        <f t="shared" si="3"/>
        <v>2</v>
      </c>
      <c r="X51" s="45">
        <v>0.47399999999999998</v>
      </c>
      <c r="Y51" s="45"/>
      <c r="Z51" s="45">
        <v>4.9749999999999996</v>
      </c>
      <c r="AA51" s="266"/>
      <c r="AB51" s="125">
        <v>22.9</v>
      </c>
      <c r="AC51" s="125"/>
      <c r="AD51" s="403">
        <f t="shared" si="29"/>
        <v>34.004999999999995</v>
      </c>
      <c r="AE51" s="403"/>
      <c r="AF51" s="403"/>
      <c r="AG51" s="63"/>
      <c r="AH51" s="40">
        <f t="shared" si="25"/>
        <v>533.4</v>
      </c>
      <c r="AI51" s="40">
        <v>12.7</v>
      </c>
      <c r="AJ51" s="759">
        <f t="shared" si="26"/>
        <v>171.36</v>
      </c>
      <c r="AK51" s="760">
        <v>4.08</v>
      </c>
      <c r="AL51" s="42">
        <v>1993</v>
      </c>
      <c r="AM51" s="28">
        <v>48661</v>
      </c>
      <c r="AN51" s="22">
        <v>149283</v>
      </c>
      <c r="AO51" s="252">
        <v>1993</v>
      </c>
      <c r="AP51" s="168">
        <v>11958.7</v>
      </c>
      <c r="AQ51" s="168">
        <v>4113.3</v>
      </c>
      <c r="AR51" s="34">
        <v>268.39999999999998</v>
      </c>
      <c r="AS51" s="33">
        <v>454.1</v>
      </c>
      <c r="AT51" s="30">
        <v>1993</v>
      </c>
      <c r="AU51" s="49">
        <v>86.392448000000002</v>
      </c>
      <c r="AV51" s="46">
        <v>379.22077300000001</v>
      </c>
      <c r="AW51" s="33">
        <f>(FuelConsump!AU51*'Fuel Heat Content'!$D$7/1000000)+(FuelConsump!AV51*'Fuel Heat Content'!$D$21/1000000)</f>
        <v>15.903396109647</v>
      </c>
      <c r="AX51" s="287">
        <v>15.9</v>
      </c>
      <c r="AY51" s="380">
        <v>13.4</v>
      </c>
      <c r="AZ51" s="46">
        <v>59.765999999999998</v>
      </c>
      <c r="BA51" s="57">
        <v>1196</v>
      </c>
      <c r="BB51" s="57">
        <v>3287</v>
      </c>
      <c r="BC51" s="57">
        <v>281</v>
      </c>
      <c r="BD51" s="37">
        <v>3112</v>
      </c>
      <c r="BE51" s="30">
        <v>1993</v>
      </c>
      <c r="BF51" s="28">
        <v>624308</v>
      </c>
      <c r="BG51" s="21">
        <f t="shared" si="16"/>
        <v>2829.4040335372761</v>
      </c>
      <c r="BH51" s="112"/>
      <c r="BI51" s="36"/>
      <c r="BJ51" s="36">
        <f t="shared" si="17"/>
        <v>1993</v>
      </c>
      <c r="BM51" s="578">
        <v>0.83299999999999996</v>
      </c>
      <c r="BN51" s="136">
        <v>5.0000000000000001E-3</v>
      </c>
      <c r="BS51">
        <v>8488.2042953990458</v>
      </c>
      <c r="BT51">
        <v>1375.0890958546454</v>
      </c>
      <c r="BU51">
        <v>7070.6741780674047</v>
      </c>
      <c r="BV51">
        <v>42.441021476995232</v>
      </c>
      <c r="BW51">
        <v>17747.967243001942</v>
      </c>
      <c r="BX51">
        <v>2875.1706933663145</v>
      </c>
      <c r="BY51">
        <v>14784.056713420618</v>
      </c>
      <c r="BZ51">
        <v>88.739836215009717</v>
      </c>
      <c r="CB51" s="369"/>
      <c r="CC51" s="25">
        <v>67047</v>
      </c>
      <c r="CE51" s="297"/>
      <c r="CF51" s="125">
        <v>47.3</v>
      </c>
      <c r="CG51" s="125">
        <v>37.9</v>
      </c>
      <c r="CH51" s="389">
        <v>2</v>
      </c>
      <c r="CI51" s="389">
        <f>(0.95*CG51-CH51)</f>
        <v>34.004999999999995</v>
      </c>
      <c r="CJ51" s="289"/>
      <c r="CL51" s="136"/>
      <c r="CO51" s="289"/>
      <c r="CQ51" s="4">
        <v>2043745</v>
      </c>
      <c r="CR51" s="4">
        <v>6269882</v>
      </c>
      <c r="CS51" s="4">
        <f t="shared" si="19"/>
        <v>48660.595238095237</v>
      </c>
      <c r="CT51" s="4">
        <f t="shared" si="20"/>
        <v>149282.90476190476</v>
      </c>
      <c r="CU51" s="4">
        <f t="shared" si="8"/>
        <v>283.46743149999998</v>
      </c>
      <c r="CV51" s="4">
        <f t="shared" si="21"/>
        <v>938.60133539999993</v>
      </c>
      <c r="CW51" s="4">
        <f t="shared" si="22"/>
        <v>1222.0687668999999</v>
      </c>
      <c r="CX51" s="50">
        <v>0.77500000000000002</v>
      </c>
      <c r="CY51" s="50">
        <v>9.2999999999999999E-2</v>
      </c>
      <c r="CZ51" s="4">
        <f t="shared" si="32"/>
        <v>306.97718360469997</v>
      </c>
      <c r="DA51" s="293">
        <v>307</v>
      </c>
      <c r="DB51" s="4"/>
      <c r="DC51" s="4">
        <f t="shared" si="9"/>
        <v>-0.40476190476329066</v>
      </c>
      <c r="DD51" s="4">
        <f t="shared" si="10"/>
        <v>-9.5238095236709341E-2</v>
      </c>
    </row>
    <row r="52" spans="1:108" x14ac:dyDescent="0.2">
      <c r="A52" s="30">
        <v>1994</v>
      </c>
      <c r="B52" s="25">
        <f t="shared" si="11"/>
        <v>67874</v>
      </c>
      <c r="C52" s="21">
        <f t="shared" si="12"/>
        <v>60475.733999999997</v>
      </c>
      <c r="D52" s="21">
        <f>B52*0.096</f>
        <v>6515.9040000000005</v>
      </c>
      <c r="E52" s="22">
        <f>B52*0.013</f>
        <v>882.36199999999997</v>
      </c>
      <c r="F52" s="43">
        <v>204.8</v>
      </c>
      <c r="G52" s="15">
        <f t="shared" si="1"/>
        <v>204.8</v>
      </c>
      <c r="H52" s="20">
        <v>44112.396983964529</v>
      </c>
      <c r="I52" s="21">
        <f t="shared" si="4"/>
        <v>38289.56058208122</v>
      </c>
      <c r="J52" s="21">
        <f>H52*0.096</f>
        <v>4234.7901104605944</v>
      </c>
      <c r="K52" s="21">
        <f>H52*0.033</f>
        <v>1455.7091004708295</v>
      </c>
      <c r="L52" s="22">
        <f>H52*0.003</f>
        <v>132.33719095189358</v>
      </c>
      <c r="M52" s="522">
        <f>Adjust_Truck_Freight!AB30</f>
        <v>14734.425482815886</v>
      </c>
      <c r="N52" s="21">
        <f t="shared" si="13"/>
        <v>2269.1015243536463</v>
      </c>
      <c r="O52" s="21">
        <f>M52*FuelConsump!$BM52</f>
        <v>12391.651831048161</v>
      </c>
      <c r="P52" s="22">
        <f>M52*FuelConsump!$BN52</f>
        <v>73.672127414079441</v>
      </c>
      <c r="Q52" s="522">
        <f>Adjust_Truck_Freight!AC30</f>
        <v>20194.958203465601</v>
      </c>
      <c r="R52" s="21">
        <f t="shared" si="14"/>
        <v>3110.0235633337034</v>
      </c>
      <c r="S52" s="21">
        <f>Q52*FuelConsump!$BM52</f>
        <v>16983.95984911457</v>
      </c>
      <c r="T52" s="21">
        <f>Q52*FuelConsump!$BN52</f>
        <v>100.97479101732802</v>
      </c>
      <c r="U52" s="44">
        <v>565.06399999999996</v>
      </c>
      <c r="V52" s="45">
        <v>3.109</v>
      </c>
      <c r="W52" s="392">
        <f t="shared" si="3"/>
        <v>2</v>
      </c>
      <c r="X52" s="45">
        <v>1.1379999999999999</v>
      </c>
      <c r="Y52" s="45"/>
      <c r="Z52" s="45">
        <v>12.74</v>
      </c>
      <c r="AA52" s="52"/>
      <c r="AB52" s="125">
        <v>29.9</v>
      </c>
      <c r="AC52" s="125">
        <v>1.7</v>
      </c>
      <c r="AD52" s="404">
        <v>39.9</v>
      </c>
      <c r="AE52" s="404">
        <v>0.3</v>
      </c>
      <c r="AF52" s="404"/>
      <c r="AG52" s="63"/>
      <c r="AH52" s="40">
        <f t="shared" si="25"/>
        <v>546</v>
      </c>
      <c r="AI52" s="40">
        <v>13</v>
      </c>
      <c r="AJ52" s="759">
        <f t="shared" si="26"/>
        <v>195.3</v>
      </c>
      <c r="AK52" s="760">
        <v>4.6500000000000004</v>
      </c>
      <c r="AL52" s="42">
        <v>1994</v>
      </c>
      <c r="AM52" s="28">
        <v>48260</v>
      </c>
      <c r="AN52" s="22">
        <v>141544</v>
      </c>
      <c r="AO52" s="252">
        <v>1994</v>
      </c>
      <c r="AP52" s="168">
        <v>12475.5</v>
      </c>
      <c r="AQ52" s="168">
        <v>4310.8</v>
      </c>
      <c r="AR52" s="34">
        <v>266</v>
      </c>
      <c r="AS52" s="33">
        <v>464</v>
      </c>
      <c r="AT52" s="30">
        <v>1994</v>
      </c>
      <c r="AU52" s="49">
        <v>73.515872000000002</v>
      </c>
      <c r="AV52" s="46">
        <v>308.94811099999998</v>
      </c>
      <c r="AW52" s="33">
        <f>(FuelConsump!AU52*'Fuel Heat Content'!$D$7/1000000)+(FuelConsump!AV52*'Fuel Heat Content'!$D$21/1000000)</f>
        <v>13.390865966029001</v>
      </c>
      <c r="AX52" s="287">
        <f>'TEDB_Ed31_Table 9.10'!J35</f>
        <v>13.4</v>
      </c>
      <c r="AY52" s="381">
        <v>13.4</v>
      </c>
      <c r="AZ52" s="46">
        <v>61.9</v>
      </c>
      <c r="BA52" s="57">
        <v>1244</v>
      </c>
      <c r="BB52" s="57">
        <v>3431</v>
      </c>
      <c r="BC52" s="57">
        <v>282</v>
      </c>
      <c r="BD52" s="37">
        <v>3356</v>
      </c>
      <c r="BE52" s="30">
        <v>1994</v>
      </c>
      <c r="BF52" s="28">
        <v>685362</v>
      </c>
      <c r="BG52" s="21">
        <f t="shared" si="16"/>
        <v>3106.1046906866077</v>
      </c>
      <c r="BH52" s="112"/>
      <c r="BI52" s="36"/>
      <c r="BJ52" s="36">
        <f t="shared" si="17"/>
        <v>1994</v>
      </c>
      <c r="BM52" s="578">
        <v>0.84099999999999997</v>
      </c>
      <c r="BN52" s="136">
        <v>5.0000000000000001E-3</v>
      </c>
      <c r="BS52">
        <v>9031.7715368473873</v>
      </c>
      <c r="BT52">
        <v>1463.1469889692769</v>
      </c>
      <c r="BU52">
        <v>7523.4656901938733</v>
      </c>
      <c r="BV52">
        <v>45.158857684236935</v>
      </c>
      <c r="BW52">
        <v>18652.739726027397</v>
      </c>
      <c r="BX52">
        <v>3021.7438356164384</v>
      </c>
      <c r="BY52">
        <v>15537.732191780822</v>
      </c>
      <c r="BZ52">
        <v>93.263698630136986</v>
      </c>
      <c r="CB52" s="369"/>
      <c r="CC52" s="25">
        <v>67874</v>
      </c>
      <c r="CE52" s="297"/>
      <c r="CF52" s="125">
        <v>64.8</v>
      </c>
      <c r="CG52" s="125">
        <v>43.9</v>
      </c>
      <c r="CH52" s="389">
        <v>2</v>
      </c>
      <c r="CI52" s="389">
        <f>(0.95*CG52-CH52)</f>
        <v>39.704999999999998</v>
      </c>
      <c r="CJ52" s="289"/>
      <c r="CO52" s="289"/>
      <c r="CQ52" s="4">
        <v>2026899</v>
      </c>
      <c r="CR52" s="4">
        <v>5944383</v>
      </c>
      <c r="CS52" s="4">
        <f t="shared" si="19"/>
        <v>48259.5</v>
      </c>
      <c r="CT52" s="4">
        <f t="shared" si="20"/>
        <v>141532.92857142858</v>
      </c>
      <c r="CU52" s="4">
        <f t="shared" si="8"/>
        <v>281.13089129999992</v>
      </c>
      <c r="CV52" s="4">
        <f t="shared" si="21"/>
        <v>889.87413509999988</v>
      </c>
      <c r="CW52" s="4">
        <f t="shared" si="22"/>
        <v>1171.0050263999997</v>
      </c>
      <c r="CX52" s="50">
        <v>0.77500000000000002</v>
      </c>
      <c r="CY52" s="50">
        <v>9.2999999999999999E-2</v>
      </c>
      <c r="CZ52" s="4">
        <f t="shared" si="32"/>
        <v>300.63473532179995</v>
      </c>
      <c r="DA52" s="293">
        <v>300.7</v>
      </c>
      <c r="DB52" s="4"/>
      <c r="DC52" s="4">
        <f t="shared" si="9"/>
        <v>-0.5</v>
      </c>
      <c r="DD52" s="4">
        <f t="shared" si="10"/>
        <v>-11.071428571420256</v>
      </c>
    </row>
    <row r="53" spans="1:108" ht="16.149999999999999" customHeight="1" x14ac:dyDescent="0.2">
      <c r="A53" s="30">
        <v>1995</v>
      </c>
      <c r="B53" s="25">
        <f t="shared" si="11"/>
        <v>68072</v>
      </c>
      <c r="C53" s="21">
        <f t="shared" si="12"/>
        <v>59631.072</v>
      </c>
      <c r="D53" s="21">
        <f>B53*0.112</f>
        <v>7624.0640000000003</v>
      </c>
      <c r="E53" s="22">
        <f>B53*0.012</f>
        <v>816.86400000000003</v>
      </c>
      <c r="F53" s="43">
        <v>198.26</v>
      </c>
      <c r="G53" s="15">
        <f t="shared" si="1"/>
        <v>198.26</v>
      </c>
      <c r="H53" s="20">
        <v>45605</v>
      </c>
      <c r="I53" s="21">
        <f t="shared" si="4"/>
        <v>38809.854999999996</v>
      </c>
      <c r="J53" s="21">
        <f>H53*0.112</f>
        <v>5107.76</v>
      </c>
      <c r="K53" s="21">
        <f>H53*0.034</f>
        <v>1550.5700000000002</v>
      </c>
      <c r="L53" s="22">
        <f>H53*0.003</f>
        <v>136.815</v>
      </c>
      <c r="M53" s="522">
        <f>Adjust_Truck_Freight!AB31</f>
        <v>15034.975662928548</v>
      </c>
      <c r="N53" s="21">
        <f t="shared" si="13"/>
        <v>2210.1414224504974</v>
      </c>
      <c r="O53" s="21">
        <f>M53*FuelConsump!$BM53</f>
        <v>12749.659362163407</v>
      </c>
      <c r="P53" s="22">
        <f>M53*FuelConsump!$BN53</f>
        <v>75.17487831464274</v>
      </c>
      <c r="Q53" s="522">
        <f>Adjust_Truck_Freight!AC31</f>
        <v>21412.172917023876</v>
      </c>
      <c r="R53" s="21">
        <f t="shared" si="14"/>
        <v>3147.58941880251</v>
      </c>
      <c r="S53" s="21">
        <f>Q53*FuelConsump!$BM53</f>
        <v>18157.522633636247</v>
      </c>
      <c r="T53" s="21">
        <f>Q53*FuelConsump!$BN53</f>
        <v>107.06086458511938</v>
      </c>
      <c r="U53" s="44">
        <v>563.76700000000005</v>
      </c>
      <c r="V53" s="45">
        <v>10.010999999999999</v>
      </c>
      <c r="W53" s="45">
        <v>2.2999999999999998</v>
      </c>
      <c r="X53" s="45">
        <v>1.7370000000000001</v>
      </c>
      <c r="Y53" s="45"/>
      <c r="Z53" s="45">
        <v>11.967000000000001</v>
      </c>
      <c r="AA53" s="52">
        <v>0.3</v>
      </c>
      <c r="AB53" s="125">
        <v>29</v>
      </c>
      <c r="AC53" s="125">
        <v>0.7</v>
      </c>
      <c r="AD53" s="404">
        <v>38.200000000000003</v>
      </c>
      <c r="AE53" s="404">
        <v>0.5</v>
      </c>
      <c r="AF53" s="404"/>
      <c r="AG53" s="63"/>
      <c r="AH53" s="40">
        <f t="shared" si="25"/>
        <v>545.16</v>
      </c>
      <c r="AI53" s="40">
        <v>12.98</v>
      </c>
      <c r="AJ53" s="759">
        <f t="shared" si="26"/>
        <v>195.3</v>
      </c>
      <c r="AK53" s="760">
        <v>4.6500000000000004</v>
      </c>
      <c r="AL53" s="42">
        <v>1995</v>
      </c>
      <c r="AM53" s="28">
        <v>47098</v>
      </c>
      <c r="AN53" s="22">
        <v>153125</v>
      </c>
      <c r="AO53" s="252">
        <v>1995</v>
      </c>
      <c r="AP53" s="168">
        <v>12811.7</v>
      </c>
      <c r="AQ53" s="168">
        <v>4511.3999999999996</v>
      </c>
      <c r="AR53" s="34">
        <v>287</v>
      </c>
      <c r="AS53" s="33">
        <v>560</v>
      </c>
      <c r="AT53" s="30">
        <v>1995</v>
      </c>
      <c r="AU53" s="49">
        <v>72.370999999999995</v>
      </c>
      <c r="AV53" s="46">
        <v>335.81799999999998</v>
      </c>
      <c r="AW53" s="602">
        <f>(FuelConsump!AU53*'Fuel Heat Content'!$D$7/1000000)+(FuelConsump!AV53*'Fuel Heat Content'!$D$21/1000000)</f>
        <v>13.509880001999999</v>
      </c>
      <c r="AX53" s="287">
        <f>'TEDB_Ed31_Table 9.10'!J36</f>
        <v>13.5</v>
      </c>
      <c r="AY53" s="46">
        <f>AW53</f>
        <v>13.509880001999999</v>
      </c>
      <c r="AZ53" s="46">
        <v>63.064</v>
      </c>
      <c r="BA53" s="57">
        <v>1253</v>
      </c>
      <c r="BB53" s="57">
        <v>3401</v>
      </c>
      <c r="BC53" s="57">
        <v>288</v>
      </c>
      <c r="BD53" s="37">
        <v>3503</v>
      </c>
      <c r="BE53" s="30">
        <v>1995</v>
      </c>
      <c r="BF53" s="28">
        <v>700335</v>
      </c>
      <c r="BG53" s="21">
        <f t="shared" si="16"/>
        <v>3173.9632902787221</v>
      </c>
      <c r="BH53" s="112"/>
      <c r="BI53" s="36"/>
      <c r="BJ53" s="36">
        <f t="shared" si="17"/>
        <v>1995</v>
      </c>
      <c r="BM53" s="578">
        <v>0.84799999999999998</v>
      </c>
      <c r="BN53" s="136">
        <v>5.0000000000000001E-3</v>
      </c>
      <c r="BS53">
        <v>9216</v>
      </c>
      <c r="BT53">
        <v>1486.836</v>
      </c>
      <c r="BU53">
        <v>7645.2739999999994</v>
      </c>
      <c r="BV53">
        <v>45.89</v>
      </c>
      <c r="BW53">
        <v>19777</v>
      </c>
      <c r="BX53">
        <v>3203.8740000000003</v>
      </c>
      <c r="BY53">
        <v>16474.240999999998</v>
      </c>
      <c r="BZ53">
        <v>98.885000000000005</v>
      </c>
      <c r="CB53" s="369"/>
      <c r="CC53" s="25">
        <v>68072</v>
      </c>
      <c r="CE53" s="297"/>
      <c r="CF53" s="125">
        <v>71.5</v>
      </c>
      <c r="CG53" s="125">
        <v>42.8</v>
      </c>
      <c r="CH53" s="389">
        <v>2</v>
      </c>
      <c r="CI53" s="389">
        <f>(0.95*CG53-CH53)</f>
        <v>38.659999999999997</v>
      </c>
      <c r="CJ53" s="289"/>
      <c r="CO53" s="289"/>
      <c r="CQ53" s="4">
        <v>1978105</v>
      </c>
      <c r="CR53" s="4">
        <v>6431238</v>
      </c>
      <c r="CS53" s="4">
        <f t="shared" si="19"/>
        <v>47097.738095238092</v>
      </c>
      <c r="CT53" s="4">
        <f t="shared" si="20"/>
        <v>153124.71428571429</v>
      </c>
      <c r="CU53" s="4">
        <f t="shared" si="8"/>
        <v>274.36316349999998</v>
      </c>
      <c r="CV53" s="4">
        <f t="shared" si="21"/>
        <v>962.75632859999985</v>
      </c>
      <c r="CW53" s="4">
        <f t="shared" si="22"/>
        <v>1237.1194920999999</v>
      </c>
      <c r="CX53" s="50">
        <v>0.77500000000000002</v>
      </c>
      <c r="CY53" s="50">
        <v>9.2999999999999999E-2</v>
      </c>
      <c r="CZ53" s="4">
        <f t="shared" si="32"/>
        <v>302.16779027229995</v>
      </c>
      <c r="DA53" s="293">
        <v>302.2</v>
      </c>
      <c r="DB53" s="4"/>
      <c r="DC53" s="4">
        <f t="shared" si="9"/>
        <v>-0.26190476190822665</v>
      </c>
      <c r="DD53" s="4">
        <f t="shared" si="10"/>
        <v>-0.28571428571012802</v>
      </c>
    </row>
    <row r="54" spans="1:108" ht="15" customHeight="1" x14ac:dyDescent="0.2">
      <c r="A54" s="30">
        <v>1996</v>
      </c>
      <c r="B54" s="25">
        <f t="shared" si="11"/>
        <v>69221</v>
      </c>
      <c r="C54" s="21">
        <f t="shared" si="12"/>
        <v>61537.468999999997</v>
      </c>
      <c r="D54" s="21">
        <f>B54*0.101</f>
        <v>6991.3210000000008</v>
      </c>
      <c r="E54" s="22">
        <f>B54*0.01</f>
        <v>692.21</v>
      </c>
      <c r="F54" s="43">
        <v>195.94</v>
      </c>
      <c r="G54" s="15">
        <f t="shared" si="1"/>
        <v>195.94</v>
      </c>
      <c r="H54" s="17">
        <f>47354029/1000</f>
        <v>47354.029000000002</v>
      </c>
      <c r="I54" s="21">
        <f t="shared" si="4"/>
        <v>40819.172998000002</v>
      </c>
      <c r="J54" s="21">
        <f>H54*0.101</f>
        <v>4782.7569290000001</v>
      </c>
      <c r="K54" s="21">
        <f>H54*0.034</f>
        <v>1610.0369860000003</v>
      </c>
      <c r="L54" s="22">
        <f>H54*0.003</f>
        <v>142.06208700000002</v>
      </c>
      <c r="M54" s="522">
        <f>Adjust_Truck_Freight!AB32</f>
        <v>15349.651373724479</v>
      </c>
      <c r="N54" s="21">
        <f t="shared" si="13"/>
        <v>2133.6015409477027</v>
      </c>
      <c r="O54" s="21">
        <f>M54*FuelConsump!$BM54</f>
        <v>13139.301575908154</v>
      </c>
      <c r="P54" s="22">
        <f>M54*FuelConsump!$BN54</f>
        <v>76.748256868622391</v>
      </c>
      <c r="Q54" s="523">
        <f>Adjust_Truck_Freight!AC32</f>
        <v>21862.040753666006</v>
      </c>
      <c r="R54" s="21">
        <f t="shared" si="14"/>
        <v>3038.8236647595741</v>
      </c>
      <c r="S54" s="21">
        <f>Q54*FuelConsump!$BM54</f>
        <v>18713.906885138102</v>
      </c>
      <c r="T54" s="21">
        <f>Q54*FuelConsump!$BN54</f>
        <v>109.31020376833003</v>
      </c>
      <c r="U54" s="44">
        <v>577.67999999999995</v>
      </c>
      <c r="V54" s="45">
        <v>11.526999999999999</v>
      </c>
      <c r="W54" s="45">
        <v>1.8</v>
      </c>
      <c r="X54" s="45">
        <v>2.278</v>
      </c>
      <c r="Y54" s="45"/>
      <c r="Z54" s="45">
        <v>11.6</v>
      </c>
      <c r="AA54" s="52">
        <v>0.6</v>
      </c>
      <c r="AB54" s="125">
        <v>30.9</v>
      </c>
      <c r="AC54" s="125">
        <v>3.6</v>
      </c>
      <c r="AD54" s="404">
        <v>37.200000000000003</v>
      </c>
      <c r="AE54" s="404">
        <v>0.6</v>
      </c>
      <c r="AF54" s="404"/>
      <c r="AG54" s="63"/>
      <c r="AH54" s="40">
        <f t="shared" si="25"/>
        <v>545.16</v>
      </c>
      <c r="AI54" s="40">
        <v>12.98</v>
      </c>
      <c r="AJ54" s="759">
        <f t="shared" si="26"/>
        <v>199.92</v>
      </c>
      <c r="AK54" s="760">
        <v>4.76</v>
      </c>
      <c r="AL54" s="42">
        <v>1996</v>
      </c>
      <c r="AM54" s="28">
        <v>51848</v>
      </c>
      <c r="AN54" s="22">
        <v>138214</v>
      </c>
      <c r="AO54" s="252">
        <v>1996</v>
      </c>
      <c r="AP54" s="168">
        <v>13187.3</v>
      </c>
      <c r="AQ54" s="168">
        <v>4658.1000000000004</v>
      </c>
      <c r="AR54" s="34">
        <v>289</v>
      </c>
      <c r="AS54" s="33">
        <v>608</v>
      </c>
      <c r="AT54" s="30">
        <v>1996</v>
      </c>
      <c r="AU54" s="49">
        <v>71.225999999999999</v>
      </c>
      <c r="AV54" s="50">
        <v>362.86900000000003</v>
      </c>
      <c r="AW54" s="602">
        <f>(FuelConsump!AU54*'Fuel Heat Content'!$D$7/1000000)+(FuelConsump!AV54*'Fuel Heat Content'!$D$21/1000000)</f>
        <v>13.630748791</v>
      </c>
      <c r="AX54" s="287">
        <f>'TEDB_Ed31_Table 9.10'!J37</f>
        <v>13.6</v>
      </c>
      <c r="AY54" s="46">
        <f t="shared" ref="AY54:AY60" si="33">AW54</f>
        <v>13.630748791</v>
      </c>
      <c r="AZ54" s="47">
        <v>61.887999999999998</v>
      </c>
      <c r="BA54" s="37">
        <v>1255</v>
      </c>
      <c r="BB54" s="37">
        <v>3332</v>
      </c>
      <c r="BC54" s="37">
        <v>321</v>
      </c>
      <c r="BD54" s="37">
        <v>3601</v>
      </c>
      <c r="BE54" s="30">
        <v>1996</v>
      </c>
      <c r="BF54" s="28">
        <v>711446</v>
      </c>
      <c r="BG54" s="21">
        <f t="shared" si="16"/>
        <v>3224.3190573306142</v>
      </c>
      <c r="BH54" s="112"/>
      <c r="BI54" s="36"/>
      <c r="BJ54" s="36">
        <f t="shared" si="17"/>
        <v>1996</v>
      </c>
      <c r="BM54" s="578">
        <v>0.85599999999999998</v>
      </c>
      <c r="BN54" s="136">
        <v>5.0000000000000001E-3</v>
      </c>
      <c r="BQ54" s="36"/>
      <c r="BR54" s="36"/>
      <c r="BS54" s="36">
        <v>9408.8870000000006</v>
      </c>
      <c r="BT54">
        <v>1524.2396940000001</v>
      </c>
      <c r="BU54">
        <v>7837.6028710000001</v>
      </c>
      <c r="BV54">
        <v>47.044435000000007</v>
      </c>
      <c r="BW54">
        <v>20192.512999999999</v>
      </c>
      <c r="BX54" s="36">
        <v>3271.1871059999999</v>
      </c>
      <c r="BY54" s="36">
        <v>16820.363329</v>
      </c>
      <c r="BZ54" s="36">
        <v>100.962565</v>
      </c>
      <c r="CB54" s="369"/>
      <c r="CC54" s="25">
        <v>69221</v>
      </c>
      <c r="CE54" s="297"/>
      <c r="CH54" s="393">
        <v>2.2999999999999998</v>
      </c>
      <c r="CJ54" s="289"/>
      <c r="CO54" s="289"/>
      <c r="CQ54" s="4">
        <v>2177608</v>
      </c>
      <c r="CR54" s="4">
        <v>5804977</v>
      </c>
      <c r="CS54" s="4">
        <f t="shared" si="19"/>
        <v>51847.809523809527</v>
      </c>
      <c r="CT54" s="4">
        <f t="shared" si="20"/>
        <v>138213.73809523811</v>
      </c>
      <c r="CU54" s="4">
        <f t="shared" si="8"/>
        <v>302.03422959999995</v>
      </c>
      <c r="CV54" s="4">
        <f t="shared" si="21"/>
        <v>869.00505689999989</v>
      </c>
      <c r="CW54" s="4">
        <f t="shared" si="22"/>
        <v>1171.0392864999999</v>
      </c>
      <c r="CX54" s="50">
        <v>0.77500000000000002</v>
      </c>
      <c r="CY54" s="50">
        <v>9.2999999999999999E-2</v>
      </c>
      <c r="CZ54" s="4">
        <f t="shared" si="32"/>
        <v>314.89399823169998</v>
      </c>
      <c r="DA54" s="293">
        <v>314.89999999999998</v>
      </c>
      <c r="DB54" s="4"/>
      <c r="DC54" s="4">
        <f t="shared" si="9"/>
        <v>-0.19047619047341868</v>
      </c>
      <c r="DD54" s="4">
        <f t="shared" si="10"/>
        <v>-0.26190476189367473</v>
      </c>
    </row>
    <row r="55" spans="1:108" x14ac:dyDescent="0.2">
      <c r="A55" s="30">
        <v>1997</v>
      </c>
      <c r="B55" s="25">
        <f t="shared" si="11"/>
        <v>69892</v>
      </c>
      <c r="C55" s="21">
        <f t="shared" si="12"/>
        <v>60456.58</v>
      </c>
      <c r="D55" s="21">
        <f>B55*0.122</f>
        <v>8526.8240000000005</v>
      </c>
      <c r="E55" s="22">
        <f>B55*0.013</f>
        <v>908.596</v>
      </c>
      <c r="F55" s="43">
        <v>201.62</v>
      </c>
      <c r="G55" s="15">
        <f t="shared" si="1"/>
        <v>201.62</v>
      </c>
      <c r="H55" s="25">
        <v>49388</v>
      </c>
      <c r="I55" s="21">
        <f t="shared" si="4"/>
        <v>41584.695999999996</v>
      </c>
      <c r="J55" s="21">
        <f>H55*0.122</f>
        <v>6025.3360000000002</v>
      </c>
      <c r="K55" s="21">
        <f>H55*0.034</f>
        <v>1679.192</v>
      </c>
      <c r="L55" s="22">
        <f>H55*0.002</f>
        <v>98.775999999999996</v>
      </c>
      <c r="M55" s="522">
        <f>Adjust_Truck_Freight!AB33</f>
        <v>15622.37565231856</v>
      </c>
      <c r="N55" s="21">
        <f t="shared" si="13"/>
        <v>2062.1535861060506</v>
      </c>
      <c r="O55" s="21">
        <f>M55*FuelConsump!$BM55</f>
        <v>13482.110187950917</v>
      </c>
      <c r="P55" s="22">
        <f>M55*FuelConsump!$BN55</f>
        <v>78.111878261592807</v>
      </c>
      <c r="Q55" s="523">
        <f>Adjust_Truck_Freight!AC33</f>
        <v>21980.247814346625</v>
      </c>
      <c r="R55" s="21">
        <f t="shared" si="14"/>
        <v>2901.3927114937537</v>
      </c>
      <c r="S55" s="21">
        <f>Q55*FuelConsump!$BM55</f>
        <v>18968.953863781138</v>
      </c>
      <c r="T55" s="21">
        <f>Q55*FuelConsump!$BN55</f>
        <v>109.90123907173313</v>
      </c>
      <c r="U55" s="44">
        <v>597.63599999999997</v>
      </c>
      <c r="V55" s="45">
        <v>20.05</v>
      </c>
      <c r="W55" s="45">
        <v>2.7</v>
      </c>
      <c r="X55" s="45">
        <v>3.2759999999999998</v>
      </c>
      <c r="Y55" s="45"/>
      <c r="Z55" s="45">
        <v>8.7050000000000001</v>
      </c>
      <c r="AA55" s="52">
        <v>1</v>
      </c>
      <c r="AB55" s="125">
        <v>32</v>
      </c>
      <c r="AC55" s="125">
        <v>3.9</v>
      </c>
      <c r="AD55" s="404">
        <v>35.700000000000003</v>
      </c>
      <c r="AE55" s="404">
        <v>0.8</v>
      </c>
      <c r="AF55" s="404"/>
      <c r="AG55" s="63"/>
      <c r="AH55" s="40">
        <f t="shared" si="25"/>
        <v>544.74</v>
      </c>
      <c r="AI55" s="40">
        <v>12.97</v>
      </c>
      <c r="AJ55" s="759">
        <f t="shared" si="26"/>
        <v>212.51999999999998</v>
      </c>
      <c r="AK55" s="760">
        <v>5.0599999999999996</v>
      </c>
      <c r="AL55" s="42">
        <v>1997</v>
      </c>
      <c r="AM55" s="28">
        <v>50180</v>
      </c>
      <c r="AN55" s="22">
        <v>114044</v>
      </c>
      <c r="AO55" s="252">
        <v>1997</v>
      </c>
      <c r="AP55" s="168">
        <v>13659.6</v>
      </c>
      <c r="AQ55" s="168">
        <v>4964.2</v>
      </c>
      <c r="AR55" s="34">
        <v>289</v>
      </c>
      <c r="AS55" s="33">
        <v>642</v>
      </c>
      <c r="AT55" s="30">
        <v>1997</v>
      </c>
      <c r="AU55" s="49">
        <v>75.676000000000002</v>
      </c>
      <c r="AV55" s="50">
        <v>389.5590555</v>
      </c>
      <c r="AW55" s="602">
        <f>(FuelConsump!AU55*'Fuel Heat Content'!$D$7/1000000)+(FuelConsump!AV55*'Fuel Heat Content'!$D$21/1000000)</f>
        <v>14.523912274814501</v>
      </c>
      <c r="AX55" s="287">
        <f>'TEDB_Ed31_Table 9.10'!J38</f>
        <v>14.5</v>
      </c>
      <c r="AY55" s="46">
        <f t="shared" si="33"/>
        <v>14.523912274814501</v>
      </c>
      <c r="AZ55" s="47">
        <v>63.195</v>
      </c>
      <c r="BA55" s="37">
        <v>1270</v>
      </c>
      <c r="BB55" s="37">
        <v>3253</v>
      </c>
      <c r="BC55" s="37">
        <v>361</v>
      </c>
      <c r="BD55" s="37">
        <v>3603</v>
      </c>
      <c r="BE55" s="30">
        <v>1997</v>
      </c>
      <c r="BF55" s="28">
        <v>751470</v>
      </c>
      <c r="BG55" s="21">
        <f t="shared" si="16"/>
        <v>3405.7104010876956</v>
      </c>
      <c r="BH55" s="112"/>
      <c r="BI55" s="36"/>
      <c r="BJ55" s="36">
        <f t="shared" si="17"/>
        <v>1997</v>
      </c>
      <c r="BM55" s="578">
        <v>0.86299999999999999</v>
      </c>
      <c r="BN55" s="136">
        <v>5.0000000000000001E-3</v>
      </c>
      <c r="BQ55" s="519"/>
      <c r="BR55" s="519"/>
      <c r="BS55" s="519">
        <v>9576.0589999999993</v>
      </c>
      <c r="BT55" s="36">
        <v>1187.4313159999999</v>
      </c>
      <c r="BU55" s="36">
        <v>8340.7473890000001</v>
      </c>
      <c r="BV55" s="36">
        <v>47.880294999999997</v>
      </c>
      <c r="BW55" s="36">
        <v>20301.692999999999</v>
      </c>
      <c r="BX55" s="519">
        <v>2517.409932</v>
      </c>
      <c r="BY55" s="519">
        <v>17682.774602999998</v>
      </c>
      <c r="BZ55" s="519">
        <v>101.508465</v>
      </c>
      <c r="CB55" s="369"/>
      <c r="CC55" s="25">
        <v>69892</v>
      </c>
      <c r="CE55" s="297"/>
      <c r="CH55" s="393">
        <v>1.8</v>
      </c>
      <c r="CJ55" s="289"/>
      <c r="CO55" s="289"/>
      <c r="CQ55" s="4">
        <v>2107561</v>
      </c>
      <c r="CR55" s="4">
        <v>4789861</v>
      </c>
      <c r="CS55" s="4">
        <f t="shared" si="19"/>
        <v>50180.023809523809</v>
      </c>
      <c r="CT55" s="4">
        <f t="shared" si="20"/>
        <v>114044.30952380953</v>
      </c>
      <c r="CU55" s="4">
        <f t="shared" si="8"/>
        <v>292.3187107</v>
      </c>
      <c r="CV55" s="4">
        <f t="shared" si="21"/>
        <v>717.04219169999988</v>
      </c>
      <c r="CW55" s="4">
        <f t="shared" si="22"/>
        <v>1009.3609023999999</v>
      </c>
      <c r="CX55" s="50">
        <v>0.77500000000000002</v>
      </c>
      <c r="CY55" s="50">
        <v>9.2999999999999999E-2</v>
      </c>
      <c r="CZ55" s="4">
        <f t="shared" si="32"/>
        <v>293.23192462060001</v>
      </c>
      <c r="DA55" s="293">
        <v>293.2</v>
      </c>
      <c r="DB55" s="4"/>
      <c r="DC55" s="4">
        <f t="shared" si="9"/>
        <v>2.3809523809177335E-2</v>
      </c>
      <c r="DD55" s="4">
        <f t="shared" si="10"/>
        <v>0.30952380952658132</v>
      </c>
    </row>
    <row r="56" spans="1:108" x14ac:dyDescent="0.2">
      <c r="A56" s="30">
        <v>1998</v>
      </c>
      <c r="B56" s="25">
        <f t="shared" si="11"/>
        <v>71695</v>
      </c>
      <c r="C56" s="21">
        <f t="shared" si="12"/>
        <v>63019.905000000006</v>
      </c>
      <c r="D56" s="21">
        <f>B56*0.112</f>
        <v>8029.84</v>
      </c>
      <c r="E56" s="22">
        <f>B56*0.009</f>
        <v>645.255</v>
      </c>
      <c r="F56" s="43">
        <v>205.66</v>
      </c>
      <c r="G56" s="15">
        <f t="shared" si="1"/>
        <v>205.66</v>
      </c>
      <c r="H56" s="25">
        <f>50462250/1000</f>
        <v>50462.25</v>
      </c>
      <c r="I56" s="21">
        <f t="shared" si="4"/>
        <v>42892.912500000006</v>
      </c>
      <c r="J56" s="21">
        <f>H56*0.112</f>
        <v>5651.7719999999999</v>
      </c>
      <c r="K56" s="21">
        <f>H56*0.035</f>
        <v>1766.1787500000003</v>
      </c>
      <c r="L56" s="22">
        <f>H56*0.003</f>
        <v>151.38675000000001</v>
      </c>
      <c r="M56" s="522">
        <f>Adjust_Truck_Freight!AB34</f>
        <v>15891.412968564751</v>
      </c>
      <c r="N56" s="21">
        <f t="shared" si="13"/>
        <v>1970.5352081020299</v>
      </c>
      <c r="O56" s="21">
        <f>M56*FuelConsump!$BM56</f>
        <v>13841.420695619898</v>
      </c>
      <c r="P56" s="22">
        <f>M56*FuelConsump!$BN56</f>
        <v>79.457064842823755</v>
      </c>
      <c r="Q56" s="523">
        <f>Adjust_Truck_Freight!AC34</f>
        <v>24092.282990002463</v>
      </c>
      <c r="R56" s="21">
        <f t="shared" si="14"/>
        <v>2987.4430907603055</v>
      </c>
      <c r="S56" s="21">
        <f>Q56*FuelConsump!$BM56</f>
        <v>20984.378484292145</v>
      </c>
      <c r="T56" s="21">
        <f>Q56*FuelConsump!$BN56</f>
        <v>120.46141495001231</v>
      </c>
      <c r="U56" s="45">
        <v>606.63099999999997</v>
      </c>
      <c r="V56" s="45">
        <v>32.619999999999997</v>
      </c>
      <c r="W56" s="45">
        <v>2</v>
      </c>
      <c r="X56" s="45">
        <v>3.0750000000000002</v>
      </c>
      <c r="Y56" s="45"/>
      <c r="Z56" s="45">
        <v>4.976</v>
      </c>
      <c r="AA56" s="52">
        <v>0.9</v>
      </c>
      <c r="AB56" s="125">
        <v>38.299999999999997</v>
      </c>
      <c r="AC56" s="125">
        <v>4.5999999999999996</v>
      </c>
      <c r="AD56" s="404">
        <v>29.5</v>
      </c>
      <c r="AE56" s="404">
        <v>2.2999999999999998</v>
      </c>
      <c r="AF56" s="404"/>
      <c r="AG56" s="63"/>
      <c r="AH56" s="40">
        <f t="shared" si="25"/>
        <v>550.19999999999993</v>
      </c>
      <c r="AI56" s="40">
        <v>13.1</v>
      </c>
      <c r="AJ56" s="759">
        <f t="shared" si="26"/>
        <v>220.08</v>
      </c>
      <c r="AK56" s="760">
        <v>5.24</v>
      </c>
      <c r="AL56" s="42">
        <v>1998</v>
      </c>
      <c r="AM56" s="28">
        <v>50609</v>
      </c>
      <c r="AN56" s="22">
        <v>110480</v>
      </c>
      <c r="AO56" s="252">
        <v>1998</v>
      </c>
      <c r="AP56" s="168">
        <v>13877</v>
      </c>
      <c r="AQ56" s="168">
        <v>5185.6000000000004</v>
      </c>
      <c r="AR56" s="34">
        <v>311</v>
      </c>
      <c r="AS56" s="33">
        <v>815</v>
      </c>
      <c r="AT56" s="30">
        <v>1998</v>
      </c>
      <c r="AU56" s="49">
        <v>75.999498000000003</v>
      </c>
      <c r="AV56" s="50">
        <v>416.42937030000002</v>
      </c>
      <c r="AW56" s="602">
        <f>(FuelConsump!AU56*'Fuel Heat Content'!$D$7/1000000)+(FuelConsump!AV56*'Fuel Heat Content'!$D$21/1000000)</f>
        <v>14.8465936321317</v>
      </c>
      <c r="AX56" s="287">
        <f>'TEDB_Ed31_Table 9.10'!J39</f>
        <v>14.8</v>
      </c>
      <c r="AY56" s="46">
        <f t="shared" si="33"/>
        <v>14.8465936321317</v>
      </c>
      <c r="AZ56" s="47">
        <v>69.2</v>
      </c>
      <c r="BA56" s="37">
        <v>1298</v>
      </c>
      <c r="BB56" s="37">
        <v>3280</v>
      </c>
      <c r="BC56" s="37">
        <v>381</v>
      </c>
      <c r="BD56" s="37">
        <v>3619</v>
      </c>
      <c r="BE56" s="30">
        <v>1998</v>
      </c>
      <c r="BF56" s="28">
        <v>635477</v>
      </c>
      <c r="BG56" s="21">
        <f t="shared" si="16"/>
        <v>2880.0226603217766</v>
      </c>
      <c r="BH56" s="112"/>
      <c r="BI56" s="36"/>
      <c r="BJ56" s="36">
        <f t="shared" si="17"/>
        <v>1998</v>
      </c>
      <c r="BM56" s="578">
        <v>0.871</v>
      </c>
      <c r="BN56" s="136">
        <v>5.0000000000000001E-3</v>
      </c>
      <c r="BQ56" s="519"/>
      <c r="BR56" s="519"/>
      <c r="BS56" s="519">
        <v>9740.9709999999995</v>
      </c>
      <c r="BT56" s="519">
        <v>1207.880404</v>
      </c>
      <c r="BU56" s="519">
        <v>8484.3857410000001</v>
      </c>
      <c r="BV56" s="519">
        <v>48.704855000000002</v>
      </c>
      <c r="BW56" s="318">
        <f>BP79</f>
        <v>22252.439420310111</v>
      </c>
      <c r="BX56" s="519">
        <v>2759.3024881184538</v>
      </c>
      <c r="BY56" s="519">
        <v>19381.874735090107</v>
      </c>
      <c r="BZ56" s="519">
        <v>111.26219710155056</v>
      </c>
      <c r="CB56" s="369"/>
      <c r="CC56" s="25">
        <v>71695</v>
      </c>
      <c r="CE56" s="297"/>
      <c r="CH56" s="393">
        <v>2.7</v>
      </c>
      <c r="CJ56" s="289"/>
      <c r="CO56" s="289"/>
      <c r="CQ56" s="4">
        <v>2125568</v>
      </c>
      <c r="CR56" s="4">
        <v>4640153</v>
      </c>
      <c r="CS56" s="4">
        <f t="shared" si="19"/>
        <v>50608.761904761908</v>
      </c>
      <c r="CT56" s="4">
        <f t="shared" si="20"/>
        <v>110479.83333333333</v>
      </c>
      <c r="CU56" s="4">
        <f t="shared" si="8"/>
        <v>294.81628159999997</v>
      </c>
      <c r="CV56" s="4">
        <f t="shared" si="21"/>
        <v>694.63090409999984</v>
      </c>
      <c r="CW56" s="4">
        <f t="shared" si="22"/>
        <v>989.44718569999986</v>
      </c>
      <c r="CX56" s="50">
        <v>0.77500000000000002</v>
      </c>
      <c r="CY56" s="50">
        <v>9.2999999999999999E-2</v>
      </c>
      <c r="CZ56" s="4">
        <f t="shared" si="32"/>
        <v>293.08329232129995</v>
      </c>
      <c r="DA56" s="293">
        <v>293.10000000000002</v>
      </c>
      <c r="DB56" s="4"/>
      <c r="DC56" s="4">
        <f t="shared" si="9"/>
        <v>-0.23809523809177335</v>
      </c>
      <c r="DD56" s="4">
        <f t="shared" si="10"/>
        <v>-0.16666666667151731</v>
      </c>
    </row>
    <row r="57" spans="1:108" ht="13.5" thickBot="1" x14ac:dyDescent="0.25">
      <c r="A57" s="30">
        <v>1999</v>
      </c>
      <c r="B57" s="25">
        <f t="shared" si="11"/>
        <v>73283</v>
      </c>
      <c r="C57" s="21">
        <f t="shared" si="12"/>
        <v>64782.172000000006</v>
      </c>
      <c r="D57" s="21">
        <f>B57*0.11</f>
        <v>8061.13</v>
      </c>
      <c r="E57" s="21">
        <f>B57*0.006</f>
        <v>439.69800000000004</v>
      </c>
      <c r="F57" s="102">
        <v>211.68</v>
      </c>
      <c r="G57" s="16">
        <f t="shared" si="1"/>
        <v>211.68</v>
      </c>
      <c r="H57" s="21">
        <f>52859068/1000</f>
        <v>52859.067999999999</v>
      </c>
      <c r="I57" s="21">
        <f t="shared" si="4"/>
        <v>44930.207800000004</v>
      </c>
      <c r="J57" s="21">
        <f>H57*0.11</f>
        <v>5814.49748</v>
      </c>
      <c r="K57" s="21">
        <f>H57*0.036</f>
        <v>1902.9264479999999</v>
      </c>
      <c r="L57" s="22">
        <f>H57*0.004</f>
        <v>211.436272</v>
      </c>
      <c r="M57" s="522">
        <f>Adjust_Truck_Freight!AB35</f>
        <v>15289.589778237674</v>
      </c>
      <c r="N57" s="21">
        <f t="shared" si="13"/>
        <v>1850.0403631667587</v>
      </c>
      <c r="O57" s="21">
        <f>M57*FuelConsump!$BM57</f>
        <v>13363.101466179727</v>
      </c>
      <c r="P57" s="22">
        <f>M57*FuelConsump!$BN57</f>
        <v>76.447948891188375</v>
      </c>
      <c r="Q57" s="523">
        <f>Adjust_Truck_Freight!AC35</f>
        <v>26566.07871569744</v>
      </c>
      <c r="R57" s="21">
        <f t="shared" si="14"/>
        <v>3214.4955245993906</v>
      </c>
      <c r="S57" s="21">
        <f>Q57*FuelConsump!$BM57</f>
        <v>23218.752797519563</v>
      </c>
      <c r="T57" s="21">
        <f>Q57*FuelConsump!$BN57</f>
        <v>132.83039357848719</v>
      </c>
      <c r="U57" s="107">
        <v>618.20399999999995</v>
      </c>
      <c r="V57" s="107">
        <v>39.860999999999997</v>
      </c>
      <c r="W57" s="107">
        <v>1.4</v>
      </c>
      <c r="X57" s="107">
        <v>5.2510000000000003</v>
      </c>
      <c r="Y57" s="107"/>
      <c r="Z57" s="107">
        <v>2.7109999999999999</v>
      </c>
      <c r="AA57" s="108">
        <v>0.7</v>
      </c>
      <c r="AB57" s="125">
        <v>43.2</v>
      </c>
      <c r="AC57" s="125">
        <v>4.5</v>
      </c>
      <c r="AD57" s="404">
        <v>26.8</v>
      </c>
      <c r="AE57" s="404">
        <v>2.4</v>
      </c>
      <c r="AF57" s="404"/>
      <c r="AG57" s="63"/>
      <c r="AH57" s="40">
        <f t="shared" si="25"/>
        <v>555.66</v>
      </c>
      <c r="AI57" s="40">
        <v>13.23</v>
      </c>
      <c r="AJ57" s="759">
        <f t="shared" si="26"/>
        <v>241.08</v>
      </c>
      <c r="AK57" s="760">
        <v>5.74</v>
      </c>
      <c r="AL57" s="42">
        <v>1999</v>
      </c>
      <c r="AM57" s="28">
        <v>49157</v>
      </c>
      <c r="AN57" s="22">
        <v>133301</v>
      </c>
      <c r="AO57" s="252">
        <v>1999</v>
      </c>
      <c r="AP57" s="168">
        <v>14402.1</v>
      </c>
      <c r="AQ57" s="168">
        <v>5250.5</v>
      </c>
      <c r="AR57" s="34">
        <v>345.4</v>
      </c>
      <c r="AS57" s="33">
        <v>967.3</v>
      </c>
      <c r="AT57" s="30">
        <v>1999</v>
      </c>
      <c r="AU57" s="49">
        <v>79.172600000000003</v>
      </c>
      <c r="AV57" s="50">
        <v>443.2996852</v>
      </c>
      <c r="AW57" s="602">
        <f>(FuelConsump!AU57*'Fuel Heat Content'!$D$7/1000000)+(FuelConsump!AV57*'Fuel Heat Content'!$D$21*1/1000000)</f>
        <v>15.564515065282801</v>
      </c>
      <c r="AX57" s="287">
        <f>'TEDB_Ed31_Table 9.10'!J40</f>
        <v>15.6</v>
      </c>
      <c r="AY57" s="46">
        <f t="shared" si="33"/>
        <v>15.564515065282801</v>
      </c>
      <c r="AZ57" s="104">
        <v>73.004999999999995</v>
      </c>
      <c r="BA57" s="59">
        <v>1322</v>
      </c>
      <c r="BB57" s="59">
        <v>3385</v>
      </c>
      <c r="BC57" s="59">
        <v>416</v>
      </c>
      <c r="BD57" s="37">
        <v>3749</v>
      </c>
      <c r="BE57" s="30">
        <v>1999</v>
      </c>
      <c r="BF57" s="28">
        <v>645319</v>
      </c>
      <c r="BG57" s="21">
        <f t="shared" si="16"/>
        <v>2924.6272377067753</v>
      </c>
      <c r="BH57" s="112"/>
      <c r="BI57" s="36"/>
      <c r="BJ57" s="36">
        <f t="shared" si="17"/>
        <v>1999</v>
      </c>
      <c r="BM57" s="578">
        <v>0.874</v>
      </c>
      <c r="BN57" s="136">
        <v>5.0000000000000001E-3</v>
      </c>
      <c r="BQ57" s="519"/>
      <c r="BR57" s="519"/>
      <c r="BS57" s="519">
        <v>9372.0709999999999</v>
      </c>
      <c r="BT57" s="519">
        <v>1162.136804</v>
      </c>
      <c r="BU57" s="519">
        <v>8163.0738409999994</v>
      </c>
      <c r="BV57" s="519">
        <v>46.860354999999998</v>
      </c>
      <c r="BW57" s="519">
        <v>24537.32</v>
      </c>
      <c r="BX57" s="519">
        <v>3042.6276800000001</v>
      </c>
      <c r="BY57" s="519">
        <v>21372.005720000001</v>
      </c>
      <c r="BZ57" s="519">
        <v>122.6866</v>
      </c>
      <c r="CB57" s="369"/>
      <c r="CC57" s="25">
        <v>73283</v>
      </c>
      <c r="CE57" s="297"/>
      <c r="CJ57" s="289"/>
      <c r="CO57" s="289"/>
      <c r="CQ57" s="4">
        <v>2064590</v>
      </c>
      <c r="CR57" s="4">
        <v>5598630</v>
      </c>
      <c r="CS57" s="4">
        <f t="shared" si="19"/>
        <v>49156.904761904763</v>
      </c>
      <c r="CT57" s="4">
        <f t="shared" si="20"/>
        <v>133300.71428571429</v>
      </c>
      <c r="CU57" s="4">
        <f t="shared" si="8"/>
        <v>286.358633</v>
      </c>
      <c r="CV57" s="4">
        <f t="shared" si="21"/>
        <v>838.11491099999989</v>
      </c>
      <c r="CW57" s="4">
        <f t="shared" si="22"/>
        <v>1124.4735439999999</v>
      </c>
      <c r="CX57" s="50">
        <v>0.77500000000000002</v>
      </c>
      <c r="CY57" s="50">
        <v>9.2999999999999999E-2</v>
      </c>
      <c r="CZ57" s="4">
        <f t="shared" si="32"/>
        <v>299.872627298</v>
      </c>
      <c r="DA57" s="293">
        <v>299.89999999999998</v>
      </c>
      <c r="DB57" s="4"/>
      <c r="DC57" s="296">
        <f t="shared" si="9"/>
        <v>-9.5238095236709341E-2</v>
      </c>
      <c r="DD57" s="296">
        <f t="shared" si="10"/>
        <v>-0.28571428571012802</v>
      </c>
    </row>
    <row r="58" spans="1:108" x14ac:dyDescent="0.2">
      <c r="A58" s="215">
        <v>2000</v>
      </c>
      <c r="B58" s="25">
        <f t="shared" si="11"/>
        <v>73065</v>
      </c>
      <c r="C58" s="21">
        <f t="shared" si="12"/>
        <v>63493.485000000001</v>
      </c>
      <c r="D58" s="21">
        <f>B58*0.126</f>
        <v>9206.19</v>
      </c>
      <c r="E58" s="21">
        <f t="shared" ref="E58:E65" si="34">B58*0.005</f>
        <v>365.32499999999999</v>
      </c>
      <c r="F58" s="102">
        <v>209.38</v>
      </c>
      <c r="G58" s="16">
        <f t="shared" si="1"/>
        <v>209.38</v>
      </c>
      <c r="H58" s="21">
        <v>52939</v>
      </c>
      <c r="I58" s="21">
        <f t="shared" si="4"/>
        <v>43939.37</v>
      </c>
      <c r="J58" s="21">
        <f>H58*0.126</f>
        <v>6670.3140000000003</v>
      </c>
      <c r="K58" s="21">
        <f>H58*0.038</f>
        <v>2011.682</v>
      </c>
      <c r="L58" s="22">
        <f>H58*0.006</f>
        <v>317.63400000000001</v>
      </c>
      <c r="M58" s="522">
        <f>Adjust_Truck_Freight!AB36</f>
        <v>15601.071209264939</v>
      </c>
      <c r="N58" s="21">
        <f t="shared" si="13"/>
        <v>1809.7242602747328</v>
      </c>
      <c r="O58" s="21">
        <f>M58*FuelConsump!$BM58</f>
        <v>13713.341592943882</v>
      </c>
      <c r="P58" s="22">
        <f>M58*FuelConsump!$BN58</f>
        <v>78.005356046324692</v>
      </c>
      <c r="Q58" s="523">
        <f>Adjust_Truck_Freight!AC36</f>
        <v>27788.078580590322</v>
      </c>
      <c r="R58" s="21">
        <f t="shared" si="14"/>
        <v>3223.4171153484772</v>
      </c>
      <c r="S58" s="21">
        <f>Q58*FuelConsump!$BM58</f>
        <v>24425.721072338893</v>
      </c>
      <c r="T58" s="21">
        <f>Q58*FuelConsump!$BN58</f>
        <v>138.9403929029516</v>
      </c>
      <c r="U58" s="107">
        <v>635.16</v>
      </c>
      <c r="V58" s="107">
        <v>50.448999999999998</v>
      </c>
      <c r="W58" s="107">
        <v>1.3</v>
      </c>
      <c r="X58" s="107">
        <v>10.464</v>
      </c>
      <c r="Y58" s="107"/>
      <c r="Z58" s="107">
        <v>0.82099999999999995</v>
      </c>
      <c r="AA58" s="108">
        <v>0.72299999999999998</v>
      </c>
      <c r="AB58" s="125">
        <v>48.1</v>
      </c>
      <c r="AC58" s="125">
        <v>4.3</v>
      </c>
      <c r="AD58" s="404">
        <v>23.9</v>
      </c>
      <c r="AE58" s="404">
        <v>2.1</v>
      </c>
      <c r="AF58" s="404"/>
      <c r="AG58" s="63"/>
      <c r="AH58" s="40">
        <f t="shared" si="25"/>
        <v>577.08000000000004</v>
      </c>
      <c r="AI58" s="43">
        <v>13.74</v>
      </c>
      <c r="AJ58" s="759">
        <f t="shared" si="26"/>
        <v>233.1</v>
      </c>
      <c r="AK58" s="763">
        <v>5.55</v>
      </c>
      <c r="AL58" s="215">
        <v>2000</v>
      </c>
      <c r="AM58" s="15">
        <f t="shared" ref="AM58:AN62" si="35">CS58</f>
        <v>48605.547619047618</v>
      </c>
      <c r="AN58" s="15">
        <f t="shared" si="35"/>
        <v>147435.57142857142</v>
      </c>
      <c r="AO58" s="215">
        <v>2000</v>
      </c>
      <c r="AP58" s="168">
        <v>14844.6</v>
      </c>
      <c r="AQ58" s="168">
        <v>5474.7</v>
      </c>
      <c r="AR58" s="168">
        <v>336.3</v>
      </c>
      <c r="AS58" s="168">
        <v>998.1</v>
      </c>
      <c r="AT58" s="215">
        <v>2000</v>
      </c>
      <c r="AU58" s="49">
        <v>94.968000000000004</v>
      </c>
      <c r="AV58" s="50">
        <v>470.17</v>
      </c>
      <c r="AW58" s="602">
        <f>(FuelConsump!AU58*'Fuel Heat Content'!$D$7/1000000)+(FuelConsump!AV58*'Fuel Heat Content'!$D$21/1000000)</f>
        <v>18.033149229999999</v>
      </c>
      <c r="AX58" s="287">
        <f>'TEDB_Ed31_Table 9.10'!J41</f>
        <v>18</v>
      </c>
      <c r="AY58" s="46">
        <f t="shared" si="33"/>
        <v>18.033149229999999</v>
      </c>
      <c r="AZ58" s="267">
        <v>70.817999999999998</v>
      </c>
      <c r="BA58" s="98">
        <v>1370</v>
      </c>
      <c r="BB58" s="98">
        <v>3549</v>
      </c>
      <c r="BC58" s="98">
        <v>463</v>
      </c>
      <c r="BD58" s="61">
        <v>3720.1</v>
      </c>
      <c r="BE58" s="215">
        <v>2000</v>
      </c>
      <c r="BF58" s="28">
        <v>642210</v>
      </c>
      <c r="BG58" s="21">
        <f t="shared" si="16"/>
        <v>2910.5370496261048</v>
      </c>
      <c r="BH58" s="113"/>
      <c r="BI58" s="36"/>
      <c r="BJ58" s="36">
        <f t="shared" si="17"/>
        <v>2000</v>
      </c>
      <c r="BM58" s="578">
        <v>0.879</v>
      </c>
      <c r="BN58" s="136">
        <v>5.0000000000000001E-3</v>
      </c>
      <c r="BQ58" s="519"/>
      <c r="BR58" s="519"/>
      <c r="BS58" s="519">
        <v>9563</v>
      </c>
      <c r="BT58" s="519">
        <v>1185.8119999999999</v>
      </c>
      <c r="BU58" s="519">
        <v>8329.3729999999996</v>
      </c>
      <c r="BV58" s="519">
        <v>47.814999999999998</v>
      </c>
      <c r="BW58" s="519">
        <v>25666</v>
      </c>
      <c r="BX58" s="519">
        <v>3182.5839999999998</v>
      </c>
      <c r="BY58" s="519">
        <v>22355.085999999999</v>
      </c>
      <c r="BZ58" s="519">
        <v>128.33000000000001</v>
      </c>
      <c r="CB58" s="369"/>
      <c r="CC58" s="21">
        <v>73065</v>
      </c>
      <c r="CE58" s="297"/>
      <c r="CJ58" s="289"/>
      <c r="CL58">
        <v>7590</v>
      </c>
      <c r="CO58" s="289"/>
      <c r="CQ58" s="4">
        <v>2041433</v>
      </c>
      <c r="CR58" s="4">
        <v>6192294</v>
      </c>
      <c r="CS58" s="4">
        <f t="shared" si="19"/>
        <v>48605.547619047618</v>
      </c>
      <c r="CT58" s="4">
        <f t="shared" si="20"/>
        <v>147435.57142857142</v>
      </c>
      <c r="CU58" s="4">
        <f t="shared" si="8"/>
        <v>283.14675709999995</v>
      </c>
      <c r="CV58" s="4">
        <f t="shared" si="21"/>
        <v>926.98641179999993</v>
      </c>
      <c r="CW58" s="4">
        <f t="shared" si="22"/>
        <v>1210.1331688999999</v>
      </c>
      <c r="CX58" s="50">
        <v>0.77500000000000002</v>
      </c>
      <c r="CY58" s="50">
        <v>9.2999999999999999E-2</v>
      </c>
      <c r="CZ58" s="4">
        <f t="shared" si="32"/>
        <v>305.64847304989996</v>
      </c>
      <c r="DA58" s="293">
        <v>305.60000000000002</v>
      </c>
      <c r="DB58" s="4"/>
      <c r="DC58" s="4"/>
      <c r="DD58" s="4"/>
    </row>
    <row r="59" spans="1:108" x14ac:dyDescent="0.2">
      <c r="A59" s="215">
        <v>2001</v>
      </c>
      <c r="B59" s="25">
        <f t="shared" si="11"/>
        <v>73559</v>
      </c>
      <c r="C59" s="21">
        <f t="shared" si="12"/>
        <v>63628.535000000003</v>
      </c>
      <c r="D59" s="21">
        <f>B59*0.13</f>
        <v>9562.67</v>
      </c>
      <c r="E59" s="21">
        <f t="shared" si="34"/>
        <v>367.79500000000002</v>
      </c>
      <c r="F59" s="103">
        <v>192.78</v>
      </c>
      <c r="G59" s="16">
        <f t="shared" si="1"/>
        <v>192.78</v>
      </c>
      <c r="H59" s="21">
        <v>53522</v>
      </c>
      <c r="I59" s="21">
        <f t="shared" si="4"/>
        <v>44102.127999999997</v>
      </c>
      <c r="J59" s="21">
        <f>H59*0.13</f>
        <v>6957.8600000000006</v>
      </c>
      <c r="K59" s="21">
        <f>H59*0.039</f>
        <v>2087.3580000000002</v>
      </c>
      <c r="L59" s="22">
        <f>H59*0.007</f>
        <v>374.654</v>
      </c>
      <c r="M59" s="522">
        <f>Adjust_Truck_Freight!AB37</f>
        <v>15770.73673323896</v>
      </c>
      <c r="N59" s="21">
        <f t="shared" si="13"/>
        <v>1797.8639875892409</v>
      </c>
      <c r="O59" s="21">
        <f>M59*FuelConsump!$BM59</f>
        <v>13894.019061983525</v>
      </c>
      <c r="P59" s="22">
        <f>M59*FuelConsump!$BN59</f>
        <v>78.853683666194797</v>
      </c>
      <c r="Q59" s="523">
        <f>Adjust_Truck_Freight!AC37</f>
        <v>27621.345778384646</v>
      </c>
      <c r="R59" s="21">
        <f t="shared" si="14"/>
        <v>3148.8334187358514</v>
      </c>
      <c r="S59" s="21">
        <f>Q59*FuelConsump!$BM59</f>
        <v>24334.405630756872</v>
      </c>
      <c r="T59" s="21">
        <f>Q59*FuelConsump!$BN59</f>
        <v>138.10672889192324</v>
      </c>
      <c r="U59" s="107">
        <v>587.18399999999997</v>
      </c>
      <c r="V59" s="107">
        <v>60.917000000000002</v>
      </c>
      <c r="W59" s="107">
        <v>1.5</v>
      </c>
      <c r="X59" s="107">
        <v>11.67</v>
      </c>
      <c r="Y59" s="107"/>
      <c r="Z59" s="107">
        <v>0.76300000000000001</v>
      </c>
      <c r="AA59" s="108">
        <v>1.171</v>
      </c>
      <c r="AB59" s="125">
        <v>54.9</v>
      </c>
      <c r="AC59" s="125">
        <v>5.3</v>
      </c>
      <c r="AD59" s="404">
        <v>20.3</v>
      </c>
      <c r="AE59" s="390">
        <v>2.1</v>
      </c>
      <c r="AF59" s="404"/>
      <c r="AG59" s="63"/>
      <c r="AH59" s="183">
        <f>'Passenger-based Activity'!$H60/'Passenger-based Activity'!$H59*AH58</f>
        <v>595.02275170708253</v>
      </c>
      <c r="AI59" s="280"/>
      <c r="AJ59" s="764">
        <f>'Passenger-based Activity'!$E60/'Passenger-based Activity'!$E59*AJ58</f>
        <v>253.19594886220304</v>
      </c>
      <c r="AK59" s="763"/>
      <c r="AL59" s="215">
        <v>2001</v>
      </c>
      <c r="AM59" s="15">
        <f t="shared" si="35"/>
        <v>49976.452380952382</v>
      </c>
      <c r="AN59" s="15">
        <f t="shared" si="35"/>
        <v>103459.14285714286</v>
      </c>
      <c r="AO59" s="215">
        <v>2001</v>
      </c>
      <c r="AP59" s="168">
        <v>14017.5</v>
      </c>
      <c r="AQ59" s="168">
        <v>5237.5</v>
      </c>
      <c r="AR59" s="168">
        <v>319.3</v>
      </c>
      <c r="AS59" s="168">
        <v>938.7</v>
      </c>
      <c r="AT59" s="215">
        <v>2001</v>
      </c>
      <c r="AU59" s="49">
        <v>96.846000000000004</v>
      </c>
      <c r="AV59" s="50">
        <v>455.70299999999997</v>
      </c>
      <c r="AW59" s="602">
        <f>(FuelConsump!AU59*'Fuel Heat Content'!$D$7/1000000)+(FuelConsump!AV59*'Fuel Heat Content'!$D$21/1000000)</f>
        <v>18.144053517000003</v>
      </c>
      <c r="AX59" s="287">
        <f>'TEDB_Ed31_Table 9.10'!J42</f>
        <v>18.100000000000001</v>
      </c>
      <c r="AY59" s="46">
        <f t="shared" si="33"/>
        <v>18.144053517000003</v>
      </c>
      <c r="AZ59" s="267">
        <v>72.203999999999994</v>
      </c>
      <c r="BA59" s="98">
        <v>1354</v>
      </c>
      <c r="BB59" s="98">
        <v>3646</v>
      </c>
      <c r="BC59" s="98">
        <v>487</v>
      </c>
      <c r="BD59" s="98">
        <v>3730</v>
      </c>
      <c r="BE59" s="215">
        <v>2001</v>
      </c>
      <c r="BF59" s="28">
        <v>624964</v>
      </c>
      <c r="BG59" s="21">
        <f t="shared" si="16"/>
        <v>2832.3770677543621</v>
      </c>
      <c r="BH59" s="257"/>
      <c r="BI59" s="36"/>
      <c r="BJ59" s="36">
        <f t="shared" si="17"/>
        <v>2001</v>
      </c>
      <c r="BM59" s="578">
        <v>0.88100000000000001</v>
      </c>
      <c r="BN59" s="136">
        <v>5.0000000000000001E-3</v>
      </c>
      <c r="BQ59" s="519"/>
      <c r="BR59" s="519"/>
      <c r="BS59" s="519">
        <v>9667</v>
      </c>
      <c r="BT59" s="519">
        <v>1198.7080000000001</v>
      </c>
      <c r="BU59" s="519">
        <v>8419.9570000000003</v>
      </c>
      <c r="BV59" s="519">
        <v>48.335000000000001</v>
      </c>
      <c r="BW59" s="519">
        <v>25512</v>
      </c>
      <c r="BX59" s="519">
        <v>3163.4879999999998</v>
      </c>
      <c r="BY59" s="519">
        <v>22220.952000000001</v>
      </c>
      <c r="BZ59" s="519">
        <v>127.56</v>
      </c>
      <c r="CB59" s="369"/>
      <c r="CC59" s="21">
        <v>73559</v>
      </c>
      <c r="CE59" s="297"/>
      <c r="CJ59" s="289"/>
      <c r="CL59">
        <v>7077</v>
      </c>
      <c r="CO59" s="289"/>
      <c r="CQ59" s="4">
        <v>2099011</v>
      </c>
      <c r="CR59" s="4">
        <v>4345284</v>
      </c>
      <c r="CS59" s="4">
        <f t="shared" si="19"/>
        <v>49976.452380952382</v>
      </c>
      <c r="CT59" s="4">
        <f t="shared" si="20"/>
        <v>103459.14285714286</v>
      </c>
      <c r="CU59" s="4">
        <f t="shared" si="8"/>
        <v>291.13282569999996</v>
      </c>
      <c r="CV59" s="4">
        <f t="shared" si="21"/>
        <v>650.48901479999995</v>
      </c>
      <c r="CW59" s="4">
        <f t="shared" si="22"/>
        <v>941.62184049999996</v>
      </c>
      <c r="CX59" s="50">
        <v>0.77500000000000002</v>
      </c>
      <c r="CY59" s="50">
        <v>9.2999999999999999E-2</v>
      </c>
      <c r="CZ59" s="4">
        <f t="shared" si="32"/>
        <v>286.12341829389993</v>
      </c>
      <c r="DA59" s="293">
        <v>286.10000000000002</v>
      </c>
      <c r="DB59" s="4"/>
      <c r="DC59" s="4"/>
      <c r="DD59" s="4"/>
    </row>
    <row r="60" spans="1:108" x14ac:dyDescent="0.2">
      <c r="A60" s="215">
        <v>2002</v>
      </c>
      <c r="B60" s="25">
        <f t="shared" si="11"/>
        <v>75471</v>
      </c>
      <c r="C60" s="21">
        <f t="shared" si="12"/>
        <v>63320.168999999994</v>
      </c>
      <c r="D60" s="15">
        <f>B60*0.156</f>
        <v>11773.476000000001</v>
      </c>
      <c r="E60" s="15">
        <f t="shared" si="34"/>
        <v>377.35500000000002</v>
      </c>
      <c r="F60" s="102">
        <v>191.04</v>
      </c>
      <c r="G60" s="16">
        <f t="shared" si="1"/>
        <v>191.04</v>
      </c>
      <c r="H60" s="15">
        <v>55220</v>
      </c>
      <c r="I60" s="21">
        <f t="shared" si="4"/>
        <v>43955.119999999995</v>
      </c>
      <c r="J60" s="15">
        <f>H60*0.156</f>
        <v>8614.32</v>
      </c>
      <c r="K60" s="21">
        <f t="shared" ref="K60:K67" si="36">H60*0.04</f>
        <v>2208.8000000000002</v>
      </c>
      <c r="L60" s="22">
        <f t="shared" ref="L60:L67" si="37">H60*0.008</f>
        <v>441.76</v>
      </c>
      <c r="M60" s="522">
        <f>Adjust_Truck_Freight!AB38</f>
        <v>16837.671855152508</v>
      </c>
      <c r="N60" s="21">
        <f t="shared" si="13"/>
        <v>1868.9815759219287</v>
      </c>
      <c r="O60" s="21">
        <f>M60*FuelConsump!$BM60</f>
        <v>14884.501919954817</v>
      </c>
      <c r="P60" s="22">
        <f>M60*FuelConsump!$BN60</f>
        <v>84.188359275762537</v>
      </c>
      <c r="Q60" s="523">
        <f>Adjust_Truck_Freight!AC38</f>
        <v>28669.38053510604</v>
      </c>
      <c r="R60" s="21">
        <f t="shared" si="14"/>
        <v>3182.3012393967692</v>
      </c>
      <c r="S60" s="21">
        <f>Q60*FuelConsump!$BM60</f>
        <v>25343.732393033741</v>
      </c>
      <c r="T60" s="21">
        <f>Q60*FuelConsump!$BN60</f>
        <v>143.3469026755302</v>
      </c>
      <c r="U60" s="107">
        <v>558.99</v>
      </c>
      <c r="V60" s="107">
        <v>77.787000000000006</v>
      </c>
      <c r="W60" s="107">
        <v>1.3</v>
      </c>
      <c r="X60" s="107">
        <v>16.762</v>
      </c>
      <c r="Y60" s="107"/>
      <c r="Z60" s="107">
        <v>1.831</v>
      </c>
      <c r="AA60" s="108">
        <v>1.83</v>
      </c>
      <c r="AB60" s="125">
        <v>61.6</v>
      </c>
      <c r="AC60" s="125">
        <v>3.2</v>
      </c>
      <c r="AD60" s="404">
        <v>17.399999999999999</v>
      </c>
      <c r="AE60" s="404">
        <v>1.7</v>
      </c>
      <c r="AF60" s="404"/>
      <c r="AG60" s="391">
        <v>0.3</v>
      </c>
      <c r="AH60" s="183">
        <f>'Passenger-based Activity'!$H61/'Passenger-based Activity'!$H60*AH59</f>
        <v>599.56367046480125</v>
      </c>
      <c r="AI60" s="280"/>
      <c r="AJ60" s="764">
        <f>'Passenger-based Activity'!$E61/'Passenger-based Activity'!$E60*AJ59</f>
        <v>274.10769334436685</v>
      </c>
      <c r="AK60" s="763"/>
      <c r="AL60" s="215">
        <v>2002</v>
      </c>
      <c r="AM60" s="15">
        <f t="shared" si="35"/>
        <v>48963.452380952382</v>
      </c>
      <c r="AN60" s="15">
        <f t="shared" si="35"/>
        <v>113903.71428571429</v>
      </c>
      <c r="AO60" s="215">
        <v>2002</v>
      </c>
      <c r="AP60" s="287">
        <v>12848.3</v>
      </c>
      <c r="AQ60" s="287">
        <v>4990.8</v>
      </c>
      <c r="AR60" s="287">
        <v>261.39999999999998</v>
      </c>
      <c r="AS60" s="287">
        <v>815.5</v>
      </c>
      <c r="AT60" s="215">
        <v>2002</v>
      </c>
      <c r="AU60" s="49">
        <v>84.432000000000002</v>
      </c>
      <c r="AV60" s="50">
        <v>518.30600000000004</v>
      </c>
      <c r="AW60" s="602">
        <f>(FuelConsump!AU60*'Fuel Heat Content'!$D$7/1000000)+(FuelConsump!AV60*'Fuel Heat Content'!$D$21/1000000)</f>
        <v>17.069484134</v>
      </c>
      <c r="AX60" s="287">
        <f>'TEDB_Ed31_Table 9.10'!J43</f>
        <v>17.100000000000001</v>
      </c>
      <c r="AY60" s="46">
        <f t="shared" si="33"/>
        <v>17.069484134</v>
      </c>
      <c r="AZ60" s="267">
        <v>72.846999999999994</v>
      </c>
      <c r="BA60" s="98">
        <v>1334</v>
      </c>
      <c r="BB60" s="98">
        <v>3683</v>
      </c>
      <c r="BC60" s="98">
        <v>510</v>
      </c>
      <c r="BD60" s="98">
        <v>3751.4</v>
      </c>
      <c r="BE60" s="215">
        <v>2002</v>
      </c>
      <c r="BF60" s="28">
        <v>666920</v>
      </c>
      <c r="BG60" s="21">
        <f t="shared" si="16"/>
        <v>3022.5243598459097</v>
      </c>
      <c r="BH60" s="257"/>
      <c r="BI60" s="36"/>
      <c r="BJ60" s="36">
        <f t="shared" si="17"/>
        <v>2002</v>
      </c>
      <c r="BM60" s="578">
        <v>0.88400000000000001</v>
      </c>
      <c r="BN60" s="136">
        <v>5.0000000000000001E-3</v>
      </c>
      <c r="BQ60" s="519"/>
      <c r="BR60" s="519"/>
      <c r="BS60" s="519">
        <v>10321</v>
      </c>
      <c r="BT60" s="519">
        <v>1279.8040000000001</v>
      </c>
      <c r="BU60" s="519">
        <v>8989.5910000000003</v>
      </c>
      <c r="BV60" s="519">
        <v>51.605000000000004</v>
      </c>
      <c r="BW60" s="519">
        <v>26480</v>
      </c>
      <c r="BX60" s="519">
        <v>3283.52</v>
      </c>
      <c r="BY60" s="519">
        <v>23064.079999999998</v>
      </c>
      <c r="BZ60" s="519">
        <v>132.4</v>
      </c>
      <c r="CB60" s="369"/>
      <c r="CC60" s="15">
        <v>75471</v>
      </c>
      <c r="CE60" s="297"/>
      <c r="CJ60" s="289"/>
      <c r="CL60">
        <v>6845</v>
      </c>
      <c r="CO60" s="289"/>
      <c r="CP60">
        <v>2002</v>
      </c>
      <c r="CQ60" s="4">
        <v>2056465</v>
      </c>
      <c r="CR60" s="4">
        <v>4783956</v>
      </c>
      <c r="CS60" s="4">
        <f t="shared" si="19"/>
        <v>48963.452380952382</v>
      </c>
      <c r="CT60" s="4">
        <f t="shared" si="20"/>
        <v>113903.71428571429</v>
      </c>
      <c r="CU60" s="4">
        <f t="shared" si="8"/>
        <v>285.2316955</v>
      </c>
      <c r="CV60" s="4">
        <f t="shared" si="21"/>
        <v>716.15821319999986</v>
      </c>
      <c r="CW60" s="4">
        <f t="shared" si="22"/>
        <v>1001.3899086999999</v>
      </c>
      <c r="CX60" s="50">
        <v>0.77500000000000002</v>
      </c>
      <c r="CY60" s="50">
        <v>9.2999999999999999E-2</v>
      </c>
      <c r="CZ60" s="4">
        <f t="shared" si="32"/>
        <v>287.65727784009999</v>
      </c>
      <c r="DA60" s="293">
        <v>288.5</v>
      </c>
      <c r="DB60" s="4"/>
      <c r="DC60" s="4"/>
      <c r="DD60" s="4"/>
    </row>
    <row r="61" spans="1:108" ht="14.25" x14ac:dyDescent="0.2">
      <c r="A61" s="215">
        <v>2003</v>
      </c>
      <c r="B61" s="25">
        <f t="shared" si="11"/>
        <v>75455</v>
      </c>
      <c r="C61" s="21">
        <f t="shared" si="12"/>
        <v>56817.614999999998</v>
      </c>
      <c r="D61" s="15">
        <f>B61*0.242</f>
        <v>18260.11</v>
      </c>
      <c r="E61" s="15">
        <f t="shared" si="34"/>
        <v>377.27500000000003</v>
      </c>
      <c r="F61" s="102">
        <v>190.78</v>
      </c>
      <c r="G61" s="16">
        <f t="shared" si="1"/>
        <v>190.78</v>
      </c>
      <c r="H61" s="15">
        <v>60758</v>
      </c>
      <c r="I61" s="21">
        <f t="shared" si="4"/>
        <v>43138.18</v>
      </c>
      <c r="J61" s="15">
        <f>H61*0.242</f>
        <v>14703.436</v>
      </c>
      <c r="K61" s="21">
        <f t="shared" si="36"/>
        <v>2430.3200000000002</v>
      </c>
      <c r="L61" s="22">
        <f t="shared" si="37"/>
        <v>486.06400000000002</v>
      </c>
      <c r="M61" s="522">
        <f>Adjust_Truck_Freight!AB39</f>
        <v>14488.456907819924</v>
      </c>
      <c r="N61" s="21">
        <f t="shared" si="13"/>
        <v>1608.2187167680117</v>
      </c>
      <c r="O61" s="21">
        <f>M61*FuelConsump!$BM61</f>
        <v>12807.795906512813</v>
      </c>
      <c r="P61" s="22">
        <f>M61*FuelConsump!$BN61</f>
        <v>72.442284539099617</v>
      </c>
      <c r="Q61" s="523">
        <f>Adjust_Truck_Freight!AC39</f>
        <v>29142.87697009055</v>
      </c>
      <c r="R61" s="21">
        <f t="shared" si="14"/>
        <v>3234.8593436800511</v>
      </c>
      <c r="S61" s="21">
        <f>Q61*FuelConsump!$BM61</f>
        <v>25762.303241560046</v>
      </c>
      <c r="T61" s="21">
        <f>Q61*FuelConsump!$BN61</f>
        <v>145.71438485045275</v>
      </c>
      <c r="U61" s="107">
        <v>535.96299999999997</v>
      </c>
      <c r="V61" s="107">
        <v>94.881</v>
      </c>
      <c r="W61" s="107">
        <v>1.1000000000000001</v>
      </c>
      <c r="X61" s="107">
        <v>14.231</v>
      </c>
      <c r="Y61" s="107"/>
      <c r="Z61" s="107">
        <v>1.867</v>
      </c>
      <c r="AA61" s="108">
        <v>1.843</v>
      </c>
      <c r="AB61" s="125">
        <v>69.5</v>
      </c>
      <c r="AC61" s="125">
        <v>5.2</v>
      </c>
      <c r="AD61" s="404">
        <v>16.5</v>
      </c>
      <c r="AE61" s="404">
        <v>1.6</v>
      </c>
      <c r="AF61" s="404"/>
      <c r="AG61" s="391">
        <v>0.3</v>
      </c>
      <c r="AH61" s="183">
        <f>'Passenger-based Activity'!$H62/'Passenger-based Activity'!$H61*AH60</f>
        <v>614.78898509340775</v>
      </c>
      <c r="AI61" s="256"/>
      <c r="AJ61" s="764">
        <f>'Passenger-based Activity'!$E62/'Passenger-based Activity'!$E61*AJ60</f>
        <v>295.83523344649137</v>
      </c>
      <c r="AK61" s="763"/>
      <c r="AL61" s="215">
        <v>2003</v>
      </c>
      <c r="AM61" s="15">
        <f t="shared" si="35"/>
        <v>44360.714285714283</v>
      </c>
      <c r="AN61" s="15">
        <f t="shared" si="35"/>
        <v>90510.119047619053</v>
      </c>
      <c r="AO61" s="215">
        <v>2003</v>
      </c>
      <c r="AP61" s="287">
        <v>12958.6</v>
      </c>
      <c r="AQ61" s="287">
        <v>4836.3999999999996</v>
      </c>
      <c r="AR61" s="287">
        <v>255.5</v>
      </c>
      <c r="AS61" s="287">
        <v>820</v>
      </c>
      <c r="AT61" s="215">
        <v>2003</v>
      </c>
      <c r="AU61" s="49">
        <v>74.620999999999995</v>
      </c>
      <c r="AV61" s="50">
        <v>536.95000000000005</v>
      </c>
      <c r="AW61" s="602">
        <f>(FuelConsump!AU61*'Fuel Heat Content'!$D$7/1000000)+(FuelConsump!AV61*'Fuel Heat Content'!$D$21/1000000)</f>
        <v>15.90145875</v>
      </c>
      <c r="AX61" s="287">
        <f>'TEDB_Ed31_Table 9.10'!J44</f>
        <v>15.9</v>
      </c>
      <c r="AY61" s="46">
        <f t="shared" ref="AY61:AY62" si="38">AX61</f>
        <v>15.9</v>
      </c>
      <c r="AZ61" s="267">
        <v>72.263999999999996</v>
      </c>
      <c r="BA61" s="98">
        <v>1383</v>
      </c>
      <c r="BB61" s="284">
        <v>3632</v>
      </c>
      <c r="BC61" s="284">
        <v>507</v>
      </c>
      <c r="BD61" s="98">
        <v>3849.2</v>
      </c>
      <c r="BE61" s="215">
        <v>2003</v>
      </c>
      <c r="BF61" s="28">
        <v>591492</v>
      </c>
      <c r="BG61" s="21">
        <f t="shared" si="16"/>
        <v>2680.6798096532971</v>
      </c>
      <c r="BH61" s="257"/>
      <c r="BI61" s="265"/>
      <c r="BJ61" s="36">
        <f t="shared" si="17"/>
        <v>2003</v>
      </c>
      <c r="BM61" s="578">
        <v>0.88400000000000001</v>
      </c>
      <c r="BN61" s="136">
        <v>5.0000000000000001E-3</v>
      </c>
      <c r="BQ61" s="519"/>
      <c r="BR61" s="519"/>
      <c r="BS61" s="519">
        <v>8881</v>
      </c>
      <c r="BT61" s="519">
        <v>1101.1199999999999</v>
      </c>
      <c r="BU61" s="519">
        <v>7734.48</v>
      </c>
      <c r="BV61" s="519">
        <v>44.4</v>
      </c>
      <c r="BW61" s="318">
        <f>BP86</f>
        <v>26917.337164750963</v>
      </c>
      <c r="BX61" s="519">
        <v>3337.7498084291192</v>
      </c>
      <c r="BY61" s="519">
        <v>23445.000670498088</v>
      </c>
      <c r="BZ61" s="519">
        <v>134.58668582375481</v>
      </c>
      <c r="CB61" s="369"/>
      <c r="CC61" s="15">
        <v>75455</v>
      </c>
      <c r="CE61" s="297"/>
      <c r="CJ61" s="289"/>
      <c r="CL61">
        <v>6638</v>
      </c>
      <c r="CO61" s="289"/>
      <c r="CP61">
        <v>2003</v>
      </c>
      <c r="CQ61" s="4">
        <v>1863150</v>
      </c>
      <c r="CR61" s="4">
        <v>3801425</v>
      </c>
      <c r="CS61" s="4">
        <f t="shared" si="19"/>
        <v>44360.714285714283</v>
      </c>
      <c r="CT61" s="4">
        <f t="shared" si="20"/>
        <v>90510.119047619053</v>
      </c>
      <c r="CU61" s="4">
        <f t="shared" si="8"/>
        <v>258.41890499999994</v>
      </c>
      <c r="CV61" s="4">
        <f t="shared" si="21"/>
        <v>569.07332250000002</v>
      </c>
      <c r="CW61" s="4">
        <f t="shared" si="22"/>
        <v>827.4922274999999</v>
      </c>
      <c r="CX61" s="50">
        <v>0.77500000000000002</v>
      </c>
      <c r="CY61" s="50">
        <v>9.2999999999999999E-2</v>
      </c>
      <c r="CZ61" s="4">
        <f t="shared" si="32"/>
        <v>253.19847036749997</v>
      </c>
      <c r="DA61" s="294">
        <f>CZ61</f>
        <v>253.19847036749997</v>
      </c>
      <c r="DB61" s="348" t="s">
        <v>893</v>
      </c>
      <c r="DC61" s="4"/>
      <c r="DD61" s="4"/>
    </row>
    <row r="62" spans="1:108" ht="14.25" x14ac:dyDescent="0.2">
      <c r="A62" s="215">
        <v>2004</v>
      </c>
      <c r="B62" s="25">
        <f t="shared" si="11"/>
        <v>75402</v>
      </c>
      <c r="C62" s="21">
        <f t="shared" ref="C62:C68" si="39">B62-D62-E62</f>
        <v>50670.143999999993</v>
      </c>
      <c r="D62" s="15">
        <f>B62*0.323</f>
        <v>24354.846000000001</v>
      </c>
      <c r="E62" s="15">
        <f t="shared" si="34"/>
        <v>377.01</v>
      </c>
      <c r="F62" s="102">
        <v>202.45</v>
      </c>
      <c r="G62" s="16">
        <f t="shared" si="1"/>
        <v>202.45</v>
      </c>
      <c r="H62" s="15">
        <v>63417</v>
      </c>
      <c r="I62" s="21">
        <f t="shared" ref="I62:I67" si="40">H62-J62-K62-L62</f>
        <v>39889.292999999998</v>
      </c>
      <c r="J62" s="15">
        <f>H62*0.323</f>
        <v>20483.690999999999</v>
      </c>
      <c r="K62" s="21">
        <f t="shared" si="36"/>
        <v>2536.6799999999998</v>
      </c>
      <c r="L62" s="22">
        <f t="shared" si="37"/>
        <v>507.33600000000001</v>
      </c>
      <c r="M62" s="522">
        <f>Adjust_Truck_Freight!AB40</f>
        <v>14615.70605080044</v>
      </c>
      <c r="N62" s="21">
        <f t="shared" si="13"/>
        <v>1622.3433716388486</v>
      </c>
      <c r="O62" s="21">
        <f>M62*FuelConsump!$BM62</f>
        <v>12920.284148907589</v>
      </c>
      <c r="P62" s="22">
        <f>M62*FuelConsump!$BN62</f>
        <v>73.078530254002203</v>
      </c>
      <c r="Q62" s="523">
        <f>Adjust_Truck_Freight!AC40</f>
        <v>29659.815024963817</v>
      </c>
      <c r="R62" s="21">
        <f t="shared" si="14"/>
        <v>3292.2394677709844</v>
      </c>
      <c r="S62" s="21">
        <f>Q62*FuelConsump!$BM62</f>
        <v>26219.276482068013</v>
      </c>
      <c r="T62" s="21">
        <f>Q62*FuelConsump!$BN62</f>
        <v>148.2990751248191</v>
      </c>
      <c r="U62" s="107">
        <v>550.46600000000001</v>
      </c>
      <c r="V62" s="107">
        <v>106.702</v>
      </c>
      <c r="W62" s="107">
        <v>1.8</v>
      </c>
      <c r="X62" s="107">
        <v>16.452000000000002</v>
      </c>
      <c r="Y62" s="107">
        <f>4.675-2</f>
        <v>2.6749999999999998</v>
      </c>
      <c r="Z62" s="388">
        <v>2</v>
      </c>
      <c r="AA62" s="108">
        <v>1.7270000000000001</v>
      </c>
      <c r="AB62" s="125">
        <v>73</v>
      </c>
      <c r="AC62" s="125">
        <v>5.0999999999999996</v>
      </c>
      <c r="AD62" s="404">
        <v>16.7</v>
      </c>
      <c r="AE62" s="404">
        <v>0.8</v>
      </c>
      <c r="AF62" s="404"/>
      <c r="AG62" s="391">
        <v>0.9</v>
      </c>
      <c r="AH62" s="183">
        <f>'Passenger-based Activity'!$H63/'Passenger-based Activity'!$H62*AH61</f>
        <v>608.63421475083908</v>
      </c>
      <c r="AI62" s="256"/>
      <c r="AJ62" s="764">
        <f>'Passenger-based Activity'!$E63/'Passenger-based Activity'!$E62*AJ61</f>
        <v>318.37856916857658</v>
      </c>
      <c r="AK62" s="763"/>
      <c r="AL62" s="215">
        <v>2004</v>
      </c>
      <c r="AM62" s="15">
        <f t="shared" si="35"/>
        <v>55082.095238095237</v>
      </c>
      <c r="AN62" s="15">
        <f t="shared" si="35"/>
        <v>116356.61904761905</v>
      </c>
      <c r="AO62" s="215">
        <v>2004</v>
      </c>
      <c r="AP62" s="287">
        <v>13622.6</v>
      </c>
      <c r="AQ62" s="287">
        <v>4932.5</v>
      </c>
      <c r="AR62" s="287">
        <v>256.10000000000002</v>
      </c>
      <c r="AS62" s="287">
        <v>1075.2</v>
      </c>
      <c r="AT62" s="215">
        <v>2004</v>
      </c>
      <c r="AU62" s="49">
        <v>68.605000000000004</v>
      </c>
      <c r="AV62" s="50">
        <v>550.69500000000005</v>
      </c>
      <c r="AW62" s="602">
        <f>(FuelConsump!AU62*'Fuel Heat Content'!$D$7/1000000)+(FuelConsump!AV62*'Fuel Heat Content'!$D$21/1000000)</f>
        <v>15.209149105000002</v>
      </c>
      <c r="AX62" s="287">
        <f>'TEDB_Ed31_Table 9.10'!J45</f>
        <v>15.2</v>
      </c>
      <c r="AY62" s="46">
        <f t="shared" si="38"/>
        <v>15.2</v>
      </c>
      <c r="AZ62" s="267">
        <v>71.998999999999995</v>
      </c>
      <c r="BA62" s="98">
        <v>1449</v>
      </c>
      <c r="BB62" s="284">
        <v>3683</v>
      </c>
      <c r="BC62" s="284">
        <v>553</v>
      </c>
      <c r="BD62" s="98">
        <v>4082.2</v>
      </c>
      <c r="BE62" s="215">
        <v>2004</v>
      </c>
      <c r="BF62" s="28">
        <v>566187</v>
      </c>
      <c r="BG62" s="21">
        <f t="shared" si="16"/>
        <v>2565.9959211420801</v>
      </c>
      <c r="BH62" s="257"/>
      <c r="BI62" s="265"/>
      <c r="BJ62" s="36">
        <f t="shared" si="17"/>
        <v>2004</v>
      </c>
      <c r="BM62" s="578">
        <v>0.88400000000000001</v>
      </c>
      <c r="BN62" s="136">
        <v>5.0000000000000001E-3</v>
      </c>
      <c r="BQ62" s="519"/>
      <c r="BR62" s="519"/>
      <c r="BS62" s="519">
        <v>8959</v>
      </c>
      <c r="BT62" s="519">
        <v>1110.9159999999999</v>
      </c>
      <c r="BU62" s="519">
        <v>7803.2889999999998</v>
      </c>
      <c r="BV62" s="519">
        <v>44.795000000000002</v>
      </c>
      <c r="BW62" s="318">
        <f>BP87</f>
        <v>27394.798464491367</v>
      </c>
      <c r="BX62" s="519">
        <v>3396.9550095969294</v>
      </c>
      <c r="BY62" s="519">
        <v>23860.86946257198</v>
      </c>
      <c r="BZ62" s="519">
        <v>136.97399232245684</v>
      </c>
      <c r="CB62" s="369"/>
      <c r="CC62" s="15">
        <v>75402</v>
      </c>
      <c r="CE62" s="297"/>
      <c r="CJ62" s="289"/>
      <c r="CO62" s="289"/>
      <c r="CP62">
        <v>2004</v>
      </c>
      <c r="CQ62" s="4">
        <v>2313448</v>
      </c>
      <c r="CR62" s="4">
        <v>4886978</v>
      </c>
      <c r="CS62" s="4">
        <f t="shared" si="19"/>
        <v>55082.095238095237</v>
      </c>
      <c r="CT62" s="4">
        <f t="shared" si="20"/>
        <v>116356.61904761905</v>
      </c>
      <c r="CU62" s="4">
        <f t="shared" si="8"/>
        <v>320.87523759999993</v>
      </c>
      <c r="CV62" s="4">
        <f t="shared" si="21"/>
        <v>731.5806065999999</v>
      </c>
      <c r="CW62" s="4">
        <f t="shared" si="22"/>
        <v>1052.4558441999998</v>
      </c>
      <c r="CX62" s="50">
        <v>0.77500000000000002</v>
      </c>
      <c r="CY62" s="50">
        <v>9.2999999999999999E-2</v>
      </c>
      <c r="CZ62" s="4">
        <f t="shared" ref="CZ62:CZ67" si="41">CX62*CU62+CY62*CV62</f>
        <v>316.71530555379991</v>
      </c>
      <c r="DA62" s="294">
        <f t="shared" ref="DA62:DA69" si="42">CZ62</f>
        <v>316.71530555379991</v>
      </c>
      <c r="DB62" s="4"/>
      <c r="DC62" s="4"/>
      <c r="DD62" s="4"/>
    </row>
    <row r="63" spans="1:108" x14ac:dyDescent="0.2">
      <c r="A63" s="215">
        <v>2005</v>
      </c>
      <c r="B63" s="25">
        <f t="shared" si="11"/>
        <v>77418</v>
      </c>
      <c r="C63" s="21">
        <f t="shared" si="39"/>
        <v>51792.642000000007</v>
      </c>
      <c r="D63" s="15">
        <f>B63*0.326</f>
        <v>25238.268</v>
      </c>
      <c r="E63" s="15">
        <f t="shared" si="34"/>
        <v>387.09000000000003</v>
      </c>
      <c r="F63" s="102">
        <v>189.5</v>
      </c>
      <c r="G63" s="16">
        <f t="shared" si="1"/>
        <v>189.5</v>
      </c>
      <c r="H63" s="15">
        <v>58869</v>
      </c>
      <c r="I63" s="21">
        <f t="shared" si="40"/>
        <v>36851.993999999999</v>
      </c>
      <c r="J63" s="15">
        <f>H63*0.326</f>
        <v>19191.294000000002</v>
      </c>
      <c r="K63" s="21">
        <f t="shared" si="36"/>
        <v>2354.7600000000002</v>
      </c>
      <c r="L63" s="22">
        <f t="shared" si="37"/>
        <v>470.952</v>
      </c>
      <c r="M63" s="522">
        <f>Adjust_Truck_Freight!AB41</f>
        <v>15499.924454588121</v>
      </c>
      <c r="N63" s="21">
        <f t="shared" si="13"/>
        <v>1720.4916144592808</v>
      </c>
      <c r="O63" s="21">
        <f>M63*FuelConsump!$BM63</f>
        <v>13701.9332178559</v>
      </c>
      <c r="P63" s="22">
        <f>M63*FuelConsump!$BN63</f>
        <v>77.499622272940613</v>
      </c>
      <c r="Q63" s="523">
        <f>Adjust_Truck_Freight!AC41</f>
        <v>29977.977519814634</v>
      </c>
      <c r="R63" s="21">
        <f t="shared" si="14"/>
        <v>3327.5555046994245</v>
      </c>
      <c r="S63" s="21">
        <f>Q63*FuelConsump!$BM63</f>
        <v>26500.532127516137</v>
      </c>
      <c r="T63" s="21">
        <f>Q63*FuelConsump!$BN63</f>
        <v>149.88988759907318</v>
      </c>
      <c r="U63" s="107">
        <v>533.84699999999998</v>
      </c>
      <c r="V63" s="107">
        <v>117.244</v>
      </c>
      <c r="W63" s="107">
        <v>1</v>
      </c>
      <c r="X63" s="107">
        <v>18.32</v>
      </c>
      <c r="Y63" s="107">
        <f>8.121-2</f>
        <v>6.1210000000000004</v>
      </c>
      <c r="Z63" s="388">
        <v>2</v>
      </c>
      <c r="AA63" s="108">
        <v>1.9630000000000001</v>
      </c>
      <c r="AB63" s="125">
        <v>82.5</v>
      </c>
      <c r="AC63" s="125">
        <v>5.8</v>
      </c>
      <c r="AD63" s="404">
        <v>16.5</v>
      </c>
      <c r="AE63" s="404">
        <v>0.7</v>
      </c>
      <c r="AF63" s="404"/>
      <c r="AG63" s="391">
        <v>1</v>
      </c>
      <c r="AH63" s="183">
        <f>'Passenger-based Activity'!$H64/'Passenger-based Activity'!$H63*AH62</f>
        <v>601.01731650178112</v>
      </c>
      <c r="AI63" s="256"/>
      <c r="AJ63" s="764">
        <f>'Passenger-based Activity'!$E64/'Passenger-based Activity'!$E63*AJ62</f>
        <v>334.40494643634582</v>
      </c>
      <c r="AK63" s="763"/>
      <c r="AL63" s="215">
        <v>2005</v>
      </c>
      <c r="AM63" s="15">
        <f t="shared" ref="AM63:AN69" si="43">CS63</f>
        <v>50366.214285714283</v>
      </c>
      <c r="AN63" s="15">
        <f t="shared" si="43"/>
        <v>131751.23809523811</v>
      </c>
      <c r="AO63" s="215">
        <v>2005</v>
      </c>
      <c r="AP63" s="287">
        <v>13778.9</v>
      </c>
      <c r="AQ63" s="287">
        <v>5520.9</v>
      </c>
      <c r="AR63" s="287">
        <v>323.60000000000002</v>
      </c>
      <c r="AS63" s="287">
        <v>1507.4</v>
      </c>
      <c r="AT63" s="215">
        <v>2005</v>
      </c>
      <c r="AU63" s="49">
        <v>65.477000000000004</v>
      </c>
      <c r="AV63" s="50">
        <v>531.37699999999995</v>
      </c>
      <c r="AW63" s="602">
        <f>(FuelConsump!AU63*'Fuel Heat Content'!$D$7/1000000)+(FuelConsump!AV63*'Fuel Heat Content'!$D$21/1000000)</f>
        <v>14.575566703</v>
      </c>
      <c r="AX63" s="287">
        <f>'TEDB_Ed31_Table 9.10'!J46</f>
        <v>14.6</v>
      </c>
      <c r="AY63" s="46">
        <f>AW63</f>
        <v>14.575566703</v>
      </c>
      <c r="AZ63" s="267">
        <v>76.713999999999999</v>
      </c>
      <c r="BA63" s="98">
        <v>1484</v>
      </c>
      <c r="BB63" s="284">
        <v>3769</v>
      </c>
      <c r="BC63" s="284">
        <v>571</v>
      </c>
      <c r="BD63" s="98">
        <v>4119.8999999999996</v>
      </c>
      <c r="BE63" s="215">
        <v>2005</v>
      </c>
      <c r="BF63" s="28">
        <v>584026</v>
      </c>
      <c r="BG63" s="21">
        <f t="shared" si="16"/>
        <v>2646.8434171765239</v>
      </c>
      <c r="BH63" s="257"/>
      <c r="BI63" s="287"/>
      <c r="BJ63" s="36">
        <f t="shared" si="17"/>
        <v>2005</v>
      </c>
      <c r="BM63" s="578">
        <v>0.88400000000000001</v>
      </c>
      <c r="BN63" s="136">
        <v>5.0000000000000001E-3</v>
      </c>
      <c r="BQ63" s="519"/>
      <c r="BR63" s="519"/>
      <c r="BS63" s="519">
        <v>9501</v>
      </c>
      <c r="BT63" s="519">
        <v>1054.6109999999999</v>
      </c>
      <c r="BU63" s="519">
        <v>8398.884</v>
      </c>
      <c r="BV63" s="519">
        <v>47.505000000000003</v>
      </c>
      <c r="BW63" s="519">
        <v>27688.664000000001</v>
      </c>
      <c r="BX63" s="519">
        <v>3073.4417039999994</v>
      </c>
      <c r="BY63" s="519">
        <v>24476.778976000001</v>
      </c>
      <c r="BZ63" s="519">
        <v>138.44332</v>
      </c>
      <c r="CB63" s="369"/>
      <c r="CC63" s="15">
        <v>77418</v>
      </c>
      <c r="CE63" s="297"/>
      <c r="CJ63" s="289"/>
      <c r="CO63" s="289"/>
      <c r="CP63">
        <v>2005</v>
      </c>
      <c r="CQ63" s="4">
        <v>2115381</v>
      </c>
      <c r="CR63" s="4">
        <v>5533552</v>
      </c>
      <c r="CS63" s="4">
        <f t="shared" si="19"/>
        <v>50366.214285714283</v>
      </c>
      <c r="CT63" s="4">
        <f t="shared" si="20"/>
        <v>131751.23809523811</v>
      </c>
      <c r="CU63" s="4">
        <f t="shared" si="8"/>
        <v>293.40334469999999</v>
      </c>
      <c r="CV63" s="4">
        <f t="shared" si="21"/>
        <v>828.3727343999999</v>
      </c>
      <c r="CW63" s="4">
        <f t="shared" si="22"/>
        <v>1121.7760790999998</v>
      </c>
      <c r="CX63" s="50">
        <v>0.77500000000000002</v>
      </c>
      <c r="CY63" s="50">
        <v>9.2999999999999999E-2</v>
      </c>
      <c r="CZ63" s="4">
        <f t="shared" si="41"/>
        <v>304.42625644169999</v>
      </c>
      <c r="DA63" s="294">
        <f t="shared" si="42"/>
        <v>304.42625644169999</v>
      </c>
      <c r="DB63" s="4"/>
      <c r="DC63" s="4"/>
      <c r="DD63" s="4"/>
    </row>
    <row r="64" spans="1:108" x14ac:dyDescent="0.2">
      <c r="A64" s="215">
        <v>2006</v>
      </c>
      <c r="B64" s="25">
        <f t="shared" si="11"/>
        <v>75009</v>
      </c>
      <c r="C64" s="15">
        <f t="shared" si="39"/>
        <v>58657.038</v>
      </c>
      <c r="D64" s="15">
        <f>B64*0.213</f>
        <v>15976.916999999999</v>
      </c>
      <c r="E64" s="15">
        <f t="shared" si="34"/>
        <v>375.04500000000002</v>
      </c>
      <c r="F64" s="102">
        <v>221.03</v>
      </c>
      <c r="G64" s="16">
        <f t="shared" si="1"/>
        <v>221.03</v>
      </c>
      <c r="H64" s="15">
        <v>60685</v>
      </c>
      <c r="I64" s="15">
        <f t="shared" si="40"/>
        <v>44846.214999999997</v>
      </c>
      <c r="J64" s="15">
        <f>H64*0.213</f>
        <v>12925.904999999999</v>
      </c>
      <c r="K64" s="15">
        <f t="shared" si="36"/>
        <v>2427.4</v>
      </c>
      <c r="L64" s="16">
        <f t="shared" si="37"/>
        <v>485.48</v>
      </c>
      <c r="M64" s="522">
        <f>Adjust_Truck_Freight!AB42</f>
        <v>16072.545598000439</v>
      </c>
      <c r="N64" s="21">
        <f t="shared" si="13"/>
        <v>1784.0525613780489</v>
      </c>
      <c r="O64" s="21">
        <f>M64*FuelConsump!$BM64</f>
        <v>14208.130308632388</v>
      </c>
      <c r="P64" s="22">
        <f>M64*FuelConsump!$BN64</f>
        <v>80.362727990002199</v>
      </c>
      <c r="Q64" s="523">
        <f>Adjust_Truck_Freight!AC42</f>
        <v>30430.408061280279</v>
      </c>
      <c r="R64" s="21">
        <f t="shared" si="14"/>
        <v>3377.7752948021125</v>
      </c>
      <c r="S64" s="21">
        <f>Q64*FuelConsump!$BM64</f>
        <v>26900.480726171765</v>
      </c>
      <c r="T64" s="21">
        <f>Q64*FuelConsump!$BN64</f>
        <v>152.1520403064014</v>
      </c>
      <c r="U64" s="107">
        <v>536.70000000000005</v>
      </c>
      <c r="V64" s="107">
        <v>138.80000000000001</v>
      </c>
      <c r="W64" s="107">
        <v>2.2999999999999998</v>
      </c>
      <c r="X64" s="107">
        <v>19.600000000000001</v>
      </c>
      <c r="Y64" s="107">
        <f>21.4-2</f>
        <v>19.399999999999999</v>
      </c>
      <c r="Z64" s="388">
        <v>2</v>
      </c>
      <c r="AA64" s="108">
        <v>1.6</v>
      </c>
      <c r="AB64" s="125">
        <v>86.8</v>
      </c>
      <c r="AC64" s="125">
        <v>7.6</v>
      </c>
      <c r="AD64" s="404">
        <v>17.100000000000001</v>
      </c>
      <c r="AE64" s="404">
        <v>0.6</v>
      </c>
      <c r="AF64" s="404"/>
      <c r="AG64" s="391">
        <v>1.7</v>
      </c>
      <c r="AH64" s="183">
        <f>'Passenger-based Activity'!$H65/'Passenger-based Activity'!$H64*AH63</f>
        <v>608.75378954251005</v>
      </c>
      <c r="AI64" s="256"/>
      <c r="AJ64" s="764">
        <f>'Passenger-based Activity'!$E65/'Passenger-based Activity'!$E64*AJ63</f>
        <v>354.85053492212967</v>
      </c>
      <c r="AK64" s="763"/>
      <c r="AL64" s="215">
        <v>2006</v>
      </c>
      <c r="AM64" s="15">
        <f t="shared" si="43"/>
        <v>52540.238095238092</v>
      </c>
      <c r="AN64" s="15">
        <f t="shared" si="43"/>
        <v>142867.47619047618</v>
      </c>
      <c r="AO64" s="215">
        <v>2006</v>
      </c>
      <c r="AP64" s="287">
        <v>13694.4</v>
      </c>
      <c r="AQ64" s="287">
        <v>6017.6</v>
      </c>
      <c r="AR64" s="287">
        <v>294.7</v>
      </c>
      <c r="AS64" s="287">
        <v>1636.3</v>
      </c>
      <c r="AT64" s="215">
        <v>2006</v>
      </c>
      <c r="AU64" s="49">
        <v>62.463000000000001</v>
      </c>
      <c r="AV64" s="50">
        <v>548.85599999999999</v>
      </c>
      <c r="AW64" s="602">
        <f>(FuelConsump!AU64*'Fuel Heat Content'!$D$7/1000000)+(FuelConsump!AV64*'Fuel Heat Content'!$D$21/1000000)</f>
        <v>14.338240283999999</v>
      </c>
      <c r="AX64" s="287">
        <f>'TEDB_Ed31_Table 9.10'!J47</f>
        <v>14.3</v>
      </c>
      <c r="AY64" s="46">
        <f t="shared" ref="AY64:AY69" si="44">AW64</f>
        <v>14.338240283999999</v>
      </c>
      <c r="AZ64" s="267">
        <v>78.599999999999994</v>
      </c>
      <c r="BA64" s="98">
        <v>1478</v>
      </c>
      <c r="BB64" s="284">
        <v>3709</v>
      </c>
      <c r="BC64" s="284">
        <v>634</v>
      </c>
      <c r="BD64" s="98">
        <v>4214.3999999999996</v>
      </c>
      <c r="BE64" s="215">
        <v>2006</v>
      </c>
      <c r="BF64" s="28">
        <v>584213</v>
      </c>
      <c r="BG64" s="21">
        <f t="shared" si="16"/>
        <v>2647.6909132109677</v>
      </c>
      <c r="BH64" s="257"/>
      <c r="BI64" s="287"/>
      <c r="BJ64" s="36">
        <f t="shared" si="17"/>
        <v>2006</v>
      </c>
      <c r="BM64" s="578">
        <v>0.88400000000000001</v>
      </c>
      <c r="BN64" s="136">
        <v>5.0000000000000001E-3</v>
      </c>
      <c r="BQ64" s="519"/>
      <c r="BR64" s="519"/>
      <c r="BS64" s="519">
        <v>9852</v>
      </c>
      <c r="BT64" s="519">
        <v>1093.5720000000003</v>
      </c>
      <c r="BU64" s="519">
        <v>8709.1679999999997</v>
      </c>
      <c r="BV64" s="519">
        <v>49.26</v>
      </c>
      <c r="BW64" s="519">
        <v>28106.544000000002</v>
      </c>
      <c r="BX64" s="519">
        <v>3119.8263839999991</v>
      </c>
      <c r="BY64" s="519">
        <v>24846.184896000002</v>
      </c>
      <c r="BZ64" s="519">
        <v>140.53272000000001</v>
      </c>
      <c r="CB64" s="369"/>
      <c r="CC64" s="15">
        <v>75009</v>
      </c>
      <c r="CE64" s="297"/>
      <c r="CJ64" s="289"/>
      <c r="CO64" s="289"/>
      <c r="CP64">
        <v>2006</v>
      </c>
      <c r="CQ64" s="4">
        <v>2206690</v>
      </c>
      <c r="CR64" s="4">
        <v>6000434</v>
      </c>
      <c r="CS64" s="4">
        <f t="shared" si="19"/>
        <v>52540.238095238092</v>
      </c>
      <c r="CT64" s="4">
        <f t="shared" si="20"/>
        <v>142867.47619047618</v>
      </c>
      <c r="CU64" s="4">
        <f t="shared" si="8"/>
        <v>306.067903</v>
      </c>
      <c r="CV64" s="4">
        <f t="shared" si="21"/>
        <v>898.2649697999999</v>
      </c>
      <c r="CW64" s="4">
        <f t="shared" si="22"/>
        <v>1204.3328727999999</v>
      </c>
      <c r="CX64" s="50">
        <v>0.77500000000000002</v>
      </c>
      <c r="CY64" s="50">
        <v>9.2999999999999999E-2</v>
      </c>
      <c r="CZ64" s="4">
        <f t="shared" si="41"/>
        <v>320.7412670164</v>
      </c>
      <c r="DA64" s="294">
        <f t="shared" si="42"/>
        <v>320.7412670164</v>
      </c>
      <c r="DB64" s="4"/>
      <c r="DC64" s="4"/>
      <c r="DD64" s="4"/>
    </row>
    <row r="65" spans="1:113" ht="14.25" x14ac:dyDescent="0.2">
      <c r="A65" s="215">
        <v>2007</v>
      </c>
      <c r="B65" s="25">
        <f t="shared" si="11"/>
        <v>74377</v>
      </c>
      <c r="C65" s="15">
        <f t="shared" si="39"/>
        <v>54220.832999999999</v>
      </c>
      <c r="D65" s="15">
        <f>B65*0.266</f>
        <v>19784.281999999999</v>
      </c>
      <c r="E65" s="15">
        <f t="shared" si="34"/>
        <v>371.88499999999999</v>
      </c>
      <c r="F65" s="102">
        <v>474.92</v>
      </c>
      <c r="G65" s="16">
        <f t="shared" si="1"/>
        <v>474.92</v>
      </c>
      <c r="H65" s="15">
        <v>61836</v>
      </c>
      <c r="I65" s="15">
        <f t="shared" si="40"/>
        <v>42419.495999999992</v>
      </c>
      <c r="J65" s="15">
        <f>H65*0.266</f>
        <v>16448.376</v>
      </c>
      <c r="K65" s="15">
        <f t="shared" si="36"/>
        <v>2473.44</v>
      </c>
      <c r="L65" s="16">
        <f t="shared" si="37"/>
        <v>494.68799999999999</v>
      </c>
      <c r="M65" s="522">
        <f>Adjust_Truck_Freight!AB43</f>
        <v>16314</v>
      </c>
      <c r="N65" s="21">
        <f t="shared" si="13"/>
        <v>1810.8539999999991</v>
      </c>
      <c r="O65" s="21">
        <f>M65*FuelConsump!$BM65</f>
        <v>14421.576000000001</v>
      </c>
      <c r="P65" s="22">
        <f>M65*FuelConsump!$BN65</f>
        <v>81.570000000000007</v>
      </c>
      <c r="Q65" s="523">
        <f>Adjust_Truck_Freight!AC43</f>
        <v>30904</v>
      </c>
      <c r="R65" s="21">
        <f t="shared" si="14"/>
        <v>3430.3440000000014</v>
      </c>
      <c r="S65" s="21">
        <f>Q65*FuelConsump!$BM65</f>
        <v>27319.135999999999</v>
      </c>
      <c r="T65" s="21">
        <f>Q65*FuelConsump!$BN65</f>
        <v>154.52000000000001</v>
      </c>
      <c r="U65" s="107">
        <v>494.1</v>
      </c>
      <c r="V65" s="107">
        <v>129.1</v>
      </c>
      <c r="W65" s="107">
        <v>2.5</v>
      </c>
      <c r="X65" s="107">
        <v>18.3</v>
      </c>
      <c r="Y65" s="107">
        <v>25.8</v>
      </c>
      <c r="Z65" s="107">
        <v>1.3</v>
      </c>
      <c r="AA65" s="183">
        <v>0</v>
      </c>
      <c r="AB65" s="501">
        <v>95.8</v>
      </c>
      <c r="AC65" s="125">
        <v>6.4</v>
      </c>
      <c r="AD65" s="404">
        <v>72.8</v>
      </c>
      <c r="AE65" s="404">
        <v>0.7</v>
      </c>
      <c r="AF65" s="404">
        <v>9.1999999999999993</v>
      </c>
      <c r="AG65" s="391">
        <v>4.0999999999999996</v>
      </c>
      <c r="AH65" s="183">
        <f>'Passenger-based Activity'!$H66/'Passenger-based Activity'!$H65*AH64</f>
        <v>593.64146022598243</v>
      </c>
      <c r="AI65" s="256"/>
      <c r="AJ65" s="764">
        <f>'Passenger-based Activity'!$E66/'Passenger-based Activity'!$E65*AJ64</f>
        <v>380.3625130559841</v>
      </c>
      <c r="AK65" s="763"/>
      <c r="AL65" s="215">
        <v>2007</v>
      </c>
      <c r="AM65" s="15">
        <f t="shared" si="43"/>
        <v>51403.095238095237</v>
      </c>
      <c r="AN65" s="15">
        <f t="shared" si="43"/>
        <v>161284.52380952382</v>
      </c>
      <c r="AO65" s="215">
        <v>2007</v>
      </c>
      <c r="AP65" s="287">
        <v>13681.7</v>
      </c>
      <c r="AQ65" s="287">
        <v>6204.5</v>
      </c>
      <c r="AR65" s="287">
        <v>314.8</v>
      </c>
      <c r="AS65" s="287">
        <v>1516.3</v>
      </c>
      <c r="AT65" s="215">
        <v>2007</v>
      </c>
      <c r="AU65" s="49">
        <v>61.823999999999998</v>
      </c>
      <c r="AV65" s="50">
        <v>577.86400000000003</v>
      </c>
      <c r="AW65" s="602">
        <f>(FuelConsump!AU65*'Fuel Heat Content'!$D$7/1000000)+(FuelConsump!AV65*'Fuel Heat Content'!$D$21/1000000)</f>
        <v>14.549524695999999</v>
      </c>
      <c r="AX65" s="287">
        <f>'TEDB_Ed31_Table 9.10'!J48</f>
        <v>14.5</v>
      </c>
      <c r="AY65" s="46">
        <f t="shared" si="44"/>
        <v>14.549524695999999</v>
      </c>
      <c r="AZ65" s="267">
        <v>80.7</v>
      </c>
      <c r="BA65" s="284">
        <v>1762.9</v>
      </c>
      <c r="BB65" s="284">
        <v>3817.2</v>
      </c>
      <c r="BC65" s="284">
        <v>687.3</v>
      </c>
      <c r="BD65" s="284">
        <v>4087.4</v>
      </c>
      <c r="BE65" s="42">
        <v>2007</v>
      </c>
      <c r="BF65" s="28">
        <v>621364</v>
      </c>
      <c r="BG65" s="21">
        <f t="shared" si="16"/>
        <v>2816.0616360752324</v>
      </c>
      <c r="BH65" s="265"/>
      <c r="BI65" s="347"/>
      <c r="BJ65" s="36">
        <f t="shared" si="17"/>
        <v>2007</v>
      </c>
      <c r="BM65" s="578">
        <v>0.88400000000000001</v>
      </c>
      <c r="BN65" s="136">
        <v>5.0000000000000001E-3</v>
      </c>
      <c r="BR65">
        <v>2007</v>
      </c>
      <c r="BS65">
        <v>16314</v>
      </c>
      <c r="BT65" s="600">
        <v>1810.8539999999991</v>
      </c>
      <c r="BU65" s="600">
        <v>14421.576000000001</v>
      </c>
      <c r="BV65" s="600">
        <v>81.570000000000007</v>
      </c>
      <c r="BW65" s="519">
        <v>30904</v>
      </c>
      <c r="BX65">
        <v>42419.495999999992</v>
      </c>
      <c r="BY65">
        <v>16448.376</v>
      </c>
      <c r="BZ65">
        <v>2473.44</v>
      </c>
      <c r="CA65">
        <v>494.68799999999999</v>
      </c>
      <c r="CB65" s="369"/>
      <c r="CC65" s="15">
        <v>74377</v>
      </c>
      <c r="CE65" s="297"/>
      <c r="CJ65" s="289"/>
      <c r="CO65" s="289"/>
      <c r="CP65">
        <v>2007</v>
      </c>
      <c r="CQ65" s="4">
        <v>2158930</v>
      </c>
      <c r="CR65" s="4">
        <v>6773950</v>
      </c>
      <c r="CS65" s="4">
        <f t="shared" si="19"/>
        <v>51403.095238095237</v>
      </c>
      <c r="CT65" s="4">
        <f t="shared" si="20"/>
        <v>161284.52380952382</v>
      </c>
      <c r="CU65" s="4">
        <f t="shared" si="8"/>
        <v>299.44359099999997</v>
      </c>
      <c r="CV65" s="4">
        <f t="shared" si="21"/>
        <v>1014.0603149999998</v>
      </c>
      <c r="CW65" s="4">
        <f t="shared" si="22"/>
        <v>1313.5039059999999</v>
      </c>
      <c r="CX65" s="50">
        <v>0.77500000000000002</v>
      </c>
      <c r="CY65" s="50">
        <v>9.2999999999999999E-2</v>
      </c>
      <c r="CZ65" s="4">
        <f t="shared" si="41"/>
        <v>326.37639231999998</v>
      </c>
      <c r="DA65" s="294">
        <f t="shared" si="42"/>
        <v>326.37639231999998</v>
      </c>
      <c r="DB65" s="4"/>
      <c r="DC65" s="4"/>
      <c r="DG65" s="4"/>
      <c r="DH65" s="556" t="s">
        <v>1153</v>
      </c>
    </row>
    <row r="66" spans="1:113" ht="14.25" x14ac:dyDescent="0.2">
      <c r="A66" s="42">
        <v>2008</v>
      </c>
      <c r="B66" s="21">
        <v>71497</v>
      </c>
      <c r="C66" s="15">
        <f t="shared" si="39"/>
        <v>44185.146000000001</v>
      </c>
      <c r="D66" s="15">
        <f>B66*0.377</f>
        <v>26954.368999999999</v>
      </c>
      <c r="E66" s="15">
        <f>B66*0.005</f>
        <v>357.48500000000001</v>
      </c>
      <c r="F66" s="102">
        <v>489.42</v>
      </c>
      <c r="G66" s="16">
        <f t="shared" si="1"/>
        <v>489.42</v>
      </c>
      <c r="H66" s="15">
        <v>61199</v>
      </c>
      <c r="I66" s="15">
        <f t="shared" si="40"/>
        <v>35189.425000000003</v>
      </c>
      <c r="J66" s="15">
        <f>H66*0.377</f>
        <v>23072.023000000001</v>
      </c>
      <c r="K66" s="15">
        <f t="shared" si="36"/>
        <v>2447.96</v>
      </c>
      <c r="L66" s="16">
        <f t="shared" si="37"/>
        <v>489.59199999999998</v>
      </c>
      <c r="M66" s="522">
        <f>Adjust_Truck_Freight!AB44</f>
        <v>17144</v>
      </c>
      <c r="N66" s="21">
        <f t="shared" si="13"/>
        <v>1902.9839999999997</v>
      </c>
      <c r="O66" s="21">
        <f>M66*FuelConsump!$BM66</f>
        <v>15155.296</v>
      </c>
      <c r="P66" s="22">
        <f>M66*FuelConsump!$BN66</f>
        <v>85.72</v>
      </c>
      <c r="Q66" s="523">
        <f>Adjust_Truck_Freight!AC44</f>
        <v>30561</v>
      </c>
      <c r="R66" s="21">
        <f t="shared" si="14"/>
        <v>3392.2710000000011</v>
      </c>
      <c r="S66" s="21">
        <f>Q66*FuelConsump!$BM66</f>
        <v>27015.923999999999</v>
      </c>
      <c r="T66" s="21">
        <f>Q66*FuelConsump!$BN66</f>
        <v>152.80500000000001</v>
      </c>
      <c r="U66" s="107">
        <v>493.3</v>
      </c>
      <c r="V66" s="107">
        <v>135.5</v>
      </c>
      <c r="W66" s="107">
        <v>3.8</v>
      </c>
      <c r="X66" s="107">
        <v>17.899999999999999</v>
      </c>
      <c r="Y66" s="107">
        <v>41.8</v>
      </c>
      <c r="Z66" s="107">
        <v>0.9</v>
      </c>
      <c r="AA66" s="183">
        <v>0</v>
      </c>
      <c r="AB66" s="501">
        <v>103.2</v>
      </c>
      <c r="AC66" s="125">
        <v>6.9</v>
      </c>
      <c r="AD66" s="404">
        <v>75.2</v>
      </c>
      <c r="AE66" s="404">
        <v>0.2</v>
      </c>
      <c r="AF66" s="404">
        <v>11.5</v>
      </c>
      <c r="AG66" s="391">
        <v>1.4</v>
      </c>
      <c r="AH66" s="183">
        <f>'Passenger-based Activity'!$H67/'Passenger-based Activity'!$H66*AH65</f>
        <v>571.01717418268129</v>
      </c>
      <c r="AI66" s="256"/>
      <c r="AJ66" s="764">
        <f>'Passenger-based Activity'!$E67/'Passenger-based Activity'!$E66*AJ65</f>
        <v>376.03018078012354</v>
      </c>
      <c r="AK66" s="763"/>
      <c r="AL66" s="215">
        <v>2008</v>
      </c>
      <c r="AM66" s="15">
        <f t="shared" si="43"/>
        <v>47160.214285714283</v>
      </c>
      <c r="AN66" s="15">
        <f t="shared" si="43"/>
        <v>149382.07142857142</v>
      </c>
      <c r="AO66" s="215">
        <v>2008</v>
      </c>
      <c r="AP66" s="287">
        <v>12666.9</v>
      </c>
      <c r="AQ66" s="287">
        <v>6186.7</v>
      </c>
      <c r="AR66" s="287">
        <v>306.3</v>
      </c>
      <c r="AS66" s="287">
        <v>1688.6</v>
      </c>
      <c r="AT66" s="215">
        <v>2008</v>
      </c>
      <c r="AU66" s="49">
        <v>63.427999999999997</v>
      </c>
      <c r="AV66" s="50">
        <v>582.02200000000005</v>
      </c>
      <c r="AW66" s="602">
        <f>(FuelConsump!AU66*'Fuel Heat Content'!$D$7/1000000)+(FuelConsump!AV66*'Fuel Heat Content'!$D$21/1000000)</f>
        <v>14.814989058000002</v>
      </c>
      <c r="AX66" s="287">
        <f>'TEDB_Ed31_Table 9.10'!J49</f>
        <v>14.8</v>
      </c>
      <c r="AY66" s="46">
        <f t="shared" si="44"/>
        <v>14.814989058000002</v>
      </c>
      <c r="AZ66" s="267">
        <v>83.5</v>
      </c>
      <c r="BA66" s="284">
        <v>1717.7</v>
      </c>
      <c r="BB66" s="284">
        <v>3897.7</v>
      </c>
      <c r="BC66" s="284">
        <v>720.9</v>
      </c>
      <c r="BD66" s="284">
        <v>3911.2</v>
      </c>
      <c r="BE66" s="42">
        <v>2008</v>
      </c>
      <c r="BF66" s="28">
        <v>647956</v>
      </c>
      <c r="BG66" s="21">
        <f t="shared" si="16"/>
        <v>2936.5782914117381</v>
      </c>
      <c r="BH66" s="265"/>
      <c r="BI66" s="347"/>
      <c r="BJ66" s="36">
        <f t="shared" si="17"/>
        <v>2008</v>
      </c>
      <c r="BM66" s="578">
        <v>0.88400000000000001</v>
      </c>
      <c r="BN66" s="136">
        <v>5.0000000000000001E-3</v>
      </c>
      <c r="BR66">
        <v>2008</v>
      </c>
      <c r="BS66">
        <v>17144</v>
      </c>
      <c r="BT66" s="600">
        <v>1902.9839999999997</v>
      </c>
      <c r="BU66" s="600">
        <v>15155.296</v>
      </c>
      <c r="BV66" s="600">
        <v>85.72</v>
      </c>
      <c r="BW66">
        <v>30561</v>
      </c>
      <c r="BX66">
        <v>35764.425000000003</v>
      </c>
      <c r="BY66">
        <v>23449.023000000001</v>
      </c>
      <c r="BZ66">
        <v>2487.96</v>
      </c>
      <c r="CA66">
        <v>497.59199999999998</v>
      </c>
      <c r="CB66" s="369"/>
      <c r="CC66" s="21">
        <v>71497</v>
      </c>
      <c r="CE66" s="297"/>
      <c r="CJ66" s="289"/>
      <c r="CO66" s="289"/>
      <c r="CP66">
        <v>2008</v>
      </c>
      <c r="CQ66" s="4">
        <v>1980729</v>
      </c>
      <c r="CR66" s="4">
        <v>6274047</v>
      </c>
      <c r="CS66" s="4">
        <f t="shared" ref="CS66:CT69" si="45">CQ66/42</f>
        <v>47160.214285714283</v>
      </c>
      <c r="CT66" s="4">
        <f t="shared" si="45"/>
        <v>149382.07142857142</v>
      </c>
      <c r="CU66" s="4">
        <f>CQ66*$CU$20*0.000001</f>
        <v>274.72711229999993</v>
      </c>
      <c r="CV66" s="4">
        <f>CR66*$CV$20*0.000001</f>
        <v>939.2248358999999</v>
      </c>
      <c r="CW66" s="4">
        <f>SUM(CU66:CV66)</f>
        <v>1213.9519481999998</v>
      </c>
      <c r="CX66" s="50">
        <v>0.77500000000000002</v>
      </c>
      <c r="CY66" s="50">
        <v>9.2999999999999999E-2</v>
      </c>
      <c r="CZ66" s="4">
        <f t="shared" si="41"/>
        <v>300.26142177119993</v>
      </c>
      <c r="DA66" s="294">
        <f t="shared" si="42"/>
        <v>300.26142177119993</v>
      </c>
      <c r="DB66" s="4"/>
      <c r="DC66" s="4"/>
      <c r="DG66" s="4"/>
      <c r="DH66" s="556" t="s">
        <v>1118</v>
      </c>
      <c r="DI66" s="556" t="s">
        <v>1119</v>
      </c>
    </row>
    <row r="67" spans="1:113" ht="14.25" x14ac:dyDescent="0.2">
      <c r="A67" s="42">
        <v>2009</v>
      </c>
      <c r="B67" s="636">
        <f>Passenger_vehicles!V63</f>
        <v>72179.201540778027</v>
      </c>
      <c r="C67" s="15">
        <f t="shared" si="39"/>
        <v>40275.994459754133</v>
      </c>
      <c r="D67" s="15">
        <f>B67*0.437</f>
        <v>31542.311073319997</v>
      </c>
      <c r="E67" s="15">
        <f>B67*0.005</f>
        <v>360.89600770389012</v>
      </c>
      <c r="F67" s="102">
        <v>482.29</v>
      </c>
      <c r="G67" s="16">
        <f t="shared" si="1"/>
        <v>482.29</v>
      </c>
      <c r="H67" s="637">
        <f>Passenger_vehicles!W63</f>
        <v>61145.657280964035</v>
      </c>
      <c r="I67" s="15">
        <f t="shared" si="40"/>
        <v>31490.013499696484</v>
      </c>
      <c r="J67" s="15">
        <f>H67*0.437</f>
        <v>26720.652231781281</v>
      </c>
      <c r="K67" s="15">
        <f t="shared" si="36"/>
        <v>2445.8262912385612</v>
      </c>
      <c r="L67" s="16">
        <f t="shared" si="37"/>
        <v>489.1652582477123</v>
      </c>
      <c r="M67" s="522">
        <f>Adjust_Truck_Freight!AB45</f>
        <v>16253</v>
      </c>
      <c r="N67" s="21">
        <f t="shared" si="13"/>
        <v>1804.0829999999999</v>
      </c>
      <c r="O67" s="21">
        <f>M67*FuelConsump!$BM67</f>
        <v>14367.652</v>
      </c>
      <c r="P67" s="22">
        <f>M67*FuelConsump!$BN67</f>
        <v>81.265000000000001</v>
      </c>
      <c r="Q67" s="523">
        <f>Adjust_Truck_Freight!AC45</f>
        <v>28050</v>
      </c>
      <c r="R67" s="21">
        <f t="shared" si="14"/>
        <v>3113.5499999999993</v>
      </c>
      <c r="S67" s="21">
        <f>Q67*FuelConsump!$BM67</f>
        <v>24796.2</v>
      </c>
      <c r="T67" s="21">
        <f>Q67*FuelConsump!$BN67</f>
        <v>140.25</v>
      </c>
      <c r="U67" s="107">
        <v>455.5</v>
      </c>
      <c r="V67" s="107">
        <v>141.6</v>
      </c>
      <c r="W67" s="107">
        <v>6.7</v>
      </c>
      <c r="X67" s="107">
        <v>25.5</v>
      </c>
      <c r="Y67" s="107">
        <v>40.6</v>
      </c>
      <c r="Z67" s="107">
        <v>4.3</v>
      </c>
      <c r="AA67" s="183">
        <v>0</v>
      </c>
      <c r="AB67" s="501">
        <v>71.400000000000006</v>
      </c>
      <c r="AC67" s="125">
        <v>3.7</v>
      </c>
      <c r="AD67" s="404">
        <v>100.7</v>
      </c>
      <c r="AE67" s="404">
        <v>0</v>
      </c>
      <c r="AF67" s="404">
        <v>6.6</v>
      </c>
      <c r="AG67" s="391">
        <v>2.4</v>
      </c>
      <c r="AH67" s="183">
        <f>'Passenger-based Activity'!$H68/'Passenger-based Activity'!$H67*AH66</f>
        <v>586.90961771702894</v>
      </c>
      <c r="AI67" s="256"/>
      <c r="AJ67" s="764">
        <f>'Passenger-based Activity'!$E68/'Passenger-based Activity'!$E67*AJ66</f>
        <v>375.15906839221589</v>
      </c>
      <c r="AK67" s="763"/>
      <c r="AL67" s="215">
        <v>2009</v>
      </c>
      <c r="AM67" s="15">
        <f t="shared" si="43"/>
        <v>50932.476190476191</v>
      </c>
      <c r="AN67" s="15">
        <f t="shared" si="43"/>
        <v>126944.21428571429</v>
      </c>
      <c r="AO67" s="215">
        <v>2009</v>
      </c>
      <c r="AP67" s="287">
        <v>11339.2</v>
      </c>
      <c r="AQ67" s="287">
        <v>5721.3</v>
      </c>
      <c r="AR67" s="287">
        <v>226.6</v>
      </c>
      <c r="AS67" s="287">
        <v>1350.6</v>
      </c>
      <c r="AT67" s="215">
        <v>2009</v>
      </c>
      <c r="AU67" s="49">
        <v>61.704000000000001</v>
      </c>
      <c r="AV67" s="50">
        <v>564.96799999999996</v>
      </c>
      <c r="AW67" s="602">
        <f>(FuelConsump!AU67*'Fuel Heat Content'!$D$7/1000000)+(FuelConsump!AV67*'Fuel Heat Content'!$D$21/1000000)</f>
        <v>14.399548952</v>
      </c>
      <c r="AX67" s="287">
        <f>'TEDB_Ed31_Table 9.10'!J50</f>
        <v>14.4</v>
      </c>
      <c r="AY67" s="46">
        <f t="shared" si="44"/>
        <v>14.399548952</v>
      </c>
      <c r="AZ67" s="267">
        <v>95</v>
      </c>
      <c r="BA67" s="284">
        <v>1780</v>
      </c>
      <c r="BB67" s="284">
        <v>3886</v>
      </c>
      <c r="BC67" s="284">
        <v>738</v>
      </c>
      <c r="BD67" s="284">
        <v>3220</v>
      </c>
      <c r="BE67" s="42">
        <v>2009</v>
      </c>
      <c r="BF67" s="28">
        <v>670174</v>
      </c>
      <c r="BG67" s="21">
        <f t="shared" si="16"/>
        <v>3037.2716972581011</v>
      </c>
      <c r="BH67" s="265"/>
      <c r="BI67" s="347"/>
      <c r="BJ67" s="36">
        <f t="shared" si="17"/>
        <v>2009</v>
      </c>
      <c r="BM67" s="578">
        <v>0.88400000000000001</v>
      </c>
      <c r="BN67" s="136">
        <v>5.0000000000000001E-3</v>
      </c>
      <c r="BR67">
        <v>2009</v>
      </c>
      <c r="BS67">
        <v>16253</v>
      </c>
      <c r="BT67" s="600">
        <v>1804.0829999999999</v>
      </c>
      <c r="BU67" s="600">
        <v>14367.652</v>
      </c>
      <c r="BV67" s="600">
        <v>81.265000000000001</v>
      </c>
      <c r="BW67">
        <v>28050</v>
      </c>
      <c r="BX67">
        <v>32307.495000000003</v>
      </c>
      <c r="BY67">
        <v>27414.321</v>
      </c>
      <c r="BZ67">
        <v>2509.3200000000002</v>
      </c>
      <c r="CA67">
        <v>501.86400000000003</v>
      </c>
      <c r="CB67" s="369"/>
      <c r="CC67" s="15"/>
      <c r="CE67" s="297"/>
      <c r="CJ67" s="289"/>
      <c r="CO67" s="289"/>
      <c r="CP67">
        <v>2009</v>
      </c>
      <c r="CQ67" s="4">
        <v>2139164</v>
      </c>
      <c r="CR67" s="4">
        <v>5331657</v>
      </c>
      <c r="CS67" s="4">
        <f t="shared" si="45"/>
        <v>50932.476190476191</v>
      </c>
      <c r="CT67" s="4">
        <f t="shared" si="45"/>
        <v>126944.21428571429</v>
      </c>
      <c r="CU67" s="4">
        <f>CQ67*$CU$20*0.000001</f>
        <v>296.70204679999995</v>
      </c>
      <c r="CV67" s="4">
        <f>CR67*$CV$20*0.000001</f>
        <v>798.1490528999999</v>
      </c>
      <c r="CW67" s="4">
        <f>SUM(CU67:CV67)</f>
        <v>1094.8510996999998</v>
      </c>
      <c r="CX67" s="50">
        <v>0.77500000000000002</v>
      </c>
      <c r="CY67" s="50">
        <v>9.2999999999999999E-2</v>
      </c>
      <c r="CZ67" s="4">
        <f t="shared" si="41"/>
        <v>304.17194818969995</v>
      </c>
      <c r="DA67" s="294">
        <f t="shared" si="42"/>
        <v>304.17194818969995</v>
      </c>
      <c r="DB67" s="4"/>
      <c r="DC67" s="4"/>
      <c r="DG67" s="42">
        <v>2009</v>
      </c>
      <c r="DH67" s="21">
        <v>68418</v>
      </c>
      <c r="DI67" s="15">
        <v>62733</v>
      </c>
    </row>
    <row r="68" spans="1:113" ht="14.25" x14ac:dyDescent="0.2">
      <c r="A68" s="42">
        <v>2010</v>
      </c>
      <c r="B68" s="636">
        <f>Passenger_vehicles!V64</f>
        <v>72567.853850758373</v>
      </c>
      <c r="C68" s="15">
        <f t="shared" si="39"/>
        <v>35921.087656125397</v>
      </c>
      <c r="D68" s="15">
        <f>B68*0.5</f>
        <v>36283.926925379186</v>
      </c>
      <c r="E68" s="16">
        <f>B68*0.005</f>
        <v>362.83926925379188</v>
      </c>
      <c r="F68" s="43">
        <v>426.7</v>
      </c>
      <c r="G68" s="16">
        <f t="shared" si="1"/>
        <v>426.7</v>
      </c>
      <c r="H68" s="637">
        <f>Passenger_vehicles!W64</f>
        <v>62669.61815538408</v>
      </c>
      <c r="I68" s="15">
        <f t="shared" ref="I68" si="46">H68-J68-K68-L68</f>
        <v>28326.667406233606</v>
      </c>
      <c r="J68" s="15">
        <f>H68*0.5</f>
        <v>31334.80907769204</v>
      </c>
      <c r="K68" s="15">
        <f t="shared" ref="K68:K69" si="47">H68*0.04</f>
        <v>2506.7847262153632</v>
      </c>
      <c r="L68" s="16">
        <f t="shared" ref="L68:L69" si="48">H68*0.008</f>
        <v>501.35694524307263</v>
      </c>
      <c r="M68" s="522">
        <v>15097</v>
      </c>
      <c r="N68" s="21">
        <f t="shared" si="13"/>
        <v>1675.7670000000005</v>
      </c>
      <c r="O68" s="21">
        <f>M68*FuelConsump!$BM68</f>
        <v>13345.748</v>
      </c>
      <c r="P68" s="22">
        <f>M68*FuelConsump!$BN68</f>
        <v>75.484999999999999</v>
      </c>
      <c r="Q68" s="523">
        <f>Adjust_Truck_Freight!AC46</f>
        <v>29927</v>
      </c>
      <c r="R68" s="21">
        <f t="shared" si="14"/>
        <v>3321.896999999999</v>
      </c>
      <c r="S68" s="21">
        <f>Q68*FuelConsump!$BM68</f>
        <v>26455.468000000001</v>
      </c>
      <c r="T68" s="21">
        <f>Q68*FuelConsump!$BN68</f>
        <v>149.63499999999999</v>
      </c>
      <c r="U68" s="107">
        <v>435.4</v>
      </c>
      <c r="V68" s="107">
        <v>126.2</v>
      </c>
      <c r="W68" s="107">
        <v>8.1</v>
      </c>
      <c r="X68" s="107">
        <v>23</v>
      </c>
      <c r="Y68" s="107">
        <v>43.5</v>
      </c>
      <c r="Z68" s="107">
        <v>3.5</v>
      </c>
      <c r="AA68" s="183">
        <v>0</v>
      </c>
      <c r="AB68" s="501">
        <v>64.599999999999994</v>
      </c>
      <c r="AC68" s="125">
        <v>3.3</v>
      </c>
      <c r="AD68" s="404">
        <v>107.1</v>
      </c>
      <c r="AE68" s="404">
        <f t="shared" ref="AE68:AE69" si="49">AE67</f>
        <v>0</v>
      </c>
      <c r="AF68" s="404">
        <v>8.1999999999999993</v>
      </c>
      <c r="AG68" s="391">
        <v>0.4</v>
      </c>
      <c r="AH68" s="183">
        <f>'Passenger-based Activity'!$H69/'Passenger-based Activity'!$H68*AH67</f>
        <v>571.26314626338569</v>
      </c>
      <c r="AI68" s="491"/>
      <c r="AJ68" s="764">
        <f>'Passenger-based Activity'!$E69/'Passenger-based Activity'!$E68*AJ67</f>
        <v>363.10037416695883</v>
      </c>
      <c r="AK68" s="765"/>
      <c r="AL68" s="215">
        <v>2010</v>
      </c>
      <c r="AM68" s="15">
        <f t="shared" si="43"/>
        <v>57727.119047619046</v>
      </c>
      <c r="AN68" s="15">
        <f t="shared" si="43"/>
        <v>143627.78571428571</v>
      </c>
      <c r="AO68" s="215">
        <v>2010</v>
      </c>
      <c r="AP68" s="287">
        <v>11255.8</v>
      </c>
      <c r="AQ68" s="287">
        <v>6027.9</v>
      </c>
      <c r="AR68" s="287">
        <v>210.3</v>
      </c>
      <c r="AS68" s="287">
        <v>1451.5</v>
      </c>
      <c r="AT68" s="215">
        <v>2010</v>
      </c>
      <c r="AU68" s="49">
        <v>63.473999999999997</v>
      </c>
      <c r="AV68" s="50">
        <v>558.66200000000003</v>
      </c>
      <c r="AW68" s="602">
        <f>(FuelConsump!AU68*'Fuel Heat Content'!$D$7/1000000)+(FuelConsump!AV68*'Fuel Heat Content'!$D$21/1000000)</f>
        <v>14.579850218000001</v>
      </c>
      <c r="AX68" s="287">
        <f>'TEDB_Ed31_Table 9.10'!J51</f>
        <v>14.6</v>
      </c>
      <c r="AY68" s="46">
        <f t="shared" si="44"/>
        <v>14.579850218000001</v>
      </c>
      <c r="AZ68" s="267">
        <v>93.2</v>
      </c>
      <c r="BA68" s="284">
        <v>1797</v>
      </c>
      <c r="BB68" s="284">
        <v>3780</v>
      </c>
      <c r="BC68" s="284">
        <v>749</v>
      </c>
      <c r="BD68" s="284">
        <v>3519</v>
      </c>
      <c r="BE68" s="42">
        <v>2010</v>
      </c>
      <c r="BF68" s="61">
        <v>674124</v>
      </c>
      <c r="BG68" s="21">
        <f t="shared" si="16"/>
        <v>3055.1733514615908</v>
      </c>
      <c r="BH68" s="265"/>
      <c r="BI68" s="265"/>
      <c r="BJ68" s="36">
        <f t="shared" si="17"/>
        <v>2010</v>
      </c>
      <c r="BM68" s="578">
        <v>0.88400000000000001</v>
      </c>
      <c r="BN68" s="136">
        <v>5.0000000000000001E-3</v>
      </c>
      <c r="BR68">
        <v>2010</v>
      </c>
      <c r="BS68">
        <v>15097</v>
      </c>
      <c r="BT68" s="600">
        <v>1675.7670000000005</v>
      </c>
      <c r="BU68" s="600">
        <v>13345.748</v>
      </c>
      <c r="BV68" s="600">
        <v>75.484999999999999</v>
      </c>
      <c r="BW68">
        <v>29927</v>
      </c>
      <c r="BX68">
        <v>27545.784</v>
      </c>
      <c r="BY68">
        <v>30471</v>
      </c>
      <c r="BZ68">
        <v>2437.6799999999998</v>
      </c>
      <c r="CA68">
        <v>487.536</v>
      </c>
      <c r="CB68" s="369"/>
      <c r="CE68" s="297"/>
      <c r="CJ68" s="289"/>
      <c r="CO68" s="289"/>
      <c r="CP68">
        <v>2010</v>
      </c>
      <c r="CQ68" s="4">
        <v>2424539</v>
      </c>
      <c r="CR68" s="4">
        <v>6032367</v>
      </c>
      <c r="CS68" s="4">
        <f t="shared" si="45"/>
        <v>57727.119047619046</v>
      </c>
      <c r="CT68" s="4">
        <f t="shared" si="45"/>
        <v>143627.78571428571</v>
      </c>
      <c r="CU68" s="4">
        <f>CQ68*$CU$20*0.000001</f>
        <v>336.28355929999992</v>
      </c>
      <c r="CV68" s="4">
        <f>CR68*$CV$20*0.000001</f>
        <v>903.04533989999993</v>
      </c>
      <c r="CW68" s="4">
        <f>SUM(CU68:CV68)</f>
        <v>1239.3288991999998</v>
      </c>
      <c r="CX68" s="50">
        <v>0.77500000000000002</v>
      </c>
      <c r="CY68" s="50">
        <v>9.2999999999999999E-2</v>
      </c>
      <c r="CZ68" s="4">
        <f t="shared" ref="CZ68" si="50">CX68*CU68+CY68*CV68</f>
        <v>344.60297506819995</v>
      </c>
      <c r="DA68" s="294">
        <f t="shared" si="42"/>
        <v>344.60297506819995</v>
      </c>
      <c r="DB68" s="4"/>
      <c r="DC68" s="4"/>
      <c r="DG68" s="42">
        <v>2010</v>
      </c>
      <c r="DH68" s="21">
        <v>64990</v>
      </c>
      <c r="DI68" s="15">
        <v>60942</v>
      </c>
    </row>
    <row r="69" spans="1:113" ht="14.25" x14ac:dyDescent="0.2">
      <c r="A69" s="215">
        <v>2011</v>
      </c>
      <c r="B69" s="636">
        <f>Passenger_vehicles!V65</f>
        <v>73413.238957894398</v>
      </c>
      <c r="C69" s="15">
        <f t="shared" ref="C69" si="51">B69-D69-E69</f>
        <v>35752.247372494574</v>
      </c>
      <c r="D69" s="15">
        <f>B69*0.508</f>
        <v>37293.925390610355</v>
      </c>
      <c r="E69" s="15">
        <f>B69*0.005</f>
        <v>367.06619478947198</v>
      </c>
      <c r="F69" s="43">
        <v>425.4</v>
      </c>
      <c r="G69" s="16">
        <f t="shared" si="1"/>
        <v>425.4</v>
      </c>
      <c r="H69" s="637">
        <f>Passenger_vehicles!W65</f>
        <v>63092.467683510535</v>
      </c>
      <c r="I69" s="15">
        <f t="shared" ref="I69" si="52">H69-J69-K69-L69</f>
        <v>28013.055651478677</v>
      </c>
      <c r="J69" s="15">
        <f>H69*0.508</f>
        <v>32050.973583223353</v>
      </c>
      <c r="K69" s="15">
        <f t="shared" si="47"/>
        <v>2523.6987073404216</v>
      </c>
      <c r="L69" s="15">
        <f t="shared" si="48"/>
        <v>504.73974146808428</v>
      </c>
      <c r="M69" s="598">
        <v>14183</v>
      </c>
      <c r="N69" s="21">
        <f t="shared" ref="N69" si="53">M69-O69-P69</f>
        <v>1574.3129999999992</v>
      </c>
      <c r="O69" s="21">
        <f>M69*FuelConsump!$BM69</f>
        <v>12537.772000000001</v>
      </c>
      <c r="P69" s="22">
        <f>M69*FuelConsump!$BN69</f>
        <v>70.915000000000006</v>
      </c>
      <c r="Q69" s="523">
        <f>Adjust_Truck_Freight!AC47</f>
        <v>28193</v>
      </c>
      <c r="R69" s="21">
        <f t="shared" ref="R69" si="54">Q69-S69-T69</f>
        <v>3129.4229999999989</v>
      </c>
      <c r="S69" s="21">
        <f>Q69*FuelConsump!$BM69</f>
        <v>24922.612000000001</v>
      </c>
      <c r="T69" s="21">
        <f>Q69*FuelConsump!$BN69</f>
        <v>140.965</v>
      </c>
      <c r="U69" s="107">
        <v>455.1</v>
      </c>
      <c r="V69" s="107">
        <v>131.1</v>
      </c>
      <c r="W69" s="107">
        <v>8.9</v>
      </c>
      <c r="X69" s="107">
        <v>21.6</v>
      </c>
      <c r="Y69" s="107">
        <v>51.1</v>
      </c>
      <c r="Z69" s="107">
        <v>3.9</v>
      </c>
      <c r="AA69" s="183"/>
      <c r="AB69" s="404">
        <v>63.4</v>
      </c>
      <c r="AC69" s="125">
        <v>4</v>
      </c>
      <c r="AD69" s="404">
        <v>117.8</v>
      </c>
      <c r="AE69" s="404">
        <f t="shared" si="49"/>
        <v>0</v>
      </c>
      <c r="AF69" s="404">
        <v>10.7</v>
      </c>
      <c r="AG69" s="404">
        <v>0.8</v>
      </c>
      <c r="AH69" s="183">
        <f>'Passenger-based Activity'!$H70/'Passenger-based Activity'!$H69*AH68</f>
        <v>532.27811232038061</v>
      </c>
      <c r="AI69" s="491"/>
      <c r="AJ69" s="764">
        <f>'Passenger-based Activity'!$E70/'Passenger-based Activity'!$E69*AJ68</f>
        <v>397.06101683158272</v>
      </c>
      <c r="AK69" s="765"/>
      <c r="AL69" s="215">
        <v>2011</v>
      </c>
      <c r="AM69" s="15">
        <f t="shared" si="43"/>
        <v>62454.642857142855</v>
      </c>
      <c r="AN69" s="15">
        <f t="shared" si="43"/>
        <v>123956.19047619047</v>
      </c>
      <c r="AO69" s="215">
        <v>2011</v>
      </c>
      <c r="AP69" s="287">
        <v>11071.5</v>
      </c>
      <c r="AQ69" s="287">
        <v>6523.3</v>
      </c>
      <c r="AR69" s="287">
        <v>215.5</v>
      </c>
      <c r="AS69" s="287">
        <v>1490.7</v>
      </c>
      <c r="AT69" s="215">
        <v>2011</v>
      </c>
      <c r="AU69" s="375">
        <v>63.45</v>
      </c>
      <c r="AV69" s="50">
        <v>555.42499999999995</v>
      </c>
      <c r="AW69" s="602">
        <f>(FuelConsump!AU69*'Fuel Heat Content'!$D$7/1000000*1)+(FuelConsump!AV69*'Fuel Heat Content'!$D$21/1000000)</f>
        <v>14.543054075000001</v>
      </c>
      <c r="AX69" s="287">
        <v>14.5</v>
      </c>
      <c r="AY69" s="46">
        <f t="shared" si="44"/>
        <v>14.543054075000001</v>
      </c>
      <c r="AZ69" s="267">
        <v>95</v>
      </c>
      <c r="BA69" s="284">
        <v>1813</v>
      </c>
      <c r="BB69" s="284">
        <v>3854</v>
      </c>
      <c r="BC69" s="284">
        <v>789</v>
      </c>
      <c r="BD69" s="284">
        <v>3710.5</v>
      </c>
      <c r="BE69" s="42">
        <v>2011</v>
      </c>
      <c r="BF69" s="61">
        <v>683715</v>
      </c>
      <c r="BG69" s="21">
        <f t="shared" si="16"/>
        <v>3098.6403806934059</v>
      </c>
      <c r="BH69" s="265"/>
      <c r="BI69" s="265"/>
      <c r="BJ69" s="36">
        <f t="shared" si="17"/>
        <v>2011</v>
      </c>
      <c r="BM69" s="578">
        <v>0.88400000000000001</v>
      </c>
      <c r="BN69" s="136">
        <v>5.0000000000000001E-3</v>
      </c>
      <c r="BR69">
        <v>2011</v>
      </c>
      <c r="BS69">
        <v>14183</v>
      </c>
      <c r="BT69" s="600">
        <v>1574.3129999999992</v>
      </c>
      <c r="BU69" s="600">
        <v>12537.772000000001</v>
      </c>
      <c r="BV69" s="600">
        <v>70.915000000000006</v>
      </c>
      <c r="BW69">
        <v>28193</v>
      </c>
      <c r="BX69">
        <v>27495.144</v>
      </c>
      <c r="BY69">
        <v>31458.407999999999</v>
      </c>
      <c r="BZ69">
        <v>2477.04</v>
      </c>
      <c r="CA69">
        <v>495.40800000000002</v>
      </c>
      <c r="CB69" s="369"/>
      <c r="CE69" s="297"/>
      <c r="CJ69" s="289"/>
      <c r="CO69" s="289"/>
      <c r="CP69">
        <v>2011</v>
      </c>
      <c r="CQ69" s="4">
        <v>2623095</v>
      </c>
      <c r="CR69" s="4">
        <v>5206160</v>
      </c>
      <c r="CS69" s="4">
        <f t="shared" si="45"/>
        <v>62454.642857142855</v>
      </c>
      <c r="CT69" s="4">
        <f t="shared" si="45"/>
        <v>123956.19047619047</v>
      </c>
      <c r="CU69" s="4">
        <f>CQ69*$CU$20*0.000001</f>
        <v>363.82327649999991</v>
      </c>
      <c r="CV69" s="4">
        <f>CR69*$CV$20*0.000001</f>
        <v>779.36215199999992</v>
      </c>
      <c r="CW69" s="4">
        <f>SUM(CU69:CV69)</f>
        <v>1143.1854284999999</v>
      </c>
      <c r="CX69" s="50">
        <v>0.77500000000000002</v>
      </c>
      <c r="CY69" s="50">
        <v>9.2999999999999999E-2</v>
      </c>
      <c r="CZ69" s="4">
        <f t="shared" ref="CZ69" si="55">CX69*CU69+CY69*CV69</f>
        <v>354.44371942349994</v>
      </c>
      <c r="DA69" s="294">
        <f t="shared" si="42"/>
        <v>354.44371942349994</v>
      </c>
      <c r="DB69" s="4"/>
      <c r="DC69" s="4"/>
      <c r="DG69" s="215">
        <v>2011</v>
      </c>
      <c r="DH69" s="21">
        <v>66194</v>
      </c>
      <c r="DI69" s="15">
        <v>61926</v>
      </c>
    </row>
    <row r="70" spans="1:113" ht="14.25" x14ac:dyDescent="0.2">
      <c r="A70" s="143"/>
      <c r="B70" s="15"/>
      <c r="C70" s="15"/>
      <c r="D70" s="15"/>
      <c r="E70" s="15"/>
      <c r="F70" s="15"/>
      <c r="G70" s="15"/>
      <c r="H70" s="555"/>
      <c r="I70" s="15"/>
      <c r="J70" s="15"/>
      <c r="K70" s="15"/>
      <c r="L70" s="15"/>
      <c r="M70" s="18"/>
      <c r="N70" s="15"/>
      <c r="O70" s="15"/>
      <c r="P70" s="15"/>
      <c r="Q70" s="18"/>
      <c r="R70" s="15"/>
      <c r="S70" s="15"/>
      <c r="T70" s="15"/>
      <c r="U70" s="107"/>
      <c r="V70" s="107"/>
      <c r="W70" s="107"/>
      <c r="X70" s="107"/>
      <c r="Y70" s="107"/>
      <c r="Z70" s="107"/>
      <c r="AA70" s="107"/>
      <c r="AB70" s="107"/>
      <c r="AC70" s="107"/>
      <c r="AD70" s="107"/>
      <c r="AE70" s="107"/>
      <c r="AF70" s="107"/>
      <c r="AG70" s="107"/>
      <c r="AH70" s="183"/>
      <c r="AI70" s="256"/>
      <c r="AJ70" s="40"/>
      <c r="AK70" s="40"/>
      <c r="AL70" s="143"/>
      <c r="AM70" s="251"/>
      <c r="AN70" s="251"/>
      <c r="AO70" s="143"/>
      <c r="AP70" s="15"/>
      <c r="AQ70" s="15"/>
      <c r="AR70" s="255"/>
      <c r="AS70" s="255"/>
      <c r="AT70" s="143"/>
      <c r="AU70" s="45"/>
      <c r="AV70" s="45"/>
      <c r="AW70" s="45"/>
      <c r="AX70" s="379"/>
      <c r="AY70" s="375"/>
      <c r="AZ70" s="267"/>
      <c r="BA70" s="265"/>
      <c r="BB70" s="265"/>
      <c r="BC70" s="265"/>
      <c r="BD70" s="342"/>
      <c r="BE70" s="143"/>
      <c r="BF70" s="61"/>
      <c r="BG70" s="61"/>
      <c r="BH70" s="265"/>
      <c r="BI70" s="265"/>
      <c r="CB70" s="369"/>
      <c r="CE70" s="297"/>
      <c r="CJ70" s="289"/>
      <c r="CO70" s="289"/>
      <c r="CQ70" s="4"/>
      <c r="CR70" s="4"/>
      <c r="CS70" s="4"/>
      <c r="CT70" s="4"/>
      <c r="CU70" s="4"/>
      <c r="CV70" s="4"/>
      <c r="CW70" s="4"/>
      <c r="CX70" s="50"/>
      <c r="CY70" s="50"/>
      <c r="CZ70" s="4"/>
      <c r="DA70" s="294"/>
      <c r="DB70" s="4"/>
      <c r="DC70" s="4"/>
      <c r="DD70" s="4"/>
    </row>
    <row r="71" spans="1:113" ht="14.25" x14ac:dyDescent="0.2">
      <c r="A71" s="299" t="s">
        <v>299</v>
      </c>
      <c r="B71" s="300"/>
      <c r="C71" s="300"/>
      <c r="D71" s="300"/>
      <c r="E71" s="300"/>
      <c r="F71" s="300"/>
      <c r="G71" s="300"/>
      <c r="H71" s="300"/>
      <c r="I71" s="300"/>
      <c r="J71" s="300"/>
      <c r="K71" s="300"/>
      <c r="L71" s="300"/>
      <c r="M71" s="301"/>
      <c r="N71" s="300"/>
      <c r="O71" s="300"/>
      <c r="P71" s="300"/>
      <c r="Q71" s="301"/>
      <c r="R71" s="300"/>
      <c r="S71" s="251"/>
      <c r="T71" s="251"/>
      <c r="U71" s="183"/>
      <c r="V71" s="265"/>
      <c r="W71" s="265"/>
      <c r="X71" s="265"/>
      <c r="Y71" s="265"/>
      <c r="Z71" s="265"/>
      <c r="AA71" s="265"/>
      <c r="AB71" s="265"/>
      <c r="AC71" s="265"/>
      <c r="AD71" s="265"/>
      <c r="AE71" s="265"/>
      <c r="AF71" s="265"/>
      <c r="AG71" s="265"/>
      <c r="AH71" s="265"/>
      <c r="AI71" s="265"/>
      <c r="AJ71" s="268"/>
      <c r="AK71" s="268"/>
      <c r="AL71" s="143"/>
      <c r="AM71" s="251"/>
      <c r="AN71" s="251"/>
      <c r="AO71" s="143"/>
      <c r="AP71" s="251"/>
      <c r="AQ71" s="251"/>
      <c r="AR71" s="255"/>
      <c r="AS71" s="255"/>
      <c r="AT71" s="143"/>
      <c r="AU71" s="260"/>
      <c r="AV71" s="260"/>
      <c r="AW71" s="260">
        <f>5.74/AW69</f>
        <v>0.39469013663830443</v>
      </c>
      <c r="AX71" s="260" t="s">
        <v>1115</v>
      </c>
      <c r="AY71" s="260"/>
      <c r="AZ71" s="260"/>
      <c r="BA71" s="265"/>
      <c r="BB71" s="265"/>
      <c r="BC71" s="265"/>
      <c r="BD71" s="265"/>
      <c r="BE71" s="265"/>
      <c r="BF71" s="265"/>
      <c r="BG71" s="265"/>
      <c r="BH71" s="265"/>
      <c r="BI71" s="269"/>
      <c r="BT71" s="600" t="s">
        <v>1049</v>
      </c>
      <c r="CB71" s="369"/>
      <c r="CE71" s="297"/>
      <c r="CJ71" s="289"/>
      <c r="CO71" s="289"/>
      <c r="CQ71" s="4" t="s">
        <v>1054</v>
      </c>
      <c r="CR71" s="4"/>
      <c r="CS71" s="4"/>
      <c r="CT71" s="4"/>
      <c r="CU71" s="4"/>
      <c r="CV71" s="4"/>
      <c r="CW71" s="4"/>
      <c r="CX71" s="4"/>
      <c r="CY71" s="4"/>
      <c r="CZ71" s="4"/>
      <c r="DA71" s="4"/>
      <c r="DB71" s="4"/>
      <c r="DC71" s="4"/>
      <c r="DD71" s="4"/>
    </row>
    <row r="72" spans="1:113" x14ac:dyDescent="0.2">
      <c r="A72" s="173"/>
      <c r="U72" s="556" t="s">
        <v>951</v>
      </c>
      <c r="V72" s="36"/>
      <c r="W72" s="36"/>
      <c r="X72" s="36"/>
      <c r="Y72" s="36"/>
      <c r="Z72" s="36"/>
      <c r="AA72" s="36"/>
      <c r="AB72" s="36"/>
      <c r="AC72" s="36"/>
      <c r="AD72" s="36">
        <v>2000</v>
      </c>
      <c r="AE72" s="36"/>
      <c r="AF72" s="36"/>
      <c r="AG72" s="36" t="s">
        <v>1197</v>
      </c>
      <c r="AH72" s="125">
        <f>34.7*365*0.001</f>
        <v>12.665500000000002</v>
      </c>
      <c r="AI72" s="36"/>
      <c r="AJ72" s="404">
        <f>14*365*0.001</f>
        <v>5.1100000000000003</v>
      </c>
      <c r="AK72" s="143"/>
      <c r="AL72" s="143"/>
      <c r="AM72" s="143"/>
      <c r="AN72" s="173"/>
      <c r="AO72" s="173"/>
      <c r="AP72" s="173"/>
      <c r="AQ72" s="173"/>
      <c r="AT72" s="173"/>
      <c r="CB72" s="369"/>
      <c r="CE72" s="297"/>
      <c r="CJ72" s="289"/>
      <c r="CO72" s="289"/>
      <c r="CQ72" s="4"/>
      <c r="CR72" s="4"/>
      <c r="CS72" s="4"/>
      <c r="CT72" s="4" t="s">
        <v>454</v>
      </c>
      <c r="CU72" t="s">
        <v>610</v>
      </c>
      <c r="CW72" s="314" t="s">
        <v>609</v>
      </c>
      <c r="CX72" s="4"/>
      <c r="CY72" s="4"/>
      <c r="CZ72" s="4"/>
      <c r="DA72" s="4"/>
      <c r="DB72" s="4"/>
      <c r="DC72" s="4"/>
      <c r="DD72" s="4"/>
    </row>
    <row r="73" spans="1:113" x14ac:dyDescent="0.2">
      <c r="A73" s="6" t="s">
        <v>351</v>
      </c>
      <c r="U73">
        <f>U68</f>
        <v>435.4</v>
      </c>
      <c r="V73" s="125">
        <f>138.7</f>
        <v>138.69999999999999</v>
      </c>
      <c r="W73">
        <f>U73*V73</f>
        <v>60389.979999999989</v>
      </c>
      <c r="Y73">
        <f>'Fuel Heat Content'!$D$7</f>
        <v>138700</v>
      </c>
      <c r="AD73">
        <v>300</v>
      </c>
      <c r="AG73" t="s">
        <v>1198</v>
      </c>
      <c r="AI73" s="163"/>
      <c r="BJ73" s="36"/>
      <c r="BK73" t="s">
        <v>168</v>
      </c>
      <c r="CB73" s="369"/>
      <c r="CE73" s="297"/>
      <c r="CJ73" s="289"/>
      <c r="CO73" s="289"/>
      <c r="CQ73" s="4"/>
      <c r="CR73" s="4"/>
      <c r="CS73" s="4"/>
      <c r="CT73" s="4" t="s">
        <v>891</v>
      </c>
      <c r="CU73" s="4" t="s">
        <v>612</v>
      </c>
      <c r="CV73" s="4"/>
      <c r="CW73" s="4" t="s">
        <v>611</v>
      </c>
      <c r="CX73" s="4"/>
      <c r="CY73" s="4"/>
      <c r="CZ73" s="4"/>
      <c r="DA73" s="4"/>
      <c r="DB73" s="4"/>
      <c r="DC73" s="4"/>
      <c r="DD73" s="4"/>
    </row>
    <row r="74" spans="1:113" x14ac:dyDescent="0.2">
      <c r="A74" s="425" t="s">
        <v>527</v>
      </c>
      <c r="U74">
        <v>126.2</v>
      </c>
      <c r="V74" s="125">
        <f>138.7</f>
        <v>138.69999999999999</v>
      </c>
      <c r="W74">
        <f t="shared" ref="W74:W78" si="56">U74*V74</f>
        <v>17503.939999999999</v>
      </c>
      <c r="Y74">
        <f>'Fuel Heat Content'!$D$15</f>
        <v>129400</v>
      </c>
      <c r="AD74">
        <v>175</v>
      </c>
      <c r="AI74" s="50"/>
      <c r="BJ74" s="36"/>
      <c r="BK74" t="s">
        <v>519</v>
      </c>
      <c r="CB74" s="369"/>
      <c r="CE74" s="297"/>
      <c r="CJ74" s="289"/>
      <c r="CO74" s="289"/>
      <c r="CQ74" s="4"/>
      <c r="CR74" s="4"/>
      <c r="CS74" s="4"/>
      <c r="CT74" s="4"/>
      <c r="CU74" s="4"/>
      <c r="CV74" s="4"/>
      <c r="CW74" s="4"/>
      <c r="CX74" s="4"/>
      <c r="CY74" s="4"/>
      <c r="CZ74" s="4"/>
      <c r="DA74" s="4"/>
      <c r="DB74" s="4"/>
      <c r="DC74" s="4"/>
      <c r="DD74" s="4"/>
    </row>
    <row r="75" spans="1:113" x14ac:dyDescent="0.2">
      <c r="A75" s="8" t="s">
        <v>105</v>
      </c>
      <c r="U75">
        <v>8.1</v>
      </c>
      <c r="V75" s="125">
        <v>125</v>
      </c>
      <c r="W75">
        <f t="shared" si="56"/>
        <v>1012.5</v>
      </c>
      <c r="Y75">
        <f>'Fuel Heat Content'!$D$6</f>
        <v>125000</v>
      </c>
      <c r="AD75">
        <v>200</v>
      </c>
      <c r="AI75" s="50"/>
      <c r="BJ75" s="36"/>
      <c r="BK75" t="s">
        <v>169</v>
      </c>
      <c r="CB75" s="369"/>
      <c r="CE75" s="297"/>
      <c r="CJ75" s="289"/>
      <c r="CO75" s="289"/>
      <c r="CQ75" s="4"/>
      <c r="CR75" s="4"/>
      <c r="CS75" s="4"/>
      <c r="CT75" s="4"/>
      <c r="CU75" s="4"/>
      <c r="CV75" s="4"/>
      <c r="CW75" s="4"/>
      <c r="CX75" s="4"/>
      <c r="CY75" s="4"/>
      <c r="CZ75" s="4"/>
      <c r="DA75" s="4"/>
      <c r="DB75" s="4"/>
      <c r="DC75" s="4"/>
      <c r="DD75" s="4"/>
    </row>
    <row r="76" spans="1:113" x14ac:dyDescent="0.2">
      <c r="B76" t="s">
        <v>16</v>
      </c>
      <c r="U76">
        <v>23</v>
      </c>
      <c r="V76" s="125">
        <v>84.8</v>
      </c>
      <c r="W76">
        <f t="shared" si="56"/>
        <v>1950.3999999999999</v>
      </c>
      <c r="Y76">
        <f>'Fuel Heat Content'!$D$16</f>
        <v>84800</v>
      </c>
      <c r="AD76">
        <v>225</v>
      </c>
      <c r="AI76" s="50"/>
      <c r="BJ76" s="36"/>
      <c r="BK76" s="317" t="s">
        <v>517</v>
      </c>
      <c r="CB76" s="369"/>
      <c r="CE76" s="297"/>
      <c r="CJ76" s="289"/>
      <c r="CO76" s="289"/>
      <c r="CQ76" s="4"/>
      <c r="CR76" s="4"/>
      <c r="CS76" s="4"/>
      <c r="CT76" s="4"/>
      <c r="CU76" s="4"/>
      <c r="CV76" s="4"/>
      <c r="CW76" s="4"/>
      <c r="CX76" s="4"/>
      <c r="CY76" s="4"/>
      <c r="CZ76" s="4"/>
      <c r="DA76" s="4"/>
      <c r="DB76" s="4"/>
      <c r="DC76" s="4"/>
      <c r="DD76" s="4"/>
    </row>
    <row r="77" spans="1:113" ht="26.25" thickBot="1" x14ac:dyDescent="0.25">
      <c r="B77" t="s">
        <v>106</v>
      </c>
      <c r="U77">
        <v>3.5</v>
      </c>
      <c r="V77" s="125">
        <v>64.599999999999994</v>
      </c>
      <c r="W77">
        <f t="shared" si="56"/>
        <v>226.09999999999997</v>
      </c>
      <c r="Y77">
        <f>'Fuel Heat Content'!$D$17</f>
        <v>64600</v>
      </c>
      <c r="AD77">
        <v>17</v>
      </c>
      <c r="AI77" s="50"/>
      <c r="BJ77" s="36"/>
      <c r="BK77" s="415" t="s">
        <v>172</v>
      </c>
      <c r="BL77" s="130" t="s">
        <v>170</v>
      </c>
      <c r="BM77" s="130" t="s">
        <v>518</v>
      </c>
      <c r="BN77" s="130" t="s">
        <v>510</v>
      </c>
      <c r="BO77" s="130" t="s">
        <v>173</v>
      </c>
      <c r="BP77" s="130" t="s">
        <v>171</v>
      </c>
      <c r="CB77" s="369"/>
      <c r="CE77" s="297"/>
      <c r="CJ77" s="289"/>
      <c r="CO77" s="289"/>
      <c r="CQ77" s="4"/>
      <c r="CR77" s="4"/>
      <c r="CS77" s="4"/>
      <c r="CT77" s="4"/>
      <c r="CU77" s="4"/>
      <c r="CV77" s="4"/>
      <c r="CW77" s="4"/>
      <c r="CX77" s="4"/>
      <c r="CY77" s="4"/>
      <c r="CZ77" s="4"/>
      <c r="DA77" s="4"/>
      <c r="DB77" s="4"/>
      <c r="DC77" s="4"/>
      <c r="DD77" s="4"/>
    </row>
    <row r="78" spans="1:113" x14ac:dyDescent="0.2">
      <c r="B78" t="s">
        <v>792</v>
      </c>
      <c r="U78">
        <v>43.5</v>
      </c>
      <c r="V78" s="125">
        <v>127.52500000000001</v>
      </c>
      <c r="W78">
        <f t="shared" si="56"/>
        <v>5547.3375000000005</v>
      </c>
      <c r="Y78">
        <f>'Fuel Heat Content'!$D$14</f>
        <v>91300</v>
      </c>
      <c r="AD78">
        <v>40</v>
      </c>
      <c r="AI78" s="50"/>
      <c r="BJ78" s="36">
        <v>1997</v>
      </c>
      <c r="BK78" s="17">
        <f>20301693/1000</f>
        <v>20301.692999999999</v>
      </c>
      <c r="BL78" s="18">
        <v>124584</v>
      </c>
      <c r="BM78" s="125">
        <v>6.1</v>
      </c>
      <c r="BN78" s="279">
        <f t="shared" ref="BN78:BN90" si="57">BL78/BK78</f>
        <v>6.1366310681577145</v>
      </c>
      <c r="BO78" s="125"/>
      <c r="CB78" s="369"/>
      <c r="CE78" s="297"/>
      <c r="CJ78" s="289"/>
      <c r="CO78" s="289"/>
      <c r="CQ78" s="129"/>
    </row>
    <row r="79" spans="1:113" x14ac:dyDescent="0.2">
      <c r="B79" t="s">
        <v>794</v>
      </c>
      <c r="C79" t="s">
        <v>793</v>
      </c>
      <c r="V79" s="125"/>
      <c r="W79">
        <f>SUM(W73:W78)</f>
        <v>86630.257499999978</v>
      </c>
      <c r="Y79">
        <f>'Fuel Heat Content'!$D$19</f>
        <v>127595.23809523811</v>
      </c>
      <c r="AD79">
        <v>100</v>
      </c>
      <c r="AI79" s="50"/>
      <c r="BJ79" s="36">
        <f t="shared" ref="BJ79:BJ82" si="58">BE56</f>
        <v>1998</v>
      </c>
      <c r="BK79" s="17">
        <v>25158</v>
      </c>
      <c r="BL79" s="18">
        <v>128359</v>
      </c>
      <c r="BM79" s="125">
        <v>5.0999999999999996</v>
      </c>
      <c r="BN79" s="279">
        <f t="shared" si="57"/>
        <v>5.1021146355036171</v>
      </c>
      <c r="BO79" s="414">
        <f>AVERAGE(BN78,BN80)</f>
        <v>5.7659206515081447</v>
      </c>
      <c r="BP79" s="151">
        <f>BM79/BO79*BK79</f>
        <v>22252.439420310111</v>
      </c>
      <c r="CB79" s="369"/>
      <c r="CE79" s="297"/>
      <c r="CJ79" s="289"/>
      <c r="CO79" s="289"/>
      <c r="CQ79" s="129"/>
    </row>
    <row r="80" spans="1:113" x14ac:dyDescent="0.2">
      <c r="B80" t="s">
        <v>183</v>
      </c>
      <c r="D80" t="s">
        <v>633</v>
      </c>
      <c r="H80" s="264" t="s">
        <v>184</v>
      </c>
      <c r="AD80">
        <v>500</v>
      </c>
      <c r="AI80" s="50"/>
      <c r="BJ80" s="36">
        <f t="shared" si="58"/>
        <v>1999</v>
      </c>
      <c r="BK80" s="17">
        <f>24537320/1000</f>
        <v>24537.32</v>
      </c>
      <c r="BL80" s="18">
        <v>132384</v>
      </c>
      <c r="BM80" s="125">
        <v>5.4</v>
      </c>
      <c r="BN80" s="279">
        <f t="shared" si="57"/>
        <v>5.3952102348585749</v>
      </c>
      <c r="BO80" s="279"/>
      <c r="BP80">
        <f>BK80</f>
        <v>24537.32</v>
      </c>
      <c r="CB80" s="369"/>
      <c r="CE80" s="297"/>
      <c r="CJ80" s="289"/>
      <c r="CO80" s="289"/>
    </row>
    <row r="81" spans="1:93" x14ac:dyDescent="0.2">
      <c r="B81" s="960" t="s">
        <v>606</v>
      </c>
      <c r="C81" s="961"/>
      <c r="D81" t="s">
        <v>633</v>
      </c>
      <c r="H81" s="264" t="s">
        <v>472</v>
      </c>
      <c r="T81" t="s">
        <v>974</v>
      </c>
      <c r="U81">
        <v>66</v>
      </c>
      <c r="V81" s="125">
        <v>10.3</v>
      </c>
      <c r="W81">
        <f t="shared" ref="W81" si="59">U81*V81</f>
        <v>679.80000000000007</v>
      </c>
      <c r="AD81">
        <v>50</v>
      </c>
      <c r="AI81" s="50"/>
      <c r="BJ81" s="36">
        <f t="shared" si="58"/>
        <v>2000</v>
      </c>
      <c r="BK81" s="18">
        <v>25666</v>
      </c>
      <c r="BL81" s="18">
        <v>135029</v>
      </c>
      <c r="BM81" s="125">
        <v>5.3</v>
      </c>
      <c r="BN81" s="279">
        <f t="shared" si="57"/>
        <v>5.2610067793968671</v>
      </c>
      <c r="BO81" s="279"/>
      <c r="BP81">
        <f>BK81</f>
        <v>25666</v>
      </c>
      <c r="CB81" s="369"/>
      <c r="CE81" s="297"/>
      <c r="CJ81" s="289"/>
      <c r="CO81" s="289"/>
    </row>
    <row r="82" spans="1:93" x14ac:dyDescent="0.2">
      <c r="A82" s="7" t="s">
        <v>872</v>
      </c>
      <c r="B82" s="599" t="s">
        <v>1165</v>
      </c>
      <c r="C82" s="492"/>
      <c r="D82" t="s">
        <v>633</v>
      </c>
      <c r="H82" s="599" t="s">
        <v>1166</v>
      </c>
      <c r="T82" t="s">
        <v>974</v>
      </c>
      <c r="U82" s="136">
        <f>69.5*1000*10339/(1000000000)</f>
        <v>0.71856050000000005</v>
      </c>
      <c r="AI82" s="50"/>
      <c r="BJ82" s="36">
        <f t="shared" si="58"/>
        <v>2001</v>
      </c>
      <c r="BK82" s="18">
        <v>25512</v>
      </c>
      <c r="BL82" s="18">
        <v>136584</v>
      </c>
      <c r="BM82" s="125">
        <v>5.4</v>
      </c>
      <c r="BN82" s="279">
        <f t="shared" si="57"/>
        <v>5.3537158984007522</v>
      </c>
      <c r="BO82" s="279"/>
      <c r="BP82">
        <f>BK82</f>
        <v>25512</v>
      </c>
      <c r="CB82" s="369"/>
      <c r="CE82" s="297"/>
      <c r="CJ82" s="289"/>
      <c r="CO82" s="289"/>
    </row>
    <row r="83" spans="1:93" x14ac:dyDescent="0.2">
      <c r="A83" s="7"/>
      <c r="B83" s="599" t="s">
        <v>1167</v>
      </c>
      <c r="C83" s="639"/>
      <c r="D83" s="645" t="s">
        <v>1168</v>
      </c>
      <c r="H83" s="599" t="s">
        <v>1169</v>
      </c>
      <c r="U83" s="136"/>
      <c r="AI83" s="50"/>
      <c r="BJ83" s="36"/>
      <c r="BK83" s="18"/>
      <c r="BL83" s="18"/>
      <c r="BM83" s="125"/>
      <c r="BN83" s="279"/>
      <c r="BO83" s="279"/>
      <c r="CB83" s="369"/>
      <c r="CE83" s="297"/>
      <c r="CJ83" s="289"/>
      <c r="CO83" s="289"/>
    </row>
    <row r="84" spans="1:93" x14ac:dyDescent="0.2">
      <c r="A84" s="7"/>
      <c r="B84" s="599"/>
      <c r="C84" s="639"/>
      <c r="D84" s="645"/>
      <c r="H84" s="599"/>
      <c r="U84" s="136"/>
      <c r="AI84" s="50"/>
      <c r="BJ84" s="36"/>
      <c r="BK84" s="18"/>
      <c r="BL84" s="18"/>
      <c r="BM84" s="125"/>
      <c r="BN84" s="279"/>
      <c r="BO84" s="279"/>
      <c r="CB84" s="369"/>
      <c r="CE84" s="297"/>
      <c r="CJ84" s="289"/>
      <c r="CO84" s="289"/>
    </row>
    <row r="85" spans="1:93" x14ac:dyDescent="0.2">
      <c r="A85" s="956" t="s">
        <v>18</v>
      </c>
      <c r="B85" s="943"/>
      <c r="C85" s="943"/>
      <c r="D85" s="943"/>
      <c r="E85" s="943"/>
      <c r="F85" s="943"/>
      <c r="G85" s="943"/>
      <c r="H85" s="943"/>
      <c r="I85" s="943"/>
      <c r="J85" s="943"/>
      <c r="K85" s="943"/>
      <c r="L85" s="943"/>
      <c r="AD85">
        <v>100</v>
      </c>
      <c r="AI85" s="50"/>
      <c r="BJ85" s="36">
        <f>BE60</f>
        <v>2002</v>
      </c>
      <c r="BK85" s="18">
        <v>26480</v>
      </c>
      <c r="BL85" s="18">
        <v>138737</v>
      </c>
      <c r="BM85" s="125">
        <v>5.2</v>
      </c>
      <c r="BN85" s="279">
        <f t="shared" si="57"/>
        <v>5.2393126888217525</v>
      </c>
      <c r="BO85" s="279"/>
      <c r="BP85">
        <f>BK85</f>
        <v>26480</v>
      </c>
      <c r="CB85" s="369"/>
      <c r="CE85" s="297"/>
      <c r="CJ85" s="289"/>
      <c r="CO85" s="289"/>
    </row>
    <row r="86" spans="1:93" x14ac:dyDescent="0.2">
      <c r="A86" s="8"/>
      <c r="B86" s="556" t="s">
        <v>1046</v>
      </c>
      <c r="AD86">
        <v>200</v>
      </c>
      <c r="AI86" s="50"/>
      <c r="BJ86" s="36">
        <f>BE61</f>
        <v>2003</v>
      </c>
      <c r="BK86" s="18">
        <v>23815</v>
      </c>
      <c r="BL86" s="18">
        <f>140160</f>
        <v>140160</v>
      </c>
      <c r="BM86" s="125">
        <v>5.9</v>
      </c>
      <c r="BN86" s="279">
        <f t="shared" si="57"/>
        <v>5.885366365735881</v>
      </c>
      <c r="BO86" s="414">
        <v>5.22</v>
      </c>
      <c r="BP86" s="151">
        <f>BM86/BO86*BK86</f>
        <v>26917.337164750963</v>
      </c>
      <c r="CB86" s="369"/>
      <c r="CE86" s="297"/>
      <c r="CJ86" s="289"/>
      <c r="CO86" s="289"/>
    </row>
    <row r="87" spans="1:93" x14ac:dyDescent="0.2">
      <c r="A87" s="8"/>
      <c r="B87" s="6" t="s">
        <v>209</v>
      </c>
      <c r="N87" s="264" t="s">
        <v>208</v>
      </c>
      <c r="O87" s="264"/>
      <c r="AD87">
        <f>SUM(AD72:AD86)</f>
        <v>3907</v>
      </c>
      <c r="AI87" s="50"/>
      <c r="BJ87" s="36">
        <f>BE62</f>
        <v>2004</v>
      </c>
      <c r="BK87" s="18">
        <v>24191</v>
      </c>
      <c r="BL87" s="18">
        <v>142370</v>
      </c>
      <c r="BM87" s="125">
        <v>5.9</v>
      </c>
      <c r="BN87" s="279">
        <f t="shared" si="57"/>
        <v>5.8852465793063535</v>
      </c>
      <c r="BO87" s="414">
        <v>5.21</v>
      </c>
      <c r="BP87" s="151">
        <f>BM87/BO87*BK87</f>
        <v>27394.798464491367</v>
      </c>
      <c r="CB87" s="369"/>
      <c r="CE87" s="297"/>
      <c r="CJ87" s="289"/>
      <c r="CO87" s="289"/>
    </row>
    <row r="88" spans="1:93" x14ac:dyDescent="0.2">
      <c r="A88" s="8"/>
      <c r="O88" s="264"/>
      <c r="AI88" s="50"/>
      <c r="BJ88" s="36">
        <v>2005</v>
      </c>
      <c r="BK88" s="18">
        <f>27688664*0.001</f>
        <v>27688.664000000001</v>
      </c>
      <c r="BL88" s="18">
        <v>144028</v>
      </c>
      <c r="BM88" s="125">
        <v>5.9</v>
      </c>
      <c r="BN88" s="279">
        <f t="shared" si="57"/>
        <v>5.2016955386507631</v>
      </c>
      <c r="BO88" s="279"/>
      <c r="BP88">
        <f>BK88</f>
        <v>27688.664000000001</v>
      </c>
      <c r="CB88" s="369"/>
      <c r="CE88" s="297"/>
      <c r="CJ88" s="289"/>
      <c r="CO88" s="289"/>
    </row>
    <row r="89" spans="1:93" x14ac:dyDescent="0.2">
      <c r="A89" s="8"/>
      <c r="AI89" s="50"/>
      <c r="BJ89" s="36">
        <v>2006</v>
      </c>
      <c r="BK89" s="18">
        <f>28106544*0.001</f>
        <v>28106.544000000002</v>
      </c>
      <c r="BL89" s="18">
        <v>142169</v>
      </c>
      <c r="BM89" s="125">
        <v>5.9</v>
      </c>
      <c r="BN89" s="279">
        <f t="shared" si="57"/>
        <v>5.0582170472470747</v>
      </c>
      <c r="BO89" s="279"/>
      <c r="BP89">
        <f>BK89</f>
        <v>28106.544000000002</v>
      </c>
      <c r="CB89" s="369"/>
      <c r="CE89" s="297"/>
      <c r="CJ89" s="289"/>
      <c r="CO89" s="289"/>
    </row>
    <row r="90" spans="1:93" x14ac:dyDescent="0.2">
      <c r="A90" s="127" t="s">
        <v>81</v>
      </c>
      <c r="B90" s="6"/>
      <c r="N90" s="264"/>
      <c r="O90" s="264"/>
      <c r="AI90" s="50"/>
      <c r="BJ90" s="36">
        <v>2007</v>
      </c>
      <c r="BK90" s="18">
        <f>28545442*0.001</f>
        <v>28545.441999999999</v>
      </c>
      <c r="BL90" s="18">
        <v>145046</v>
      </c>
      <c r="BM90" s="125">
        <v>5.0999999999999996</v>
      </c>
      <c r="BN90" s="279">
        <f t="shared" si="57"/>
        <v>5.0812315325157691</v>
      </c>
      <c r="BO90" s="279"/>
      <c r="BP90">
        <f>BK90</f>
        <v>28545.441999999999</v>
      </c>
      <c r="CB90" s="369"/>
      <c r="CE90" s="297"/>
      <c r="CJ90" s="289"/>
      <c r="CO90" s="289"/>
    </row>
    <row r="91" spans="1:93" x14ac:dyDescent="0.2">
      <c r="A91" s="8"/>
      <c r="B91" s="556" t="s">
        <v>962</v>
      </c>
      <c r="N91" s="264"/>
      <c r="O91" s="264"/>
      <c r="AI91" s="50"/>
      <c r="BJ91" s="36">
        <v>2008</v>
      </c>
      <c r="BK91" s="18">
        <f>26818441*0.001</f>
        <v>26818.440999999999</v>
      </c>
      <c r="BL91" s="18">
        <v>143507</v>
      </c>
      <c r="BM91" s="125">
        <v>5.4</v>
      </c>
      <c r="BN91" s="279">
        <f>BL91/BK91</f>
        <v>5.3510567597870438</v>
      </c>
      <c r="BO91" s="279"/>
      <c r="BP91">
        <f>BK91</f>
        <v>26818.440999999999</v>
      </c>
      <c r="CB91" s="369"/>
      <c r="CE91" s="297"/>
      <c r="CJ91" s="289"/>
      <c r="CO91" s="289"/>
    </row>
    <row r="92" spans="1:93" x14ac:dyDescent="0.2">
      <c r="A92" s="8"/>
      <c r="B92" s="556" t="s">
        <v>1044</v>
      </c>
      <c r="C92" s="556" t="s">
        <v>1045</v>
      </c>
      <c r="N92" s="264"/>
      <c r="O92" s="264"/>
      <c r="AI92" s="50"/>
      <c r="BJ92" s="143"/>
      <c r="BK92" s="18"/>
      <c r="BL92" s="18"/>
      <c r="BM92" s="125"/>
      <c r="BN92" s="279"/>
      <c r="BO92" s="279"/>
      <c r="CB92" s="369"/>
      <c r="CE92" s="297"/>
      <c r="CJ92" s="289"/>
      <c r="CO92" s="289"/>
    </row>
    <row r="93" spans="1:93" x14ac:dyDescent="0.2">
      <c r="A93" s="8"/>
      <c r="B93" s="556"/>
      <c r="C93" s="556"/>
      <c r="N93" s="264"/>
      <c r="O93" s="264"/>
      <c r="AI93" s="50"/>
      <c r="BJ93" s="143"/>
      <c r="CB93" s="369"/>
      <c r="CE93" s="297"/>
      <c r="CJ93" s="289"/>
      <c r="CO93" s="289"/>
    </row>
    <row r="94" spans="1:93" x14ac:dyDescent="0.2">
      <c r="A94" s="425" t="s">
        <v>185</v>
      </c>
      <c r="AI94" s="50"/>
      <c r="BJ94" s="36"/>
      <c r="CB94" s="369"/>
      <c r="CE94" s="297"/>
      <c r="CJ94" s="289"/>
      <c r="CO94" s="289"/>
    </row>
    <row r="95" spans="1:93" x14ac:dyDescent="0.2">
      <c r="A95" s="8" t="s">
        <v>105</v>
      </c>
      <c r="AI95" s="50"/>
      <c r="BJ95" t="s">
        <v>511</v>
      </c>
      <c r="CB95" s="369"/>
      <c r="CE95" s="297"/>
      <c r="CJ95" s="289"/>
      <c r="CO95" s="289"/>
    </row>
    <row r="96" spans="1:93" x14ac:dyDescent="0.2">
      <c r="B96" t="s">
        <v>16</v>
      </c>
      <c r="AI96" s="50"/>
      <c r="BJ96" t="s">
        <v>514</v>
      </c>
      <c r="CB96" s="369"/>
      <c r="CE96" s="297"/>
      <c r="CJ96" s="289"/>
      <c r="CO96" s="289"/>
    </row>
    <row r="97" spans="1:93" x14ac:dyDescent="0.2">
      <c r="B97" t="s">
        <v>17</v>
      </c>
      <c r="AI97" s="50"/>
      <c r="BJ97" t="s">
        <v>512</v>
      </c>
      <c r="CB97" s="369"/>
      <c r="CE97" s="297"/>
      <c r="CJ97" s="289"/>
      <c r="CO97" s="289"/>
    </row>
    <row r="98" spans="1:93" x14ac:dyDescent="0.2">
      <c r="B98" t="s">
        <v>792</v>
      </c>
      <c r="AI98" s="50"/>
      <c r="BJ98" t="s">
        <v>513</v>
      </c>
      <c r="CB98" s="369"/>
      <c r="CE98" s="297"/>
      <c r="CJ98" s="289"/>
      <c r="CO98" s="289"/>
    </row>
    <row r="99" spans="1:93" x14ac:dyDescent="0.2">
      <c r="B99" t="s">
        <v>791</v>
      </c>
      <c r="AI99" s="50"/>
      <c r="BJ99" t="s">
        <v>515</v>
      </c>
      <c r="CB99" s="369"/>
      <c r="CE99" s="297"/>
      <c r="CJ99" s="289"/>
      <c r="CO99" s="289"/>
    </row>
    <row r="100" spans="1:93" x14ac:dyDescent="0.2">
      <c r="B100" t="s">
        <v>183</v>
      </c>
      <c r="D100" t="s">
        <v>633</v>
      </c>
      <c r="H100" s="264" t="s">
        <v>200</v>
      </c>
      <c r="AI100" s="50"/>
      <c r="BJ100" t="s">
        <v>516</v>
      </c>
      <c r="CB100" s="369"/>
      <c r="CE100" s="297"/>
      <c r="CJ100" s="289"/>
      <c r="CO100" s="289"/>
    </row>
    <row r="101" spans="1:93" x14ac:dyDescent="0.2">
      <c r="B101" s="638" t="s">
        <v>76</v>
      </c>
      <c r="D101" t="s">
        <v>633</v>
      </c>
      <c r="H101" s="264" t="s">
        <v>473</v>
      </c>
      <c r="AI101" s="50"/>
      <c r="CB101" s="369"/>
      <c r="CE101" s="297"/>
      <c r="CJ101" s="289"/>
      <c r="CO101" s="289"/>
    </row>
    <row r="102" spans="1:93" x14ac:dyDescent="0.2">
      <c r="B102" s="599" t="s">
        <v>1165</v>
      </c>
      <c r="C102" s="639"/>
      <c r="D102" t="s">
        <v>633</v>
      </c>
      <c r="H102" s="556" t="s">
        <v>1170</v>
      </c>
      <c r="AI102" s="50"/>
      <c r="CB102" s="369"/>
      <c r="CE102" s="297"/>
      <c r="CJ102" s="289"/>
      <c r="CO102" s="289"/>
    </row>
    <row r="103" spans="1:93" x14ac:dyDescent="0.2">
      <c r="B103" s="599" t="s">
        <v>1167</v>
      </c>
      <c r="C103" s="639"/>
      <c r="D103" s="645" t="s">
        <v>1168</v>
      </c>
      <c r="H103" s="599" t="s">
        <v>1169</v>
      </c>
      <c r="AI103" s="50"/>
      <c r="CB103" s="369"/>
      <c r="CE103" s="297"/>
      <c r="CJ103" s="289"/>
      <c r="CO103" s="289"/>
    </row>
    <row r="104" spans="1:93" x14ac:dyDescent="0.2">
      <c r="B104" s="599"/>
      <c r="C104" s="639"/>
      <c r="D104" s="645"/>
      <c r="H104" s="599"/>
      <c r="AI104" s="50"/>
      <c r="CB104" s="369"/>
      <c r="CE104" s="297"/>
      <c r="CJ104" s="289"/>
      <c r="CO104" s="289"/>
    </row>
    <row r="105" spans="1:93" x14ac:dyDescent="0.2">
      <c r="A105" s="8" t="s">
        <v>18</v>
      </c>
      <c r="AI105" s="50"/>
      <c r="CB105" s="369"/>
      <c r="CE105" s="297"/>
      <c r="CJ105" s="289"/>
      <c r="CO105" s="289"/>
    </row>
    <row r="106" spans="1:93" x14ac:dyDescent="0.2">
      <c r="A106" s="8"/>
      <c r="B106" s="556" t="s">
        <v>1043</v>
      </c>
      <c r="AI106" s="50"/>
      <c r="CB106" s="369"/>
      <c r="CE106" s="297"/>
      <c r="CJ106" s="289"/>
      <c r="CO106" s="289"/>
    </row>
    <row r="107" spans="1:93" x14ac:dyDescent="0.2">
      <c r="A107" s="8"/>
      <c r="B107" s="6" t="s">
        <v>209</v>
      </c>
      <c r="N107" s="264" t="s">
        <v>208</v>
      </c>
      <c r="O107" s="264"/>
      <c r="AI107" s="50"/>
      <c r="CB107" s="369"/>
      <c r="CE107" s="297"/>
      <c r="CJ107" s="289"/>
      <c r="CO107" s="289"/>
    </row>
    <row r="108" spans="1:93" x14ac:dyDescent="0.2">
      <c r="A108" s="127" t="s">
        <v>634</v>
      </c>
      <c r="AI108" s="50"/>
      <c r="CB108" s="369"/>
      <c r="CE108" s="297"/>
      <c r="CJ108" s="289"/>
      <c r="CO108" s="289"/>
    </row>
    <row r="109" spans="1:93" x14ac:dyDescent="0.2">
      <c r="A109" s="8" t="s">
        <v>635</v>
      </c>
      <c r="AI109" s="50"/>
      <c r="CB109" s="369"/>
      <c r="CE109" s="297"/>
      <c r="CJ109" s="289"/>
      <c r="CO109" s="289"/>
    </row>
    <row r="110" spans="1:93" x14ac:dyDescent="0.2">
      <c r="A110" s="8"/>
      <c r="B110" s="638" t="s">
        <v>1171</v>
      </c>
      <c r="C110" s="556" t="s">
        <v>1172</v>
      </c>
      <c r="AI110" s="50"/>
      <c r="CB110" s="369"/>
      <c r="CE110" s="297"/>
      <c r="CJ110" s="289"/>
      <c r="CO110" s="289"/>
    </row>
    <row r="111" spans="1:93" x14ac:dyDescent="0.2">
      <c r="A111" s="8"/>
      <c r="B111" s="599" t="s">
        <v>1051</v>
      </c>
      <c r="C111" s="556" t="s">
        <v>1047</v>
      </c>
      <c r="AI111" s="50"/>
      <c r="CB111" s="369"/>
      <c r="CE111" s="297"/>
      <c r="CJ111" s="289"/>
      <c r="CO111" s="289"/>
    </row>
    <row r="112" spans="1:93" x14ac:dyDescent="0.2">
      <c r="A112" s="8" t="s">
        <v>18</v>
      </c>
      <c r="AI112" s="50"/>
      <c r="CB112" s="369"/>
      <c r="CE112" s="297"/>
      <c r="CJ112" s="289"/>
      <c r="CO112" s="289"/>
    </row>
    <row r="113" spans="1:93" x14ac:dyDescent="0.2">
      <c r="B113" s="7" t="s">
        <v>876</v>
      </c>
      <c r="AI113" s="50"/>
      <c r="CB113" s="369"/>
      <c r="CE113" s="297"/>
      <c r="CJ113" s="289"/>
      <c r="CO113" s="289"/>
    </row>
    <row r="114" spans="1:93" x14ac:dyDescent="0.2">
      <c r="A114" s="8"/>
      <c r="B114" s="556" t="s">
        <v>1048</v>
      </c>
      <c r="AI114" s="50"/>
      <c r="CB114" s="369"/>
      <c r="CE114" s="297"/>
      <c r="CJ114" s="289"/>
      <c r="CO114" s="289"/>
    </row>
    <row r="115" spans="1:93" x14ac:dyDescent="0.2">
      <c r="A115" s="127" t="s">
        <v>636</v>
      </c>
      <c r="C115" s="264"/>
      <c r="AI115" s="50"/>
      <c r="CB115" s="369"/>
      <c r="CE115" s="297"/>
      <c r="CJ115" s="289"/>
      <c r="CO115" s="289"/>
    </row>
    <row r="116" spans="1:93" x14ac:dyDescent="0.2">
      <c r="A116" s="8" t="s">
        <v>635</v>
      </c>
      <c r="AI116" s="50"/>
      <c r="CB116" s="369"/>
      <c r="CE116" s="297"/>
      <c r="CJ116" s="289"/>
      <c r="CO116" s="289"/>
    </row>
    <row r="117" spans="1:93" x14ac:dyDescent="0.2">
      <c r="A117" s="8"/>
      <c r="B117" s="638" t="s">
        <v>1171</v>
      </c>
      <c r="C117" s="556" t="s">
        <v>1172</v>
      </c>
      <c r="AI117" s="50"/>
      <c r="CB117" s="369"/>
      <c r="CE117" s="297"/>
      <c r="CJ117" s="289"/>
      <c r="CO117" s="289"/>
    </row>
    <row r="118" spans="1:93" x14ac:dyDescent="0.2">
      <c r="A118" s="8"/>
      <c r="B118" s="599" t="s">
        <v>1051</v>
      </c>
      <c r="C118" s="556" t="s">
        <v>1052</v>
      </c>
      <c r="AI118" s="50"/>
      <c r="CB118" s="369"/>
      <c r="CE118" s="297"/>
      <c r="CJ118" s="289"/>
      <c r="CO118" s="289"/>
    </row>
    <row r="119" spans="1:93" x14ac:dyDescent="0.2">
      <c r="A119" s="8" t="s">
        <v>18</v>
      </c>
      <c r="AI119" s="50"/>
      <c r="CB119" s="369"/>
      <c r="CE119" s="297"/>
      <c r="CJ119" s="289"/>
      <c r="CO119" s="289"/>
    </row>
    <row r="120" spans="1:93" x14ac:dyDescent="0.2">
      <c r="B120" t="s">
        <v>522</v>
      </c>
      <c r="AI120" s="50"/>
      <c r="CB120" s="369"/>
      <c r="CE120" s="297"/>
      <c r="CJ120" s="289"/>
      <c r="CO120" s="289"/>
    </row>
    <row r="121" spans="1:93" x14ac:dyDescent="0.2">
      <c r="A121" s="8"/>
      <c r="B121" s="556" t="s">
        <v>1048</v>
      </c>
      <c r="AI121" s="50"/>
      <c r="CB121" s="369"/>
      <c r="CE121" s="297"/>
      <c r="CJ121" s="289"/>
      <c r="CO121" s="289"/>
    </row>
    <row r="122" spans="1:93" x14ac:dyDescent="0.2">
      <c r="A122" s="8"/>
      <c r="B122" s="556"/>
      <c r="AI122" s="50"/>
      <c r="CB122" s="369"/>
      <c r="CE122" s="297"/>
      <c r="CJ122" s="289"/>
      <c r="CO122" s="289"/>
    </row>
    <row r="123" spans="1:93" x14ac:dyDescent="0.2">
      <c r="A123" s="425" t="s">
        <v>315</v>
      </c>
      <c r="AI123" s="50"/>
      <c r="CB123" s="369"/>
      <c r="CE123" s="297"/>
      <c r="CJ123" s="289"/>
      <c r="CO123" s="289"/>
    </row>
    <row r="124" spans="1:93" x14ac:dyDescent="0.2">
      <c r="B124" s="556" t="s">
        <v>1358</v>
      </c>
      <c r="AI124" s="163"/>
      <c r="CB124" s="369"/>
      <c r="CE124" s="297"/>
      <c r="CJ124" s="289"/>
      <c r="CO124" s="289"/>
    </row>
    <row r="125" spans="1:93" x14ac:dyDescent="0.2">
      <c r="CB125" s="369"/>
      <c r="CE125" s="297"/>
      <c r="CJ125" s="289"/>
      <c r="CO125" s="289"/>
    </row>
    <row r="126" spans="1:93" x14ac:dyDescent="0.2">
      <c r="A126" s="425" t="s">
        <v>551</v>
      </c>
      <c r="CB126" s="369"/>
      <c r="CE126" s="297"/>
      <c r="CJ126" s="289"/>
      <c r="CO126" s="289"/>
    </row>
    <row r="127" spans="1:93" x14ac:dyDescent="0.2">
      <c r="B127" s="556" t="s">
        <v>1359</v>
      </c>
      <c r="CB127" s="369"/>
      <c r="CE127" s="297"/>
      <c r="CJ127" s="289"/>
      <c r="CO127" s="289"/>
    </row>
    <row r="128" spans="1:93" x14ac:dyDescent="0.2">
      <c r="CB128" s="369"/>
      <c r="CE128" s="297"/>
      <c r="CJ128" s="289"/>
      <c r="CO128" s="289"/>
    </row>
    <row r="129" spans="1:93" x14ac:dyDescent="0.2">
      <c r="A129" s="127" t="s">
        <v>110</v>
      </c>
      <c r="C129" t="s">
        <v>207</v>
      </c>
      <c r="CB129" s="369"/>
      <c r="CE129" s="297"/>
      <c r="CJ129" s="289"/>
      <c r="CO129" s="289"/>
    </row>
    <row r="130" spans="1:93" x14ac:dyDescent="0.2">
      <c r="A130" s="8"/>
      <c r="B130" s="6" t="s">
        <v>303</v>
      </c>
      <c r="CB130" s="369"/>
      <c r="CE130" s="297"/>
      <c r="CJ130" s="289"/>
      <c r="CO130" s="289"/>
    </row>
    <row r="131" spans="1:93" x14ac:dyDescent="0.2">
      <c r="A131" s="8"/>
      <c r="B131" t="s">
        <v>111</v>
      </c>
      <c r="CB131" s="369"/>
      <c r="CE131" s="297"/>
      <c r="CJ131" s="289"/>
      <c r="CO131" s="289"/>
    </row>
    <row r="132" spans="1:93" x14ac:dyDescent="0.2">
      <c r="A132" s="8"/>
      <c r="B132" t="s">
        <v>112</v>
      </c>
      <c r="CB132" s="369"/>
      <c r="CE132" s="297"/>
      <c r="CJ132" s="289"/>
      <c r="CO132" s="289"/>
    </row>
    <row r="133" spans="1:93" x14ac:dyDescent="0.2">
      <c r="B133" t="s">
        <v>597</v>
      </c>
      <c r="CB133" s="369"/>
      <c r="CE133" s="297"/>
      <c r="CJ133" s="289"/>
      <c r="CO133" s="289"/>
    </row>
    <row r="134" spans="1:93" x14ac:dyDescent="0.2">
      <c r="B134" s="574" t="s">
        <v>1056</v>
      </c>
      <c r="C134" s="264" t="s">
        <v>1073</v>
      </c>
      <c r="M134" s="556" t="s">
        <v>1177</v>
      </c>
      <c r="CB134" s="369"/>
      <c r="CE134" s="297"/>
      <c r="CJ134" s="289"/>
      <c r="CO134" s="289"/>
    </row>
    <row r="135" spans="1:93" x14ac:dyDescent="0.2">
      <c r="B135" s="105"/>
      <c r="CB135" s="369"/>
      <c r="CE135" s="297"/>
      <c r="CJ135" s="289"/>
      <c r="CO135" s="289"/>
    </row>
    <row r="136" spans="1:93" x14ac:dyDescent="0.2">
      <c r="B136" s="386" t="s">
        <v>304</v>
      </c>
      <c r="CB136" s="369"/>
      <c r="CE136" s="297"/>
      <c r="CJ136" s="289"/>
      <c r="CO136" s="289"/>
    </row>
    <row r="137" spans="1:93" x14ac:dyDescent="0.2">
      <c r="B137" s="105" t="s">
        <v>418</v>
      </c>
      <c r="CB137" s="369"/>
      <c r="CE137" s="297"/>
      <c r="CJ137" s="289"/>
      <c r="CO137" s="289"/>
    </row>
    <row r="138" spans="1:93" x14ac:dyDescent="0.2">
      <c r="B138" s="574" t="s">
        <v>1056</v>
      </c>
      <c r="C138" t="s">
        <v>419</v>
      </c>
      <c r="D138" s="105"/>
      <c r="CB138" s="369"/>
      <c r="CE138" s="297"/>
      <c r="CJ138" s="289"/>
      <c r="CO138" s="289"/>
    </row>
    <row r="139" spans="1:93" x14ac:dyDescent="0.2">
      <c r="B139" s="386" t="s">
        <v>424</v>
      </c>
      <c r="CB139" s="369"/>
      <c r="CE139" s="297"/>
      <c r="CJ139" s="289"/>
      <c r="CO139" s="289"/>
    </row>
    <row r="140" spans="1:93" x14ac:dyDescent="0.2">
      <c r="B140" s="105" t="s">
        <v>420</v>
      </c>
      <c r="CB140" s="369"/>
      <c r="CE140" s="297"/>
      <c r="CJ140" s="289"/>
      <c r="CO140" s="289"/>
    </row>
    <row r="141" spans="1:93" x14ac:dyDescent="0.2">
      <c r="B141" s="574" t="s">
        <v>1056</v>
      </c>
      <c r="C141" t="s">
        <v>419</v>
      </c>
      <c r="D141" s="105"/>
      <c r="CB141" s="369"/>
      <c r="CE141" s="297"/>
      <c r="CJ141" s="289"/>
      <c r="CO141" s="289"/>
    </row>
    <row r="142" spans="1:93" x14ac:dyDescent="0.2">
      <c r="B142" s="420" t="s">
        <v>423</v>
      </c>
      <c r="CB142" s="369"/>
      <c r="CE142" s="297"/>
      <c r="CJ142" s="289"/>
      <c r="CO142" s="289"/>
    </row>
    <row r="143" spans="1:93" x14ac:dyDescent="0.2">
      <c r="B143" s="105" t="s">
        <v>433</v>
      </c>
      <c r="C143" t="s">
        <v>434</v>
      </c>
      <c r="CB143" s="369"/>
      <c r="CE143" s="297"/>
      <c r="CJ143" s="289"/>
      <c r="CO143" s="289"/>
    </row>
    <row r="144" spans="1:93" x14ac:dyDescent="0.2">
      <c r="B144" s="574" t="s">
        <v>1056</v>
      </c>
      <c r="C144" t="s">
        <v>419</v>
      </c>
      <c r="D144" s="105"/>
      <c r="CB144" s="369"/>
      <c r="CE144" s="297"/>
      <c r="CJ144" s="289"/>
      <c r="CO144" s="289"/>
    </row>
    <row r="145" spans="1:93" x14ac:dyDescent="0.2">
      <c r="B145" s="386" t="s">
        <v>421</v>
      </c>
      <c r="D145" s="105"/>
      <c r="CB145" s="369"/>
      <c r="CE145" s="297"/>
      <c r="CJ145" s="289"/>
      <c r="CO145" s="289"/>
    </row>
    <row r="146" spans="1:93" x14ac:dyDescent="0.2">
      <c r="B146" s="105" t="s">
        <v>426</v>
      </c>
      <c r="D146" s="105"/>
      <c r="CB146" s="369"/>
      <c r="CE146" s="297"/>
      <c r="CJ146" s="289"/>
      <c r="CO146" s="289"/>
    </row>
    <row r="147" spans="1:93" x14ac:dyDescent="0.2">
      <c r="B147" s="105" t="s">
        <v>637</v>
      </c>
      <c r="C147" s="105" t="s">
        <v>306</v>
      </c>
      <c r="CB147" s="369"/>
      <c r="CE147" s="297"/>
      <c r="CJ147" s="289"/>
      <c r="CO147" s="289"/>
    </row>
    <row r="148" spans="1:93" x14ac:dyDescent="0.2">
      <c r="B148" s="574" t="s">
        <v>1056</v>
      </c>
      <c r="C148" t="s">
        <v>419</v>
      </c>
      <c r="D148" s="105"/>
      <c r="CB148" s="369"/>
      <c r="CE148" s="297"/>
      <c r="CJ148" s="289"/>
      <c r="CO148" s="289"/>
    </row>
    <row r="149" spans="1:93" x14ac:dyDescent="0.2">
      <c r="B149" s="7" t="s">
        <v>427</v>
      </c>
      <c r="C149" s="207"/>
      <c r="D149" s="6"/>
      <c r="E149" s="6"/>
      <c r="F149" s="6"/>
      <c r="G149" s="6"/>
      <c r="H149" s="6"/>
      <c r="I149" s="6"/>
      <c r="J149" s="6"/>
      <c r="CB149" s="369"/>
      <c r="CE149" s="297"/>
      <c r="CJ149" s="289"/>
      <c r="CO149" s="289"/>
    </row>
    <row r="150" spans="1:93" x14ac:dyDescent="0.2">
      <c r="B150" s="208" t="s">
        <v>425</v>
      </c>
      <c r="C150" s="207"/>
      <c r="D150" s="6"/>
      <c r="E150" s="6"/>
      <c r="F150" s="6"/>
      <c r="G150" s="6"/>
      <c r="H150" s="6"/>
      <c r="I150" s="6"/>
      <c r="J150" s="6"/>
      <c r="CB150" s="369"/>
      <c r="CE150" s="297"/>
      <c r="CJ150" s="289"/>
      <c r="CO150" s="289"/>
    </row>
    <row r="151" spans="1:93" x14ac:dyDescent="0.2">
      <c r="B151" s="386" t="s">
        <v>422</v>
      </c>
      <c r="D151" s="105"/>
      <c r="CB151" s="369"/>
      <c r="CE151" s="297"/>
      <c r="CJ151" s="289"/>
      <c r="CO151" s="289"/>
    </row>
    <row r="152" spans="1:93" x14ac:dyDescent="0.2">
      <c r="B152" s="105" t="s">
        <v>308</v>
      </c>
      <c r="D152" s="105"/>
      <c r="CB152" s="369"/>
      <c r="CE152" s="297"/>
      <c r="CJ152" s="289"/>
      <c r="CO152" s="289"/>
    </row>
    <row r="153" spans="1:93" x14ac:dyDescent="0.2">
      <c r="B153" s="105" t="s">
        <v>113</v>
      </c>
      <c r="CB153" s="369"/>
      <c r="CE153" s="297"/>
      <c r="CJ153" s="289"/>
      <c r="CO153" s="289"/>
    </row>
    <row r="154" spans="1:93" x14ac:dyDescent="0.2">
      <c r="B154" s="105" t="s">
        <v>206</v>
      </c>
      <c r="CB154" s="369"/>
      <c r="CE154" s="297"/>
      <c r="CJ154" s="289"/>
      <c r="CO154" s="289"/>
    </row>
    <row r="155" spans="1:93" x14ac:dyDescent="0.2">
      <c r="B155" t="s">
        <v>795</v>
      </c>
      <c r="CB155" s="369"/>
      <c r="CE155" s="297"/>
      <c r="CJ155" s="289"/>
      <c r="CO155" s="289"/>
    </row>
    <row r="156" spans="1:93" x14ac:dyDescent="0.2">
      <c r="B156" s="646" t="s">
        <v>1173</v>
      </c>
      <c r="C156" s="208"/>
      <c r="D156" s="6"/>
      <c r="E156" s="6"/>
      <c r="F156" s="6"/>
      <c r="G156" s="6"/>
      <c r="H156" s="6"/>
      <c r="I156" s="6"/>
      <c r="J156" s="6"/>
      <c r="M156" s="321"/>
      <c r="CB156" s="369"/>
      <c r="CE156" s="297"/>
      <c r="CJ156" s="289"/>
      <c r="CO156" s="289"/>
    </row>
    <row r="157" spans="1:93" x14ac:dyDescent="0.2">
      <c r="B157" s="646"/>
      <c r="C157" s="208"/>
      <c r="D157" s="6"/>
      <c r="E157" s="6"/>
      <c r="F157" s="6"/>
      <c r="G157" s="6"/>
      <c r="H157" s="6"/>
      <c r="I157" s="6"/>
      <c r="J157" s="6"/>
      <c r="M157" s="321"/>
      <c r="CB157" s="369"/>
      <c r="CE157" s="297"/>
      <c r="CJ157" s="289"/>
      <c r="CO157" s="289"/>
    </row>
    <row r="158" spans="1:93" x14ac:dyDescent="0.2">
      <c r="A158" s="6" t="s">
        <v>430</v>
      </c>
      <c r="B158" s="207"/>
      <c r="D158" s="6"/>
      <c r="E158" s="6"/>
      <c r="F158" s="6"/>
      <c r="G158" s="6"/>
      <c r="H158" s="6"/>
      <c r="I158" s="6"/>
      <c r="J158" s="6"/>
      <c r="M158" s="264"/>
      <c r="CB158" s="369"/>
      <c r="CE158" s="297"/>
      <c r="CJ158" s="289"/>
      <c r="CO158" s="289"/>
    </row>
    <row r="159" spans="1:93" x14ac:dyDescent="0.2">
      <c r="A159" s="6"/>
      <c r="B159" s="207" t="s">
        <v>432</v>
      </c>
      <c r="D159" s="6"/>
      <c r="E159" s="6"/>
      <c r="F159" s="6"/>
      <c r="G159" s="6"/>
      <c r="H159" s="6"/>
      <c r="I159" s="6"/>
      <c r="J159" s="6"/>
      <c r="M159" s="264"/>
      <c r="CB159" s="369"/>
      <c r="CE159" s="297"/>
      <c r="CJ159" s="289"/>
      <c r="CO159" s="289"/>
    </row>
    <row r="160" spans="1:93" x14ac:dyDescent="0.2">
      <c r="B160" s="574" t="s">
        <v>1175</v>
      </c>
      <c r="I160" s="264" t="s">
        <v>417</v>
      </c>
      <c r="CB160" s="369"/>
      <c r="CE160" s="297"/>
      <c r="CJ160" s="289"/>
      <c r="CO160" s="289"/>
    </row>
    <row r="161" spans="1:93" x14ac:dyDescent="0.2">
      <c r="B161" s="105"/>
      <c r="C161" s="264" t="s">
        <v>1073</v>
      </c>
      <c r="M161" s="556" t="s">
        <v>1174</v>
      </c>
      <c r="CB161" s="369"/>
      <c r="CE161" s="297"/>
      <c r="CJ161" s="289"/>
      <c r="CO161" s="289"/>
    </row>
    <row r="162" spans="1:93" x14ac:dyDescent="0.2">
      <c r="B162" s="386" t="s">
        <v>307</v>
      </c>
      <c r="CB162" s="369"/>
      <c r="CE162" s="297"/>
      <c r="CJ162" s="289"/>
      <c r="CO162" s="289"/>
    </row>
    <row r="163" spans="1:93" x14ac:dyDescent="0.2">
      <c r="B163" s="556" t="s">
        <v>1060</v>
      </c>
      <c r="C163" s="556" t="s">
        <v>1176</v>
      </c>
      <c r="CB163" s="369"/>
      <c r="CE163" s="297"/>
      <c r="CJ163" s="289"/>
      <c r="CO163" s="289"/>
    </row>
    <row r="164" spans="1:93" x14ac:dyDescent="0.2">
      <c r="C164" t="s">
        <v>443</v>
      </c>
      <c r="CB164" s="369"/>
      <c r="CE164" s="297"/>
      <c r="CJ164" s="289"/>
      <c r="CO164" s="289"/>
    </row>
    <row r="165" spans="1:93" x14ac:dyDescent="0.2">
      <c r="C165" t="s">
        <v>444</v>
      </c>
      <c r="CB165" s="369"/>
      <c r="CE165" s="297"/>
      <c r="CJ165" s="289"/>
      <c r="CO165" s="289"/>
    </row>
    <row r="166" spans="1:93" x14ac:dyDescent="0.2">
      <c r="C166" t="s">
        <v>445</v>
      </c>
      <c r="I166" s="7" t="s">
        <v>877</v>
      </c>
      <c r="CB166" s="369"/>
      <c r="CE166" s="297"/>
      <c r="CJ166" s="289"/>
      <c r="CO166" s="289"/>
    </row>
    <row r="167" spans="1:93" x14ac:dyDescent="0.2">
      <c r="B167" s="6" t="s">
        <v>88</v>
      </c>
      <c r="CB167" s="369"/>
      <c r="CE167" s="297"/>
      <c r="CJ167" s="289"/>
      <c r="CO167" s="289"/>
    </row>
    <row r="168" spans="1:93" x14ac:dyDescent="0.2">
      <c r="B168" s="556" t="s">
        <v>1060</v>
      </c>
      <c r="C168" s="556" t="s">
        <v>1176</v>
      </c>
      <c r="I168" t="s">
        <v>89</v>
      </c>
      <c r="CB168" s="369"/>
      <c r="CE168" s="297"/>
      <c r="CJ168" s="289"/>
      <c r="CO168" s="289"/>
    </row>
    <row r="169" spans="1:93" x14ac:dyDescent="0.2">
      <c r="B169" s="6"/>
      <c r="C169" t="s">
        <v>90</v>
      </c>
      <c r="CB169" s="369"/>
      <c r="CE169" s="297"/>
      <c r="CJ169" s="289"/>
      <c r="CO169" s="289"/>
    </row>
    <row r="170" spans="1:93" x14ac:dyDescent="0.2">
      <c r="A170" s="127" t="s">
        <v>525</v>
      </c>
      <c r="CB170" s="369"/>
      <c r="CE170" s="297"/>
      <c r="CJ170" s="289"/>
      <c r="CO170" s="289"/>
    </row>
    <row r="171" spans="1:93" x14ac:dyDescent="0.2">
      <c r="A171" s="8"/>
      <c r="B171" s="647" t="s">
        <v>453</v>
      </c>
      <c r="C171" s="648"/>
      <c r="D171" s="648"/>
      <c r="E171" s="648"/>
      <c r="F171" s="648"/>
      <c r="G171" s="648"/>
      <c r="H171" s="648"/>
      <c r="I171" s="648"/>
      <c r="J171" s="648"/>
      <c r="K171" s="648"/>
      <c r="L171" s="648"/>
      <c r="M171" s="648"/>
      <c r="CB171" s="369"/>
      <c r="CE171" s="297"/>
      <c r="CJ171" s="289"/>
      <c r="CO171" s="289"/>
    </row>
    <row r="172" spans="1:93" x14ac:dyDescent="0.2">
      <c r="B172" s="648" t="s">
        <v>1179</v>
      </c>
      <c r="C172" s="648"/>
      <c r="D172" s="648"/>
      <c r="E172" s="648"/>
      <c r="F172" s="648"/>
      <c r="G172" s="648"/>
      <c r="H172" s="648"/>
      <c r="I172" s="648"/>
      <c r="J172" s="648"/>
      <c r="K172" s="648"/>
      <c r="L172" s="648"/>
      <c r="M172" s="648"/>
      <c r="CB172" s="369"/>
      <c r="CE172" s="297"/>
      <c r="CJ172" s="289"/>
      <c r="CO172" s="289"/>
    </row>
    <row r="173" spans="1:93" x14ac:dyDescent="0.2">
      <c r="B173" s="648" t="s">
        <v>1180</v>
      </c>
      <c r="C173" s="648"/>
      <c r="D173" s="648"/>
      <c r="E173" s="648"/>
      <c r="F173" s="648"/>
      <c r="G173" s="648"/>
      <c r="H173" s="648"/>
      <c r="I173" s="648"/>
      <c r="J173" s="648"/>
      <c r="K173" s="648"/>
      <c r="L173" s="648"/>
      <c r="M173" s="648"/>
      <c r="CB173" s="369"/>
      <c r="CE173" s="297"/>
      <c r="CJ173" s="289"/>
      <c r="CO173" s="289"/>
    </row>
    <row r="174" spans="1:93" x14ac:dyDescent="0.2">
      <c r="B174" s="648" t="s">
        <v>201</v>
      </c>
      <c r="C174" s="648" t="s">
        <v>1181</v>
      </c>
      <c r="D174" s="648"/>
      <c r="E174" s="648"/>
      <c r="F174" s="648"/>
      <c r="G174" s="648"/>
      <c r="H174" s="648"/>
      <c r="I174" s="648"/>
      <c r="J174" s="648"/>
      <c r="K174" s="648"/>
      <c r="L174" s="648"/>
      <c r="M174" s="648"/>
      <c r="CB174" s="369"/>
      <c r="CE174" s="297"/>
      <c r="CJ174" s="289"/>
      <c r="CO174" s="289"/>
    </row>
    <row r="175" spans="1:93" x14ac:dyDescent="0.2">
      <c r="B175" s="649" t="s">
        <v>455</v>
      </c>
      <c r="C175" s="649"/>
      <c r="D175" s="649"/>
      <c r="E175" s="649"/>
      <c r="F175" s="649"/>
      <c r="G175" s="649"/>
      <c r="H175" s="650"/>
      <c r="I175" s="649"/>
      <c r="J175" s="649"/>
      <c r="K175" s="649"/>
      <c r="L175" s="649"/>
      <c r="M175" s="649"/>
      <c r="N175" s="291"/>
      <c r="O175" s="291"/>
      <c r="CB175" s="369"/>
      <c r="CE175" s="297"/>
      <c r="CJ175" s="289"/>
      <c r="CO175" s="289"/>
    </row>
    <row r="176" spans="1:93" x14ac:dyDescent="0.2">
      <c r="B176" s="651" t="s">
        <v>1182</v>
      </c>
      <c r="C176" s="649"/>
      <c r="D176" s="649"/>
      <c r="E176" s="649"/>
      <c r="F176" s="649"/>
      <c r="G176" s="649"/>
      <c r="H176" s="650"/>
      <c r="I176" s="649"/>
      <c r="J176" s="649"/>
      <c r="K176" s="649"/>
      <c r="L176" s="649"/>
      <c r="M176" s="649"/>
      <c r="N176" s="291"/>
      <c r="O176" s="291"/>
      <c r="CB176" s="369"/>
      <c r="CE176" s="297"/>
      <c r="CJ176" s="289"/>
      <c r="CO176" s="289"/>
    </row>
    <row r="177" spans="1:93" x14ac:dyDescent="0.2">
      <c r="B177" s="649" t="s">
        <v>1055</v>
      </c>
      <c r="C177" s="649"/>
      <c r="D177" s="649"/>
      <c r="E177" s="649"/>
      <c r="F177" s="649"/>
      <c r="G177" s="649"/>
      <c r="H177" s="650"/>
      <c r="I177" s="649"/>
      <c r="J177" s="649"/>
      <c r="K177" s="649"/>
      <c r="L177" s="649"/>
      <c r="M177" s="649"/>
      <c r="N177" s="291"/>
      <c r="O177" s="291"/>
      <c r="CB177" s="369"/>
      <c r="CE177" s="297"/>
      <c r="CJ177" s="289"/>
      <c r="CO177" s="289"/>
    </row>
    <row r="178" spans="1:93" x14ac:dyDescent="0.2">
      <c r="B178" s="649" t="s">
        <v>1183</v>
      </c>
      <c r="C178" s="649"/>
      <c r="D178" s="649"/>
      <c r="E178" s="649"/>
      <c r="F178" s="649"/>
      <c r="G178" s="649"/>
      <c r="H178" s="650"/>
      <c r="I178" s="649"/>
      <c r="J178" s="649"/>
      <c r="K178" s="649"/>
      <c r="L178" s="649"/>
      <c r="M178" s="649"/>
      <c r="N178" s="291"/>
      <c r="O178" s="291"/>
      <c r="CB178" s="369"/>
      <c r="CE178" s="297"/>
      <c r="CJ178" s="289"/>
      <c r="CO178" s="289"/>
    </row>
    <row r="179" spans="1:93" x14ac:dyDescent="0.2">
      <c r="B179" s="291" t="s">
        <v>1178</v>
      </c>
      <c r="C179" s="291"/>
      <c r="D179" s="291"/>
      <c r="E179" s="291"/>
      <c r="F179" s="291"/>
      <c r="G179" s="291"/>
      <c r="H179" s="295"/>
      <c r="I179" s="291"/>
      <c r="J179" s="291"/>
      <c r="K179" s="291"/>
      <c r="L179" s="291"/>
      <c r="M179" s="291"/>
      <c r="N179" s="291"/>
      <c r="O179" s="291"/>
      <c r="CB179" s="369"/>
      <c r="CE179" s="297"/>
      <c r="CJ179" s="289"/>
      <c r="CO179" s="289"/>
    </row>
    <row r="180" spans="1:93" x14ac:dyDescent="0.2">
      <c r="B180" s="292" t="s">
        <v>1186</v>
      </c>
      <c r="C180" s="291"/>
      <c r="D180" s="291"/>
      <c r="E180" s="291"/>
      <c r="F180" s="291"/>
      <c r="G180" s="291"/>
      <c r="H180" s="295"/>
      <c r="I180" s="291"/>
      <c r="J180" s="291"/>
      <c r="K180" s="291"/>
      <c r="L180" s="291"/>
      <c r="M180" s="291"/>
      <c r="N180" s="291"/>
      <c r="O180" s="291"/>
      <c r="CB180" s="369"/>
      <c r="CE180" s="297"/>
      <c r="CJ180" s="289"/>
      <c r="CO180" s="289"/>
    </row>
    <row r="181" spans="1:93" x14ac:dyDescent="0.2">
      <c r="B181" s="292"/>
      <c r="C181" s="291"/>
      <c r="D181" s="291"/>
      <c r="E181" s="291"/>
      <c r="F181" s="291"/>
      <c r="G181" s="291"/>
      <c r="H181" s="295"/>
      <c r="I181" s="291"/>
      <c r="J181" s="291"/>
      <c r="K181" s="291"/>
      <c r="L181" s="291"/>
      <c r="M181" s="291"/>
      <c r="N181" s="291"/>
      <c r="O181" s="291"/>
      <c r="CB181" s="369"/>
      <c r="CE181" s="297"/>
      <c r="CJ181" s="289"/>
      <c r="CO181" s="289"/>
    </row>
    <row r="182" spans="1:93" x14ac:dyDescent="0.2">
      <c r="A182" s="127" t="s">
        <v>320</v>
      </c>
      <c r="CB182" s="369"/>
      <c r="CE182" s="297"/>
      <c r="CJ182" s="289"/>
      <c r="CO182" s="289"/>
    </row>
    <row r="183" spans="1:93" x14ac:dyDescent="0.2">
      <c r="A183" s="8"/>
      <c r="B183" t="s">
        <v>626</v>
      </c>
      <c r="CB183" s="369"/>
      <c r="CE183" s="297"/>
      <c r="CJ183" s="289"/>
      <c r="CO183" s="289"/>
    </row>
    <row r="184" spans="1:93" x14ac:dyDescent="0.2">
      <c r="B184" t="s">
        <v>605</v>
      </c>
      <c r="CB184" s="369"/>
      <c r="CE184" s="297"/>
      <c r="CJ184" s="289"/>
      <c r="CO184" s="289"/>
    </row>
    <row r="185" spans="1:93" x14ac:dyDescent="0.2">
      <c r="B185" t="s">
        <v>646</v>
      </c>
      <c r="CB185" s="369"/>
      <c r="CE185" s="297"/>
      <c r="CJ185" s="289"/>
      <c r="CO185" s="289"/>
    </row>
    <row r="186" spans="1:93" x14ac:dyDescent="0.2">
      <c r="B186" s="7" t="s">
        <v>892</v>
      </c>
      <c r="C186" t="s">
        <v>647</v>
      </c>
      <c r="CB186" s="369"/>
      <c r="CE186" s="297"/>
      <c r="CJ186" s="289"/>
      <c r="CO186" s="289"/>
    </row>
    <row r="187" spans="1:93" x14ac:dyDescent="0.2">
      <c r="C187" s="264" t="s">
        <v>1038</v>
      </c>
      <c r="CB187" s="369"/>
      <c r="CE187" s="297"/>
      <c r="CJ187" s="289"/>
      <c r="CO187" s="289"/>
    </row>
    <row r="188" spans="1:93" x14ac:dyDescent="0.2">
      <c r="B188" t="s">
        <v>1056</v>
      </c>
      <c r="C188" s="556" t="s">
        <v>1057</v>
      </c>
      <c r="CB188" s="369"/>
      <c r="CE188" s="297"/>
      <c r="CJ188" s="289"/>
      <c r="CO188" s="289"/>
    </row>
    <row r="189" spans="1:93" x14ac:dyDescent="0.2">
      <c r="C189" s="556"/>
      <c r="CB189" s="369"/>
      <c r="CE189" s="297"/>
      <c r="CJ189" s="289"/>
      <c r="CO189" s="289"/>
    </row>
    <row r="190" spans="1:93" x14ac:dyDescent="0.2">
      <c r="A190" s="127" t="s">
        <v>560</v>
      </c>
      <c r="CB190" s="369"/>
      <c r="CE190" s="297"/>
      <c r="CJ190" s="289"/>
      <c r="CO190" s="289"/>
    </row>
    <row r="191" spans="1:93" x14ac:dyDescent="0.2">
      <c r="A191" s="8"/>
      <c r="B191" t="s">
        <v>92</v>
      </c>
      <c r="CB191" s="369"/>
      <c r="CE191" s="297"/>
      <c r="CJ191" s="289"/>
      <c r="CO191" s="289"/>
    </row>
    <row r="192" spans="1:93" x14ac:dyDescent="0.2">
      <c r="A192" s="8"/>
      <c r="C192" t="s">
        <v>93</v>
      </c>
      <c r="CB192" s="369"/>
      <c r="CE192" s="297"/>
      <c r="CJ192" s="289"/>
      <c r="CO192" s="289"/>
    </row>
    <row r="193" spans="1:93" x14ac:dyDescent="0.2">
      <c r="A193" s="8"/>
      <c r="B193" t="s">
        <v>94</v>
      </c>
      <c r="C193" t="s">
        <v>95</v>
      </c>
      <c r="CB193" s="369"/>
      <c r="CE193" s="297"/>
      <c r="CJ193" s="289"/>
      <c r="CO193" s="289"/>
    </row>
    <row r="194" spans="1:93" x14ac:dyDescent="0.2">
      <c r="A194" s="8"/>
      <c r="C194" t="s">
        <v>96</v>
      </c>
      <c r="CB194" s="369"/>
      <c r="CE194" s="297"/>
      <c r="CJ194" s="289"/>
      <c r="CO194" s="289"/>
    </row>
    <row r="195" spans="1:93" x14ac:dyDescent="0.2">
      <c r="A195" s="8"/>
      <c r="B195" t="s">
        <v>289</v>
      </c>
      <c r="CB195" s="369"/>
      <c r="CE195" s="297"/>
      <c r="CJ195" s="289"/>
      <c r="CO195" s="289"/>
    </row>
    <row r="196" spans="1:93" x14ac:dyDescent="0.2">
      <c r="A196" s="8"/>
      <c r="B196" s="556" t="s">
        <v>1039</v>
      </c>
      <c r="CB196" s="369"/>
      <c r="CE196" s="297"/>
      <c r="CJ196" s="289"/>
      <c r="CO196" s="289"/>
    </row>
    <row r="197" spans="1:93" x14ac:dyDescent="0.2">
      <c r="A197" s="8"/>
      <c r="C197" s="264" t="s">
        <v>1037</v>
      </c>
      <c r="CB197" s="369"/>
      <c r="CE197" s="297"/>
      <c r="CJ197" s="289"/>
      <c r="CO197" s="289"/>
    </row>
    <row r="198" spans="1:93" x14ac:dyDescent="0.2">
      <c r="A198" s="8"/>
      <c r="B198" s="556" t="s">
        <v>1058</v>
      </c>
      <c r="C198" t="s">
        <v>1059</v>
      </c>
      <c r="CB198" s="369"/>
      <c r="CE198" s="297"/>
      <c r="CJ198" s="289"/>
      <c r="CO198" s="289"/>
    </row>
    <row r="199" spans="1:93" x14ac:dyDescent="0.2">
      <c r="A199" s="8"/>
      <c r="B199" s="556"/>
      <c r="CB199" s="369"/>
      <c r="CE199" s="297"/>
      <c r="CJ199" s="289"/>
      <c r="CO199" s="289"/>
    </row>
    <row r="200" spans="1:93" x14ac:dyDescent="0.2">
      <c r="A200" s="127" t="s">
        <v>333</v>
      </c>
      <c r="B200" s="6"/>
      <c r="C200" s="6"/>
      <c r="CB200" s="369"/>
      <c r="CE200" s="297"/>
      <c r="CJ200" s="289"/>
      <c r="CO200" s="289"/>
    </row>
    <row r="201" spans="1:93" x14ac:dyDescent="0.2">
      <c r="A201" s="8"/>
      <c r="B201" s="556" t="s">
        <v>1060</v>
      </c>
      <c r="D201" s="556" t="s">
        <v>1061</v>
      </c>
      <c r="CB201" s="369"/>
      <c r="CE201" s="297"/>
      <c r="CJ201" s="289"/>
      <c r="CO201" s="289"/>
    </row>
    <row r="202" spans="1:93" x14ac:dyDescent="0.2">
      <c r="A202" s="8"/>
      <c r="D202" s="556" t="s">
        <v>1114</v>
      </c>
      <c r="CB202" s="369"/>
      <c r="CE202" s="297"/>
      <c r="CJ202" s="289"/>
      <c r="CO202" s="289"/>
    </row>
    <row r="203" spans="1:93" x14ac:dyDescent="0.2">
      <c r="A203" s="8"/>
      <c r="B203" t="s">
        <v>408</v>
      </c>
      <c r="D203" s="556" t="s">
        <v>976</v>
      </c>
      <c r="CB203" s="369"/>
      <c r="CE203" s="297"/>
      <c r="CJ203" s="289"/>
      <c r="CO203" s="289"/>
    </row>
    <row r="204" spans="1:93" x14ac:dyDescent="0.2">
      <c r="A204" s="8"/>
      <c r="D204" t="s">
        <v>404</v>
      </c>
      <c r="CB204" s="369"/>
      <c r="CE204" s="297"/>
      <c r="CJ204" s="289"/>
      <c r="CO204" s="289"/>
    </row>
    <row r="205" spans="1:93" x14ac:dyDescent="0.2">
      <c r="A205" s="8"/>
      <c r="D205" t="s">
        <v>405</v>
      </c>
      <c r="CB205" s="369"/>
      <c r="CE205" s="297"/>
      <c r="CJ205" s="289"/>
      <c r="CO205" s="289"/>
    </row>
    <row r="206" spans="1:93" x14ac:dyDescent="0.2">
      <c r="A206" s="8"/>
      <c r="B206" t="s">
        <v>411</v>
      </c>
      <c r="D206" t="s">
        <v>409</v>
      </c>
      <c r="CB206" s="369"/>
      <c r="CE206" s="297"/>
      <c r="CJ206" s="289"/>
      <c r="CO206" s="289"/>
    </row>
    <row r="207" spans="1:93" x14ac:dyDescent="0.2">
      <c r="A207" s="8"/>
      <c r="D207" t="s">
        <v>410</v>
      </c>
      <c r="CB207" s="369"/>
      <c r="CE207" s="297"/>
      <c r="CJ207" s="289"/>
      <c r="CO207" s="289"/>
    </row>
    <row r="208" spans="1:93" x14ac:dyDescent="0.2">
      <c r="A208" s="8"/>
      <c r="B208" s="597">
        <v>1970</v>
      </c>
      <c r="D208" t="s">
        <v>412</v>
      </c>
      <c r="CB208" s="369"/>
      <c r="CE208" s="297"/>
      <c r="CJ208" s="289"/>
      <c r="CO208" s="289"/>
    </row>
    <row r="209" spans="1:93" x14ac:dyDescent="0.2">
      <c r="A209" s="8"/>
      <c r="D209" t="s">
        <v>413</v>
      </c>
      <c r="CB209" s="369"/>
      <c r="CE209" s="297"/>
      <c r="CJ209" s="289"/>
      <c r="CO209" s="289"/>
    </row>
    <row r="210" spans="1:93" x14ac:dyDescent="0.2">
      <c r="A210" s="8"/>
      <c r="B210" s="6" t="s">
        <v>406</v>
      </c>
      <c r="CB210" s="369"/>
      <c r="CE210" s="297"/>
      <c r="CJ210" s="289"/>
      <c r="CO210" s="289"/>
    </row>
    <row r="211" spans="1:93" x14ac:dyDescent="0.2">
      <c r="A211" s="8"/>
      <c r="B211" s="383" t="s">
        <v>407</v>
      </c>
      <c r="C211" s="383"/>
      <c r="D211" s="383"/>
      <c r="E211" s="383"/>
      <c r="F211" s="383"/>
      <c r="G211" s="383"/>
      <c r="H211" s="383"/>
      <c r="I211" s="383"/>
      <c r="J211" s="383"/>
      <c r="K211" s="383"/>
      <c r="L211" s="383"/>
      <c r="M211" s="383"/>
      <c r="N211" s="383"/>
      <c r="O211" s="383"/>
      <c r="CB211" s="369"/>
      <c r="CE211" s="297"/>
      <c r="CJ211" s="289"/>
      <c r="CO211" s="289"/>
    </row>
    <row r="212" spans="1:93" x14ac:dyDescent="0.2">
      <c r="A212" s="8"/>
      <c r="B212" s="383" t="s">
        <v>456</v>
      </c>
      <c r="C212" s="383"/>
      <c r="D212" s="383"/>
      <c r="E212" s="383"/>
      <c r="F212" s="383"/>
      <c r="G212" s="383"/>
      <c r="H212" s="383"/>
      <c r="I212" s="383"/>
      <c r="J212" s="383"/>
      <c r="K212" s="383"/>
      <c r="L212" s="383"/>
      <c r="M212" s="383"/>
      <c r="N212" s="383"/>
      <c r="O212" s="383"/>
      <c r="CB212" s="369"/>
      <c r="CE212" s="297"/>
      <c r="CJ212" s="289"/>
      <c r="CO212" s="289"/>
    </row>
    <row r="213" spans="1:93" x14ac:dyDescent="0.2">
      <c r="A213" s="8"/>
      <c r="B213" s="383" t="s">
        <v>4</v>
      </c>
      <c r="C213" s="383"/>
      <c r="D213" s="383"/>
      <c r="E213" s="383"/>
      <c r="F213" s="383"/>
      <c r="G213" s="383"/>
      <c r="H213" s="383"/>
      <c r="I213" s="383"/>
      <c r="J213" s="383"/>
      <c r="K213" s="383"/>
      <c r="L213" s="383"/>
      <c r="M213" s="383"/>
      <c r="N213" s="383"/>
      <c r="O213" s="383"/>
      <c r="CB213" s="369"/>
      <c r="CE213" s="297"/>
      <c r="CJ213" s="289"/>
      <c r="CO213" s="289"/>
    </row>
    <row r="214" spans="1:93" x14ac:dyDescent="0.2">
      <c r="A214" s="8"/>
      <c r="B214" s="384" t="s">
        <v>457</v>
      </c>
      <c r="C214" s="384"/>
      <c r="D214" s="384"/>
      <c r="E214" s="384"/>
      <c r="F214" s="8"/>
      <c r="G214" s="8"/>
      <c r="H214" s="264" t="s">
        <v>5</v>
      </c>
      <c r="I214" s="8"/>
      <c r="J214" s="8"/>
      <c r="K214" s="8"/>
      <c r="L214" s="8"/>
      <c r="M214" s="8"/>
      <c r="N214" s="8"/>
      <c r="O214" s="8"/>
      <c r="P214" s="8"/>
      <c r="Q214" s="8"/>
      <c r="CB214" s="369"/>
      <c r="CE214" s="297"/>
      <c r="CJ214" s="289"/>
      <c r="CO214" s="289"/>
    </row>
    <row r="215" spans="1:93" x14ac:dyDescent="0.2">
      <c r="A215" s="8"/>
      <c r="B215" s="384" t="s">
        <v>458</v>
      </c>
      <c r="C215" s="384"/>
      <c r="D215" s="384"/>
      <c r="E215" s="384"/>
      <c r="F215" s="384"/>
      <c r="G215" s="384"/>
      <c r="H215" s="385"/>
      <c r="I215" s="384"/>
      <c r="J215" s="384"/>
      <c r="K215" s="384"/>
      <c r="L215" s="384"/>
      <c r="M215" s="8"/>
      <c r="N215" s="8"/>
      <c r="O215" s="8"/>
      <c r="P215" s="8"/>
      <c r="Q215" s="8"/>
      <c r="CB215" s="369"/>
      <c r="CE215" s="297"/>
      <c r="CJ215" s="289"/>
      <c r="CO215" s="289"/>
    </row>
    <row r="216" spans="1:93" x14ac:dyDescent="0.2">
      <c r="A216" s="8"/>
      <c r="B216" s="384"/>
      <c r="C216" s="384"/>
      <c r="D216" s="384"/>
      <c r="E216" s="384"/>
      <c r="F216" s="384"/>
      <c r="G216" s="384"/>
      <c r="H216" s="385"/>
      <c r="I216" s="384"/>
      <c r="J216" s="384"/>
      <c r="K216" s="384"/>
      <c r="L216" s="384"/>
      <c r="M216" s="8"/>
      <c r="N216" s="8"/>
      <c r="O216" s="8"/>
      <c r="P216" s="8"/>
      <c r="Q216" s="8"/>
      <c r="CB216" s="369"/>
      <c r="CE216" s="297"/>
      <c r="CJ216" s="289"/>
      <c r="CO216" s="289"/>
    </row>
    <row r="217" spans="1:93" x14ac:dyDescent="0.2">
      <c r="A217" s="127" t="s">
        <v>1064</v>
      </c>
      <c r="B217" s="6"/>
      <c r="CB217" s="369"/>
      <c r="CE217" s="297"/>
      <c r="CJ217" s="289"/>
      <c r="CO217" s="289"/>
    </row>
    <row r="218" spans="1:93" x14ac:dyDescent="0.2">
      <c r="B218" t="s">
        <v>532</v>
      </c>
      <c r="CB218" s="369"/>
      <c r="CE218" s="297"/>
      <c r="CJ218" s="289"/>
      <c r="CO218" s="289"/>
    </row>
    <row r="219" spans="1:93" x14ac:dyDescent="0.2">
      <c r="B219" t="s">
        <v>562</v>
      </c>
      <c r="CB219" s="369"/>
      <c r="CE219" s="297"/>
      <c r="CJ219" s="289"/>
      <c r="CO219" s="289"/>
    </row>
    <row r="220" spans="1:93" x14ac:dyDescent="0.2">
      <c r="B220" t="s">
        <v>561</v>
      </c>
      <c r="CB220" s="369"/>
      <c r="CE220" s="297"/>
      <c r="CJ220" s="289"/>
      <c r="CO220" s="289"/>
    </row>
    <row r="221" spans="1:93" x14ac:dyDescent="0.2">
      <c r="B221" s="556" t="s">
        <v>1065</v>
      </c>
      <c r="C221" s="556" t="s">
        <v>1193</v>
      </c>
      <c r="H221" s="264"/>
      <c r="I221" s="264"/>
      <c r="CB221" s="369"/>
      <c r="CE221" s="297"/>
      <c r="CJ221" s="289"/>
      <c r="CO221" s="289"/>
    </row>
    <row r="222" spans="1:93" x14ac:dyDescent="0.2">
      <c r="B222" s="556"/>
      <c r="D222" s="556"/>
      <c r="I222" s="264"/>
      <c r="J222" s="264"/>
      <c r="CB222" s="369"/>
      <c r="CE222" s="297"/>
      <c r="CJ222" s="289"/>
      <c r="CO222" s="289"/>
    </row>
    <row r="223" spans="1:93" x14ac:dyDescent="0.2">
      <c r="A223" s="127" t="s">
        <v>98</v>
      </c>
      <c r="B223" s="6"/>
      <c r="C223" s="6"/>
      <c r="CB223" s="369"/>
      <c r="CE223" s="297"/>
      <c r="CJ223" s="289"/>
      <c r="CO223" s="289"/>
    </row>
    <row r="224" spans="1:93" x14ac:dyDescent="0.2">
      <c r="A224" s="8"/>
      <c r="B224" t="s">
        <v>114</v>
      </c>
      <c r="CB224" s="369"/>
      <c r="CE224" s="297"/>
      <c r="CJ224" s="289"/>
      <c r="CO224" s="289"/>
    </row>
    <row r="225" spans="1:93" x14ac:dyDescent="0.2">
      <c r="A225" s="8"/>
      <c r="B225" t="s">
        <v>115</v>
      </c>
      <c r="CB225" s="369"/>
      <c r="CE225" s="297"/>
      <c r="CJ225" s="289"/>
      <c r="CO225" s="289"/>
    </row>
    <row r="226" spans="1:93" x14ac:dyDescent="0.2">
      <c r="A226" s="8"/>
      <c r="B226" t="s">
        <v>116</v>
      </c>
      <c r="CB226" s="369"/>
      <c r="CE226" s="297"/>
      <c r="CJ226" s="289"/>
      <c r="CO226" s="289"/>
    </row>
    <row r="227" spans="1:93" x14ac:dyDescent="0.2">
      <c r="B227" t="s">
        <v>571</v>
      </c>
      <c r="CB227" s="369"/>
      <c r="CE227" s="297"/>
      <c r="CJ227" s="289"/>
      <c r="CO227" s="289"/>
    </row>
    <row r="228" spans="1:93" x14ac:dyDescent="0.2">
      <c r="B228" t="s">
        <v>521</v>
      </c>
      <c r="O228" s="264" t="s">
        <v>305</v>
      </c>
      <c r="CB228" s="369"/>
      <c r="CE228" s="297"/>
      <c r="CJ228" s="289"/>
      <c r="CO228" s="289"/>
    </row>
    <row r="229" spans="1:93" x14ac:dyDescent="0.2">
      <c r="B229" s="12" t="s">
        <v>815</v>
      </c>
      <c r="D229" s="6"/>
      <c r="E229" s="6"/>
      <c r="F229" s="6"/>
      <c r="G229" s="6"/>
      <c r="H229" s="6"/>
      <c r="I229" s="6"/>
      <c r="J229" s="6"/>
      <c r="M229" s="127"/>
      <c r="O229" s="264" t="s">
        <v>465</v>
      </c>
      <c r="CB229" s="369"/>
      <c r="CE229" s="297"/>
      <c r="CJ229" s="289"/>
      <c r="CO229" s="289"/>
    </row>
    <row r="230" spans="1:93" x14ac:dyDescent="0.2">
      <c r="B230" s="571" t="s">
        <v>1062</v>
      </c>
      <c r="C230" s="556" t="s">
        <v>1194</v>
      </c>
      <c r="J230" s="6"/>
      <c r="M230" s="127"/>
      <c r="O230" s="264"/>
      <c r="CB230" s="369"/>
      <c r="CE230" s="297"/>
      <c r="CJ230" s="289"/>
      <c r="CO230" s="289"/>
    </row>
    <row r="231" spans="1:93" x14ac:dyDescent="0.2">
      <c r="B231" s="571"/>
      <c r="C231" s="556"/>
      <c r="J231" s="6"/>
      <c r="M231" s="127"/>
      <c r="O231" s="264"/>
      <c r="CB231" s="369"/>
      <c r="CE231" s="297"/>
      <c r="CJ231" s="289"/>
      <c r="CO231" s="289"/>
    </row>
    <row r="232" spans="1:93" x14ac:dyDescent="0.2">
      <c r="A232" s="127" t="s">
        <v>99</v>
      </c>
      <c r="B232" s="6"/>
      <c r="C232" s="6"/>
      <c r="D232" s="6"/>
      <c r="E232" s="6"/>
      <c r="F232" s="6"/>
      <c r="G232" s="6"/>
      <c r="H232" s="6"/>
      <c r="I232" s="6"/>
      <c r="J232" s="6"/>
      <c r="M232" s="127"/>
      <c r="O232" s="264"/>
      <c r="CB232" s="369"/>
      <c r="CE232" s="297"/>
      <c r="CJ232" s="289"/>
      <c r="CO232" s="289"/>
    </row>
    <row r="233" spans="1:93" x14ac:dyDescent="0.2">
      <c r="B233" s="12" t="s">
        <v>816</v>
      </c>
      <c r="C233" s="12" t="s">
        <v>101</v>
      </c>
      <c r="E233" s="6"/>
      <c r="F233" s="6"/>
      <c r="G233" s="6"/>
      <c r="H233" s="6"/>
      <c r="I233" s="6"/>
      <c r="J233" s="6"/>
      <c r="K233" s="6"/>
      <c r="M233" s="127"/>
      <c r="O233" s="264"/>
      <c r="CB233" s="369"/>
      <c r="CE233" s="297"/>
      <c r="CJ233" s="289"/>
      <c r="CO233" s="289"/>
    </row>
    <row r="234" spans="1:93" x14ac:dyDescent="0.2">
      <c r="B234" s="12"/>
      <c r="C234" t="s">
        <v>100</v>
      </c>
      <c r="D234" s="6"/>
      <c r="E234" s="6"/>
      <c r="F234" s="6"/>
      <c r="G234" s="6"/>
      <c r="H234" s="6"/>
      <c r="I234" s="6"/>
      <c r="J234" s="6"/>
      <c r="M234" s="127"/>
      <c r="O234" s="264"/>
      <c r="CB234" s="369"/>
      <c r="CE234" s="297"/>
      <c r="CJ234" s="289"/>
      <c r="CO234" s="289"/>
    </row>
    <row r="235" spans="1:93" x14ac:dyDescent="0.2">
      <c r="B235" s="571" t="s">
        <v>1062</v>
      </c>
      <c r="C235" s="556" t="s">
        <v>1063</v>
      </c>
      <c r="J235" s="6"/>
      <c r="M235" s="127"/>
      <c r="O235" s="264"/>
      <c r="CB235" s="369"/>
      <c r="CE235" s="297"/>
      <c r="CJ235" s="289"/>
      <c r="CO235" s="289"/>
    </row>
    <row r="236" spans="1:93" x14ac:dyDescent="0.2">
      <c r="A236" s="127" t="s">
        <v>591</v>
      </c>
      <c r="B236" s="105"/>
      <c r="CB236" s="369"/>
      <c r="CE236" s="297"/>
      <c r="CJ236" s="289"/>
      <c r="CO236" s="289"/>
    </row>
    <row r="237" spans="1:93" x14ac:dyDescent="0.2">
      <c r="B237" s="574" t="s">
        <v>1066</v>
      </c>
      <c r="C237" s="264"/>
      <c r="CB237" s="369"/>
      <c r="CE237" s="297"/>
      <c r="CJ237" s="289"/>
      <c r="CO237" s="289"/>
    </row>
    <row r="238" spans="1:93" x14ac:dyDescent="0.2">
      <c r="B238" s="105"/>
      <c r="C238" s="264" t="s">
        <v>6</v>
      </c>
      <c r="CB238" s="369"/>
      <c r="CE238" s="297"/>
      <c r="CJ238" s="289"/>
      <c r="CO238" s="289"/>
    </row>
    <row r="239" spans="1:93" x14ac:dyDescent="0.2">
      <c r="B239" s="105" t="s">
        <v>1067</v>
      </c>
      <c r="C239" s="556" t="s">
        <v>1068</v>
      </c>
      <c r="CB239" s="369"/>
      <c r="CE239" s="297"/>
      <c r="CJ239" s="289"/>
      <c r="CO239" s="289"/>
    </row>
    <row r="240" spans="1:93" x14ac:dyDescent="0.2">
      <c r="B240" s="105"/>
      <c r="C240" s="556"/>
      <c r="CB240" s="369"/>
      <c r="CE240" s="297"/>
      <c r="CJ240" s="289"/>
      <c r="CO240" s="289"/>
    </row>
    <row r="241" spans="1:93" x14ac:dyDescent="0.2">
      <c r="A241" s="6" t="s">
        <v>1187</v>
      </c>
      <c r="N241" s="556" t="s">
        <v>1192</v>
      </c>
      <c r="CB241" s="369"/>
      <c r="CE241" s="297"/>
      <c r="CJ241" s="289"/>
      <c r="CO241" s="289"/>
    </row>
    <row r="242" spans="1:93" x14ac:dyDescent="0.2">
      <c r="A242" s="8" t="s">
        <v>527</v>
      </c>
      <c r="CB242" s="369"/>
      <c r="CE242" s="297"/>
      <c r="CJ242" s="289"/>
      <c r="CO242" s="289"/>
    </row>
    <row r="243" spans="1:93" x14ac:dyDescent="0.2">
      <c r="B243" s="7" t="s">
        <v>360</v>
      </c>
      <c r="CB243" s="369"/>
      <c r="CE243" s="297"/>
      <c r="CJ243" s="289"/>
      <c r="CO243" s="289"/>
    </row>
    <row r="244" spans="1:93" x14ac:dyDescent="0.2">
      <c r="B244" s="7" t="s">
        <v>366</v>
      </c>
      <c r="CB244" s="369"/>
      <c r="CE244" s="297"/>
      <c r="CJ244" s="289"/>
      <c r="CO244" s="289"/>
    </row>
    <row r="245" spans="1:93" x14ac:dyDescent="0.2">
      <c r="B245" s="7" t="s">
        <v>462</v>
      </c>
      <c r="CB245" s="369"/>
      <c r="CE245" s="297"/>
      <c r="CJ245" s="289"/>
      <c r="CO245" s="289"/>
    </row>
    <row r="246" spans="1:93" x14ac:dyDescent="0.2">
      <c r="B246" s="7" t="s">
        <v>463</v>
      </c>
      <c r="CB246" s="369"/>
      <c r="CE246" s="297"/>
      <c r="CJ246" s="289"/>
      <c r="CO246" s="289"/>
    </row>
    <row r="247" spans="1:93" x14ac:dyDescent="0.2">
      <c r="B247" s="7" t="s">
        <v>464</v>
      </c>
      <c r="CB247" s="369"/>
      <c r="CE247" s="297"/>
      <c r="CJ247" s="289"/>
      <c r="CO247" s="289"/>
    </row>
    <row r="248" spans="1:93" x14ac:dyDescent="0.2">
      <c r="B248" s="7" t="s">
        <v>466</v>
      </c>
      <c r="CB248" s="369"/>
      <c r="CE248" s="297"/>
      <c r="CJ248" s="289"/>
      <c r="CO248" s="289"/>
    </row>
    <row r="249" spans="1:93" x14ac:dyDescent="0.2">
      <c r="B249" s="556" t="s">
        <v>1060</v>
      </c>
      <c r="C249" s="556" t="s">
        <v>1191</v>
      </c>
      <c r="CB249" s="369"/>
      <c r="CE249" s="297"/>
      <c r="CJ249" s="289"/>
      <c r="CO249" s="289"/>
    </row>
    <row r="250" spans="1:93" x14ac:dyDescent="0.2">
      <c r="B250" s="7"/>
      <c r="CB250" s="369"/>
      <c r="CE250" s="297"/>
      <c r="CJ250" s="289"/>
      <c r="CO250" s="289"/>
    </row>
    <row r="251" spans="1:93" x14ac:dyDescent="0.2">
      <c r="A251" s="8" t="s">
        <v>528</v>
      </c>
      <c r="CB251" s="369"/>
      <c r="CE251" s="297"/>
      <c r="CJ251" s="289"/>
      <c r="CO251" s="289"/>
    </row>
    <row r="252" spans="1:93" x14ac:dyDescent="0.2">
      <c r="B252" s="7" t="s">
        <v>467</v>
      </c>
    </row>
    <row r="253" spans="1:93" x14ac:dyDescent="0.2">
      <c r="B253" s="7" t="s">
        <v>468</v>
      </c>
    </row>
    <row r="254" spans="1:93" x14ac:dyDescent="0.2">
      <c r="B254" s="7" t="s">
        <v>469</v>
      </c>
    </row>
    <row r="255" spans="1:93" x14ac:dyDescent="0.2">
      <c r="B255" s="556" t="s">
        <v>1188</v>
      </c>
    </row>
    <row r="256" spans="1:93" x14ac:dyDescent="0.2">
      <c r="B256" s="556" t="s">
        <v>1189</v>
      </c>
      <c r="C256" s="556" t="s">
        <v>1190</v>
      </c>
    </row>
    <row r="258" spans="1:1" x14ac:dyDescent="0.2">
      <c r="A258" s="6"/>
    </row>
  </sheetData>
  <mergeCells count="18">
    <mergeCell ref="CK1:CN1"/>
    <mergeCell ref="CF1:CI1"/>
    <mergeCell ref="AM5:AN5"/>
    <mergeCell ref="AR5:AS5"/>
    <mergeCell ref="AP5:AQ5"/>
    <mergeCell ref="AU5:AY5"/>
    <mergeCell ref="BS5:BV5"/>
    <mergeCell ref="BW5:BZ5"/>
    <mergeCell ref="AB5:AG5"/>
    <mergeCell ref="A85:L85"/>
    <mergeCell ref="BK1:CA1"/>
    <mergeCell ref="B5:E5"/>
    <mergeCell ref="H5:L5"/>
    <mergeCell ref="M5:P5"/>
    <mergeCell ref="Q5:T5"/>
    <mergeCell ref="F5:G5"/>
    <mergeCell ref="B81:C81"/>
    <mergeCell ref="U5:AA5"/>
  </mergeCells>
  <phoneticPr fontId="0" type="noConversion"/>
  <hyperlinks>
    <hyperlink ref="H214" r:id="rId1"/>
    <hyperlink ref="H80" r:id="rId2"/>
    <hyperlink ref="H100" r:id="rId3"/>
    <hyperlink ref="H101" r:id="rId4"/>
    <hyperlink ref="C238" r:id="rId5"/>
    <hyperlink ref="H81" r:id="rId6"/>
    <hyperlink ref="O228" r:id="rId7"/>
    <hyperlink ref="N87" r:id="rId8"/>
    <hyperlink ref="O229" r:id="rId9"/>
    <hyperlink ref="I160" r:id="rId10"/>
    <hyperlink ref="N107" r:id="rId11"/>
    <hyperlink ref="CW72" r:id="rId12"/>
    <hyperlink ref="C197" r:id="rId13"/>
    <hyperlink ref="C134" r:id="rId14"/>
    <hyperlink ref="C161" r:id="rId15"/>
  </hyperlinks>
  <pageMargins left="0.75" right="0.75" top="1" bottom="1" header="0.5" footer="0.5"/>
  <pageSetup orientation="portrait" horizontalDpi="4294967293" r:id="rId16"/>
  <headerFooter alignWithMargins="0"/>
  <legacyDrawing r:id="rId1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selection activeCell="A36" sqref="A36"/>
    </sheetView>
  </sheetViews>
  <sheetFormatPr defaultRowHeight="12.75" x14ac:dyDescent="0.2"/>
  <cols>
    <col min="1" max="1" width="17.28515625" customWidth="1"/>
    <col min="3" max="3" width="10.140625" customWidth="1"/>
    <col min="4" max="4" width="10" customWidth="1"/>
    <col min="6" max="6" width="31.28515625" customWidth="1"/>
    <col min="11" max="11" width="10" bestFit="1" customWidth="1"/>
  </cols>
  <sheetData>
    <row r="1" spans="1:8" ht="18" x14ac:dyDescent="0.25">
      <c r="A1" s="3" t="s">
        <v>558</v>
      </c>
    </row>
    <row r="2" spans="1:8" x14ac:dyDescent="0.2">
      <c r="A2" t="s">
        <v>350</v>
      </c>
    </row>
    <row r="3" spans="1:8" x14ac:dyDescent="0.2">
      <c r="A3" t="s">
        <v>615</v>
      </c>
      <c r="D3" s="128">
        <v>1</v>
      </c>
    </row>
    <row r="4" spans="1:8" x14ac:dyDescent="0.2">
      <c r="A4" t="s">
        <v>616</v>
      </c>
      <c r="D4" t="s">
        <v>617</v>
      </c>
    </row>
    <row r="5" spans="1:8" ht="25.5" x14ac:dyDescent="0.2">
      <c r="A5" s="66" t="s">
        <v>340</v>
      </c>
      <c r="B5" s="67" t="s">
        <v>341</v>
      </c>
      <c r="C5" s="67" t="s">
        <v>342</v>
      </c>
      <c r="D5" s="374" t="str">
        <f>CHOOSE($D$3,B5,C5)</f>
        <v>Gross Content</v>
      </c>
      <c r="E5" s="67" t="s">
        <v>557</v>
      </c>
      <c r="F5" s="68" t="s">
        <v>590</v>
      </c>
    </row>
    <row r="6" spans="1:8" x14ac:dyDescent="0.2">
      <c r="A6" s="27" t="s">
        <v>343</v>
      </c>
      <c r="B6" s="61">
        <v>125000</v>
      </c>
      <c r="C6" s="61">
        <v>115400</v>
      </c>
      <c r="D6" s="61">
        <f>CHOOSE($D$3,B6,C6)</f>
        <v>125000</v>
      </c>
      <c r="E6" s="36" t="s">
        <v>350</v>
      </c>
      <c r="F6" s="63"/>
      <c r="H6" s="136">
        <f>D6/B6</f>
        <v>1</v>
      </c>
    </row>
    <row r="7" spans="1:8" x14ac:dyDescent="0.2">
      <c r="A7" s="27" t="s">
        <v>344</v>
      </c>
      <c r="B7" s="61">
        <v>138700</v>
      </c>
      <c r="C7" s="61">
        <v>128700</v>
      </c>
      <c r="D7" s="61">
        <f t="shared" ref="D7:D17" si="0">CHOOSE($D$3,B7,C7)</f>
        <v>138700</v>
      </c>
      <c r="E7" s="36" t="s">
        <v>350</v>
      </c>
      <c r="F7" s="63"/>
      <c r="H7" s="136">
        <f t="shared" ref="H7:H19" si="1">D7/B7</f>
        <v>1</v>
      </c>
    </row>
    <row r="8" spans="1:8" x14ac:dyDescent="0.2">
      <c r="A8" s="27" t="s">
        <v>336</v>
      </c>
      <c r="B8" s="61">
        <v>120900</v>
      </c>
      <c r="C8" s="61">
        <v>112417</v>
      </c>
      <c r="D8" s="61">
        <f t="shared" si="0"/>
        <v>120900</v>
      </c>
      <c r="E8" s="36" t="s">
        <v>350</v>
      </c>
      <c r="F8" s="63"/>
      <c r="H8" s="136">
        <f t="shared" si="1"/>
        <v>1</v>
      </c>
    </row>
    <row r="9" spans="1:8" x14ac:dyDescent="0.2">
      <c r="A9" s="27" t="s">
        <v>345</v>
      </c>
      <c r="B9" s="61">
        <v>120200</v>
      </c>
      <c r="C9" s="61">
        <v>112000</v>
      </c>
      <c r="D9" s="61">
        <f t="shared" si="0"/>
        <v>120200</v>
      </c>
      <c r="E9" s="36" t="s">
        <v>350</v>
      </c>
      <c r="F9" s="63"/>
      <c r="H9" s="136">
        <f t="shared" si="1"/>
        <v>1</v>
      </c>
    </row>
    <row r="10" spans="1:8" x14ac:dyDescent="0.2">
      <c r="A10" s="27" t="s">
        <v>346</v>
      </c>
      <c r="B10" s="61">
        <v>127500</v>
      </c>
      <c r="C10" s="61">
        <v>118700</v>
      </c>
      <c r="D10" s="61">
        <f t="shared" si="0"/>
        <v>127500</v>
      </c>
      <c r="E10" s="36" t="s">
        <v>350</v>
      </c>
      <c r="F10" s="63"/>
      <c r="H10" s="136">
        <f t="shared" si="1"/>
        <v>1</v>
      </c>
    </row>
    <row r="11" spans="1:8" x14ac:dyDescent="0.2">
      <c r="A11" s="27" t="s">
        <v>347</v>
      </c>
      <c r="B11" s="61">
        <v>135000</v>
      </c>
      <c r="C11" s="61">
        <v>128100</v>
      </c>
      <c r="D11" s="61">
        <f t="shared" si="0"/>
        <v>135000</v>
      </c>
      <c r="E11" s="36" t="s">
        <v>350</v>
      </c>
      <c r="F11" s="63"/>
      <c r="H11" s="136">
        <f t="shared" si="1"/>
        <v>1</v>
      </c>
    </row>
    <row r="12" spans="1:8" x14ac:dyDescent="0.2">
      <c r="A12" s="27" t="s">
        <v>348</v>
      </c>
      <c r="B12" s="61">
        <v>149700</v>
      </c>
      <c r="C12" s="61">
        <v>138400</v>
      </c>
      <c r="D12" s="61">
        <f t="shared" si="0"/>
        <v>149700</v>
      </c>
      <c r="E12" s="36" t="s">
        <v>350</v>
      </c>
      <c r="F12" s="63"/>
      <c r="H12" s="136">
        <f t="shared" si="1"/>
        <v>1</v>
      </c>
    </row>
    <row r="13" spans="1:8" x14ac:dyDescent="0.2">
      <c r="A13" s="27" t="s">
        <v>349</v>
      </c>
      <c r="B13" s="61">
        <v>138700</v>
      </c>
      <c r="C13" s="61">
        <v>131800</v>
      </c>
      <c r="D13" s="61">
        <f t="shared" si="0"/>
        <v>138700</v>
      </c>
      <c r="E13" s="36" t="s">
        <v>350</v>
      </c>
      <c r="F13" s="63"/>
      <c r="H13" s="136">
        <f t="shared" si="1"/>
        <v>1</v>
      </c>
    </row>
    <row r="14" spans="1:8" x14ac:dyDescent="0.2">
      <c r="A14" s="27" t="s">
        <v>339</v>
      </c>
      <c r="B14" s="61">
        <v>91300</v>
      </c>
      <c r="C14" s="61">
        <v>84000</v>
      </c>
      <c r="D14" s="61">
        <f t="shared" si="0"/>
        <v>91300</v>
      </c>
      <c r="E14" s="36" t="s">
        <v>350</v>
      </c>
      <c r="F14" s="63"/>
      <c r="H14" s="136">
        <f t="shared" si="1"/>
        <v>1</v>
      </c>
    </row>
    <row r="15" spans="1:8" x14ac:dyDescent="0.2">
      <c r="A15" s="27" t="s">
        <v>566</v>
      </c>
      <c r="B15" s="21">
        <v>129400</v>
      </c>
      <c r="C15" s="61">
        <v>120000</v>
      </c>
      <c r="D15" s="61">
        <f t="shared" si="0"/>
        <v>129400</v>
      </c>
      <c r="E15" s="36" t="s">
        <v>350</v>
      </c>
      <c r="F15" s="63" t="s">
        <v>569</v>
      </c>
      <c r="H15" s="136">
        <f t="shared" si="1"/>
        <v>1</v>
      </c>
    </row>
    <row r="16" spans="1:8" x14ac:dyDescent="0.2">
      <c r="A16" s="27" t="s">
        <v>567</v>
      </c>
      <c r="B16" s="61">
        <v>90800</v>
      </c>
      <c r="C16" s="61">
        <v>87600</v>
      </c>
      <c r="D16" s="61">
        <v>84800</v>
      </c>
      <c r="E16" s="36" t="s">
        <v>350</v>
      </c>
      <c r="F16" s="644" t="s">
        <v>1163</v>
      </c>
      <c r="H16" s="136">
        <f t="shared" si="1"/>
        <v>0.93392070484581502</v>
      </c>
    </row>
    <row r="17" spans="1:12" x14ac:dyDescent="0.2">
      <c r="A17" s="27" t="s">
        <v>568</v>
      </c>
      <c r="B17" s="61">
        <v>64600</v>
      </c>
      <c r="C17" s="61">
        <v>56560</v>
      </c>
      <c r="D17" s="61">
        <f t="shared" si="0"/>
        <v>64600</v>
      </c>
      <c r="E17" s="36" t="s">
        <v>350</v>
      </c>
      <c r="F17" s="63"/>
      <c r="H17" s="136">
        <f t="shared" si="1"/>
        <v>1</v>
      </c>
    </row>
    <row r="18" spans="1:12" x14ac:dyDescent="0.2">
      <c r="A18" s="27" t="s">
        <v>588</v>
      </c>
      <c r="B18" s="61">
        <v>1027</v>
      </c>
      <c r="C18" s="61">
        <v>1027</v>
      </c>
      <c r="D18" s="61">
        <v>1031</v>
      </c>
      <c r="E18" s="36" t="s">
        <v>589</v>
      </c>
      <c r="F18" s="644" t="s">
        <v>1164</v>
      </c>
      <c r="H18" s="136">
        <f t="shared" si="1"/>
        <v>1.0038948393378773</v>
      </c>
    </row>
    <row r="19" spans="1:12" x14ac:dyDescent="0.2">
      <c r="A19" s="27" t="s">
        <v>77</v>
      </c>
      <c r="B19" s="61">
        <v>128520</v>
      </c>
      <c r="C19" s="61">
        <v>118296</v>
      </c>
      <c r="D19" s="61">
        <f>I19*1000</f>
        <v>127595.23809523811</v>
      </c>
      <c r="E19" s="36" t="s">
        <v>350</v>
      </c>
      <c r="F19" s="63"/>
      <c r="H19" s="136">
        <f t="shared" si="1"/>
        <v>0.99280452921909512</v>
      </c>
      <c r="I19" s="125">
        <f>5.359/42*1000</f>
        <v>127.5952380952381</v>
      </c>
      <c r="J19" t="s">
        <v>975</v>
      </c>
    </row>
    <row r="20" spans="1:12" ht="25.5" x14ac:dyDescent="0.2">
      <c r="A20" s="118"/>
      <c r="B20" s="110" t="s">
        <v>631</v>
      </c>
      <c r="C20" s="110" t="s">
        <v>630</v>
      </c>
      <c r="D20" s="110" t="s">
        <v>631</v>
      </c>
      <c r="E20" s="119"/>
      <c r="F20" s="120"/>
    </row>
    <row r="21" spans="1:12" x14ac:dyDescent="0.2">
      <c r="A21" s="114" t="s">
        <v>627</v>
      </c>
      <c r="B21" s="23">
        <v>10339</v>
      </c>
      <c r="C21" s="23">
        <v>3412</v>
      </c>
      <c r="D21" s="23">
        <v>10339</v>
      </c>
      <c r="E21" s="115" t="s">
        <v>559</v>
      </c>
      <c r="F21" s="116"/>
      <c r="G21" s="117"/>
      <c r="H21" t="s">
        <v>972</v>
      </c>
      <c r="K21" s="136">
        <f>69.5*1000*10339*0.000000000001</f>
        <v>7.1856049999999999E-4</v>
      </c>
      <c r="L21" t="s">
        <v>973</v>
      </c>
    </row>
    <row r="23" spans="1:12" x14ac:dyDescent="0.2">
      <c r="A23" t="s">
        <v>628</v>
      </c>
    </row>
    <row r="24" spans="1:12" ht="11.25" customHeight="1" x14ac:dyDescent="0.2">
      <c r="A24" t="s">
        <v>629</v>
      </c>
    </row>
    <row r="25" spans="1:12" ht="11.25" customHeight="1" x14ac:dyDescent="0.2">
      <c r="A25" t="s">
        <v>97</v>
      </c>
    </row>
    <row r="27" spans="1:12" x14ac:dyDescent="0.2">
      <c r="A27" t="s">
        <v>78</v>
      </c>
      <c r="D27" s="264" t="s">
        <v>79</v>
      </c>
    </row>
    <row r="33" spans="6:6" x14ac:dyDescent="0.2">
      <c r="F33" s="136">
        <f>129/138.7</f>
        <v>0.93006488824801736</v>
      </c>
    </row>
  </sheetData>
  <phoneticPr fontId="0" type="noConversion"/>
  <hyperlinks>
    <hyperlink ref="D27" r:id="rId1"/>
  </hyperlinks>
  <pageMargins left="0.75" right="0.75" top="1" bottom="1" header="0.5" footer="0.5"/>
  <pageSetup orientation="portrait" horizontalDpi="4294967292" r:id="rId2"/>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88"/>
  <sheetViews>
    <sheetView workbookViewId="0"/>
  </sheetViews>
  <sheetFormatPr defaultRowHeight="12.75" x14ac:dyDescent="0.2"/>
  <cols>
    <col min="1" max="3" width="9.140625" style="707"/>
    <col min="4" max="5" width="12" style="707" customWidth="1"/>
    <col min="6" max="6" width="13.140625" style="707" customWidth="1"/>
    <col min="7" max="7" width="15.85546875" style="707" customWidth="1"/>
    <col min="8" max="12" width="14" style="707" customWidth="1"/>
    <col min="13" max="13" width="12" style="707" customWidth="1"/>
    <col min="14" max="14" width="15.140625" style="707" customWidth="1"/>
    <col min="15" max="16" width="14.28515625" style="707" customWidth="1"/>
    <col min="17" max="17" width="15.7109375" style="707" customWidth="1"/>
    <col min="18" max="19" width="9.140625" style="707"/>
    <col min="20" max="20" width="11" style="707" customWidth="1"/>
    <col min="21" max="21" width="10.42578125" style="707" customWidth="1"/>
    <col min="22" max="24" width="9.140625" style="707"/>
    <col min="25" max="25" width="9.5703125" style="707" bestFit="1" customWidth="1"/>
    <col min="26" max="26" width="9.140625" style="707"/>
    <col min="27" max="27" width="14.5703125" style="707" customWidth="1"/>
    <col min="28" max="28" width="14.85546875" style="707" customWidth="1"/>
    <col min="29" max="29" width="10.85546875" style="707" customWidth="1"/>
    <col min="30" max="16384" width="9.140625" style="707"/>
  </cols>
  <sheetData>
    <row r="1" spans="1:29" ht="15.75" x14ac:dyDescent="0.25">
      <c r="A1" s="706" t="s">
        <v>1272</v>
      </c>
      <c r="B1" s="706"/>
      <c r="C1" s="706"/>
      <c r="D1" s="706"/>
      <c r="E1" s="706"/>
      <c r="F1" s="706"/>
      <c r="M1" s="707">
        <v>138700</v>
      </c>
      <c r="O1" s="707" t="s">
        <v>1273</v>
      </c>
    </row>
    <row r="2" spans="1:29" x14ac:dyDescent="0.2">
      <c r="AA2" s="708"/>
      <c r="AB2" s="708"/>
      <c r="AC2" s="708"/>
    </row>
    <row r="3" spans="1:29" x14ac:dyDescent="0.2">
      <c r="D3" s="709" t="s">
        <v>711</v>
      </c>
      <c r="E3" s="709" t="s">
        <v>712</v>
      </c>
      <c r="F3" s="709" t="s">
        <v>713</v>
      </c>
      <c r="G3" s="709" t="s">
        <v>714</v>
      </c>
      <c r="H3" s="709" t="s">
        <v>715</v>
      </c>
      <c r="I3" s="709" t="s">
        <v>716</v>
      </c>
      <c r="J3" s="709" t="s">
        <v>720</v>
      </c>
      <c r="K3" s="709" t="s">
        <v>763</v>
      </c>
      <c r="L3" s="709" t="s">
        <v>765</v>
      </c>
      <c r="M3" s="709" t="s">
        <v>1274</v>
      </c>
      <c r="N3" s="709" t="s">
        <v>1275</v>
      </c>
      <c r="O3" s="709" t="s">
        <v>1276</v>
      </c>
      <c r="P3" s="709" t="s">
        <v>1277</v>
      </c>
      <c r="Q3" s="709" t="s">
        <v>1278</v>
      </c>
      <c r="T3" s="709" t="s">
        <v>1279</v>
      </c>
      <c r="U3" s="709" t="s">
        <v>1280</v>
      </c>
      <c r="V3" s="709" t="s">
        <v>1281</v>
      </c>
      <c r="X3" s="709" t="s">
        <v>1282</v>
      </c>
      <c r="Y3" s="709" t="s">
        <v>1283</v>
      </c>
      <c r="AA3" s="708"/>
      <c r="AB3" s="708"/>
      <c r="AC3" s="708"/>
    </row>
    <row r="4" spans="1:29" x14ac:dyDescent="0.2">
      <c r="AA4" s="708"/>
      <c r="AB4" s="708"/>
      <c r="AC4" s="708"/>
    </row>
    <row r="5" spans="1:29" ht="38.25" customHeight="1" x14ac:dyDescent="0.2">
      <c r="D5" s="710" t="s">
        <v>1284</v>
      </c>
      <c r="E5" s="711" t="s">
        <v>1285</v>
      </c>
      <c r="F5" s="710" t="s">
        <v>1286</v>
      </c>
      <c r="G5" s="710" t="s">
        <v>1287</v>
      </c>
      <c r="H5" s="712" t="s">
        <v>1288</v>
      </c>
      <c r="I5" s="712" t="s">
        <v>1289</v>
      </c>
      <c r="J5" s="712" t="s">
        <v>1290</v>
      </c>
      <c r="K5" s="712" t="s">
        <v>1291</v>
      </c>
      <c r="L5" s="712" t="s">
        <v>1292</v>
      </c>
      <c r="M5" s="710" t="s">
        <v>1293</v>
      </c>
      <c r="N5" s="710" t="s">
        <v>1294</v>
      </c>
      <c r="O5" s="710" t="s">
        <v>1295</v>
      </c>
      <c r="P5" s="710" t="s">
        <v>1296</v>
      </c>
      <c r="Q5" s="713" t="s">
        <v>1297</v>
      </c>
      <c r="R5" s="712"/>
      <c r="S5" s="710"/>
      <c r="T5" s="966" t="s">
        <v>1298</v>
      </c>
      <c r="U5" s="966"/>
      <c r="V5" s="966"/>
      <c r="X5" s="707" t="s">
        <v>1299</v>
      </c>
      <c r="AA5" s="714"/>
      <c r="AB5" s="714"/>
      <c r="AC5" s="708"/>
    </row>
    <row r="6" spans="1:29" ht="25.5" x14ac:dyDescent="0.2">
      <c r="C6" s="715"/>
      <c r="D6" s="716" t="s">
        <v>1300</v>
      </c>
      <c r="E6" s="717" t="s">
        <v>1300</v>
      </c>
      <c r="F6" s="716" t="s">
        <v>1301</v>
      </c>
      <c r="G6" s="716" t="s">
        <v>1301</v>
      </c>
      <c r="H6" s="716" t="s">
        <v>1300</v>
      </c>
      <c r="I6" s="716" t="s">
        <v>1300</v>
      </c>
      <c r="J6" s="716" t="s">
        <v>1302</v>
      </c>
      <c r="K6" s="716" t="s">
        <v>1303</v>
      </c>
      <c r="L6" s="716" t="s">
        <v>1304</v>
      </c>
      <c r="M6" s="716" t="s">
        <v>1304</v>
      </c>
      <c r="N6" s="716" t="s">
        <v>1301</v>
      </c>
      <c r="O6" s="716" t="s">
        <v>939</v>
      </c>
      <c r="P6" s="716" t="s">
        <v>939</v>
      </c>
      <c r="Q6" s="717" t="s">
        <v>939</v>
      </c>
      <c r="R6" s="715"/>
      <c r="S6" s="715"/>
      <c r="T6" s="718" t="s">
        <v>1305</v>
      </c>
      <c r="U6" s="716" t="s">
        <v>323</v>
      </c>
      <c r="V6" s="715" t="s">
        <v>1306</v>
      </c>
      <c r="X6" s="719" t="s">
        <v>1305</v>
      </c>
      <c r="Y6" s="716" t="s">
        <v>323</v>
      </c>
      <c r="AA6" s="720"/>
      <c r="AB6" s="720"/>
      <c r="AC6" s="721"/>
    </row>
    <row r="7" spans="1:29" x14ac:dyDescent="0.2">
      <c r="C7" s="707">
        <v>1970</v>
      </c>
      <c r="D7" s="722">
        <v>25300</v>
      </c>
      <c r="E7" s="722">
        <f>D7</f>
        <v>25300</v>
      </c>
      <c r="F7" s="722">
        <v>22000</v>
      </c>
      <c r="G7" s="722">
        <f>0.058*379021</f>
        <v>21983.218000000001</v>
      </c>
      <c r="H7" s="722">
        <v>2983</v>
      </c>
      <c r="I7" s="722">
        <v>1209</v>
      </c>
      <c r="J7" s="722">
        <f>D7/I7</f>
        <v>20.926385442514476</v>
      </c>
      <c r="K7" s="723">
        <v>26.6</v>
      </c>
      <c r="L7" s="723">
        <f>K7/138.7*1000</f>
        <v>191.78082191780823</v>
      </c>
      <c r="M7" s="724">
        <f>T7</f>
        <v>305.33999999999997</v>
      </c>
      <c r="N7" s="725">
        <f>H7/M7</f>
        <v>9.7694373485295092</v>
      </c>
      <c r="O7" s="725">
        <f t="shared" ref="O7:O28" si="0">I7/T7</f>
        <v>3.9595205344861468</v>
      </c>
      <c r="P7" s="725">
        <f t="shared" ref="P7:P34" si="1">I7/L7</f>
        <v>6.3040714285714285</v>
      </c>
      <c r="Q7" s="725">
        <v>6.3</v>
      </c>
      <c r="R7" s="722"/>
      <c r="S7" s="707">
        <f t="shared" ref="S7:S36" si="2">C7</f>
        <v>1970</v>
      </c>
      <c r="T7" s="724">
        <v>305.33999999999997</v>
      </c>
      <c r="U7" s="724">
        <f>T7*138700*0.000001</f>
        <v>42.350657999999996</v>
      </c>
      <c r="V7" s="725">
        <f>T7/42</f>
        <v>7.27</v>
      </c>
      <c r="X7" s="726">
        <f t="shared" ref="X7:X49" si="3">I7/Q7</f>
        <v>191.9047619047619</v>
      </c>
      <c r="Y7" s="727">
        <f>X7*$M$1*0.000001</f>
        <v>26.617190476190473</v>
      </c>
      <c r="AA7" s="728"/>
      <c r="AB7" s="708"/>
      <c r="AC7" s="708"/>
    </row>
    <row r="8" spans="1:29" x14ac:dyDescent="0.2">
      <c r="C8" s="707">
        <f>C7+1</f>
        <v>1971</v>
      </c>
      <c r="D8" s="722">
        <v>25500</v>
      </c>
      <c r="E8" s="722">
        <f t="shared" ref="E8:E34" si="4">D8</f>
        <v>25500</v>
      </c>
      <c r="F8" s="729">
        <v>21900</v>
      </c>
      <c r="G8" s="722">
        <f>0.055*397583</f>
        <v>21867.064999999999</v>
      </c>
      <c r="H8" s="722">
        <v>2885</v>
      </c>
      <c r="I8" s="729">
        <v>1202</v>
      </c>
      <c r="J8" s="722">
        <f t="shared" ref="J8:J34" si="5">D8/I8</f>
        <v>21.214642262895175</v>
      </c>
      <c r="K8" s="730">
        <f>0.8*K7+0.2*K12</f>
        <v>26.240000000000002</v>
      </c>
      <c r="L8" s="730">
        <f t="shared" ref="L8:L34" si="6">K8/138.7*1000</f>
        <v>189.18529199711611</v>
      </c>
      <c r="M8" s="724">
        <f t="shared" ref="M8:M17" si="7">T8</f>
        <v>296.73</v>
      </c>
      <c r="N8" s="731">
        <f>0.8*N7+0.2*N12</f>
        <v>10.859412435447185</v>
      </c>
      <c r="O8" s="725">
        <f t="shared" si="0"/>
        <v>4.050820611330165</v>
      </c>
      <c r="P8" s="725">
        <f t="shared" si="1"/>
        <v>6.3535594512195113</v>
      </c>
      <c r="Q8" s="732">
        <v>6.15</v>
      </c>
      <c r="R8" s="722"/>
      <c r="S8" s="707">
        <f t="shared" si="2"/>
        <v>1971</v>
      </c>
      <c r="T8" s="724">
        <v>296.73</v>
      </c>
      <c r="U8" s="724">
        <f t="shared" ref="U8:U48" si="8">T8*138700*0.000001</f>
        <v>41.156450999999997</v>
      </c>
      <c r="V8" s="725">
        <f t="shared" ref="V8:V48" si="9">T8/42</f>
        <v>7.0650000000000004</v>
      </c>
      <c r="X8" s="726">
        <f t="shared" si="3"/>
        <v>195.44715447154471</v>
      </c>
      <c r="Y8" s="727">
        <f t="shared" ref="Y8:Y49" si="10">X8*$M$1*0.000001</f>
        <v>27.108520325203251</v>
      </c>
      <c r="AA8" s="728"/>
      <c r="AB8" s="708"/>
      <c r="AC8" s="708"/>
    </row>
    <row r="9" spans="1:29" x14ac:dyDescent="0.2">
      <c r="C9" s="707">
        <f t="shared" ref="C9:C49" si="11">C8+1</f>
        <v>1972</v>
      </c>
      <c r="D9" s="722">
        <v>25600</v>
      </c>
      <c r="E9" s="722">
        <f t="shared" si="4"/>
        <v>25600</v>
      </c>
      <c r="F9" s="729">
        <v>21400</v>
      </c>
      <c r="G9" s="722">
        <f>0.053*406954</f>
        <v>21568.561999999998</v>
      </c>
      <c r="H9" s="722">
        <v>2750</v>
      </c>
      <c r="I9" s="729">
        <v>1182</v>
      </c>
      <c r="J9" s="722">
        <f t="shared" si="5"/>
        <v>21.658206429780034</v>
      </c>
      <c r="K9" s="730">
        <f>0.6*K7+0.4*K12</f>
        <v>25.880000000000003</v>
      </c>
      <c r="L9" s="730">
        <f t="shared" si="6"/>
        <v>186.58976207642397</v>
      </c>
      <c r="M9" s="724">
        <f t="shared" si="7"/>
        <v>288.12</v>
      </c>
      <c r="N9" s="731">
        <f>0.6*N7+0.4*N12</f>
        <v>11.94938752236486</v>
      </c>
      <c r="O9" s="725">
        <f t="shared" si="0"/>
        <v>4.1024573094543939</v>
      </c>
      <c r="P9" s="725">
        <f t="shared" si="1"/>
        <v>6.3347527047913434</v>
      </c>
      <c r="Q9" s="725">
        <f>282/47</f>
        <v>6</v>
      </c>
      <c r="R9" s="722"/>
      <c r="S9" s="707">
        <f t="shared" si="2"/>
        <v>1972</v>
      </c>
      <c r="T9" s="724">
        <v>288.12</v>
      </c>
      <c r="U9" s="724">
        <f t="shared" si="8"/>
        <v>39.962243999999998</v>
      </c>
      <c r="V9" s="725">
        <f t="shared" si="9"/>
        <v>6.86</v>
      </c>
      <c r="X9" s="726">
        <f t="shared" si="3"/>
        <v>197</v>
      </c>
      <c r="Y9" s="727">
        <f t="shared" si="10"/>
        <v>27.323899999999998</v>
      </c>
      <c r="AA9" s="728"/>
      <c r="AB9" s="708"/>
      <c r="AC9" s="708"/>
    </row>
    <row r="10" spans="1:29" x14ac:dyDescent="0.2">
      <c r="C10" s="707">
        <f t="shared" si="11"/>
        <v>1973</v>
      </c>
      <c r="D10" s="722">
        <v>26400</v>
      </c>
      <c r="E10" s="722">
        <f t="shared" si="4"/>
        <v>26400</v>
      </c>
      <c r="F10" s="729">
        <v>20800</v>
      </c>
      <c r="G10" s="722">
        <f>0.049*425527</f>
        <v>20850.823</v>
      </c>
      <c r="H10" s="722">
        <v>2548</v>
      </c>
      <c r="I10" s="729">
        <v>1178</v>
      </c>
      <c r="J10" s="722">
        <f t="shared" si="5"/>
        <v>22.410865874363328</v>
      </c>
      <c r="K10" s="730">
        <f>0.4*K7+0.6*K12</f>
        <v>25.52</v>
      </c>
      <c r="L10" s="730">
        <f t="shared" si="6"/>
        <v>183.99423215573179</v>
      </c>
      <c r="M10" s="724">
        <f t="shared" si="7"/>
        <v>252.42</v>
      </c>
      <c r="N10" s="731">
        <f>0.4*N7+0.6*N12</f>
        <v>13.039362609282536</v>
      </c>
      <c r="O10" s="725">
        <f t="shared" si="0"/>
        <v>4.6668251327153163</v>
      </c>
      <c r="P10" s="725">
        <f t="shared" si="1"/>
        <v>6.4023746081504704</v>
      </c>
      <c r="Q10" s="725">
        <f>282/47</f>
        <v>6</v>
      </c>
      <c r="R10" s="722"/>
      <c r="S10" s="707">
        <f t="shared" si="2"/>
        <v>1973</v>
      </c>
      <c r="T10" s="724">
        <v>252.42</v>
      </c>
      <c r="U10" s="724">
        <f t="shared" si="8"/>
        <v>35.010653999999995</v>
      </c>
      <c r="V10" s="725">
        <f t="shared" si="9"/>
        <v>6.01</v>
      </c>
      <c r="X10" s="726">
        <f t="shared" si="3"/>
        <v>196.33333333333334</v>
      </c>
      <c r="Y10" s="727">
        <f t="shared" si="10"/>
        <v>27.231433333333335</v>
      </c>
      <c r="AA10" s="728"/>
      <c r="AB10" s="708"/>
      <c r="AC10" s="708"/>
    </row>
    <row r="11" spans="1:29" x14ac:dyDescent="0.2">
      <c r="C11" s="707">
        <f t="shared" si="11"/>
        <v>1974</v>
      </c>
      <c r="D11" s="722">
        <v>27700</v>
      </c>
      <c r="E11" s="722">
        <f t="shared" si="4"/>
        <v>27700</v>
      </c>
      <c r="F11" s="729">
        <v>21000</v>
      </c>
      <c r="G11" s="722">
        <f>0.047*446906</f>
        <v>21004.581999999999</v>
      </c>
      <c r="H11" s="722">
        <v>2610</v>
      </c>
      <c r="I11" s="729">
        <v>1195</v>
      </c>
      <c r="J11" s="722">
        <f t="shared" si="5"/>
        <v>23.179916317991633</v>
      </c>
      <c r="K11" s="730">
        <f>0.2*K7+0.8*K12</f>
        <v>25.160000000000004</v>
      </c>
      <c r="L11" s="730">
        <f t="shared" si="6"/>
        <v>181.39870223503971</v>
      </c>
      <c r="M11" s="724">
        <f t="shared" si="7"/>
        <v>216.72</v>
      </c>
      <c r="N11" s="731">
        <f>0.2*N7+0.8*N12</f>
        <v>14.129337696200214</v>
      </c>
      <c r="O11" s="725">
        <f t="shared" si="0"/>
        <v>5.5140273163528981</v>
      </c>
      <c r="P11" s="725">
        <f t="shared" si="1"/>
        <v>6.5876987281399026</v>
      </c>
      <c r="Q11" s="725">
        <f>296/47</f>
        <v>6.2978723404255321</v>
      </c>
      <c r="R11" s="722"/>
      <c r="S11" s="707">
        <f t="shared" si="2"/>
        <v>1974</v>
      </c>
      <c r="T11" s="724">
        <v>216.72</v>
      </c>
      <c r="U11" s="724">
        <f t="shared" si="8"/>
        <v>30.059063999999999</v>
      </c>
      <c r="V11" s="725">
        <f t="shared" si="9"/>
        <v>5.16</v>
      </c>
      <c r="X11" s="726">
        <f t="shared" si="3"/>
        <v>189.74662162162161</v>
      </c>
      <c r="Y11" s="727">
        <f t="shared" si="10"/>
        <v>26.317856418918918</v>
      </c>
      <c r="AA11" s="733"/>
    </row>
    <row r="12" spans="1:29" x14ac:dyDescent="0.2">
      <c r="C12" s="707">
        <f t="shared" si="11"/>
        <v>1975</v>
      </c>
      <c r="D12" s="722">
        <v>25400</v>
      </c>
      <c r="E12" s="722">
        <f t="shared" si="4"/>
        <v>25400</v>
      </c>
      <c r="F12" s="722">
        <v>20500</v>
      </c>
      <c r="G12" s="722">
        <f>0.044*462144</f>
        <v>20334.335999999999</v>
      </c>
      <c r="H12" s="722">
        <v>2755</v>
      </c>
      <c r="I12" s="722">
        <v>1126</v>
      </c>
      <c r="J12" s="722">
        <f t="shared" si="5"/>
        <v>22.557726465364119</v>
      </c>
      <c r="K12" s="723">
        <v>24.8</v>
      </c>
      <c r="L12" s="723">
        <f t="shared" si="6"/>
        <v>178.80317231434753</v>
      </c>
      <c r="M12" s="724">
        <f t="shared" si="7"/>
        <v>181.02</v>
      </c>
      <c r="N12" s="725">
        <f>H12/M12</f>
        <v>15.219312783117887</v>
      </c>
      <c r="O12" s="725">
        <f t="shared" si="0"/>
        <v>6.2203071483813943</v>
      </c>
      <c r="P12" s="725">
        <f t="shared" si="1"/>
        <v>6.2974274193548379</v>
      </c>
      <c r="Q12" s="725">
        <f>296/47</f>
        <v>6.2978723404255321</v>
      </c>
      <c r="R12" s="722"/>
      <c r="S12" s="707">
        <f t="shared" si="2"/>
        <v>1975</v>
      </c>
      <c r="T12" s="724">
        <v>181.02</v>
      </c>
      <c r="U12" s="724">
        <f t="shared" si="8"/>
        <v>25.107474</v>
      </c>
      <c r="V12" s="725">
        <f t="shared" si="9"/>
        <v>4.3100000000000005</v>
      </c>
      <c r="X12" s="726">
        <f t="shared" si="3"/>
        <v>178.79054054054055</v>
      </c>
      <c r="Y12" s="727">
        <f t="shared" si="10"/>
        <v>24.798247972972973</v>
      </c>
      <c r="AA12" s="733"/>
    </row>
    <row r="13" spans="1:29" x14ac:dyDescent="0.2">
      <c r="C13" s="707">
        <f t="shared" si="11"/>
        <v>1976</v>
      </c>
      <c r="D13" s="722">
        <v>25100</v>
      </c>
      <c r="E13" s="722">
        <f t="shared" si="4"/>
        <v>25100</v>
      </c>
      <c r="F13" s="729">
        <v>20100</v>
      </c>
      <c r="G13" s="722">
        <f>0.042*478339</f>
        <v>20090.238000000001</v>
      </c>
      <c r="H13" s="722">
        <v>2899</v>
      </c>
      <c r="I13" s="734">
        <v>1118</v>
      </c>
      <c r="J13" s="722">
        <f t="shared" si="5"/>
        <v>22.450805008944545</v>
      </c>
      <c r="K13" s="730">
        <f>0.8*K12+0.2*K17</f>
        <v>25.700000000000003</v>
      </c>
      <c r="L13" s="730">
        <f t="shared" si="6"/>
        <v>185.29199711607791</v>
      </c>
      <c r="M13" s="724">
        <f t="shared" si="7"/>
        <v>182.28</v>
      </c>
      <c r="N13" s="731">
        <f>0.8*N12+0.2*N17</f>
        <v>15.449844463560455</v>
      </c>
      <c r="O13" s="725">
        <f t="shared" si="0"/>
        <v>6.1334211103796354</v>
      </c>
      <c r="P13" s="725">
        <f t="shared" si="1"/>
        <v>6.0337198443579751</v>
      </c>
      <c r="Q13" s="725">
        <f>291/47</f>
        <v>6.1914893617021276</v>
      </c>
      <c r="R13" s="722"/>
      <c r="S13" s="707">
        <f t="shared" si="2"/>
        <v>1976</v>
      </c>
      <c r="T13" s="724">
        <v>182.28</v>
      </c>
      <c r="U13" s="724">
        <f t="shared" si="8"/>
        <v>25.282235999999997</v>
      </c>
      <c r="V13" s="725">
        <f t="shared" si="9"/>
        <v>4.34</v>
      </c>
      <c r="X13" s="726">
        <f t="shared" si="3"/>
        <v>180.57044673539519</v>
      </c>
      <c r="Y13" s="727">
        <f t="shared" si="10"/>
        <v>25.045120962199309</v>
      </c>
      <c r="AA13" s="733"/>
    </row>
    <row r="14" spans="1:29" x14ac:dyDescent="0.2">
      <c r="C14" s="707">
        <f t="shared" si="11"/>
        <v>1977</v>
      </c>
      <c r="D14" s="722">
        <v>26000</v>
      </c>
      <c r="E14" s="722">
        <f t="shared" si="4"/>
        <v>26000</v>
      </c>
      <c r="F14" s="729">
        <v>20100</v>
      </c>
      <c r="G14" s="722">
        <f>0.041*491674</f>
        <v>20158.634000000002</v>
      </c>
      <c r="H14" s="722">
        <v>2937</v>
      </c>
      <c r="I14" s="734">
        <v>1102</v>
      </c>
      <c r="J14" s="722">
        <f t="shared" si="5"/>
        <v>23.593466424682397</v>
      </c>
      <c r="K14" s="730">
        <f>0.6*K12+0.4*K17</f>
        <v>26.6</v>
      </c>
      <c r="L14" s="730">
        <f t="shared" si="6"/>
        <v>191.78082191780823</v>
      </c>
      <c r="M14" s="724">
        <f t="shared" si="7"/>
        <v>181.86</v>
      </c>
      <c r="N14" s="731">
        <f>0.6*N12+0.4*N17</f>
        <v>15.68037614400302</v>
      </c>
      <c r="O14" s="725">
        <f t="shared" si="0"/>
        <v>6.0596062905531722</v>
      </c>
      <c r="P14" s="725">
        <f t="shared" si="1"/>
        <v>5.746142857142857</v>
      </c>
      <c r="Q14" s="725">
        <f>287/47</f>
        <v>6.1063829787234045</v>
      </c>
      <c r="R14" s="722"/>
      <c r="S14" s="707">
        <f t="shared" si="2"/>
        <v>1977</v>
      </c>
      <c r="T14" s="724">
        <v>181.86</v>
      </c>
      <c r="U14" s="724">
        <f t="shared" si="8"/>
        <v>25.223982000000003</v>
      </c>
      <c r="V14" s="725">
        <f t="shared" si="9"/>
        <v>4.33</v>
      </c>
      <c r="X14" s="726">
        <f t="shared" si="3"/>
        <v>180.46689895470382</v>
      </c>
      <c r="Y14" s="727">
        <f t="shared" si="10"/>
        <v>25.03075888501742</v>
      </c>
      <c r="AA14" s="733"/>
    </row>
    <row r="15" spans="1:29" x14ac:dyDescent="0.2">
      <c r="C15" s="707">
        <f t="shared" si="11"/>
        <v>1978</v>
      </c>
      <c r="D15" s="722">
        <v>25600</v>
      </c>
      <c r="E15" s="722">
        <f t="shared" si="4"/>
        <v>25600</v>
      </c>
      <c r="F15" s="729">
        <v>20200</v>
      </c>
      <c r="G15" s="722">
        <f>0.041*500362</f>
        <v>20514.842000000001</v>
      </c>
      <c r="H15" s="722">
        <v>3085</v>
      </c>
      <c r="I15" s="731">
        <f>0.4*I12+0.6*I17</f>
        <v>1147.5999999999999</v>
      </c>
      <c r="J15" s="722">
        <f t="shared" si="5"/>
        <v>22.307424189613108</v>
      </c>
      <c r="K15" s="730">
        <f>0.4*K12+0.6*K17</f>
        <v>27.5</v>
      </c>
      <c r="L15" s="730">
        <f t="shared" si="6"/>
        <v>198.2696467195386</v>
      </c>
      <c r="M15" s="724">
        <f t="shared" si="7"/>
        <v>180.18</v>
      </c>
      <c r="N15" s="731">
        <f>0.4*N12+0.6*N17</f>
        <v>15.910907824445584</v>
      </c>
      <c r="O15" s="725">
        <f t="shared" si="0"/>
        <v>6.3691863691863686</v>
      </c>
      <c r="P15" s="725">
        <f t="shared" si="1"/>
        <v>5.7880770909090895</v>
      </c>
      <c r="Q15" s="731">
        <f>5.9</f>
        <v>5.9</v>
      </c>
      <c r="R15" s="722"/>
      <c r="S15" s="707">
        <f t="shared" si="2"/>
        <v>1978</v>
      </c>
      <c r="T15" s="724">
        <v>180.18</v>
      </c>
      <c r="U15" s="724">
        <f t="shared" si="8"/>
        <v>24.990966</v>
      </c>
      <c r="V15" s="725">
        <f t="shared" si="9"/>
        <v>4.29</v>
      </c>
      <c r="X15" s="726">
        <f t="shared" si="3"/>
        <v>194.50847457627117</v>
      </c>
      <c r="Y15" s="727">
        <f t="shared" si="10"/>
        <v>26.978325423728812</v>
      </c>
      <c r="AA15" s="733"/>
    </row>
    <row r="16" spans="1:29" x14ac:dyDescent="0.2">
      <c r="C16" s="707">
        <f t="shared" si="11"/>
        <v>1979</v>
      </c>
      <c r="D16" s="722">
        <v>27700</v>
      </c>
      <c r="E16" s="722">
        <f t="shared" si="4"/>
        <v>27700</v>
      </c>
      <c r="F16" s="729">
        <v>20500</v>
      </c>
      <c r="G16" s="722">
        <f>0.04*520367</f>
        <v>20814.68</v>
      </c>
      <c r="H16" s="722">
        <v>3125</v>
      </c>
      <c r="I16" s="731">
        <f>0.2*I12+0.8*I17</f>
        <v>1154.8</v>
      </c>
      <c r="J16" s="722">
        <f t="shared" si="5"/>
        <v>23.986837547627296</v>
      </c>
      <c r="K16" s="730">
        <f>0.2*K12+0.8*K17</f>
        <v>28.400000000000002</v>
      </c>
      <c r="L16" s="730">
        <f t="shared" si="6"/>
        <v>204.75847152126897</v>
      </c>
      <c r="M16" s="724">
        <f t="shared" si="7"/>
        <v>205.38</v>
      </c>
      <c r="N16" s="731">
        <f>0.2*N12+0.8*N17</f>
        <v>16.141439504888151</v>
      </c>
      <c r="O16" s="725">
        <f t="shared" si="0"/>
        <v>5.6227480767358067</v>
      </c>
      <c r="P16" s="725">
        <f t="shared" si="1"/>
        <v>5.6398154929577453</v>
      </c>
      <c r="Q16" s="731">
        <f>5.7</f>
        <v>5.7</v>
      </c>
      <c r="R16" s="722"/>
      <c r="S16" s="707">
        <f t="shared" si="2"/>
        <v>1979</v>
      </c>
      <c r="T16" s="724">
        <v>205.38</v>
      </c>
      <c r="U16" s="724">
        <f t="shared" si="8"/>
        <v>28.486205999999999</v>
      </c>
      <c r="V16" s="725">
        <f t="shared" si="9"/>
        <v>4.8899999999999997</v>
      </c>
      <c r="X16" s="726">
        <f t="shared" si="3"/>
        <v>202.59649122807016</v>
      </c>
      <c r="Y16" s="727">
        <f t="shared" si="10"/>
        <v>28.100133333333332</v>
      </c>
      <c r="AA16" s="733"/>
    </row>
    <row r="17" spans="3:27" x14ac:dyDescent="0.2">
      <c r="C17" s="707">
        <f t="shared" si="11"/>
        <v>1980</v>
      </c>
      <c r="D17" s="722">
        <v>27400</v>
      </c>
      <c r="E17" s="722">
        <f t="shared" si="4"/>
        <v>27400</v>
      </c>
      <c r="F17" s="722">
        <v>21400</v>
      </c>
      <c r="G17" s="722">
        <f>0.041*528801</f>
        <v>21680.841</v>
      </c>
      <c r="H17" s="722">
        <v>3500</v>
      </c>
      <c r="I17" s="722">
        <v>1162</v>
      </c>
      <c r="J17" s="722">
        <f t="shared" si="5"/>
        <v>23.580034423407916</v>
      </c>
      <c r="K17" s="723">
        <v>29.3</v>
      </c>
      <c r="L17" s="723">
        <f t="shared" si="6"/>
        <v>211.24729632299929</v>
      </c>
      <c r="M17" s="724">
        <f t="shared" si="7"/>
        <v>213.78</v>
      </c>
      <c r="N17" s="725">
        <f>H17/M17</f>
        <v>16.371971185330715</v>
      </c>
      <c r="O17" s="725">
        <f t="shared" si="0"/>
        <v>5.4354944335297972</v>
      </c>
      <c r="P17" s="725">
        <f t="shared" si="1"/>
        <v>5.5006621160409557</v>
      </c>
      <c r="Q17" s="735">
        <f>P17</f>
        <v>5.5006621160409557</v>
      </c>
      <c r="R17" s="722"/>
      <c r="S17" s="707">
        <f t="shared" si="2"/>
        <v>1980</v>
      </c>
      <c r="T17" s="724">
        <v>213.78</v>
      </c>
      <c r="U17" s="724">
        <f t="shared" si="8"/>
        <v>29.651285999999999</v>
      </c>
      <c r="V17" s="725">
        <f t="shared" si="9"/>
        <v>5.09</v>
      </c>
      <c r="X17" s="726">
        <f t="shared" si="3"/>
        <v>211.24729632299929</v>
      </c>
      <c r="Y17" s="727">
        <f t="shared" si="10"/>
        <v>29.299999999999997</v>
      </c>
      <c r="AA17" s="733"/>
    </row>
    <row r="18" spans="3:27" x14ac:dyDescent="0.2">
      <c r="C18" s="707">
        <f t="shared" si="11"/>
        <v>1981</v>
      </c>
      <c r="D18" s="722">
        <v>27100</v>
      </c>
      <c r="E18" s="722">
        <f t="shared" si="4"/>
        <v>27100</v>
      </c>
      <c r="F18" s="729">
        <v>21500</v>
      </c>
      <c r="G18" s="722">
        <f>0.04*543894</f>
        <v>21755.760000000002</v>
      </c>
      <c r="H18" s="722">
        <v>3541</v>
      </c>
      <c r="I18" s="734">
        <v>1134</v>
      </c>
      <c r="J18" s="722">
        <f t="shared" si="5"/>
        <v>23.897707231040563</v>
      </c>
      <c r="K18" s="730">
        <f>0.8*K17+0.2*K22</f>
        <v>29.740000000000002</v>
      </c>
      <c r="L18" s="730">
        <f t="shared" si="6"/>
        <v>214.41961067051193</v>
      </c>
      <c r="M18" s="724">
        <f t="shared" ref="M18:M35" si="12">T19</f>
        <v>227.22</v>
      </c>
      <c r="N18" s="731">
        <f>0.8*N17+0.2*N22</f>
        <v>17.782806972477648</v>
      </c>
      <c r="O18" s="725">
        <f t="shared" si="0"/>
        <v>5.5214723926380369</v>
      </c>
      <c r="P18" s="725">
        <f t="shared" si="1"/>
        <v>5.2886953597848008</v>
      </c>
      <c r="Q18" s="731">
        <f>Q17+Q$51</f>
        <v>5.5070051595290987</v>
      </c>
      <c r="R18" s="722"/>
      <c r="S18" s="707">
        <f t="shared" si="2"/>
        <v>1981</v>
      </c>
      <c r="T18" s="724">
        <v>205.38</v>
      </c>
      <c r="U18" s="724">
        <f t="shared" si="8"/>
        <v>28.486205999999999</v>
      </c>
      <c r="V18" s="725">
        <f t="shared" ref="V18:V36" si="13">T19/42</f>
        <v>5.41</v>
      </c>
      <c r="X18" s="726">
        <f t="shared" si="3"/>
        <v>205.91954558781779</v>
      </c>
      <c r="Y18" s="727">
        <f t="shared" si="10"/>
        <v>28.561040973030327</v>
      </c>
      <c r="AA18" s="733"/>
    </row>
    <row r="19" spans="3:27" x14ac:dyDescent="0.2">
      <c r="C19" s="707">
        <f t="shared" si="11"/>
        <v>1982</v>
      </c>
      <c r="D19" s="722">
        <v>26900</v>
      </c>
      <c r="E19" s="722">
        <f t="shared" si="4"/>
        <v>26900</v>
      </c>
      <c r="F19" s="729">
        <v>22000</v>
      </c>
      <c r="G19" s="722">
        <f>0.039*559197</f>
        <v>21808.683000000001</v>
      </c>
      <c r="H19" s="722">
        <v>3577</v>
      </c>
      <c r="I19" s="734">
        <v>1115</v>
      </c>
      <c r="J19" s="722">
        <f t="shared" si="5"/>
        <v>24.125560538116591</v>
      </c>
      <c r="K19" s="730">
        <f>0.6*K17+0.4*K22</f>
        <v>30.18</v>
      </c>
      <c r="L19" s="730">
        <f t="shared" si="6"/>
        <v>217.59192501802451</v>
      </c>
      <c r="M19" s="724">
        <f t="shared" si="12"/>
        <v>237.3</v>
      </c>
      <c r="N19" s="731">
        <f>0.6*N17+0.4*N22</f>
        <v>19.193642759624581</v>
      </c>
      <c r="O19" s="725">
        <f t="shared" si="0"/>
        <v>4.9071384561218201</v>
      </c>
      <c r="P19" s="725">
        <f t="shared" si="1"/>
        <v>5.1242710404241221</v>
      </c>
      <c r="Q19" s="731">
        <f t="shared" ref="Q19:Q43" si="14">Q18+Q$51</f>
        <v>5.5133482030172418</v>
      </c>
      <c r="R19" s="722"/>
      <c r="S19" s="707">
        <f t="shared" si="2"/>
        <v>1982</v>
      </c>
      <c r="T19" s="724">
        <v>227.22</v>
      </c>
      <c r="U19" s="724">
        <f t="shared" si="8"/>
        <v>31.515414</v>
      </c>
      <c r="V19" s="725">
        <f t="shared" si="13"/>
        <v>5.65</v>
      </c>
      <c r="X19" s="726">
        <f t="shared" si="3"/>
        <v>202.23645576925537</v>
      </c>
      <c r="Y19" s="727">
        <f t="shared" si="10"/>
        <v>28.050196415195717</v>
      </c>
      <c r="AA19" s="733"/>
    </row>
    <row r="20" spans="3:27" ht="13.5" thickBot="1" x14ac:dyDescent="0.25">
      <c r="C20" s="707">
        <f t="shared" si="11"/>
        <v>1983</v>
      </c>
      <c r="D20" s="722">
        <v>26500</v>
      </c>
      <c r="E20" s="722">
        <f t="shared" si="4"/>
        <v>26500</v>
      </c>
      <c r="F20" s="736">
        <v>23500</v>
      </c>
      <c r="G20" s="722">
        <f>0.04*585515</f>
        <v>23420.600000000002</v>
      </c>
      <c r="H20" s="722">
        <v>3648</v>
      </c>
      <c r="I20" s="737">
        <v>1120</v>
      </c>
      <c r="J20" s="722">
        <f t="shared" si="5"/>
        <v>23.660714285714285</v>
      </c>
      <c r="K20" s="730">
        <f>0.4*K17+0.6*K22</f>
        <v>30.619999999999997</v>
      </c>
      <c r="L20" s="730">
        <f t="shared" si="6"/>
        <v>220.76423936553712</v>
      </c>
      <c r="M20" s="724">
        <f t="shared" si="12"/>
        <v>169.26</v>
      </c>
      <c r="N20" s="731">
        <f>0.4*N17+0.6*N22</f>
        <v>20.60447854677151</v>
      </c>
      <c r="O20" s="725">
        <f t="shared" si="0"/>
        <v>4.71976401179941</v>
      </c>
      <c r="P20" s="725">
        <f t="shared" si="1"/>
        <v>5.07328543435663</v>
      </c>
      <c r="Q20" s="731">
        <f t="shared" si="14"/>
        <v>5.5196912465053849</v>
      </c>
      <c r="R20" s="722"/>
      <c r="S20" s="707">
        <f t="shared" si="2"/>
        <v>1983</v>
      </c>
      <c r="T20" s="724">
        <v>237.3</v>
      </c>
      <c r="U20" s="724">
        <f t="shared" si="8"/>
        <v>32.913509999999995</v>
      </c>
      <c r="V20" s="725">
        <f t="shared" si="13"/>
        <v>4.0299999999999994</v>
      </c>
      <c r="X20" s="726">
        <f t="shared" si="3"/>
        <v>202.9099002066632</v>
      </c>
      <c r="Y20" s="727">
        <f t="shared" si="10"/>
        <v>28.143603158664185</v>
      </c>
      <c r="AA20" s="733"/>
    </row>
    <row r="21" spans="3:27" x14ac:dyDescent="0.2">
      <c r="C21" s="707">
        <f t="shared" si="11"/>
        <v>1984</v>
      </c>
      <c r="D21" s="722">
        <v>24600</v>
      </c>
      <c r="E21" s="722">
        <f t="shared" si="4"/>
        <v>24600</v>
      </c>
      <c r="F21" s="729">
        <f>0.2*F17+0.8*F22</f>
        <v>20440</v>
      </c>
      <c r="G21" s="722">
        <f>0.043*583671</f>
        <v>25097.852999999999</v>
      </c>
      <c r="H21" s="722">
        <v>3329</v>
      </c>
      <c r="I21" s="731">
        <f>0.2*I17+0.8*I22</f>
        <v>978.80000000000007</v>
      </c>
      <c r="J21" s="722">
        <f t="shared" si="5"/>
        <v>25.132815692684918</v>
      </c>
      <c r="K21" s="730">
        <f>0.2*K17+0.8*K22</f>
        <v>31.060000000000002</v>
      </c>
      <c r="L21" s="730">
        <f t="shared" si="6"/>
        <v>223.93655371304976</v>
      </c>
      <c r="M21" s="724">
        <f t="shared" si="12"/>
        <v>165.48</v>
      </c>
      <c r="N21" s="731">
        <f>0.2*N17+0.8*N22</f>
        <v>22.015314333918443</v>
      </c>
      <c r="O21" s="725">
        <f t="shared" si="0"/>
        <v>5.7828193312064284</v>
      </c>
      <c r="P21" s="725">
        <f t="shared" si="1"/>
        <v>4.3708808757244046</v>
      </c>
      <c r="Q21" s="731">
        <f t="shared" si="14"/>
        <v>5.526034289993528</v>
      </c>
      <c r="R21" s="722"/>
      <c r="S21" s="707">
        <f t="shared" si="2"/>
        <v>1984</v>
      </c>
      <c r="T21" s="724">
        <v>169.26</v>
      </c>
      <c r="U21" s="724">
        <f t="shared" si="8"/>
        <v>23.476361999999998</v>
      </c>
      <c r="V21" s="725">
        <f t="shared" si="13"/>
        <v>3.94</v>
      </c>
      <c r="X21" s="726">
        <f t="shared" si="3"/>
        <v>177.12521288049163</v>
      </c>
      <c r="Y21" s="727">
        <f t="shared" si="10"/>
        <v>24.567267026524188</v>
      </c>
      <c r="AA21" s="733"/>
    </row>
    <row r="22" spans="3:27" x14ac:dyDescent="0.2">
      <c r="C22" s="707">
        <f t="shared" si="11"/>
        <v>1985</v>
      </c>
      <c r="D22" s="722">
        <v>23800</v>
      </c>
      <c r="E22" s="722">
        <f t="shared" si="4"/>
        <v>23800</v>
      </c>
      <c r="F22" s="722">
        <v>20200</v>
      </c>
      <c r="H22" s="722">
        <v>3483</v>
      </c>
      <c r="I22" s="722">
        <v>933</v>
      </c>
      <c r="J22" s="722">
        <f t="shared" si="5"/>
        <v>25.509110396570204</v>
      </c>
      <c r="K22" s="723">
        <v>31.5</v>
      </c>
      <c r="L22" s="723">
        <f t="shared" si="6"/>
        <v>227.10886806056237</v>
      </c>
      <c r="M22" s="724">
        <f t="shared" si="12"/>
        <v>148.68</v>
      </c>
      <c r="N22" s="725">
        <f>H22/M22</f>
        <v>23.426150121065373</v>
      </c>
      <c r="O22" s="725">
        <f t="shared" si="0"/>
        <v>5.6381435823060189</v>
      </c>
      <c r="P22" s="725">
        <f t="shared" si="1"/>
        <v>4.1081619047619045</v>
      </c>
      <c r="Q22" s="731">
        <f t="shared" si="14"/>
        <v>5.532377333481671</v>
      </c>
      <c r="R22" s="722"/>
      <c r="S22" s="707">
        <f t="shared" si="2"/>
        <v>1985</v>
      </c>
      <c r="T22" s="724">
        <v>165.48</v>
      </c>
      <c r="U22" s="724">
        <f t="shared" si="8"/>
        <v>22.952075999999998</v>
      </c>
      <c r="V22" s="725">
        <f t="shared" si="13"/>
        <v>3.54</v>
      </c>
      <c r="X22" s="726">
        <f t="shared" si="3"/>
        <v>168.6435945635036</v>
      </c>
      <c r="Y22" s="727">
        <f t="shared" si="10"/>
        <v>23.390866565957946</v>
      </c>
      <c r="AA22" s="733"/>
    </row>
    <row r="23" spans="3:27" x14ac:dyDescent="0.2">
      <c r="C23" s="707">
        <f t="shared" si="11"/>
        <v>1986</v>
      </c>
      <c r="D23" s="722">
        <v>23700</v>
      </c>
      <c r="E23" s="722">
        <f t="shared" si="4"/>
        <v>23700</v>
      </c>
      <c r="F23" s="738">
        <f>0.8*F22+0.2*F27</f>
        <v>20296</v>
      </c>
      <c r="H23" s="722">
        <v>3565</v>
      </c>
      <c r="I23" s="731">
        <f>0.8*I22+0.2*I27</f>
        <v>944.60000000000014</v>
      </c>
      <c r="J23" s="722">
        <f t="shared" si="5"/>
        <v>25.089985178911704</v>
      </c>
      <c r="K23" s="730">
        <f>0.8*K22+0.2*K27</f>
        <v>29.540000000000003</v>
      </c>
      <c r="L23" s="730">
        <f t="shared" si="6"/>
        <v>212.97764960346075</v>
      </c>
      <c r="M23" s="724">
        <f t="shared" si="12"/>
        <v>155.82</v>
      </c>
      <c r="N23" s="731">
        <f>0.8*N22+0.2*N27</f>
        <v>23.647427202312286</v>
      </c>
      <c r="O23" s="725">
        <f t="shared" si="0"/>
        <v>6.3532418617164383</v>
      </c>
      <c r="P23" s="725">
        <f t="shared" si="1"/>
        <v>4.4352071767095458</v>
      </c>
      <c r="Q23" s="731">
        <f t="shared" si="14"/>
        <v>5.5387203769698141</v>
      </c>
      <c r="R23" s="722"/>
      <c r="S23" s="707">
        <f t="shared" si="2"/>
        <v>1986</v>
      </c>
      <c r="T23" s="724">
        <v>148.68</v>
      </c>
      <c r="U23" s="724">
        <f t="shared" si="8"/>
        <v>20.621915999999999</v>
      </c>
      <c r="V23" s="725">
        <f t="shared" si="13"/>
        <v>3.71</v>
      </c>
      <c r="X23" s="726">
        <f t="shared" si="3"/>
        <v>170.54480741213777</v>
      </c>
      <c r="Y23" s="727">
        <f t="shared" si="10"/>
        <v>23.654564788063507</v>
      </c>
      <c r="AA23" s="733"/>
    </row>
    <row r="24" spans="3:27" x14ac:dyDescent="0.2">
      <c r="C24" s="707">
        <f t="shared" si="11"/>
        <v>1987</v>
      </c>
      <c r="D24" s="722">
        <v>23000</v>
      </c>
      <c r="E24" s="722">
        <f t="shared" si="4"/>
        <v>23000</v>
      </c>
      <c r="F24" s="738">
        <f>0.6*F22+0.4*F27</f>
        <v>20392</v>
      </c>
      <c r="H24" s="722">
        <v>3728</v>
      </c>
      <c r="I24" s="731">
        <f>0.6*I22+0.4*I27</f>
        <v>956.2</v>
      </c>
      <c r="J24" s="722">
        <f t="shared" si="5"/>
        <v>24.053545283413509</v>
      </c>
      <c r="K24" s="730">
        <f>0.6*K22+0.4*K27</f>
        <v>27.58</v>
      </c>
      <c r="L24" s="730">
        <f t="shared" si="6"/>
        <v>198.84643114635907</v>
      </c>
      <c r="M24" s="724">
        <f t="shared" si="12"/>
        <v>160.44</v>
      </c>
      <c r="N24" s="731">
        <f>0.6*N22+0.4*N27</f>
        <v>23.868704283559193</v>
      </c>
      <c r="O24" s="725">
        <f t="shared" si="0"/>
        <v>6.1365678346810428</v>
      </c>
      <c r="P24" s="725">
        <f t="shared" si="1"/>
        <v>4.8087360406091371</v>
      </c>
      <c r="Q24" s="731">
        <f t="shared" si="14"/>
        <v>5.5450634204579572</v>
      </c>
      <c r="R24" s="722"/>
      <c r="S24" s="707">
        <f t="shared" si="2"/>
        <v>1987</v>
      </c>
      <c r="T24" s="724">
        <v>155.82</v>
      </c>
      <c r="U24" s="724">
        <f t="shared" si="8"/>
        <v>21.612233999999997</v>
      </c>
      <c r="V24" s="725">
        <f t="shared" si="13"/>
        <v>3.82</v>
      </c>
      <c r="X24" s="726">
        <f t="shared" si="3"/>
        <v>172.44167063485617</v>
      </c>
      <c r="Y24" s="727">
        <f t="shared" si="10"/>
        <v>23.917659717054548</v>
      </c>
      <c r="AA24" s="733"/>
    </row>
    <row r="25" spans="3:27" x14ac:dyDescent="0.2">
      <c r="C25" s="707">
        <f t="shared" si="11"/>
        <v>1988</v>
      </c>
      <c r="D25" s="722">
        <v>23100</v>
      </c>
      <c r="E25" s="722">
        <f t="shared" si="4"/>
        <v>23100</v>
      </c>
      <c r="F25" s="738">
        <f>0.4*F22+0.6*F27</f>
        <v>20488</v>
      </c>
      <c r="H25" s="722">
        <v>3730</v>
      </c>
      <c r="I25" s="731">
        <f>0.4*I22+0.6*I27</f>
        <v>967.80000000000007</v>
      </c>
      <c r="J25" s="722">
        <f t="shared" si="5"/>
        <v>23.868567885926844</v>
      </c>
      <c r="K25" s="730">
        <f>0.4*K22+0.6*K27</f>
        <v>25.62</v>
      </c>
      <c r="L25" s="730">
        <f t="shared" si="6"/>
        <v>184.71521268925741</v>
      </c>
      <c r="M25" s="724">
        <f t="shared" si="12"/>
        <v>166.74</v>
      </c>
      <c r="N25" s="731">
        <f>0.4*N22+0.6*N27</f>
        <v>24.089981364806103</v>
      </c>
      <c r="O25" s="725">
        <f t="shared" si="0"/>
        <v>6.0321615557217658</v>
      </c>
      <c r="P25" s="725">
        <f t="shared" si="1"/>
        <v>5.2394168618266974</v>
      </c>
      <c r="Q25" s="731">
        <f t="shared" si="14"/>
        <v>5.5514064639461003</v>
      </c>
      <c r="R25" s="722"/>
      <c r="S25" s="707">
        <f t="shared" si="2"/>
        <v>1988</v>
      </c>
      <c r="T25" s="724">
        <v>160.44</v>
      </c>
      <c r="U25" s="724">
        <f t="shared" si="8"/>
        <v>22.253028</v>
      </c>
      <c r="V25" s="725">
        <f t="shared" si="13"/>
        <v>3.97</v>
      </c>
      <c r="X25" s="726">
        <f t="shared" si="3"/>
        <v>174.3341991413217</v>
      </c>
      <c r="Y25" s="727">
        <f t="shared" si="10"/>
        <v>24.18015342090132</v>
      </c>
      <c r="AA25" s="733"/>
    </row>
    <row r="26" spans="3:27" x14ac:dyDescent="0.2">
      <c r="C26" s="707">
        <f t="shared" si="11"/>
        <v>1989</v>
      </c>
      <c r="D26" s="722">
        <v>24000</v>
      </c>
      <c r="E26" s="722">
        <f t="shared" si="4"/>
        <v>24000</v>
      </c>
      <c r="F26" s="738">
        <f>0.2*F22+0.8*F27</f>
        <v>20584</v>
      </c>
      <c r="H26" s="722">
        <v>3823</v>
      </c>
      <c r="I26" s="731">
        <f>0.2*I22+0.8*I27</f>
        <v>979.40000000000009</v>
      </c>
      <c r="J26" s="722">
        <f t="shared" si="5"/>
        <v>24.504798856442719</v>
      </c>
      <c r="K26" s="730">
        <f>0.2*K22+0.8*K27</f>
        <v>23.66</v>
      </c>
      <c r="L26" s="730">
        <f t="shared" si="6"/>
        <v>170.58399423215576</v>
      </c>
      <c r="M26" s="724">
        <f t="shared" si="12"/>
        <v>159.6</v>
      </c>
      <c r="N26" s="731">
        <f>0.2*N22+0.8*N27</f>
        <v>24.311258446053017</v>
      </c>
      <c r="O26" s="725">
        <f t="shared" si="0"/>
        <v>5.8738155211706848</v>
      </c>
      <c r="P26" s="725">
        <f t="shared" si="1"/>
        <v>5.7414530853761621</v>
      </c>
      <c r="Q26" s="731">
        <f t="shared" si="14"/>
        <v>5.5577495074342433</v>
      </c>
      <c r="R26" s="722"/>
      <c r="S26" s="707">
        <f t="shared" si="2"/>
        <v>1989</v>
      </c>
      <c r="T26" s="724">
        <v>166.74</v>
      </c>
      <c r="U26" s="724">
        <f t="shared" si="8"/>
        <v>23.126837999999999</v>
      </c>
      <c r="V26" s="725">
        <f t="shared" si="13"/>
        <v>3.8</v>
      </c>
      <c r="X26" s="726">
        <f t="shared" si="3"/>
        <v>176.22240777313189</v>
      </c>
      <c r="Y26" s="727">
        <f t="shared" si="10"/>
        <v>24.44204795813339</v>
      </c>
      <c r="AA26" s="733"/>
    </row>
    <row r="27" spans="3:27" x14ac:dyDescent="0.2">
      <c r="C27" s="707">
        <f t="shared" si="11"/>
        <v>1990</v>
      </c>
      <c r="D27" s="722">
        <v>23000</v>
      </c>
      <c r="E27" s="722">
        <f t="shared" si="4"/>
        <v>23000</v>
      </c>
      <c r="F27" s="722">
        <v>20680</v>
      </c>
      <c r="H27" s="722">
        <v>3936</v>
      </c>
      <c r="I27" s="722">
        <v>991</v>
      </c>
      <c r="J27" s="722">
        <f t="shared" si="5"/>
        <v>23.208879919273461</v>
      </c>
      <c r="K27" s="723">
        <v>21.7</v>
      </c>
      <c r="L27" s="723">
        <f t="shared" si="6"/>
        <v>156.45277577505408</v>
      </c>
      <c r="M27" s="724">
        <f t="shared" si="12"/>
        <v>160.44</v>
      </c>
      <c r="N27" s="725">
        <f>H27/M27</f>
        <v>24.532535527299924</v>
      </c>
      <c r="O27" s="725">
        <f t="shared" si="0"/>
        <v>6.2092731829573937</v>
      </c>
      <c r="P27" s="725">
        <f t="shared" si="1"/>
        <v>6.3341797235023041</v>
      </c>
      <c r="Q27" s="731">
        <f t="shared" si="14"/>
        <v>5.5640925509223864</v>
      </c>
      <c r="R27" s="722"/>
      <c r="S27" s="707">
        <f t="shared" si="2"/>
        <v>1990</v>
      </c>
      <c r="T27" s="724">
        <v>159.6</v>
      </c>
      <c r="U27" s="724">
        <f t="shared" si="8"/>
        <v>22.136519999999997</v>
      </c>
      <c r="V27" s="725">
        <f t="shared" si="13"/>
        <v>3.82</v>
      </c>
      <c r="X27" s="726">
        <f t="shared" si="3"/>
        <v>178.10631130420668</v>
      </c>
      <c r="Y27" s="727">
        <f t="shared" si="10"/>
        <v>24.703345377893466</v>
      </c>
      <c r="AA27" s="733"/>
    </row>
    <row r="28" spans="3:27" x14ac:dyDescent="0.2">
      <c r="C28" s="707">
        <f t="shared" si="11"/>
        <v>1991</v>
      </c>
      <c r="D28" s="722">
        <v>23100</v>
      </c>
      <c r="E28" s="722">
        <f t="shared" si="4"/>
        <v>23100</v>
      </c>
      <c r="F28" s="738">
        <f>0.75*F27+0.25*F31</f>
        <v>20296.5</v>
      </c>
      <c r="H28" s="722">
        <v>4015</v>
      </c>
      <c r="I28" s="738">
        <f>0.75*I27+0.25*I31</f>
        <v>1046</v>
      </c>
      <c r="J28" s="722">
        <f t="shared" si="5"/>
        <v>22.084130019120458</v>
      </c>
      <c r="K28" s="730">
        <f>0.75*K27+0.25*K31</f>
        <v>22.45</v>
      </c>
      <c r="L28" s="730">
        <f t="shared" si="6"/>
        <v>161.86012977649605</v>
      </c>
      <c r="M28" s="724">
        <f t="shared" si="12"/>
        <v>157.08000000000001</v>
      </c>
      <c r="N28" s="731">
        <f>0.75*N27+0.25*N31</f>
        <v>18.399401645474942</v>
      </c>
      <c r="O28" s="725">
        <f t="shared" si="0"/>
        <v>6.519571179257043</v>
      </c>
      <c r="P28" s="725">
        <f t="shared" si="1"/>
        <v>6.4623697104677049</v>
      </c>
      <c r="Q28" s="731">
        <f t="shared" si="14"/>
        <v>5.5704355944105295</v>
      </c>
      <c r="R28" s="722"/>
      <c r="S28" s="707">
        <f t="shared" si="2"/>
        <v>1991</v>
      </c>
      <c r="T28" s="724">
        <v>160.44</v>
      </c>
      <c r="U28" s="724">
        <f t="shared" si="8"/>
        <v>22.253028</v>
      </c>
      <c r="V28" s="725">
        <f t="shared" si="13"/>
        <v>3.74</v>
      </c>
      <c r="X28" s="726">
        <f t="shared" si="3"/>
        <v>187.77705661826059</v>
      </c>
      <c r="Y28" s="727">
        <f t="shared" si="10"/>
        <v>26.044677752952744</v>
      </c>
      <c r="AA28" s="733"/>
    </row>
    <row r="29" spans="3:27" x14ac:dyDescent="0.2">
      <c r="C29" s="707">
        <f t="shared" si="11"/>
        <v>1992</v>
      </c>
      <c r="D29" s="722">
        <v>22600</v>
      </c>
      <c r="E29" s="722">
        <f t="shared" si="4"/>
        <v>22600</v>
      </c>
      <c r="F29" s="738">
        <f>AVERAGE(F27,F31)</f>
        <v>19913</v>
      </c>
      <c r="H29" s="722"/>
      <c r="I29" s="738">
        <f>AVERAGE(I27,I31)</f>
        <v>1101</v>
      </c>
      <c r="J29" s="722">
        <f t="shared" si="5"/>
        <v>20.526793823796549</v>
      </c>
      <c r="K29" s="730">
        <f>AVERAGE(K27,K31)</f>
        <v>23.2</v>
      </c>
      <c r="L29" s="730">
        <f t="shared" si="6"/>
        <v>167.26748377793803</v>
      </c>
      <c r="M29" s="724">
        <f t="shared" si="12"/>
        <v>171.36</v>
      </c>
      <c r="N29" s="731">
        <f>AVERAGE(N27,N31)</f>
        <v>12.266267763649962</v>
      </c>
      <c r="O29" s="725">
        <f t="shared" ref="O29:O34" si="15">I29/T29</f>
        <v>7.0091673032849497</v>
      </c>
      <c r="P29" s="725">
        <f t="shared" si="1"/>
        <v>6.582271551724137</v>
      </c>
      <c r="Q29" s="731">
        <f t="shared" si="14"/>
        <v>5.5767786378986726</v>
      </c>
      <c r="R29" s="722"/>
      <c r="S29" s="707">
        <f t="shared" si="2"/>
        <v>1992</v>
      </c>
      <c r="T29" s="724">
        <v>157.08000000000001</v>
      </c>
      <c r="U29" s="724">
        <f t="shared" si="8"/>
        <v>21.786995999999998</v>
      </c>
      <c r="V29" s="725">
        <f t="shared" si="13"/>
        <v>4.08</v>
      </c>
      <c r="X29" s="726">
        <f t="shared" si="3"/>
        <v>197.42580286723668</v>
      </c>
      <c r="Y29" s="727">
        <f t="shared" si="10"/>
        <v>27.382958857685725</v>
      </c>
      <c r="AA29" s="733"/>
    </row>
    <row r="30" spans="3:27" x14ac:dyDescent="0.2">
      <c r="C30" s="707">
        <f t="shared" si="11"/>
        <v>1993</v>
      </c>
      <c r="D30" s="722">
        <v>24700</v>
      </c>
      <c r="E30" s="722">
        <f t="shared" si="4"/>
        <v>24700</v>
      </c>
      <c r="F30" s="738">
        <f>0.25*F27+0.75*F31</f>
        <v>19529.5</v>
      </c>
      <c r="H30" s="722"/>
      <c r="I30" s="738">
        <f>0.25*I27+0.75*I31</f>
        <v>1156</v>
      </c>
      <c r="J30" s="722">
        <f t="shared" si="5"/>
        <v>21.366782006920417</v>
      </c>
      <c r="K30" s="730">
        <f>0.25*K27+0.75*K31</f>
        <v>23.95</v>
      </c>
      <c r="L30" s="730">
        <f t="shared" si="6"/>
        <v>172.67483777937997</v>
      </c>
      <c r="M30" s="724">
        <f t="shared" si="12"/>
        <v>195.3</v>
      </c>
      <c r="N30" s="731">
        <f>0.25*N27+0.75*N31</f>
        <v>6.133133881824981</v>
      </c>
      <c r="O30" s="725">
        <f t="shared" si="15"/>
        <v>6.7460317460317452</v>
      </c>
      <c r="P30" s="725">
        <f t="shared" si="1"/>
        <v>6.6946638830897696</v>
      </c>
      <c r="Q30" s="731">
        <f t="shared" si="14"/>
        <v>5.5831216813868156</v>
      </c>
      <c r="R30" s="722"/>
      <c r="S30" s="707">
        <f t="shared" si="2"/>
        <v>1993</v>
      </c>
      <c r="T30" s="724">
        <v>171.36</v>
      </c>
      <c r="U30" s="724">
        <f t="shared" si="8"/>
        <v>23.767632000000003</v>
      </c>
      <c r="V30" s="725">
        <f t="shared" si="13"/>
        <v>4.6500000000000004</v>
      </c>
      <c r="X30" s="726">
        <f t="shared" si="3"/>
        <v>207.05262503124527</v>
      </c>
      <c r="Y30" s="727">
        <f t="shared" si="10"/>
        <v>28.718199091833718</v>
      </c>
      <c r="AA30" s="733"/>
    </row>
    <row r="31" spans="3:27" x14ac:dyDescent="0.2">
      <c r="C31" s="707">
        <f t="shared" si="11"/>
        <v>1994</v>
      </c>
      <c r="D31" s="722">
        <v>28100</v>
      </c>
      <c r="E31" s="722">
        <f t="shared" si="4"/>
        <v>28100</v>
      </c>
      <c r="F31" s="722">
        <v>19146</v>
      </c>
      <c r="H31" s="722"/>
      <c r="I31" s="722">
        <v>1211</v>
      </c>
      <c r="J31" s="722">
        <f t="shared" si="5"/>
        <v>23.203963666391413</v>
      </c>
      <c r="K31" s="724">
        <v>24.7</v>
      </c>
      <c r="L31" s="723">
        <f t="shared" si="6"/>
        <v>178.08219178082194</v>
      </c>
      <c r="M31" s="724">
        <f t="shared" si="12"/>
        <v>195.3</v>
      </c>
      <c r="N31" s="734">
        <f>H31/M31</f>
        <v>0</v>
      </c>
      <c r="O31" s="725">
        <f t="shared" si="15"/>
        <v>6.2007168458781354</v>
      </c>
      <c r="P31" s="725">
        <f t="shared" si="1"/>
        <v>6.800230769230768</v>
      </c>
      <c r="Q31" s="731">
        <f t="shared" si="14"/>
        <v>5.5894647248749587</v>
      </c>
      <c r="R31" s="722"/>
      <c r="S31" s="707">
        <f t="shared" si="2"/>
        <v>1994</v>
      </c>
      <c r="T31" s="724">
        <v>195.3</v>
      </c>
      <c r="U31" s="724">
        <f t="shared" si="8"/>
        <v>27.08811</v>
      </c>
      <c r="V31" s="725">
        <f t="shared" si="13"/>
        <v>4.6500000000000004</v>
      </c>
      <c r="X31" s="726">
        <f t="shared" si="3"/>
        <v>216.65759775004057</v>
      </c>
      <c r="Y31" s="739">
        <f t="shared" si="10"/>
        <v>30.050408807930623</v>
      </c>
      <c r="AA31" s="733"/>
    </row>
    <row r="32" spans="3:27" x14ac:dyDescent="0.2">
      <c r="C32" s="707">
        <f t="shared" si="11"/>
        <v>1995</v>
      </c>
      <c r="D32" s="722">
        <v>28100</v>
      </c>
      <c r="E32" s="722">
        <f t="shared" si="4"/>
        <v>28100</v>
      </c>
      <c r="F32" s="722">
        <v>20138</v>
      </c>
      <c r="H32" s="722"/>
      <c r="I32" s="722">
        <v>1194</v>
      </c>
      <c r="J32" s="722">
        <f t="shared" si="5"/>
        <v>23.53433835845896</v>
      </c>
      <c r="K32" s="724">
        <v>22.6</v>
      </c>
      <c r="L32" s="723">
        <f t="shared" si="6"/>
        <v>162.94160057678445</v>
      </c>
      <c r="M32" s="724">
        <f t="shared" si="12"/>
        <v>199.92</v>
      </c>
      <c r="N32" s="734"/>
      <c r="O32" s="725">
        <f t="shared" si="15"/>
        <v>6.1136712749615976</v>
      </c>
      <c r="P32" s="725">
        <f t="shared" si="1"/>
        <v>7.3277787610619454</v>
      </c>
      <c r="Q32" s="731">
        <f t="shared" si="14"/>
        <v>5.5958077683631018</v>
      </c>
      <c r="S32" s="707">
        <f t="shared" si="2"/>
        <v>1995</v>
      </c>
      <c r="T32" s="724">
        <v>195.3</v>
      </c>
      <c r="U32" s="724">
        <f t="shared" si="8"/>
        <v>27.08811</v>
      </c>
      <c r="V32" s="725">
        <f t="shared" si="13"/>
        <v>4.76</v>
      </c>
      <c r="X32" s="726">
        <f t="shared" si="3"/>
        <v>213.37402023537911</v>
      </c>
      <c r="Y32" s="727">
        <f t="shared" si="10"/>
        <v>29.59497660664708</v>
      </c>
      <c r="AA32" s="733"/>
    </row>
    <row r="33" spans="2:29" x14ac:dyDescent="0.2">
      <c r="C33" s="707">
        <f t="shared" si="11"/>
        <v>1996</v>
      </c>
      <c r="D33" s="722">
        <v>28800</v>
      </c>
      <c r="E33" s="722">
        <f t="shared" si="4"/>
        <v>28800</v>
      </c>
      <c r="F33" s="722">
        <v>20649</v>
      </c>
      <c r="H33" s="722"/>
      <c r="I33" s="722">
        <v>1220</v>
      </c>
      <c r="J33" s="722">
        <f t="shared" si="5"/>
        <v>23.606557377049182</v>
      </c>
      <c r="K33" s="724">
        <v>22.6</v>
      </c>
      <c r="L33" s="723">
        <f t="shared" si="6"/>
        <v>162.94160057678445</v>
      </c>
      <c r="M33" s="724">
        <f t="shared" si="12"/>
        <v>212.52</v>
      </c>
      <c r="N33" s="734"/>
      <c r="O33" s="725">
        <f t="shared" si="15"/>
        <v>6.1024409763905565</v>
      </c>
      <c r="P33" s="725">
        <f t="shared" si="1"/>
        <v>7.4873451327433616</v>
      </c>
      <c r="Q33" s="731">
        <f t="shared" si="14"/>
        <v>5.6021508118512449</v>
      </c>
      <c r="S33" s="707">
        <f t="shared" si="2"/>
        <v>1996</v>
      </c>
      <c r="T33" s="724">
        <v>199.92</v>
      </c>
      <c r="U33" s="724">
        <f t="shared" si="8"/>
        <v>27.728904</v>
      </c>
      <c r="V33" s="725">
        <f t="shared" si="13"/>
        <v>5.0600000000000005</v>
      </c>
      <c r="X33" s="726">
        <f t="shared" si="3"/>
        <v>217.77350181632255</v>
      </c>
      <c r="Y33" s="727">
        <f t="shared" si="10"/>
        <v>30.205184701923937</v>
      </c>
      <c r="AA33" s="733"/>
    </row>
    <row r="34" spans="2:29" x14ac:dyDescent="0.2">
      <c r="C34" s="707">
        <f t="shared" si="11"/>
        <v>1997</v>
      </c>
      <c r="D34" s="722">
        <v>30600</v>
      </c>
      <c r="E34" s="722">
        <f t="shared" si="4"/>
        <v>30600</v>
      </c>
      <c r="F34" s="722">
        <v>20910</v>
      </c>
      <c r="H34" s="722"/>
      <c r="I34" s="722">
        <v>1276</v>
      </c>
      <c r="J34" s="722">
        <f t="shared" si="5"/>
        <v>23.981191222570533</v>
      </c>
      <c r="K34" s="724">
        <v>23.6</v>
      </c>
      <c r="L34" s="723">
        <f t="shared" si="6"/>
        <v>170.15140591204039</v>
      </c>
      <c r="M34" s="724">
        <f t="shared" si="12"/>
        <v>220.08</v>
      </c>
      <c r="N34" s="734"/>
      <c r="O34" s="725">
        <f t="shared" si="15"/>
        <v>6.004140786749482</v>
      </c>
      <c r="P34" s="725">
        <f t="shared" si="1"/>
        <v>7.4992033898305079</v>
      </c>
      <c r="Q34" s="731">
        <f t="shared" si="14"/>
        <v>5.6084938553393879</v>
      </c>
      <c r="S34" s="707">
        <f t="shared" si="2"/>
        <v>1997</v>
      </c>
      <c r="T34" s="724">
        <v>212.52</v>
      </c>
      <c r="U34" s="724">
        <f t="shared" si="8"/>
        <v>29.476523999999998</v>
      </c>
      <c r="V34" s="725">
        <f t="shared" si="13"/>
        <v>5.24</v>
      </c>
      <c r="X34" s="726">
        <f t="shared" si="3"/>
        <v>227.5120616892938</v>
      </c>
      <c r="Y34" s="727">
        <f t="shared" si="10"/>
        <v>31.555922956305047</v>
      </c>
      <c r="AA34" s="733"/>
    </row>
    <row r="35" spans="2:29" x14ac:dyDescent="0.2">
      <c r="C35" s="707">
        <f t="shared" si="11"/>
        <v>1998</v>
      </c>
      <c r="D35" s="722">
        <v>31700</v>
      </c>
      <c r="E35" s="740">
        <f>I35*J35</f>
        <v>33638.969870129869</v>
      </c>
      <c r="F35" s="722"/>
      <c r="I35" s="740">
        <f>I34+I$51</f>
        <v>1328.2</v>
      </c>
      <c r="J35" s="732">
        <f>J34+J$51</f>
        <v>25.326735333631884</v>
      </c>
      <c r="M35" s="724">
        <f t="shared" si="12"/>
        <v>241.08</v>
      </c>
      <c r="Q35" s="731">
        <f t="shared" si="14"/>
        <v>5.614836898827531</v>
      </c>
      <c r="S35" s="707">
        <f t="shared" si="2"/>
        <v>1998</v>
      </c>
      <c r="T35" s="724">
        <v>220.08</v>
      </c>
      <c r="U35" s="724">
        <f t="shared" si="8"/>
        <v>30.525095999999998</v>
      </c>
      <c r="V35" s="725">
        <f t="shared" si="13"/>
        <v>5.74</v>
      </c>
      <c r="X35" s="726">
        <f t="shared" si="3"/>
        <v>236.55184005030489</v>
      </c>
      <c r="Y35" s="727">
        <f t="shared" si="10"/>
        <v>32.809740214977282</v>
      </c>
      <c r="AA35" s="733"/>
    </row>
    <row r="36" spans="2:29" x14ac:dyDescent="0.2">
      <c r="C36" s="707">
        <f t="shared" si="11"/>
        <v>1999</v>
      </c>
      <c r="D36" s="722">
        <v>34700</v>
      </c>
      <c r="E36" s="740">
        <f t="shared" ref="E36:E46" si="16">I36*J36</f>
        <v>36818.414545454543</v>
      </c>
      <c r="F36" s="722"/>
      <c r="I36" s="740">
        <f t="shared" ref="I36:I43" si="17">I35+I$51</f>
        <v>1380.4</v>
      </c>
      <c r="J36" s="732">
        <f t="shared" ref="J36:J40" si="18">J35+J$51</f>
        <v>26.672279444693235</v>
      </c>
      <c r="M36" s="724"/>
      <c r="P36" s="725"/>
      <c r="Q36" s="731">
        <f t="shared" si="14"/>
        <v>5.6211799423156741</v>
      </c>
      <c r="S36" s="707">
        <f t="shared" si="2"/>
        <v>1999</v>
      </c>
      <c r="T36" s="724">
        <v>241.08</v>
      </c>
      <c r="U36" s="724">
        <f t="shared" si="8"/>
        <v>33.437795999999999</v>
      </c>
      <c r="V36" s="725">
        <f t="shared" si="13"/>
        <v>5.55</v>
      </c>
      <c r="X36" s="726">
        <f t="shared" si="3"/>
        <v>245.57121710488016</v>
      </c>
      <c r="Y36" s="727">
        <f t="shared" si="10"/>
        <v>34.060727812446878</v>
      </c>
      <c r="AA36" s="733"/>
    </row>
    <row r="37" spans="2:29" x14ac:dyDescent="0.2">
      <c r="C37" s="707">
        <f t="shared" si="11"/>
        <v>2000</v>
      </c>
      <c r="D37" s="722">
        <v>37900</v>
      </c>
      <c r="E37" s="740">
        <f t="shared" si="16"/>
        <v>40138.334025974022</v>
      </c>
      <c r="I37" s="740">
        <f t="shared" si="17"/>
        <v>1432.6000000000001</v>
      </c>
      <c r="J37" s="732">
        <f t="shared" si="18"/>
        <v>28.017823555754585</v>
      </c>
      <c r="Q37" s="731">
        <f t="shared" si="14"/>
        <v>5.6275229858038172</v>
      </c>
      <c r="S37" s="707">
        <f>S36+1</f>
        <v>2000</v>
      </c>
      <c r="T37" s="724">
        <v>233.1</v>
      </c>
      <c r="U37" s="724">
        <f t="shared" si="8"/>
        <v>32.330970000000001</v>
      </c>
      <c r="V37" s="725">
        <f t="shared" si="9"/>
        <v>5.55</v>
      </c>
      <c r="X37" s="726">
        <f t="shared" si="3"/>
        <v>254.5702618388101</v>
      </c>
      <c r="Y37" s="727">
        <f t="shared" si="10"/>
        <v>35.30889531704296</v>
      </c>
      <c r="AA37" s="733"/>
    </row>
    <row r="38" spans="2:29" x14ac:dyDescent="0.2">
      <c r="C38" s="707">
        <f t="shared" si="11"/>
        <v>2001</v>
      </c>
      <c r="D38" s="722">
        <v>41500</v>
      </c>
      <c r="E38" s="740">
        <f t="shared" si="16"/>
        <v>43598.728311688305</v>
      </c>
      <c r="I38" s="740">
        <f t="shared" si="17"/>
        <v>1484.8000000000002</v>
      </c>
      <c r="J38" s="732">
        <f t="shared" si="18"/>
        <v>29.363367666815936</v>
      </c>
      <c r="Q38" s="731">
        <f t="shared" si="14"/>
        <v>5.6338660292919602</v>
      </c>
      <c r="S38" s="707">
        <f t="shared" ref="S38:S48" si="19">S37+1</f>
        <v>2001</v>
      </c>
      <c r="T38" s="724">
        <v>217.35</v>
      </c>
      <c r="U38" s="724">
        <f t="shared" si="8"/>
        <v>30.146445</v>
      </c>
      <c r="V38" s="725">
        <f t="shared" si="9"/>
        <v>5.1749999999999998</v>
      </c>
      <c r="X38" s="726">
        <f t="shared" si="3"/>
        <v>263.54904292720704</v>
      </c>
      <c r="Y38" s="727">
        <f t="shared" si="10"/>
        <v>36.554252254003615</v>
      </c>
      <c r="AA38" s="733"/>
    </row>
    <row r="39" spans="2:29" x14ac:dyDescent="0.2">
      <c r="C39" s="707">
        <f t="shared" si="11"/>
        <v>2002</v>
      </c>
      <c r="D39" s="722"/>
      <c r="E39" s="740">
        <f t="shared" si="16"/>
        <v>47199.597402597399</v>
      </c>
      <c r="I39" s="740">
        <f t="shared" si="17"/>
        <v>1537.0000000000002</v>
      </c>
      <c r="J39" s="732">
        <f t="shared" si="18"/>
        <v>30.708911777877287</v>
      </c>
      <c r="Q39" s="731">
        <f t="shared" si="14"/>
        <v>5.6402090727801033</v>
      </c>
      <c r="S39" s="707">
        <f t="shared" si="19"/>
        <v>2002</v>
      </c>
      <c r="T39" s="724">
        <v>210.22</v>
      </c>
      <c r="U39" s="724">
        <f t="shared" si="8"/>
        <v>29.157513999999999</v>
      </c>
      <c r="V39" s="725">
        <f t="shared" si="9"/>
        <v>5.005238095238095</v>
      </c>
      <c r="X39" s="726">
        <f t="shared" si="3"/>
        <v>272.50762873625195</v>
      </c>
      <c r="Y39" s="727">
        <f t="shared" si="10"/>
        <v>37.796808105718142</v>
      </c>
      <c r="AA39" s="733"/>
    </row>
    <row r="40" spans="2:29" ht="13.5" thickBot="1" x14ac:dyDescent="0.25">
      <c r="B40" s="741"/>
      <c r="C40" s="741">
        <f t="shared" si="11"/>
        <v>2003</v>
      </c>
      <c r="D40" s="742"/>
      <c r="E40" s="743">
        <f t="shared" si="16"/>
        <v>50940.941298701298</v>
      </c>
      <c r="F40" s="741"/>
      <c r="G40" s="741"/>
      <c r="H40" s="741"/>
      <c r="I40" s="740">
        <f t="shared" si="17"/>
        <v>1589.2000000000003</v>
      </c>
      <c r="J40" s="732">
        <f t="shared" si="18"/>
        <v>32.054455888938641</v>
      </c>
      <c r="K40" s="741"/>
      <c r="L40" s="741"/>
      <c r="M40" s="741"/>
      <c r="N40" s="741"/>
      <c r="O40" s="741"/>
      <c r="P40" s="744"/>
      <c r="Q40" s="731">
        <f t="shared" si="14"/>
        <v>5.6465521162682464</v>
      </c>
      <c r="S40" s="707">
        <f t="shared" si="19"/>
        <v>2003</v>
      </c>
      <c r="T40" s="724">
        <v>208.32</v>
      </c>
      <c r="U40" s="724">
        <f t="shared" si="8"/>
        <v>28.893984</v>
      </c>
      <c r="V40" s="725">
        <f t="shared" si="9"/>
        <v>4.96</v>
      </c>
      <c r="X40" s="726">
        <f t="shared" si="3"/>
        <v>281.44608732492986</v>
      </c>
      <c r="Y40" s="727">
        <f t="shared" si="10"/>
        <v>39.036572311967774</v>
      </c>
      <c r="AA40" s="733"/>
    </row>
    <row r="41" spans="2:29" x14ac:dyDescent="0.2">
      <c r="B41" s="708" t="s">
        <v>1307</v>
      </c>
      <c r="C41" s="707">
        <f t="shared" si="11"/>
        <v>2004</v>
      </c>
      <c r="D41" s="722">
        <f>79826*AC41</f>
        <v>79826</v>
      </c>
      <c r="E41" s="740">
        <f t="shared" si="16"/>
        <v>54822.760000000009</v>
      </c>
      <c r="I41" s="740">
        <f t="shared" si="17"/>
        <v>1641.4000000000003</v>
      </c>
      <c r="J41" s="722">
        <v>33.4</v>
      </c>
      <c r="L41" s="707">
        <f>433*AC41</f>
        <v>433</v>
      </c>
      <c r="P41" s="725">
        <f>2390/L41</f>
        <v>5.5196304849884523</v>
      </c>
      <c r="Q41" s="731">
        <f t="shared" si="14"/>
        <v>5.6528951597563895</v>
      </c>
      <c r="S41" s="707">
        <f t="shared" si="19"/>
        <v>2004</v>
      </c>
      <c r="T41" s="724">
        <v>208.87</v>
      </c>
      <c r="U41" s="724">
        <f t="shared" si="8"/>
        <v>28.970268999999998</v>
      </c>
      <c r="V41" s="725">
        <f t="shared" si="9"/>
        <v>4.9730952380952385</v>
      </c>
      <c r="X41" s="726">
        <f t="shared" si="3"/>
        <v>290.36448644675312</v>
      </c>
      <c r="Y41" s="727">
        <f t="shared" si="10"/>
        <v>40.273554270164659</v>
      </c>
      <c r="AA41" s="733"/>
      <c r="AC41" s="707">
        <v>1</v>
      </c>
    </row>
    <row r="42" spans="2:29" x14ac:dyDescent="0.2">
      <c r="C42" s="707">
        <f t="shared" si="11"/>
        <v>2005</v>
      </c>
      <c r="D42" s="722"/>
      <c r="E42" s="740">
        <f t="shared" si="16"/>
        <v>57582.400000000009</v>
      </c>
      <c r="G42" s="707">
        <f>(1948/1276)^(1/13)</f>
        <v>1.0330794287159217</v>
      </c>
      <c r="I42" s="740">
        <f t="shared" si="17"/>
        <v>1693.6000000000004</v>
      </c>
      <c r="J42" s="740">
        <f>34</f>
        <v>34</v>
      </c>
      <c r="Q42" s="731">
        <f t="shared" si="14"/>
        <v>5.6592382032445325</v>
      </c>
      <c r="S42" s="707">
        <f t="shared" si="19"/>
        <v>2005</v>
      </c>
      <c r="T42" s="724">
        <v>214.37</v>
      </c>
      <c r="U42" s="724">
        <f t="shared" si="8"/>
        <v>29.733118999999999</v>
      </c>
      <c r="V42" s="725">
        <f t="shared" si="9"/>
        <v>5.1040476190476189</v>
      </c>
      <c r="X42" s="726">
        <f t="shared" si="3"/>
        <v>299.26289355147344</v>
      </c>
      <c r="Y42" s="727">
        <f t="shared" si="10"/>
        <v>41.50776333558936</v>
      </c>
      <c r="AA42" s="733"/>
    </row>
    <row r="43" spans="2:29" x14ac:dyDescent="0.2">
      <c r="C43" s="707">
        <f t="shared" si="11"/>
        <v>2006</v>
      </c>
      <c r="D43" s="722"/>
      <c r="E43" s="740">
        <f t="shared" si="16"/>
        <v>61103.000000000015</v>
      </c>
      <c r="I43" s="740">
        <f t="shared" si="17"/>
        <v>1745.8000000000004</v>
      </c>
      <c r="J43" s="740">
        <f>35</f>
        <v>35</v>
      </c>
      <c r="Q43" s="731">
        <f t="shared" si="14"/>
        <v>5.6655812467326756</v>
      </c>
      <c r="S43" s="707">
        <f t="shared" si="19"/>
        <v>2006</v>
      </c>
      <c r="T43" s="724">
        <v>208.32</v>
      </c>
      <c r="U43" s="724">
        <f t="shared" si="8"/>
        <v>28.893984</v>
      </c>
      <c r="V43" s="725">
        <f t="shared" si="9"/>
        <v>4.96</v>
      </c>
      <c r="X43" s="726">
        <f t="shared" si="3"/>
        <v>308.14137578678236</v>
      </c>
      <c r="Y43" s="727">
        <f t="shared" si="10"/>
        <v>42.739208821626711</v>
      </c>
      <c r="AA43" s="733"/>
    </row>
    <row r="44" spans="2:29" x14ac:dyDescent="0.2">
      <c r="C44" s="707">
        <f t="shared" si="11"/>
        <v>2007</v>
      </c>
      <c r="D44" s="722">
        <f>65496*AC44</f>
        <v>65496</v>
      </c>
      <c r="E44" s="722">
        <f t="shared" si="16"/>
        <v>65495.999999999993</v>
      </c>
      <c r="I44" s="722">
        <f>1798*AC44</f>
        <v>1798</v>
      </c>
      <c r="J44" s="722">
        <f>D44/I44</f>
        <v>36.427141268075637</v>
      </c>
      <c r="L44" s="707">
        <f>317*AC44</f>
        <v>317</v>
      </c>
      <c r="P44" s="725">
        <f>I44/L44</f>
        <v>5.6719242902208205</v>
      </c>
      <c r="Q44" s="725">
        <f>P44</f>
        <v>5.6719242902208205</v>
      </c>
      <c r="S44" s="707">
        <f t="shared" si="19"/>
        <v>2007</v>
      </c>
      <c r="T44" s="724">
        <v>214.37</v>
      </c>
      <c r="U44" s="724">
        <f t="shared" si="8"/>
        <v>29.733118999999999</v>
      </c>
      <c r="V44" s="725">
        <f t="shared" si="9"/>
        <v>5.1040476190476189</v>
      </c>
      <c r="X44" s="726">
        <f t="shared" si="3"/>
        <v>317</v>
      </c>
      <c r="Y44" s="727">
        <f t="shared" si="10"/>
        <v>43.9679</v>
      </c>
      <c r="AA44" s="733"/>
      <c r="AC44" s="707">
        <v>1</v>
      </c>
    </row>
    <row r="45" spans="2:29" x14ac:dyDescent="0.2">
      <c r="C45" s="707">
        <f t="shared" si="11"/>
        <v>2008</v>
      </c>
      <c r="D45" s="722"/>
      <c r="E45" s="740">
        <f t="shared" si="16"/>
        <v>64750</v>
      </c>
      <c r="I45" s="740">
        <v>1850</v>
      </c>
      <c r="J45" s="740">
        <v>35</v>
      </c>
      <c r="Q45" s="731">
        <f>0.67*Q44+0.33*Q47</f>
        <v>5.8010352981366129</v>
      </c>
      <c r="S45" s="707">
        <f t="shared" si="19"/>
        <v>2008</v>
      </c>
      <c r="T45" s="724">
        <v>218.48</v>
      </c>
      <c r="U45" s="724">
        <f t="shared" si="8"/>
        <v>30.303175999999997</v>
      </c>
      <c r="V45" s="725">
        <f t="shared" si="9"/>
        <v>5.2019047619047614</v>
      </c>
      <c r="X45" s="726">
        <f t="shared" si="3"/>
        <v>318.90859216013564</v>
      </c>
      <c r="Y45" s="727">
        <f t="shared" si="10"/>
        <v>44.232621732610809</v>
      </c>
      <c r="AA45" s="733"/>
    </row>
    <row r="46" spans="2:29" x14ac:dyDescent="0.2">
      <c r="C46" s="707">
        <f t="shared" si="11"/>
        <v>2009</v>
      </c>
      <c r="D46" s="722"/>
      <c r="E46" s="740">
        <f t="shared" si="16"/>
        <v>64600</v>
      </c>
      <c r="I46" s="740">
        <v>1900</v>
      </c>
      <c r="J46" s="740">
        <v>34</v>
      </c>
      <c r="Q46" s="745">
        <f>0.33*Q44+0.67*Q47</f>
        <v>5.9340587608377335</v>
      </c>
      <c r="S46" s="707">
        <f t="shared" si="19"/>
        <v>2009</v>
      </c>
      <c r="T46" s="724">
        <v>224.58</v>
      </c>
      <c r="U46" s="724">
        <f t="shared" si="8"/>
        <v>31.149245999999998</v>
      </c>
      <c r="V46" s="725">
        <f t="shared" si="9"/>
        <v>5.3471428571428579</v>
      </c>
      <c r="X46" s="726">
        <f t="shared" si="3"/>
        <v>320.18557223248155</v>
      </c>
      <c r="Y46" s="727">
        <f t="shared" si="10"/>
        <v>44.409738868645192</v>
      </c>
      <c r="AA46" s="733"/>
    </row>
    <row r="47" spans="2:29" x14ac:dyDescent="0.2">
      <c r="C47" s="707">
        <f t="shared" si="11"/>
        <v>2010</v>
      </c>
      <c r="D47" s="722">
        <f>69000*AC47</f>
        <v>62523.569726596084</v>
      </c>
      <c r="E47" s="722">
        <f>D47</f>
        <v>62523.569726596084</v>
      </c>
      <c r="G47" s="707">
        <v>36888</v>
      </c>
      <c r="I47" s="725">
        <f>2150*AC47</f>
        <v>1948.1981871330663</v>
      </c>
      <c r="J47" s="722">
        <f>D47/I47</f>
        <v>32.093023255813954</v>
      </c>
      <c r="K47" s="725"/>
      <c r="L47" s="725">
        <f>354.6*AC47</f>
        <v>321.31678007320249</v>
      </c>
      <c r="P47" s="725">
        <f>I47/L47</f>
        <v>6.0631697687535251</v>
      </c>
      <c r="Q47" s="725">
        <f>P47</f>
        <v>6.0631697687535251</v>
      </c>
      <c r="S47" s="707">
        <f t="shared" si="19"/>
        <v>2010</v>
      </c>
      <c r="T47" s="724">
        <v>214.95</v>
      </c>
      <c r="U47" s="724">
        <f t="shared" si="8"/>
        <v>29.813564999999997</v>
      </c>
      <c r="V47" s="725">
        <f t="shared" si="9"/>
        <v>5.1178571428571429</v>
      </c>
      <c r="X47" s="726">
        <f t="shared" si="3"/>
        <v>321.31678007320249</v>
      </c>
      <c r="Y47" s="727">
        <f t="shared" si="10"/>
        <v>44.56663739615319</v>
      </c>
      <c r="AA47" s="733">
        <v>36888</v>
      </c>
      <c r="AB47" s="707">
        <v>40709</v>
      </c>
      <c r="AC47" s="746">
        <f>AA47/AB47</f>
        <v>0.90613869168979833</v>
      </c>
    </row>
    <row r="48" spans="2:29" x14ac:dyDescent="0.2">
      <c r="C48" s="707">
        <f t="shared" si="11"/>
        <v>2011</v>
      </c>
      <c r="D48" s="722">
        <f>76200*AC48</f>
        <v>68371.375899952662</v>
      </c>
      <c r="E48" s="722">
        <f t="shared" ref="E48:E49" si="20">D48</f>
        <v>68371.375899952662</v>
      </c>
      <c r="G48" s="707">
        <v>36017</v>
      </c>
      <c r="I48" s="725">
        <f>2170*AC48</f>
        <v>1947.0588674920903</v>
      </c>
      <c r="J48" s="722">
        <f>D48/I48</f>
        <v>35.115207373271886</v>
      </c>
      <c r="K48" s="725"/>
      <c r="L48" s="725">
        <f>345*AC48</f>
        <v>309.55544206671482</v>
      </c>
      <c r="P48" s="725">
        <f>I48/L48</f>
        <v>6.2898550724637676</v>
      </c>
      <c r="Q48" s="725">
        <f t="shared" ref="Q48:Q49" si="21">P48</f>
        <v>6.2898550724637676</v>
      </c>
      <c r="S48" s="707">
        <f t="shared" si="19"/>
        <v>2011</v>
      </c>
      <c r="T48" s="724">
        <v>214.95</v>
      </c>
      <c r="U48" s="724">
        <f t="shared" si="8"/>
        <v>29.813564999999997</v>
      </c>
      <c r="V48" s="725">
        <f t="shared" si="9"/>
        <v>5.1178571428571429</v>
      </c>
      <c r="X48" s="726">
        <f t="shared" si="3"/>
        <v>309.55544206671482</v>
      </c>
      <c r="Y48" s="727">
        <f t="shared" si="10"/>
        <v>42.935339814653339</v>
      </c>
      <c r="AA48" s="733">
        <v>36017</v>
      </c>
      <c r="AB48" s="707">
        <v>40141</v>
      </c>
      <c r="AC48" s="746">
        <f>AA48/AB48</f>
        <v>0.89726215091801398</v>
      </c>
    </row>
    <row r="49" spans="3:29" x14ac:dyDescent="0.2">
      <c r="C49" s="707">
        <f t="shared" si="11"/>
        <v>2012</v>
      </c>
      <c r="D49" s="722">
        <f>75700*AC49</f>
        <v>67571.333350165369</v>
      </c>
      <c r="E49" s="722">
        <f t="shared" si="20"/>
        <v>67571.333350165369</v>
      </c>
      <c r="G49" s="707">
        <v>35354</v>
      </c>
      <c r="I49" s="725">
        <f>2080*AC49</f>
        <v>1856.6495821445703</v>
      </c>
      <c r="J49" s="722">
        <f>D49/I49</f>
        <v>36.394230769230766</v>
      </c>
      <c r="K49" s="725"/>
      <c r="L49" s="725">
        <f>340.2*AC49</f>
        <v>303.66932107960713</v>
      </c>
      <c r="P49" s="725">
        <f>I49/L49</f>
        <v>6.1140505584950029</v>
      </c>
      <c r="Q49" s="725">
        <f t="shared" si="21"/>
        <v>6.1140505584950029</v>
      </c>
      <c r="X49" s="726">
        <f t="shared" si="3"/>
        <v>303.66932107960713</v>
      </c>
      <c r="Y49" s="727">
        <f t="shared" si="10"/>
        <v>42.118934833741505</v>
      </c>
      <c r="AA49" s="707">
        <v>35354</v>
      </c>
      <c r="AB49" s="707">
        <v>39607</v>
      </c>
      <c r="AC49" s="746">
        <f>AA49/AB49</f>
        <v>0.89261999141565884</v>
      </c>
    </row>
    <row r="51" spans="3:29" x14ac:dyDescent="0.2">
      <c r="H51" s="707" t="s">
        <v>1308</v>
      </c>
      <c r="I51" s="747">
        <f>(I44-I34)/10</f>
        <v>52.2</v>
      </c>
      <c r="J51" s="748">
        <f>(J41-J34)/7</f>
        <v>1.3455441110613522</v>
      </c>
      <c r="Q51" s="749">
        <f>(Q44-Q17)/27</f>
        <v>6.3430434881431401E-3</v>
      </c>
      <c r="AA51" s="707" t="s">
        <v>1309</v>
      </c>
    </row>
    <row r="55" spans="3:29" x14ac:dyDescent="0.2">
      <c r="C55" s="750" t="s">
        <v>632</v>
      </c>
    </row>
    <row r="56" spans="3:29" x14ac:dyDescent="0.2">
      <c r="C56" s="707" t="s">
        <v>1310</v>
      </c>
      <c r="D56" s="707" t="s">
        <v>1311</v>
      </c>
      <c r="N56" s="751"/>
      <c r="O56" s="752"/>
    </row>
    <row r="57" spans="3:29" x14ac:dyDescent="0.2">
      <c r="D57" s="707" t="s">
        <v>1312</v>
      </c>
      <c r="N57" s="752"/>
      <c r="O57" s="752"/>
    </row>
    <row r="58" spans="3:29" x14ac:dyDescent="0.2">
      <c r="C58" s="707" t="s">
        <v>1313</v>
      </c>
      <c r="D58" s="707" t="s">
        <v>1314</v>
      </c>
      <c r="N58" s="753"/>
      <c r="O58" s="753"/>
    </row>
    <row r="59" spans="3:29" x14ac:dyDescent="0.2">
      <c r="N59" s="753"/>
      <c r="O59" s="753"/>
    </row>
    <row r="60" spans="3:29" x14ac:dyDescent="0.2">
      <c r="C60" s="707" t="s">
        <v>1315</v>
      </c>
      <c r="D60" s="707" t="s">
        <v>1316</v>
      </c>
      <c r="F60" s="707" t="s">
        <v>1317</v>
      </c>
      <c r="N60" s="753"/>
      <c r="O60" s="753"/>
    </row>
    <row r="61" spans="3:29" x14ac:dyDescent="0.2">
      <c r="D61" s="707" t="s">
        <v>1318</v>
      </c>
    </row>
    <row r="62" spans="3:29" x14ac:dyDescent="0.2">
      <c r="D62" s="707" t="s">
        <v>1319</v>
      </c>
    </row>
    <row r="63" spans="3:29" x14ac:dyDescent="0.2">
      <c r="C63" s="707" t="s">
        <v>1320</v>
      </c>
      <c r="D63" s="707" t="s">
        <v>1321</v>
      </c>
    </row>
    <row r="64" spans="3:29" x14ac:dyDescent="0.2">
      <c r="C64" s="707" t="s">
        <v>1322</v>
      </c>
      <c r="D64" s="707" t="s">
        <v>1323</v>
      </c>
    </row>
    <row r="65" spans="3:9" x14ac:dyDescent="0.2">
      <c r="D65" s="707" t="s">
        <v>1324</v>
      </c>
    </row>
    <row r="67" spans="3:9" x14ac:dyDescent="0.2">
      <c r="C67" s="707" t="s">
        <v>1325</v>
      </c>
      <c r="D67" s="707" t="s">
        <v>1326</v>
      </c>
    </row>
    <row r="68" spans="3:9" x14ac:dyDescent="0.2">
      <c r="D68" s="707" t="s">
        <v>1327</v>
      </c>
    </row>
    <row r="69" spans="3:9" x14ac:dyDescent="0.2">
      <c r="D69" s="754" t="s">
        <v>1328</v>
      </c>
      <c r="E69" s="754"/>
      <c r="F69" s="754"/>
      <c r="G69" s="754"/>
      <c r="H69" s="754"/>
      <c r="I69" s="754"/>
    </row>
    <row r="70" spans="3:9" x14ac:dyDescent="0.2">
      <c r="D70" s="755" t="s">
        <v>1329</v>
      </c>
      <c r="E70" s="755"/>
      <c r="F70" s="755"/>
      <c r="G70" s="755"/>
      <c r="H70" s="754"/>
      <c r="I70" s="754"/>
    </row>
    <row r="71" spans="3:9" x14ac:dyDescent="0.2">
      <c r="D71" s="707" t="s">
        <v>1330</v>
      </c>
    </row>
    <row r="72" spans="3:9" x14ac:dyDescent="0.2">
      <c r="D72" s="756" t="s">
        <v>1331</v>
      </c>
      <c r="E72" s="756"/>
      <c r="F72" s="756"/>
      <c r="G72" s="756"/>
    </row>
    <row r="73" spans="3:9" x14ac:dyDescent="0.2">
      <c r="D73" s="707" t="s">
        <v>1332</v>
      </c>
    </row>
    <row r="74" spans="3:9" x14ac:dyDescent="0.2">
      <c r="C74" s="707" t="s">
        <v>1333</v>
      </c>
      <c r="D74" s="707" t="s">
        <v>1334</v>
      </c>
    </row>
    <row r="75" spans="3:9" x14ac:dyDescent="0.2">
      <c r="C75" s="707" t="s">
        <v>1335</v>
      </c>
      <c r="D75" s="707" t="s">
        <v>1336</v>
      </c>
    </row>
    <row r="76" spans="3:9" x14ac:dyDescent="0.2">
      <c r="C76" s="707" t="s">
        <v>1337</v>
      </c>
      <c r="D76" s="707" t="s">
        <v>1338</v>
      </c>
    </row>
    <row r="77" spans="3:9" x14ac:dyDescent="0.2">
      <c r="C77" s="707" t="s">
        <v>1339</v>
      </c>
      <c r="D77" s="707" t="s">
        <v>1340</v>
      </c>
    </row>
    <row r="78" spans="3:9" x14ac:dyDescent="0.2">
      <c r="C78" s="707" t="s">
        <v>1341</v>
      </c>
      <c r="D78" s="707" t="s">
        <v>1342</v>
      </c>
    </row>
    <row r="79" spans="3:9" x14ac:dyDescent="0.2">
      <c r="C79" s="707" t="s">
        <v>1343</v>
      </c>
      <c r="D79" s="707" t="s">
        <v>1344</v>
      </c>
    </row>
    <row r="80" spans="3:9" x14ac:dyDescent="0.2">
      <c r="C80" s="707" t="s">
        <v>1345</v>
      </c>
      <c r="D80" s="707" t="s">
        <v>1346</v>
      </c>
    </row>
    <row r="81" spans="3:4" x14ac:dyDescent="0.2">
      <c r="C81" s="707" t="s">
        <v>1347</v>
      </c>
      <c r="D81" s="707" t="s">
        <v>1348</v>
      </c>
    </row>
    <row r="83" spans="3:4" x14ac:dyDescent="0.2">
      <c r="C83" s="707" t="s">
        <v>1349</v>
      </c>
      <c r="D83" s="707" t="s">
        <v>1350</v>
      </c>
    </row>
    <row r="84" spans="3:4" x14ac:dyDescent="0.2">
      <c r="C84" s="707" t="s">
        <v>1351</v>
      </c>
    </row>
    <row r="85" spans="3:4" x14ac:dyDescent="0.2">
      <c r="C85" s="707" t="s">
        <v>1352</v>
      </c>
    </row>
    <row r="87" spans="3:4" x14ac:dyDescent="0.2">
      <c r="C87" s="707" t="s">
        <v>1353</v>
      </c>
      <c r="D87" s="707" t="s">
        <v>1354</v>
      </c>
    </row>
    <row r="88" spans="3:4" x14ac:dyDescent="0.2">
      <c r="C88" s="707" t="s">
        <v>1355</v>
      </c>
      <c r="D88" s="707" t="s">
        <v>1356</v>
      </c>
    </row>
  </sheetData>
  <mergeCells count="1">
    <mergeCell ref="T5:V5"/>
  </mergeCells>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81"/>
  <sheetViews>
    <sheetView topLeftCell="A3" workbookViewId="0">
      <selection activeCell="D3" sqref="D3"/>
    </sheetView>
  </sheetViews>
  <sheetFormatPr defaultRowHeight="12.75" x14ac:dyDescent="0.2"/>
  <cols>
    <col min="1" max="3" width="9.140625" style="707"/>
    <col min="4" max="4" width="12" style="707" customWidth="1"/>
    <col min="5" max="5" width="13.140625" style="707" customWidth="1"/>
    <col min="6" max="6" width="15.85546875" style="707" customWidth="1"/>
    <col min="7" max="7" width="14" style="707" customWidth="1"/>
    <col min="8" max="8" width="12" style="707" customWidth="1"/>
    <col min="9" max="9" width="11.42578125" style="707" customWidth="1"/>
    <col min="10" max="10" width="10.140625" style="707" bestFit="1" customWidth="1"/>
    <col min="11" max="11" width="16.5703125" style="707" customWidth="1"/>
    <col min="12" max="12" width="15.28515625" style="707" customWidth="1"/>
    <col min="13" max="14" width="14.28515625" style="707" customWidth="1"/>
    <col min="15" max="15" width="11.7109375" style="707" customWidth="1"/>
    <col min="16" max="17" width="9.140625" style="707"/>
    <col min="18" max="18" width="11" style="707" customWidth="1"/>
    <col min="19" max="19" width="10.42578125" style="707" customWidth="1"/>
    <col min="20" max="22" width="9.140625" style="707"/>
    <col min="23" max="23" width="9.5703125" style="707" bestFit="1" customWidth="1"/>
    <col min="24" max="24" width="9.140625" style="707"/>
    <col min="25" max="25" width="12.5703125" style="707" customWidth="1"/>
    <col min="26" max="16384" width="9.140625" style="707"/>
  </cols>
  <sheetData>
    <row r="1" spans="1:32" ht="15.75" x14ac:dyDescent="0.25">
      <c r="A1" s="706" t="s">
        <v>1362</v>
      </c>
      <c r="B1" s="706"/>
      <c r="C1" s="706"/>
      <c r="D1" s="706"/>
      <c r="E1" s="706"/>
      <c r="F1" s="706"/>
      <c r="L1" s="767">
        <v>137330</v>
      </c>
      <c r="M1" s="707" t="s">
        <v>1273</v>
      </c>
      <c r="Y1" s="707" t="s">
        <v>1363</v>
      </c>
      <c r="AC1" s="707" t="s">
        <v>1364</v>
      </c>
      <c r="AE1" s="767">
        <v>23</v>
      </c>
    </row>
    <row r="3" spans="1:32" x14ac:dyDescent="0.2">
      <c r="D3" s="709" t="s">
        <v>711</v>
      </c>
      <c r="E3" s="709" t="s">
        <v>712</v>
      </c>
      <c r="F3" s="709" t="s">
        <v>713</v>
      </c>
      <c r="G3" s="709" t="s">
        <v>714</v>
      </c>
      <c r="H3" s="709" t="s">
        <v>715</v>
      </c>
      <c r="J3" s="709" t="s">
        <v>716</v>
      </c>
      <c r="K3" s="709" t="s">
        <v>720</v>
      </c>
      <c r="L3" s="709" t="s">
        <v>1365</v>
      </c>
      <c r="M3" s="709" t="s">
        <v>765</v>
      </c>
      <c r="N3" s="709" t="s">
        <v>1274</v>
      </c>
      <c r="O3" s="709" t="s">
        <v>1275</v>
      </c>
      <c r="R3" s="709" t="s">
        <v>1276</v>
      </c>
      <c r="S3" s="709" t="s">
        <v>1277</v>
      </c>
      <c r="T3" s="709" t="s">
        <v>1278</v>
      </c>
      <c r="V3" s="709" t="s">
        <v>1279</v>
      </c>
      <c r="W3" s="709" t="s">
        <v>1280</v>
      </c>
      <c r="Y3" s="709" t="s">
        <v>1281</v>
      </c>
    </row>
    <row r="5" spans="1:32" ht="30.75" customHeight="1" x14ac:dyDescent="0.2">
      <c r="D5" s="710" t="s">
        <v>1284</v>
      </c>
      <c r="E5" s="710" t="s">
        <v>1286</v>
      </c>
      <c r="F5" s="710" t="s">
        <v>1366</v>
      </c>
      <c r="G5" s="712" t="s">
        <v>1367</v>
      </c>
      <c r="H5" s="710" t="s">
        <v>776</v>
      </c>
      <c r="I5" s="710"/>
      <c r="J5" s="710" t="s">
        <v>1368</v>
      </c>
      <c r="K5" s="710" t="s">
        <v>1369</v>
      </c>
      <c r="L5" s="710" t="s">
        <v>1370</v>
      </c>
      <c r="M5" s="710" t="s">
        <v>1371</v>
      </c>
      <c r="N5" s="710" t="s">
        <v>1372</v>
      </c>
      <c r="O5" s="712" t="s">
        <v>1373</v>
      </c>
      <c r="P5" s="712"/>
      <c r="Q5" s="710"/>
      <c r="R5" s="966" t="s">
        <v>1374</v>
      </c>
      <c r="S5" s="966"/>
      <c r="T5" s="966"/>
      <c r="V5" s="707" t="s">
        <v>1299</v>
      </c>
      <c r="Y5" s="712" t="s">
        <v>1375</v>
      </c>
      <c r="AB5" s="707" t="s">
        <v>1376</v>
      </c>
      <c r="AF5" s="783" t="s">
        <v>1422</v>
      </c>
    </row>
    <row r="6" spans="1:32" ht="16.5" customHeight="1" x14ac:dyDescent="0.2">
      <c r="C6" s="715"/>
      <c r="D6" s="716" t="s">
        <v>1300</v>
      </c>
      <c r="E6" s="716" t="s">
        <v>1301</v>
      </c>
      <c r="F6" s="716" t="s">
        <v>1301</v>
      </c>
      <c r="G6" s="716" t="s">
        <v>1300</v>
      </c>
      <c r="H6" s="716" t="s">
        <v>1304</v>
      </c>
      <c r="I6" s="715"/>
      <c r="J6" s="716" t="s">
        <v>1301</v>
      </c>
      <c r="K6" s="716" t="s">
        <v>939</v>
      </c>
      <c r="L6" s="716" t="s">
        <v>939</v>
      </c>
      <c r="M6" s="716" t="s">
        <v>939</v>
      </c>
      <c r="N6" s="716" t="s">
        <v>939</v>
      </c>
      <c r="O6" s="715" t="s">
        <v>1377</v>
      </c>
      <c r="P6" s="715"/>
      <c r="Q6" s="715"/>
      <c r="R6" s="718" t="s">
        <v>1305</v>
      </c>
      <c r="S6" s="716" t="s">
        <v>323</v>
      </c>
      <c r="T6" s="715" t="s">
        <v>1306</v>
      </c>
      <c r="V6" s="718" t="s">
        <v>1305</v>
      </c>
      <c r="W6" s="716" t="s">
        <v>323</v>
      </c>
      <c r="Y6" s="716" t="s">
        <v>1378</v>
      </c>
      <c r="AB6" s="715" t="s">
        <v>1259</v>
      </c>
      <c r="AC6" s="715" t="s">
        <v>1379</v>
      </c>
      <c r="AF6" s="783" t="s">
        <v>1423</v>
      </c>
    </row>
    <row r="7" spans="1:32" x14ac:dyDescent="0.2">
      <c r="C7" s="707">
        <v>1970</v>
      </c>
      <c r="E7" s="722">
        <v>288700</v>
      </c>
      <c r="F7" s="722">
        <f>0.762*379021</f>
        <v>288814.00199999998</v>
      </c>
      <c r="G7" s="722">
        <v>2100</v>
      </c>
      <c r="H7" s="724">
        <f>R7</f>
        <v>299.88</v>
      </c>
      <c r="J7" s="722">
        <f>G7/E7*1000000</f>
        <v>7273.9868375476271</v>
      </c>
      <c r="K7" s="725">
        <f>G7/H7</f>
        <v>7.0028011204481793</v>
      </c>
      <c r="L7" s="768">
        <f>K7</f>
        <v>7.0028011204481793</v>
      </c>
      <c r="M7" s="725">
        <f>G7/R7</f>
        <v>7.0028011204481793</v>
      </c>
      <c r="N7" s="725">
        <f>O7/R7</f>
        <v>7.0028011204481793</v>
      </c>
      <c r="O7" s="769">
        <f>J7*E7*0.000001</f>
        <v>2100</v>
      </c>
      <c r="P7" s="722"/>
      <c r="Q7" s="707">
        <f t="shared" ref="Q7:Q36" si="0">C7</f>
        <v>1970</v>
      </c>
      <c r="R7" s="724">
        <v>299.88</v>
      </c>
      <c r="S7" s="724">
        <v>41.182520399999994</v>
      </c>
      <c r="T7" s="725">
        <f>R7/42</f>
        <v>7.14</v>
      </c>
      <c r="V7" s="726">
        <f>O7/L7</f>
        <v>299.88</v>
      </c>
      <c r="W7" s="727">
        <f>V7*$L$1*0.000001</f>
        <v>41.182520399999994</v>
      </c>
      <c r="Y7" s="727">
        <f t="shared" ref="Y7:Y48" si="1">O7*$AE$1*0.001</f>
        <v>48.300000000000004</v>
      </c>
      <c r="AB7" s="707">
        <v>37.6</v>
      </c>
      <c r="AC7" s="707">
        <f>G7/AB7</f>
        <v>55.851063829787229</v>
      </c>
      <c r="AF7" s="784">
        <f>D7/G7</f>
        <v>0</v>
      </c>
    </row>
    <row r="8" spans="1:32" x14ac:dyDescent="0.2">
      <c r="C8" s="707">
        <f>C7+1</f>
        <v>1971</v>
      </c>
      <c r="F8" s="722">
        <f>0.773*397583</f>
        <v>307331.65899999999</v>
      </c>
      <c r="G8" s="722">
        <v>2212</v>
      </c>
      <c r="H8" s="724">
        <f t="shared" ref="H8:H36" si="2">R8</f>
        <v>309.75</v>
      </c>
      <c r="J8" s="722">
        <f>G8/F8*1000000</f>
        <v>7197.4361743187674</v>
      </c>
      <c r="K8" s="731">
        <f>0.8*K7+0.2*K12</f>
        <v>7.0647423588600065</v>
      </c>
      <c r="L8" s="768">
        <f t="shared" ref="L8:L34" si="3">K8</f>
        <v>7.0647423588600065</v>
      </c>
      <c r="M8" s="725">
        <f t="shared" ref="M8:M34" si="4">G8/R8</f>
        <v>7.1412429378531073</v>
      </c>
      <c r="N8" s="725">
        <f t="shared" ref="N8:N34" si="5">O8/R8</f>
        <v>7.1412429378531073</v>
      </c>
      <c r="O8" s="769">
        <f>F8*J8*0.000001</f>
        <v>2212</v>
      </c>
      <c r="P8" s="722"/>
      <c r="Q8" s="707">
        <f t="shared" si="0"/>
        <v>1971</v>
      </c>
      <c r="R8" s="724">
        <v>309.75</v>
      </c>
      <c r="S8" s="724">
        <v>42.537967500000001</v>
      </c>
      <c r="T8" s="725">
        <f t="shared" ref="T8:T41" si="6">R8/42</f>
        <v>7.375</v>
      </c>
      <c r="V8" s="726">
        <f t="shared" ref="V8:V31" si="7">O8/L8</f>
        <v>313.10412859230394</v>
      </c>
      <c r="W8" s="727">
        <f t="shared" ref="W8:W48" si="8">V8*$L$1*0.000001</f>
        <v>42.998589979581098</v>
      </c>
      <c r="Y8" s="727">
        <f t="shared" si="1"/>
        <v>50.875999999999998</v>
      </c>
      <c r="AF8" s="784">
        <f t="shared" ref="AF8:AF34" si="9">D8/G8</f>
        <v>0</v>
      </c>
    </row>
    <row r="9" spans="1:32" x14ac:dyDescent="0.2">
      <c r="C9" s="707">
        <f t="shared" ref="C9:C49" si="10">C8+1</f>
        <v>1972</v>
      </c>
      <c r="F9" s="722">
        <f>0.782*406954</f>
        <v>318238.02799999999</v>
      </c>
      <c r="G9" s="722">
        <v>2359</v>
      </c>
      <c r="H9" s="724">
        <f t="shared" si="2"/>
        <v>319.62</v>
      </c>
      <c r="J9" s="722">
        <f t="shared" ref="J9:J11" si="11">G9/F9*1000000</f>
        <v>7412.6904783359205</v>
      </c>
      <c r="K9" s="731">
        <f>0.6*K7+0.4*K12</f>
        <v>7.1266835972718328</v>
      </c>
      <c r="L9" s="768">
        <f t="shared" si="3"/>
        <v>7.1266835972718328</v>
      </c>
      <c r="M9" s="725">
        <f t="shared" si="4"/>
        <v>7.3806395094174331</v>
      </c>
      <c r="N9" s="725">
        <f t="shared" si="5"/>
        <v>7.3806395094174331</v>
      </c>
      <c r="O9" s="769">
        <f>F9*J9*0.000001</f>
        <v>2359</v>
      </c>
      <c r="P9" s="722"/>
      <c r="Q9" s="707">
        <f t="shared" si="0"/>
        <v>1972</v>
      </c>
      <c r="R9" s="724">
        <v>319.62</v>
      </c>
      <c r="S9" s="724">
        <v>43.8934146</v>
      </c>
      <c r="T9" s="725">
        <f t="shared" si="6"/>
        <v>7.61</v>
      </c>
      <c r="V9" s="726">
        <f t="shared" si="7"/>
        <v>331.00950362143891</v>
      </c>
      <c r="W9" s="727">
        <f t="shared" si="8"/>
        <v>45.457535132332204</v>
      </c>
      <c r="Y9" s="727">
        <f t="shared" si="1"/>
        <v>54.256999999999998</v>
      </c>
      <c r="AF9" s="784">
        <f t="shared" si="9"/>
        <v>0</v>
      </c>
    </row>
    <row r="10" spans="1:32" x14ac:dyDescent="0.2">
      <c r="C10" s="707">
        <f t="shared" si="10"/>
        <v>1973</v>
      </c>
      <c r="F10" s="722">
        <f>0.79*425527</f>
        <v>336166.33</v>
      </c>
      <c r="G10" s="722">
        <v>2412</v>
      </c>
      <c r="H10" s="724">
        <f t="shared" si="2"/>
        <v>327.04000000000002</v>
      </c>
      <c r="J10" s="722">
        <f t="shared" si="11"/>
        <v>7175.0195803369115</v>
      </c>
      <c r="K10" s="731">
        <f>0.4*K7+0.6*K12</f>
        <v>7.18862483568366</v>
      </c>
      <c r="L10" s="768">
        <f t="shared" si="3"/>
        <v>7.18862483568366</v>
      </c>
      <c r="M10" s="725">
        <f t="shared" si="4"/>
        <v>7.3752446183953024</v>
      </c>
      <c r="N10" s="725">
        <f t="shared" si="5"/>
        <v>7.3752446183953024</v>
      </c>
      <c r="O10" s="769">
        <f>F10*J10*0.000001</f>
        <v>2412</v>
      </c>
      <c r="P10" s="722"/>
      <c r="Q10" s="707">
        <f t="shared" si="0"/>
        <v>1973</v>
      </c>
      <c r="R10" s="724">
        <v>327.04000000000002</v>
      </c>
      <c r="S10" s="724">
        <v>44.9124032</v>
      </c>
      <c r="T10" s="725">
        <f t="shared" si="6"/>
        <v>7.7866666666666671</v>
      </c>
      <c r="V10" s="726">
        <f t="shared" si="7"/>
        <v>335.53009861177594</v>
      </c>
      <c r="W10" s="727">
        <f t="shared" si="8"/>
        <v>46.078348442355193</v>
      </c>
      <c r="Y10" s="727">
        <f t="shared" si="1"/>
        <v>55.475999999999999</v>
      </c>
      <c r="AF10" s="784">
        <f t="shared" si="9"/>
        <v>0</v>
      </c>
    </row>
    <row r="11" spans="1:32" x14ac:dyDescent="0.2">
      <c r="C11" s="707">
        <f t="shared" si="10"/>
        <v>1974</v>
      </c>
      <c r="F11" s="722">
        <f>0.799*446906</f>
        <v>357077.89400000003</v>
      </c>
      <c r="G11" s="722">
        <v>2450</v>
      </c>
      <c r="H11" s="724">
        <f t="shared" si="2"/>
        <v>334.46</v>
      </c>
      <c r="J11" s="722">
        <f t="shared" si="11"/>
        <v>6861.2480390623114</v>
      </c>
      <c r="K11" s="731">
        <f>0.2*K7+0.8*K12</f>
        <v>7.2505660740954863</v>
      </c>
      <c r="L11" s="768">
        <f t="shared" si="3"/>
        <v>7.2505660740954863</v>
      </c>
      <c r="M11" s="725">
        <f t="shared" si="4"/>
        <v>7.3252406864796988</v>
      </c>
      <c r="N11" s="725">
        <f t="shared" si="5"/>
        <v>7.3252406864796988</v>
      </c>
      <c r="O11" s="769">
        <f>F11*J11*0.000001</f>
        <v>2450</v>
      </c>
      <c r="P11" s="722"/>
      <c r="Q11" s="707">
        <f t="shared" si="0"/>
        <v>1974</v>
      </c>
      <c r="R11" s="724">
        <v>334.46</v>
      </c>
      <c r="S11" s="724">
        <v>45.931391799999993</v>
      </c>
      <c r="T11" s="725">
        <f t="shared" si="6"/>
        <v>7.9633333333333329</v>
      </c>
      <c r="V11" s="726">
        <f t="shared" si="7"/>
        <v>337.90465116279069</v>
      </c>
      <c r="W11" s="727">
        <f t="shared" si="8"/>
        <v>46.404445744186042</v>
      </c>
      <c r="Y11" s="727">
        <f t="shared" si="1"/>
        <v>56.35</v>
      </c>
      <c r="AF11" s="784">
        <f t="shared" si="9"/>
        <v>0</v>
      </c>
    </row>
    <row r="12" spans="1:32" x14ac:dyDescent="0.2">
      <c r="C12" s="707">
        <f t="shared" si="10"/>
        <v>1975</v>
      </c>
      <c r="E12" s="707">
        <v>368300</v>
      </c>
      <c r="F12" s="722">
        <f>0.797*462144</f>
        <v>368328.76800000004</v>
      </c>
      <c r="G12" s="722">
        <v>2500</v>
      </c>
      <c r="H12" s="724">
        <f t="shared" si="2"/>
        <v>341.88</v>
      </c>
      <c r="J12" s="722">
        <f t="shared" ref="J12:J34" si="12">G12/E12*1000000</f>
        <v>6787.9446103719793</v>
      </c>
      <c r="K12" s="725">
        <f>G12/H12</f>
        <v>7.3125073125073126</v>
      </c>
      <c r="L12" s="768">
        <f t="shared" si="3"/>
        <v>7.3125073125073126</v>
      </c>
      <c r="M12" s="725">
        <f t="shared" si="4"/>
        <v>7.3125073125073126</v>
      </c>
      <c r="N12" s="725">
        <f t="shared" si="5"/>
        <v>7.3125073125073126</v>
      </c>
      <c r="O12" s="769">
        <f>E12*J12*0.000001</f>
        <v>2500</v>
      </c>
      <c r="P12" s="722"/>
      <c r="Q12" s="707">
        <f t="shared" si="0"/>
        <v>1975</v>
      </c>
      <c r="R12" s="724">
        <v>341.88</v>
      </c>
      <c r="S12" s="724">
        <v>46.950380399999993</v>
      </c>
      <c r="T12" s="725">
        <f t="shared" si="6"/>
        <v>8.14</v>
      </c>
      <c r="V12" s="726">
        <f t="shared" si="7"/>
        <v>341.88</v>
      </c>
      <c r="W12" s="727">
        <f t="shared" si="8"/>
        <v>46.950380399999993</v>
      </c>
      <c r="Y12" s="727">
        <f t="shared" si="1"/>
        <v>57.5</v>
      </c>
      <c r="AB12" s="707">
        <v>42.6</v>
      </c>
      <c r="AC12" s="707">
        <f>G12/AB12</f>
        <v>58.685446009389672</v>
      </c>
      <c r="AF12" s="784">
        <f t="shared" si="9"/>
        <v>0</v>
      </c>
    </row>
    <row r="13" spans="1:32" x14ac:dyDescent="0.2">
      <c r="C13" s="707">
        <f t="shared" si="10"/>
        <v>1976</v>
      </c>
      <c r="F13" s="722">
        <f>0.798*478339</f>
        <v>381714.522</v>
      </c>
      <c r="G13" s="722">
        <v>2862</v>
      </c>
      <c r="H13" s="724">
        <f t="shared" si="2"/>
        <v>389.76</v>
      </c>
      <c r="J13" s="738">
        <f>0.8*J12+0.2*J17</f>
        <v>6864.8872539692438</v>
      </c>
      <c r="K13" s="731">
        <f>0.8*K12+0.2*K17</f>
        <v>7.4302839789565454</v>
      </c>
      <c r="L13" s="768">
        <f t="shared" si="3"/>
        <v>7.4302839789565454</v>
      </c>
      <c r="M13" s="725">
        <f t="shared" si="4"/>
        <v>7.3429802955665027</v>
      </c>
      <c r="N13" s="725">
        <f t="shared" si="5"/>
        <v>6.7231813339818407</v>
      </c>
      <c r="O13" s="769">
        <f>F13*J13*0.000001</f>
        <v>2620.4271567327623</v>
      </c>
      <c r="P13" s="722"/>
      <c r="Q13" s="707">
        <f t="shared" si="0"/>
        <v>1976</v>
      </c>
      <c r="R13" s="724">
        <v>389.76</v>
      </c>
      <c r="S13" s="724">
        <v>53.525740799999994</v>
      </c>
      <c r="T13" s="725">
        <f t="shared" si="6"/>
        <v>9.2799999999999994</v>
      </c>
      <c r="V13" s="726">
        <f t="shared" si="7"/>
        <v>352.66850690419454</v>
      </c>
      <c r="W13" s="727">
        <f t="shared" si="8"/>
        <v>48.431966053153033</v>
      </c>
      <c r="Y13" s="727">
        <f t="shared" si="1"/>
        <v>60.26982460485354</v>
      </c>
      <c r="AF13" s="784">
        <f t="shared" si="9"/>
        <v>0</v>
      </c>
    </row>
    <row r="14" spans="1:32" x14ac:dyDescent="0.2">
      <c r="C14" s="707">
        <f t="shared" si="10"/>
        <v>1977</v>
      </c>
      <c r="F14" s="722">
        <f>0.801*491674</f>
        <v>393830.87400000001</v>
      </c>
      <c r="G14" s="722">
        <v>2900</v>
      </c>
      <c r="H14" s="724">
        <f t="shared" si="2"/>
        <v>401.52</v>
      </c>
      <c r="J14" s="738">
        <f>0.6*J12+0.4*J17</f>
        <v>6941.8298975665075</v>
      </c>
      <c r="K14" s="731">
        <f>0.6*K12+0.4*K17</f>
        <v>7.5480606454057781</v>
      </c>
      <c r="L14" s="768">
        <f t="shared" si="3"/>
        <v>7.5480606454057781</v>
      </c>
      <c r="M14" s="725">
        <f t="shared" si="4"/>
        <v>7.2225542936840013</v>
      </c>
      <c r="N14" s="725">
        <f t="shared" si="5"/>
        <v>6.8088935438283222</v>
      </c>
      <c r="O14" s="769">
        <f>F14*J14*0.000001</f>
        <v>2733.9069357179478</v>
      </c>
      <c r="P14" s="722"/>
      <c r="Q14" s="707">
        <f t="shared" si="0"/>
        <v>1977</v>
      </c>
      <c r="R14" s="724">
        <v>401.52</v>
      </c>
      <c r="S14" s="724">
        <v>55.140741599999991</v>
      </c>
      <c r="T14" s="725">
        <f t="shared" si="6"/>
        <v>9.5599999999999987</v>
      </c>
      <c r="V14" s="726">
        <f t="shared" si="7"/>
        <v>362.19991652848927</v>
      </c>
      <c r="W14" s="727">
        <f t="shared" si="8"/>
        <v>49.740914536857431</v>
      </c>
      <c r="Y14" s="727">
        <f t="shared" si="1"/>
        <v>62.879859521512799</v>
      </c>
      <c r="AF14" s="784">
        <f t="shared" si="9"/>
        <v>0</v>
      </c>
    </row>
    <row r="15" spans="1:32" x14ac:dyDescent="0.2">
      <c r="C15" s="707">
        <f t="shared" si="10"/>
        <v>1978</v>
      </c>
      <c r="F15" s="722">
        <f>0.797*500362</f>
        <v>398788.51400000002</v>
      </c>
      <c r="G15" s="722">
        <v>3000</v>
      </c>
      <c r="H15" s="724">
        <f t="shared" si="2"/>
        <v>406.98</v>
      </c>
      <c r="J15" s="738">
        <f>0.4*J12+0.6*J17</f>
        <v>7018.7725411637712</v>
      </c>
      <c r="K15" s="731">
        <f>0.4*K12+0.6*K17</f>
        <v>7.6658373118550109</v>
      </c>
      <c r="L15" s="768">
        <f t="shared" si="3"/>
        <v>7.6658373118550109</v>
      </c>
      <c r="M15" s="725">
        <f t="shared" si="4"/>
        <v>7.371369600471767</v>
      </c>
      <c r="N15" s="725">
        <f t="shared" si="5"/>
        <v>6.8775022649631543</v>
      </c>
      <c r="O15" s="769">
        <f>F15*J15*0.000001</f>
        <v>2799.0058717947045</v>
      </c>
      <c r="P15" s="722"/>
      <c r="Q15" s="707">
        <f t="shared" si="0"/>
        <v>1978</v>
      </c>
      <c r="R15" s="724">
        <v>406.98</v>
      </c>
      <c r="S15" s="724">
        <v>55.890563400000005</v>
      </c>
      <c r="T15" s="725">
        <f t="shared" si="6"/>
        <v>9.6900000000000013</v>
      </c>
      <c r="V15" s="726">
        <f t="shared" si="7"/>
        <v>365.12722067113492</v>
      </c>
      <c r="W15" s="727">
        <f t="shared" si="8"/>
        <v>50.142921214766957</v>
      </c>
      <c r="Y15" s="727">
        <f t="shared" si="1"/>
        <v>64.377135051278202</v>
      </c>
      <c r="AF15" s="784">
        <f t="shared" si="9"/>
        <v>0</v>
      </c>
    </row>
    <row r="16" spans="1:32" x14ac:dyDescent="0.2">
      <c r="C16" s="707">
        <f t="shared" si="10"/>
        <v>1979</v>
      </c>
      <c r="F16" s="722">
        <f>0.798*520367</f>
        <v>415252.86600000004</v>
      </c>
      <c r="G16" s="722">
        <v>3000</v>
      </c>
      <c r="H16" s="724">
        <f t="shared" si="2"/>
        <v>404.88</v>
      </c>
      <c r="J16" s="738">
        <f>0.2*J12+0.8*J17</f>
        <v>7095.7151847610348</v>
      </c>
      <c r="K16" s="731">
        <f>0.2*K12+0.8*K17</f>
        <v>7.7836139783042437</v>
      </c>
      <c r="L16" s="768">
        <f t="shared" si="3"/>
        <v>7.7836139783042437</v>
      </c>
      <c r="M16" s="725">
        <f t="shared" si="4"/>
        <v>7.4096028452874929</v>
      </c>
      <c r="N16" s="725">
        <f t="shared" si="5"/>
        <v>7.2775046107284611</v>
      </c>
      <c r="O16" s="769">
        <f>F16*J16*0.000001</f>
        <v>2946.5160667917394</v>
      </c>
      <c r="P16" s="722"/>
      <c r="Q16" s="707">
        <f t="shared" si="0"/>
        <v>1979</v>
      </c>
      <c r="R16" s="724">
        <v>404.88</v>
      </c>
      <c r="S16" s="724">
        <v>55.602170399999999</v>
      </c>
      <c r="T16" s="725">
        <f t="shared" si="6"/>
        <v>9.64</v>
      </c>
      <c r="V16" s="726">
        <f t="shared" si="7"/>
        <v>378.55372517249043</v>
      </c>
      <c r="W16" s="727">
        <f t="shared" si="8"/>
        <v>51.986783077938107</v>
      </c>
      <c r="Y16" s="727">
        <f t="shared" si="1"/>
        <v>67.76986953621001</v>
      </c>
      <c r="AF16" s="784">
        <f t="shared" si="9"/>
        <v>0</v>
      </c>
    </row>
    <row r="17" spans="3:32" x14ac:dyDescent="0.2">
      <c r="C17" s="707">
        <f t="shared" si="10"/>
        <v>1980</v>
      </c>
      <c r="D17" s="722">
        <v>41000</v>
      </c>
      <c r="E17" s="722">
        <v>418255</v>
      </c>
      <c r="F17" s="722">
        <f>0.791*528801</f>
        <v>418281.59100000001</v>
      </c>
      <c r="G17" s="722">
        <v>3000</v>
      </c>
      <c r="H17" s="724">
        <f t="shared" si="2"/>
        <v>379.68</v>
      </c>
      <c r="J17" s="722">
        <f t="shared" si="12"/>
        <v>7172.6578283582985</v>
      </c>
      <c r="K17" s="725">
        <f>G17/H17</f>
        <v>7.9013906447534765</v>
      </c>
      <c r="L17" s="768">
        <f t="shared" si="3"/>
        <v>7.9013906447534765</v>
      </c>
      <c r="M17" s="725">
        <f t="shared" si="4"/>
        <v>7.9013906447534765</v>
      </c>
      <c r="N17" s="725">
        <f t="shared" si="5"/>
        <v>7.9013906447534765</v>
      </c>
      <c r="O17" s="769">
        <f t="shared" ref="O17:O31" si="13">E17*J17*0.000001</f>
        <v>3000</v>
      </c>
      <c r="P17" s="722"/>
      <c r="Q17" s="707">
        <f t="shared" si="0"/>
        <v>1980</v>
      </c>
      <c r="R17" s="724">
        <v>379.68</v>
      </c>
      <c r="S17" s="724">
        <v>52.141454399999994</v>
      </c>
      <c r="T17" s="725">
        <f t="shared" si="6"/>
        <v>9.0400000000000009</v>
      </c>
      <c r="V17" s="726">
        <f t="shared" si="7"/>
        <v>379.68</v>
      </c>
      <c r="W17" s="727">
        <f t="shared" si="8"/>
        <v>52.141454399999994</v>
      </c>
      <c r="Y17" s="727">
        <f t="shared" si="1"/>
        <v>69</v>
      </c>
      <c r="AB17" s="707">
        <v>47.5</v>
      </c>
      <c r="AC17" s="707">
        <f>G17/AB17</f>
        <v>63.157894736842103</v>
      </c>
      <c r="AF17" s="784">
        <f t="shared" si="9"/>
        <v>13.666666666666666</v>
      </c>
    </row>
    <row r="18" spans="3:32" x14ac:dyDescent="0.2">
      <c r="C18" s="707">
        <f t="shared" si="10"/>
        <v>1981</v>
      </c>
      <c r="D18" s="722">
        <v>41200</v>
      </c>
      <c r="E18" s="722">
        <v>432813</v>
      </c>
      <c r="G18" s="722">
        <v>3000</v>
      </c>
      <c r="H18" s="724">
        <f t="shared" si="2"/>
        <v>386.82</v>
      </c>
      <c r="J18" s="738">
        <f>0.8*J17+0.2*J22</f>
        <v>7173.5967039855568</v>
      </c>
      <c r="K18" s="731">
        <f>0.8*K17+0.2*K22</f>
        <v>7.9435480512817946</v>
      </c>
      <c r="L18" s="768">
        <f t="shared" si="3"/>
        <v>7.9435480512817946</v>
      </c>
      <c r="M18" s="725">
        <f t="shared" si="4"/>
        <v>7.7555452148286026</v>
      </c>
      <c r="N18" s="725">
        <f t="shared" si="5"/>
        <v>8.0265392436846614</v>
      </c>
      <c r="O18" s="769">
        <f t="shared" si="13"/>
        <v>3104.8259102421007</v>
      </c>
      <c r="P18" s="722"/>
      <c r="Q18" s="707">
        <f t="shared" si="0"/>
        <v>1981</v>
      </c>
      <c r="R18" s="724">
        <v>386.82</v>
      </c>
      <c r="S18" s="724">
        <v>53.121990599999997</v>
      </c>
      <c r="T18" s="725">
        <f t="shared" si="6"/>
        <v>9.2099999999999991</v>
      </c>
      <c r="V18" s="726">
        <f t="shared" si="7"/>
        <v>390.86134938670091</v>
      </c>
      <c r="W18" s="727">
        <f t="shared" si="8"/>
        <v>53.676989111275631</v>
      </c>
      <c r="Y18" s="727">
        <f t="shared" si="1"/>
        <v>71.410995935568309</v>
      </c>
      <c r="AF18" s="784">
        <f t="shared" si="9"/>
        <v>13.733333333333333</v>
      </c>
    </row>
    <row r="19" spans="3:32" x14ac:dyDescent="0.2">
      <c r="C19" s="707">
        <f t="shared" si="10"/>
        <v>1982</v>
      </c>
      <c r="D19" s="722">
        <v>40800</v>
      </c>
      <c r="E19" s="722">
        <v>442133</v>
      </c>
      <c r="G19" s="722">
        <v>3000</v>
      </c>
      <c r="H19" s="724">
        <f t="shared" si="2"/>
        <v>398.58</v>
      </c>
      <c r="J19" s="738">
        <f>0.6*J17+0.4*J22</f>
        <v>7174.5355796128142</v>
      </c>
      <c r="K19" s="731">
        <f>0.6*K17+0.4*K22</f>
        <v>7.9857054578101136</v>
      </c>
      <c r="L19" s="768">
        <f t="shared" si="3"/>
        <v>7.9857054578101136</v>
      </c>
      <c r="M19" s="725">
        <f t="shared" si="4"/>
        <v>7.526719855486979</v>
      </c>
      <c r="N19" s="725">
        <f t="shared" si="5"/>
        <v>7.9585000236362902</v>
      </c>
      <c r="O19" s="769">
        <f t="shared" si="13"/>
        <v>3172.0989394209523</v>
      </c>
      <c r="P19" s="722"/>
      <c r="Q19" s="707">
        <f t="shared" si="0"/>
        <v>1982</v>
      </c>
      <c r="R19" s="724">
        <v>398.58</v>
      </c>
      <c r="S19" s="724">
        <v>54.736991399999994</v>
      </c>
      <c r="T19" s="725">
        <f t="shared" si="6"/>
        <v>9.49</v>
      </c>
      <c r="V19" s="726">
        <f t="shared" si="7"/>
        <v>397.22213099139566</v>
      </c>
      <c r="W19" s="727">
        <f t="shared" si="8"/>
        <v>54.550515249048367</v>
      </c>
      <c r="Y19" s="727">
        <f t="shared" si="1"/>
        <v>72.958275606681894</v>
      </c>
      <c r="AF19" s="784">
        <f t="shared" si="9"/>
        <v>13.6</v>
      </c>
    </row>
    <row r="20" spans="3:32" x14ac:dyDescent="0.2">
      <c r="C20" s="707">
        <f t="shared" si="10"/>
        <v>1983</v>
      </c>
      <c r="D20" s="722">
        <v>62400</v>
      </c>
      <c r="E20" s="722">
        <v>470727</v>
      </c>
      <c r="G20" s="722">
        <v>3000</v>
      </c>
      <c r="H20" s="724">
        <f t="shared" si="2"/>
        <v>400.68</v>
      </c>
      <c r="J20" s="738">
        <f>0.4*J17+0.6*J22</f>
        <v>7175.4744552400716</v>
      </c>
      <c r="K20" s="731">
        <f>0.4*K17+0.6*K22</f>
        <v>8.0278628643384309</v>
      </c>
      <c r="L20" s="768">
        <f t="shared" si="3"/>
        <v>8.0278628643384309</v>
      </c>
      <c r="M20" s="725">
        <f t="shared" si="4"/>
        <v>7.4872716382150344</v>
      </c>
      <c r="N20" s="725">
        <f t="shared" si="5"/>
        <v>8.4298930914739767</v>
      </c>
      <c r="O20" s="769">
        <f t="shared" si="13"/>
        <v>3377.6895638917931</v>
      </c>
      <c r="P20" s="722"/>
      <c r="Q20" s="707">
        <f t="shared" si="0"/>
        <v>1983</v>
      </c>
      <c r="R20" s="724">
        <v>400.68</v>
      </c>
      <c r="S20" s="724">
        <v>55.025384399999993</v>
      </c>
      <c r="T20" s="725">
        <f t="shared" si="6"/>
        <v>9.5400000000000009</v>
      </c>
      <c r="V20" s="726">
        <f t="shared" si="7"/>
        <v>420.7457976015321</v>
      </c>
      <c r="W20" s="727">
        <f t="shared" si="8"/>
        <v>57.781020384618401</v>
      </c>
      <c r="Y20" s="727">
        <f t="shared" si="1"/>
        <v>77.686859969511232</v>
      </c>
      <c r="AF20" s="784">
        <f t="shared" si="9"/>
        <v>20.8</v>
      </c>
    </row>
    <row r="21" spans="3:32" x14ac:dyDescent="0.2">
      <c r="C21" s="707">
        <f t="shared" si="10"/>
        <v>1984</v>
      </c>
      <c r="D21" s="722">
        <v>78300</v>
      </c>
      <c r="E21" s="722">
        <v>471461</v>
      </c>
      <c r="G21" s="722">
        <v>3400</v>
      </c>
      <c r="H21" s="724">
        <f t="shared" si="2"/>
        <v>375.06</v>
      </c>
      <c r="J21" s="738">
        <f>0.2*J17+0.8*J22</f>
        <v>7176.4133308673299</v>
      </c>
      <c r="K21" s="731">
        <f>0.2*K17+0.8*K22</f>
        <v>8.0700202708667508</v>
      </c>
      <c r="L21" s="768">
        <f t="shared" si="3"/>
        <v>8.0700202708667508</v>
      </c>
      <c r="M21" s="725">
        <f t="shared" si="4"/>
        <v>9.0652162320695346</v>
      </c>
      <c r="N21" s="725">
        <f t="shared" si="5"/>
        <v>9.0209539950515705</v>
      </c>
      <c r="O21" s="769">
        <f t="shared" si="13"/>
        <v>3383.3990053840421</v>
      </c>
      <c r="P21" s="722"/>
      <c r="Q21" s="707">
        <f t="shared" si="0"/>
        <v>1984</v>
      </c>
      <c r="R21" s="724">
        <v>375.06</v>
      </c>
      <c r="S21" s="724">
        <v>51.506989799999992</v>
      </c>
      <c r="T21" s="725">
        <f t="shared" si="6"/>
        <v>8.93</v>
      </c>
      <c r="V21" s="726">
        <f t="shared" si="7"/>
        <v>419.25532920881403</v>
      </c>
      <c r="W21" s="727">
        <f t="shared" si="8"/>
        <v>57.576334360246427</v>
      </c>
      <c r="Y21" s="727">
        <f t="shared" si="1"/>
        <v>77.818177123832967</v>
      </c>
      <c r="AF21" s="784">
        <f t="shared" si="9"/>
        <v>23.029411764705884</v>
      </c>
    </row>
    <row r="22" spans="3:32" x14ac:dyDescent="0.2">
      <c r="C22" s="707">
        <f t="shared" si="10"/>
        <v>1985</v>
      </c>
      <c r="D22" s="722">
        <v>70000</v>
      </c>
      <c r="E22" s="722">
        <v>480400</v>
      </c>
      <c r="G22" s="722">
        <v>3448</v>
      </c>
      <c r="H22" s="724">
        <f t="shared" si="2"/>
        <v>425.04</v>
      </c>
      <c r="J22" s="722">
        <f t="shared" si="12"/>
        <v>7177.3522064945873</v>
      </c>
      <c r="K22" s="725">
        <f>G22/H22</f>
        <v>8.1121776773950689</v>
      </c>
      <c r="L22" s="768">
        <f t="shared" si="3"/>
        <v>8.1121776773950689</v>
      </c>
      <c r="M22" s="725">
        <f t="shared" si="4"/>
        <v>8.1121776773950689</v>
      </c>
      <c r="N22" s="725">
        <f t="shared" si="5"/>
        <v>8.1121776773950671</v>
      </c>
      <c r="O22" s="769">
        <f t="shared" si="13"/>
        <v>3447.9999999999995</v>
      </c>
      <c r="P22" s="722"/>
      <c r="Q22" s="707">
        <f t="shared" si="0"/>
        <v>1985</v>
      </c>
      <c r="R22" s="724">
        <v>425.04</v>
      </c>
      <c r="S22" s="724">
        <v>58.3707432</v>
      </c>
      <c r="T22" s="725">
        <f t="shared" si="6"/>
        <v>10.120000000000001</v>
      </c>
      <c r="V22" s="726">
        <f t="shared" si="7"/>
        <v>425.03999999999991</v>
      </c>
      <c r="W22" s="727">
        <f t="shared" si="8"/>
        <v>58.370743199999986</v>
      </c>
      <c r="Y22" s="727">
        <f t="shared" si="1"/>
        <v>79.303999999999988</v>
      </c>
      <c r="AB22" s="707">
        <v>57</v>
      </c>
      <c r="AC22" s="707">
        <f>G22/AB22</f>
        <v>60.491228070175438</v>
      </c>
      <c r="AF22" s="784">
        <f t="shared" si="9"/>
        <v>20.301624129930396</v>
      </c>
    </row>
    <row r="23" spans="3:32" x14ac:dyDescent="0.2">
      <c r="C23" s="707">
        <f t="shared" si="10"/>
        <v>1986</v>
      </c>
      <c r="D23" s="722">
        <v>89100</v>
      </c>
      <c r="E23" s="722">
        <v>479076</v>
      </c>
      <c r="G23" s="722">
        <v>3700</v>
      </c>
      <c r="H23" s="724">
        <f t="shared" si="2"/>
        <v>462.42</v>
      </c>
      <c r="J23" s="738">
        <f>0.8*J22+0.2*J27</f>
        <v>7237.1765054964217</v>
      </c>
      <c r="K23" s="731">
        <f>0.8*K22+0.2*K27</f>
        <v>8.0996387696062779</v>
      </c>
      <c r="L23" s="768">
        <f t="shared" si="3"/>
        <v>8.0996387696062779</v>
      </c>
      <c r="M23" s="725">
        <f t="shared" si="4"/>
        <v>8.0013840231823874</v>
      </c>
      <c r="N23" s="725">
        <f t="shared" si="5"/>
        <v>7.497853837522606</v>
      </c>
      <c r="O23" s="769">
        <f t="shared" si="13"/>
        <v>3467.1575715472036</v>
      </c>
      <c r="P23" s="722"/>
      <c r="Q23" s="707">
        <f t="shared" si="0"/>
        <v>1986</v>
      </c>
      <c r="R23" s="724">
        <v>462.42</v>
      </c>
      <c r="S23" s="724">
        <v>63.504138599999997</v>
      </c>
      <c r="T23" s="725">
        <f t="shared" si="6"/>
        <v>11.01</v>
      </c>
      <c r="V23" s="726">
        <f t="shared" si="7"/>
        <v>428.0632346911122</v>
      </c>
      <c r="W23" s="727">
        <f t="shared" si="8"/>
        <v>58.785924020130437</v>
      </c>
      <c r="Y23" s="727">
        <f t="shared" si="1"/>
        <v>79.744624145585675</v>
      </c>
      <c r="AF23" s="784">
        <f t="shared" si="9"/>
        <v>24.081081081081081</v>
      </c>
    </row>
    <row r="24" spans="3:32" x14ac:dyDescent="0.2">
      <c r="C24" s="707">
        <f t="shared" si="10"/>
        <v>1987</v>
      </c>
      <c r="D24" s="722">
        <v>72900</v>
      </c>
      <c r="E24" s="722">
        <v>486753</v>
      </c>
      <c r="G24" s="722">
        <v>3900</v>
      </c>
      <c r="H24" s="724">
        <f t="shared" si="2"/>
        <v>487.2</v>
      </c>
      <c r="J24" s="738">
        <f>0.6*J22+0.4*J27</f>
        <v>7297.0008044982542</v>
      </c>
      <c r="K24" s="731">
        <f>0.6*K22+0.4*K27</f>
        <v>8.0870998618174852</v>
      </c>
      <c r="L24" s="768">
        <f t="shared" si="3"/>
        <v>8.0870998618174852</v>
      </c>
      <c r="M24" s="725">
        <f t="shared" si="4"/>
        <v>8.0049261083743843</v>
      </c>
      <c r="N24" s="725">
        <f t="shared" si="5"/>
        <v>7.2903058961246678</v>
      </c>
      <c r="O24" s="769">
        <f t="shared" si="13"/>
        <v>3551.8370325919382</v>
      </c>
      <c r="P24" s="722"/>
      <c r="Q24" s="707">
        <f t="shared" si="0"/>
        <v>1987</v>
      </c>
      <c r="R24" s="724">
        <v>487.2</v>
      </c>
      <c r="S24" s="724">
        <v>66.907175999999993</v>
      </c>
      <c r="T24" s="725">
        <f t="shared" si="6"/>
        <v>11.6</v>
      </c>
      <c r="V24" s="726">
        <f t="shared" si="7"/>
        <v>439.19786985216012</v>
      </c>
      <c r="W24" s="727">
        <f t="shared" si="8"/>
        <v>60.31504346679715</v>
      </c>
      <c r="Y24" s="727">
        <f t="shared" si="1"/>
        <v>81.69225174961457</v>
      </c>
      <c r="AF24" s="784">
        <f t="shared" si="9"/>
        <v>18.692307692307693</v>
      </c>
    </row>
    <row r="25" spans="3:32" x14ac:dyDescent="0.2">
      <c r="C25" s="707">
        <f t="shared" si="10"/>
        <v>1988</v>
      </c>
      <c r="D25" s="722">
        <v>83200</v>
      </c>
      <c r="E25" s="722">
        <v>498907</v>
      </c>
      <c r="G25" s="722">
        <v>4100</v>
      </c>
      <c r="H25" s="724">
        <f t="shared" si="2"/>
        <v>511.14</v>
      </c>
      <c r="J25" s="738">
        <f>0.4*J22+0.6*J27</f>
        <v>7356.8251035000885</v>
      </c>
      <c r="K25" s="731">
        <f>0.4*K22+0.6*K27</f>
        <v>8.0745609540286942</v>
      </c>
      <c r="L25" s="768">
        <f t="shared" si="3"/>
        <v>8.0745609540286942</v>
      </c>
      <c r="M25" s="725">
        <f t="shared" si="4"/>
        <v>8.0212857534139381</v>
      </c>
      <c r="N25" s="725">
        <f t="shared" si="5"/>
        <v>7.1807558436278098</v>
      </c>
      <c r="O25" s="769">
        <f t="shared" si="13"/>
        <v>3670.3715419119185</v>
      </c>
      <c r="P25" s="722"/>
      <c r="Q25" s="707">
        <f t="shared" si="0"/>
        <v>1988</v>
      </c>
      <c r="R25" s="724">
        <v>511.14</v>
      </c>
      <c r="S25" s="724">
        <v>70.194856200000004</v>
      </c>
      <c r="T25" s="725">
        <f t="shared" si="6"/>
        <v>12.17</v>
      </c>
      <c r="V25" s="726">
        <f t="shared" si="7"/>
        <v>454.55989035300252</v>
      </c>
      <c r="W25" s="727">
        <f t="shared" si="8"/>
        <v>62.424709742177832</v>
      </c>
      <c r="Y25" s="727">
        <f t="shared" si="1"/>
        <v>84.418545463974127</v>
      </c>
      <c r="AF25" s="784">
        <f t="shared" si="9"/>
        <v>20.292682926829269</v>
      </c>
    </row>
    <row r="26" spans="3:32" x14ac:dyDescent="0.2">
      <c r="C26" s="707">
        <f t="shared" si="10"/>
        <v>1989</v>
      </c>
      <c r="D26" s="722">
        <v>80600</v>
      </c>
      <c r="E26" s="722">
        <v>507628</v>
      </c>
      <c r="G26" s="722">
        <v>4000</v>
      </c>
      <c r="H26" s="724">
        <f t="shared" si="2"/>
        <v>498.12</v>
      </c>
      <c r="J26" s="738">
        <f>0.2*J22+0.8*J27</f>
        <v>7416.6494025019219</v>
      </c>
      <c r="K26" s="731">
        <f>0.2*K22+0.8*K27</f>
        <v>8.0620220462399033</v>
      </c>
      <c r="L26" s="768">
        <f t="shared" si="3"/>
        <v>8.0620220462399033</v>
      </c>
      <c r="M26" s="725">
        <f t="shared" si="4"/>
        <v>8.0301935276640162</v>
      </c>
      <c r="N26" s="725">
        <f t="shared" si="5"/>
        <v>7.5582167005806742</v>
      </c>
      <c r="O26" s="769">
        <f t="shared" si="13"/>
        <v>3764.8989028932456</v>
      </c>
      <c r="P26" s="722"/>
      <c r="Q26" s="707">
        <f t="shared" si="0"/>
        <v>1989</v>
      </c>
      <c r="R26" s="724">
        <v>498.12</v>
      </c>
      <c r="S26" s="724">
        <v>68.406819599999992</v>
      </c>
      <c r="T26" s="725">
        <f t="shared" si="6"/>
        <v>11.86</v>
      </c>
      <c r="V26" s="726">
        <f t="shared" si="7"/>
        <v>466.99188879658055</v>
      </c>
      <c r="W26" s="727">
        <f t="shared" si="8"/>
        <v>64.131996088434406</v>
      </c>
      <c r="Y26" s="727">
        <f t="shared" si="1"/>
        <v>86.592674766544647</v>
      </c>
      <c r="AF26" s="784">
        <f t="shared" si="9"/>
        <v>20.149999999999999</v>
      </c>
    </row>
    <row r="27" spans="3:32" x14ac:dyDescent="0.2">
      <c r="C27" s="707">
        <f t="shared" si="10"/>
        <v>1990</v>
      </c>
      <c r="D27" s="722">
        <v>74200</v>
      </c>
      <c r="E27" s="722">
        <v>508261</v>
      </c>
      <c r="G27" s="722">
        <v>3800</v>
      </c>
      <c r="H27" s="724">
        <f t="shared" si="2"/>
        <v>472.08</v>
      </c>
      <c r="J27" s="722">
        <f t="shared" si="12"/>
        <v>7476.4737015037554</v>
      </c>
      <c r="K27" s="725">
        <f>G27/H27</f>
        <v>8.0494831384511105</v>
      </c>
      <c r="L27" s="768">
        <f t="shared" si="3"/>
        <v>8.0494831384511105</v>
      </c>
      <c r="M27" s="725">
        <f t="shared" si="4"/>
        <v>8.0494831384511105</v>
      </c>
      <c r="N27" s="725">
        <f t="shared" si="5"/>
        <v>8.0494831384511105</v>
      </c>
      <c r="O27" s="769">
        <f t="shared" si="13"/>
        <v>3800</v>
      </c>
      <c r="P27" s="722"/>
      <c r="Q27" s="707">
        <f t="shared" si="0"/>
        <v>1990</v>
      </c>
      <c r="R27" s="724">
        <v>472.08</v>
      </c>
      <c r="S27" s="724">
        <v>64.830746399999995</v>
      </c>
      <c r="T27" s="725">
        <f t="shared" si="6"/>
        <v>11.24</v>
      </c>
      <c r="V27" s="726">
        <f t="shared" si="7"/>
        <v>472.08</v>
      </c>
      <c r="W27" s="727">
        <f t="shared" si="8"/>
        <v>64.830746399999995</v>
      </c>
      <c r="Y27" s="727">
        <f t="shared" si="1"/>
        <v>87.4</v>
      </c>
      <c r="AB27" s="707">
        <v>62.2</v>
      </c>
      <c r="AC27" s="707">
        <f>G27/AB27</f>
        <v>61.093247588424433</v>
      </c>
      <c r="AF27" s="784">
        <f t="shared" si="9"/>
        <v>19.526315789473685</v>
      </c>
    </row>
    <row r="28" spans="3:32" x14ac:dyDescent="0.2">
      <c r="C28" s="707">
        <f t="shared" si="10"/>
        <v>1991</v>
      </c>
      <c r="D28" s="722">
        <v>83300</v>
      </c>
      <c r="E28" s="722">
        <v>513227</v>
      </c>
      <c r="G28" s="722">
        <v>4300</v>
      </c>
      <c r="H28" s="724">
        <f t="shared" si="2"/>
        <v>533.4</v>
      </c>
      <c r="J28" s="738">
        <f>0.75*J27+0.25*J31</f>
        <v>7615.6880313047513</v>
      </c>
      <c r="K28" s="731">
        <f>0.75*K27+0.25*K31</f>
        <v>8.0517643684903479</v>
      </c>
      <c r="L28" s="768">
        <f t="shared" si="3"/>
        <v>8.0517643684903479</v>
      </c>
      <c r="M28" s="725">
        <f t="shared" si="4"/>
        <v>8.0614923134608176</v>
      </c>
      <c r="N28" s="725">
        <f t="shared" si="5"/>
        <v>7.3276653941553125</v>
      </c>
      <c r="O28" s="769">
        <f t="shared" si="13"/>
        <v>3908.5767212424435</v>
      </c>
      <c r="P28" s="722"/>
      <c r="Q28" s="707">
        <f t="shared" si="0"/>
        <v>1991</v>
      </c>
      <c r="R28" s="724">
        <v>533.4</v>
      </c>
      <c r="S28" s="724">
        <v>73.25182199999999</v>
      </c>
      <c r="T28" s="725">
        <f t="shared" si="6"/>
        <v>12.7</v>
      </c>
      <c r="V28" s="726">
        <f t="shared" si="7"/>
        <v>485.43108595405602</v>
      </c>
      <c r="W28" s="727">
        <f t="shared" si="8"/>
        <v>66.664251034070517</v>
      </c>
      <c r="Y28" s="727">
        <f t="shared" si="1"/>
        <v>89.897264588576206</v>
      </c>
      <c r="AF28" s="784">
        <f t="shared" si="9"/>
        <v>19.372093023255815</v>
      </c>
    </row>
    <row r="29" spans="3:32" x14ac:dyDescent="0.2">
      <c r="C29" s="707">
        <f t="shared" si="10"/>
        <v>1992</v>
      </c>
      <c r="E29" s="722">
        <v>525838</v>
      </c>
      <c r="G29" s="722"/>
      <c r="H29" s="724">
        <f t="shared" si="2"/>
        <v>546</v>
      </c>
      <c r="J29" s="738">
        <f>AVERAGE(J27,J31)</f>
        <v>7754.9023611057464</v>
      </c>
      <c r="K29" s="731">
        <f>AVERAGE(K27,K31)</f>
        <v>8.0540455985295836</v>
      </c>
      <c r="L29" s="768">
        <f t="shared" si="3"/>
        <v>8.0540455985295836</v>
      </c>
      <c r="M29" s="725"/>
      <c r="N29" s="725">
        <f t="shared" si="5"/>
        <v>7.4685390984599325</v>
      </c>
      <c r="O29" s="769">
        <f t="shared" si="13"/>
        <v>4077.8223477591232</v>
      </c>
      <c r="P29" s="722"/>
      <c r="Q29" s="707">
        <f t="shared" si="0"/>
        <v>1992</v>
      </c>
      <c r="R29" s="724">
        <v>546</v>
      </c>
      <c r="S29" s="724">
        <v>74.98218</v>
      </c>
      <c r="T29" s="725">
        <f t="shared" si="6"/>
        <v>13</v>
      </c>
      <c r="V29" s="726">
        <f t="shared" si="7"/>
        <v>506.30733311264163</v>
      </c>
      <c r="W29" s="727">
        <f t="shared" si="8"/>
        <v>69.531186056359061</v>
      </c>
      <c r="Y29" s="727">
        <f t="shared" si="1"/>
        <v>93.789913998459838</v>
      </c>
      <c r="AF29" s="784" t="e">
        <f t="shared" si="9"/>
        <v>#DIV/0!</v>
      </c>
    </row>
    <row r="30" spans="3:32" x14ac:dyDescent="0.2">
      <c r="C30" s="707">
        <f t="shared" si="10"/>
        <v>1993</v>
      </c>
      <c r="E30" s="722">
        <v>534872</v>
      </c>
      <c r="G30" s="722"/>
      <c r="H30" s="724">
        <f t="shared" si="2"/>
        <v>533.4</v>
      </c>
      <c r="J30" s="738">
        <f>0.25*J27+0.75*J31</f>
        <v>7894.1166909067415</v>
      </c>
      <c r="K30" s="731">
        <f>0.25*K27+0.75*K31</f>
        <v>8.056326828568821</v>
      </c>
      <c r="L30" s="768">
        <f t="shared" si="3"/>
        <v>8.056326828568821</v>
      </c>
      <c r="M30" s="725"/>
      <c r="N30" s="725">
        <f t="shared" si="5"/>
        <v>7.9159017298437782</v>
      </c>
      <c r="O30" s="769">
        <f t="shared" si="13"/>
        <v>4222.341982698671</v>
      </c>
      <c r="P30" s="722"/>
      <c r="Q30" s="707">
        <f t="shared" si="0"/>
        <v>1993</v>
      </c>
      <c r="R30" s="724">
        <v>533.4</v>
      </c>
      <c r="S30" s="724">
        <v>73.25182199999999</v>
      </c>
      <c r="T30" s="725">
        <f t="shared" si="6"/>
        <v>12.7</v>
      </c>
      <c r="V30" s="726">
        <f t="shared" si="7"/>
        <v>524.10261804743038</v>
      </c>
      <c r="W30" s="727">
        <f t="shared" si="8"/>
        <v>71.975012536453619</v>
      </c>
      <c r="Y30" s="727">
        <f t="shared" si="1"/>
        <v>97.113865602069438</v>
      </c>
      <c r="AF30" s="784" t="e">
        <f t="shared" si="9"/>
        <v>#DIV/0!</v>
      </c>
    </row>
    <row r="31" spans="3:32" ht="13.5" thickBot="1" x14ac:dyDescent="0.25">
      <c r="C31" s="707">
        <f t="shared" si="10"/>
        <v>1994</v>
      </c>
      <c r="D31" s="722">
        <v>85000</v>
      </c>
      <c r="E31" s="722">
        <v>547718</v>
      </c>
      <c r="G31" s="722">
        <v>4400</v>
      </c>
      <c r="H31" s="724">
        <f t="shared" si="2"/>
        <v>546</v>
      </c>
      <c r="J31" s="729">
        <f t="shared" si="12"/>
        <v>8033.3310207077375</v>
      </c>
      <c r="K31" s="725">
        <f>G31/H31</f>
        <v>8.0586080586080584</v>
      </c>
      <c r="L31" s="768">
        <f t="shared" si="3"/>
        <v>8.0586080586080584</v>
      </c>
      <c r="M31" s="725">
        <f t="shared" si="4"/>
        <v>8.0586080586080584</v>
      </c>
      <c r="N31" s="725">
        <f t="shared" si="5"/>
        <v>8.0586080586080602</v>
      </c>
      <c r="O31" s="770">
        <f t="shared" si="13"/>
        <v>4400.0000000000009</v>
      </c>
      <c r="P31" s="722"/>
      <c r="Q31" s="707">
        <f t="shared" si="0"/>
        <v>1994</v>
      </c>
      <c r="R31" s="724">
        <v>546</v>
      </c>
      <c r="S31" s="724">
        <v>74.98218</v>
      </c>
      <c r="T31" s="725">
        <f t="shared" si="6"/>
        <v>13</v>
      </c>
      <c r="V31" s="771">
        <f t="shared" si="7"/>
        <v>546.00000000000011</v>
      </c>
      <c r="W31" s="772">
        <f t="shared" si="8"/>
        <v>74.982180000000014</v>
      </c>
      <c r="Y31" s="727">
        <f t="shared" si="1"/>
        <v>101.20000000000002</v>
      </c>
      <c r="AB31" s="707">
        <v>90.6</v>
      </c>
      <c r="AC31" s="707">
        <f>G31/AB31</f>
        <v>48.565121412803535</v>
      </c>
      <c r="AF31" s="784">
        <f t="shared" si="9"/>
        <v>19.318181818181817</v>
      </c>
    </row>
    <row r="32" spans="3:32" x14ac:dyDescent="0.2">
      <c r="C32" s="707">
        <f t="shared" si="10"/>
        <v>1995</v>
      </c>
      <c r="D32" s="722">
        <v>95000</v>
      </c>
      <c r="E32" s="722">
        <v>560447</v>
      </c>
      <c r="G32" s="722">
        <v>5000</v>
      </c>
      <c r="H32" s="724">
        <f t="shared" si="2"/>
        <v>545.16</v>
      </c>
      <c r="J32" s="751">
        <f t="shared" si="12"/>
        <v>8921.4501995728424</v>
      </c>
      <c r="K32" s="773">
        <f>G32/H32</f>
        <v>9.1716193411108673</v>
      </c>
      <c r="L32" s="768">
        <f t="shared" si="3"/>
        <v>9.1716193411108673</v>
      </c>
      <c r="M32" s="725">
        <f t="shared" si="4"/>
        <v>9.1716193411108673</v>
      </c>
      <c r="N32" s="725">
        <f t="shared" si="5"/>
        <v>8.4246082396403743</v>
      </c>
      <c r="O32" s="776">
        <v>4592.7594279223458</v>
      </c>
      <c r="Q32" s="707">
        <f t="shared" si="0"/>
        <v>1995</v>
      </c>
      <c r="R32" s="724">
        <v>545.16</v>
      </c>
      <c r="S32" s="724">
        <v>74.866822799999994</v>
      </c>
      <c r="T32" s="725">
        <f t="shared" si="6"/>
        <v>12.979999999999999</v>
      </c>
      <c r="V32" s="726">
        <f>O32/L$31</f>
        <v>569.91969264672753</v>
      </c>
      <c r="W32" s="727">
        <f t="shared" si="8"/>
        <v>78.267071391175094</v>
      </c>
      <c r="Y32" s="727">
        <f t="shared" si="1"/>
        <v>105.63346684221395</v>
      </c>
      <c r="AF32" s="784">
        <f t="shared" si="9"/>
        <v>19</v>
      </c>
    </row>
    <row r="33" spans="3:32" x14ac:dyDescent="0.2">
      <c r="C33" s="707">
        <f t="shared" si="10"/>
        <v>1996</v>
      </c>
      <c r="D33" s="722">
        <v>99000</v>
      </c>
      <c r="E33" s="722">
        <v>569395</v>
      </c>
      <c r="G33" s="722">
        <v>5000</v>
      </c>
      <c r="H33" s="724">
        <f t="shared" si="2"/>
        <v>545.16</v>
      </c>
      <c r="J33" s="751">
        <f t="shared" si="12"/>
        <v>8781.2502744140711</v>
      </c>
      <c r="K33" s="773">
        <f t="shared" ref="K33:K34" si="14">G33/H33</f>
        <v>9.1716193411108673</v>
      </c>
      <c r="L33" s="768">
        <f t="shared" si="3"/>
        <v>9.1716193411108673</v>
      </c>
      <c r="M33" s="725">
        <f t="shared" si="4"/>
        <v>9.1716193411108673</v>
      </c>
      <c r="N33" s="725">
        <f t="shared" si="5"/>
        <v>8.6537670733997114</v>
      </c>
      <c r="O33" s="776">
        <v>4717.6876577345865</v>
      </c>
      <c r="Q33" s="707">
        <f t="shared" si="0"/>
        <v>1996</v>
      </c>
      <c r="R33" s="724">
        <v>545.16</v>
      </c>
      <c r="S33" s="724">
        <v>74.866822799999994</v>
      </c>
      <c r="T33" s="725">
        <f t="shared" si="6"/>
        <v>12.979999999999999</v>
      </c>
      <c r="V33" s="726">
        <f t="shared" ref="V33:V48" si="15">O33/L$31</f>
        <v>585.42215025524638</v>
      </c>
      <c r="W33" s="727">
        <f t="shared" si="8"/>
        <v>80.396023894552982</v>
      </c>
      <c r="Y33" s="727">
        <f t="shared" si="1"/>
        <v>108.50681612789549</v>
      </c>
      <c r="AF33" s="784">
        <f t="shared" si="9"/>
        <v>19.8</v>
      </c>
    </row>
    <row r="34" spans="3:32" x14ac:dyDescent="0.2">
      <c r="C34" s="707">
        <f t="shared" si="10"/>
        <v>1997</v>
      </c>
      <c r="D34" s="722">
        <v>82900</v>
      </c>
      <c r="E34" s="722">
        <v>568113</v>
      </c>
      <c r="G34" s="722">
        <v>4400</v>
      </c>
      <c r="H34" s="724">
        <f t="shared" si="2"/>
        <v>544.74</v>
      </c>
      <c r="J34" s="751">
        <f t="shared" si="12"/>
        <v>7744.9380668986623</v>
      </c>
      <c r="K34" s="773">
        <f t="shared" si="14"/>
        <v>8.0772478613650556</v>
      </c>
      <c r="L34" s="768">
        <f t="shared" si="3"/>
        <v>8.0772478613650556</v>
      </c>
      <c r="M34" s="725">
        <f t="shared" si="4"/>
        <v>8.0772478613650556</v>
      </c>
      <c r="N34" s="725">
        <f t="shared" si="5"/>
        <v>8.4976548430587968</v>
      </c>
      <c r="O34" s="776">
        <v>4629.012499207849</v>
      </c>
      <c r="Q34" s="707">
        <f t="shared" si="0"/>
        <v>1997</v>
      </c>
      <c r="R34" s="724">
        <v>544.74</v>
      </c>
      <c r="S34" s="724">
        <v>74.809144200000006</v>
      </c>
      <c r="T34" s="725">
        <f t="shared" si="6"/>
        <v>12.97</v>
      </c>
      <c r="V34" s="726">
        <f t="shared" si="15"/>
        <v>574.41836921988306</v>
      </c>
      <c r="W34" s="727">
        <f t="shared" si="8"/>
        <v>78.884874644966544</v>
      </c>
      <c r="Y34" s="727">
        <f t="shared" si="1"/>
        <v>106.46728748178053</v>
      </c>
      <c r="AB34" s="707">
        <v>72.3</v>
      </c>
      <c r="AC34" s="707">
        <f>G34/AB34</f>
        <v>60.857538035961277</v>
      </c>
      <c r="AF34" s="784">
        <f t="shared" si="9"/>
        <v>18.84090909090909</v>
      </c>
    </row>
    <row r="35" spans="3:32" x14ac:dyDescent="0.2">
      <c r="C35" s="707">
        <f t="shared" si="10"/>
        <v>1998</v>
      </c>
      <c r="E35" s="722">
        <v>582470</v>
      </c>
      <c r="H35" s="724">
        <f t="shared" si="2"/>
        <v>550.20000000000005</v>
      </c>
      <c r="J35" s="722"/>
      <c r="O35" s="776">
        <v>4643.2637525289247</v>
      </c>
      <c r="Q35" s="707">
        <f t="shared" si="0"/>
        <v>1998</v>
      </c>
      <c r="R35" s="724">
        <v>550.20000000000005</v>
      </c>
      <c r="S35" s="724">
        <v>75.558965999999998</v>
      </c>
      <c r="T35" s="725">
        <f t="shared" si="6"/>
        <v>13.100000000000001</v>
      </c>
      <c r="V35" s="726">
        <f t="shared" si="15"/>
        <v>576.18682020018025</v>
      </c>
      <c r="W35" s="727">
        <f t="shared" si="8"/>
        <v>79.127736018090758</v>
      </c>
      <c r="Y35" s="727">
        <f t="shared" si="1"/>
        <v>106.79506630816526</v>
      </c>
    </row>
    <row r="36" spans="3:32" x14ac:dyDescent="0.2">
      <c r="C36" s="707">
        <f t="shared" si="10"/>
        <v>1999</v>
      </c>
      <c r="E36" s="722">
        <v>592029</v>
      </c>
      <c r="H36" s="724">
        <f t="shared" si="2"/>
        <v>555.66</v>
      </c>
      <c r="J36" s="738" t="s">
        <v>1419</v>
      </c>
      <c r="K36" s="754"/>
      <c r="O36" s="776">
        <v>4657.5150058500003</v>
      </c>
      <c r="Q36" s="707">
        <f t="shared" si="0"/>
        <v>1999</v>
      </c>
      <c r="R36" s="724">
        <v>555.66</v>
      </c>
      <c r="S36" s="724">
        <v>76.30878779999999</v>
      </c>
      <c r="T36" s="725">
        <f t="shared" si="6"/>
        <v>13.229999999999999</v>
      </c>
      <c r="V36" s="726">
        <f t="shared" si="15"/>
        <v>577.95527118047733</v>
      </c>
      <c r="W36" s="727">
        <f t="shared" si="8"/>
        <v>79.370597391214943</v>
      </c>
      <c r="Y36" s="727">
        <f t="shared" si="1"/>
        <v>107.12284513455</v>
      </c>
    </row>
    <row r="37" spans="3:32" x14ac:dyDescent="0.2">
      <c r="C37" s="707">
        <f t="shared" si="10"/>
        <v>2000</v>
      </c>
      <c r="H37" s="707">
        <v>577.1</v>
      </c>
      <c r="L37" s="707">
        <f>0.9*138700+0.1*126000</f>
        <v>137430</v>
      </c>
      <c r="O37" s="776">
        <v>4801.4060659207316</v>
      </c>
      <c r="Q37" s="707">
        <f>Q36+1</f>
        <v>2000</v>
      </c>
      <c r="R37" s="724">
        <v>577.08000000000004</v>
      </c>
      <c r="S37" s="724">
        <v>79.2503964</v>
      </c>
      <c r="T37" s="725">
        <f t="shared" si="6"/>
        <v>13.74</v>
      </c>
      <c r="V37" s="726">
        <f t="shared" si="15"/>
        <v>595.81084363470893</v>
      </c>
      <c r="W37" s="727">
        <f t="shared" si="8"/>
        <v>81.822703156354578</v>
      </c>
      <c r="Y37" s="727">
        <f t="shared" si="1"/>
        <v>110.43233951617682</v>
      </c>
    </row>
    <row r="38" spans="3:32" x14ac:dyDescent="0.2">
      <c r="C38" s="707">
        <f t="shared" si="10"/>
        <v>2001</v>
      </c>
      <c r="H38" s="774"/>
      <c r="O38" s="776">
        <v>4950.6928838414633</v>
      </c>
      <c r="Q38" s="707">
        <f t="shared" ref="Q38:Q48" si="16">Q37+1</f>
        <v>2001</v>
      </c>
      <c r="R38" s="724">
        <v>538.08000000000004</v>
      </c>
      <c r="S38" s="724">
        <v>73.894526400000004</v>
      </c>
      <c r="T38" s="725">
        <f t="shared" si="6"/>
        <v>12.811428571428573</v>
      </c>
      <c r="V38" s="726">
        <f t="shared" si="15"/>
        <v>614.33598058578161</v>
      </c>
      <c r="W38" s="727">
        <f t="shared" si="8"/>
        <v>84.366760213845382</v>
      </c>
      <c r="Y38" s="727">
        <f t="shared" si="1"/>
        <v>113.86593632835365</v>
      </c>
    </row>
    <row r="39" spans="3:32" x14ac:dyDescent="0.2">
      <c r="C39" s="707">
        <f t="shared" si="10"/>
        <v>2002</v>
      </c>
      <c r="H39" s="774" t="s">
        <v>1380</v>
      </c>
      <c r="K39" s="775"/>
      <c r="L39" s="775"/>
      <c r="M39" s="775"/>
      <c r="N39" s="775"/>
      <c r="O39" s="776">
        <v>4988.4741184504674</v>
      </c>
      <c r="Q39" s="707">
        <f t="shared" si="16"/>
        <v>2002</v>
      </c>
      <c r="R39" s="724">
        <v>520.04</v>
      </c>
      <c r="S39" s="724">
        <v>71.417093199999982</v>
      </c>
      <c r="T39" s="725">
        <f t="shared" si="6"/>
        <v>12.38190476190476</v>
      </c>
      <c r="V39" s="726">
        <f t="shared" si="15"/>
        <v>619.02428833498982</v>
      </c>
      <c r="W39" s="727">
        <f t="shared" si="8"/>
        <v>85.010605517044155</v>
      </c>
      <c r="Y39" s="727">
        <f t="shared" si="1"/>
        <v>114.73490472436075</v>
      </c>
    </row>
    <row r="40" spans="3:32" x14ac:dyDescent="0.2">
      <c r="C40" s="707">
        <f t="shared" si="10"/>
        <v>2003</v>
      </c>
      <c r="H40" s="774" t="s">
        <v>1381</v>
      </c>
      <c r="K40" s="729"/>
      <c r="L40" s="775"/>
      <c r="M40" s="775"/>
      <c r="N40" s="775"/>
      <c r="O40" s="776">
        <v>5115.1513867899394</v>
      </c>
      <c r="Q40" s="707">
        <f t="shared" si="16"/>
        <v>2003</v>
      </c>
      <c r="R40" s="724">
        <v>515.72</v>
      </c>
      <c r="S40" s="724">
        <v>70.823827600000001</v>
      </c>
      <c r="T40" s="725">
        <f t="shared" si="6"/>
        <v>12.279047619047621</v>
      </c>
      <c r="V40" s="726">
        <f t="shared" si="15"/>
        <v>634.74378572438798</v>
      </c>
      <c r="W40" s="727">
        <f t="shared" si="8"/>
        <v>87.169364093530206</v>
      </c>
      <c r="Y40" s="727">
        <f t="shared" si="1"/>
        <v>117.64848189616862</v>
      </c>
    </row>
    <row r="41" spans="3:32" x14ac:dyDescent="0.2">
      <c r="C41" s="707">
        <f t="shared" si="10"/>
        <v>2004</v>
      </c>
      <c r="H41" s="774" t="s">
        <v>1382</v>
      </c>
      <c r="K41" s="775"/>
      <c r="L41" s="775"/>
      <c r="M41" s="775"/>
      <c r="N41" s="775"/>
      <c r="O41" s="776">
        <v>5063.9426260337914</v>
      </c>
      <c r="Q41" s="707">
        <f t="shared" si="16"/>
        <v>2004</v>
      </c>
      <c r="R41" s="724">
        <v>517.09</v>
      </c>
      <c r="S41" s="724">
        <v>71.011969699999995</v>
      </c>
      <c r="T41" s="725">
        <f t="shared" si="6"/>
        <v>12.311666666666667</v>
      </c>
      <c r="V41" s="726">
        <f t="shared" si="15"/>
        <v>628.38924404873865</v>
      </c>
      <c r="W41" s="727">
        <f t="shared" si="8"/>
        <v>86.296694885213284</v>
      </c>
      <c r="Y41" s="727">
        <f t="shared" si="1"/>
        <v>116.4706803987772</v>
      </c>
    </row>
    <row r="42" spans="3:32" x14ac:dyDescent="0.2">
      <c r="C42" s="707">
        <f t="shared" si="10"/>
        <v>2005</v>
      </c>
      <c r="H42" s="774" t="s">
        <v>1383</v>
      </c>
      <c r="K42" s="775"/>
      <c r="L42" s="775"/>
      <c r="M42" s="775"/>
      <c r="N42" s="775"/>
      <c r="O42" s="776">
        <v>5000.5687065485763</v>
      </c>
      <c r="Q42" s="707">
        <f t="shared" si="16"/>
        <v>2005</v>
      </c>
      <c r="R42" s="724">
        <v>530.70000000000005</v>
      </c>
      <c r="S42" s="724">
        <v>72.881030999999993</v>
      </c>
      <c r="V42" s="726">
        <f t="shared" si="15"/>
        <v>620.52511676716426</v>
      </c>
      <c r="W42" s="727">
        <f t="shared" si="8"/>
        <v>85.216714285634666</v>
      </c>
      <c r="Y42" s="727">
        <f t="shared" si="1"/>
        <v>115.01308025061726</v>
      </c>
    </row>
    <row r="43" spans="3:32" x14ac:dyDescent="0.2">
      <c r="C43" s="707">
        <f t="shared" si="10"/>
        <v>2006</v>
      </c>
      <c r="H43" s="774" t="s">
        <v>1384</v>
      </c>
      <c r="O43" s="776">
        <v>5064.9375091176971</v>
      </c>
      <c r="Q43" s="707">
        <f t="shared" si="16"/>
        <v>2006</v>
      </c>
      <c r="R43" s="724">
        <v>515.72</v>
      </c>
      <c r="S43" s="724">
        <v>70.823827600000001</v>
      </c>
      <c r="V43" s="726">
        <f t="shared" si="15"/>
        <v>628.51269999505973</v>
      </c>
      <c r="W43" s="727">
        <f t="shared" si="8"/>
        <v>86.313649090321547</v>
      </c>
      <c r="Y43" s="727">
        <f t="shared" si="1"/>
        <v>116.49356270970704</v>
      </c>
    </row>
    <row r="44" spans="3:32" x14ac:dyDescent="0.2">
      <c r="C44" s="707">
        <f t="shared" si="10"/>
        <v>2007</v>
      </c>
      <c r="H44" s="774"/>
      <c r="O44" s="776">
        <v>4939.2002982447384</v>
      </c>
      <c r="Q44" s="707">
        <f t="shared" si="16"/>
        <v>2007</v>
      </c>
      <c r="R44" s="724">
        <v>530.70000000000005</v>
      </c>
      <c r="S44" s="724">
        <v>72.881030999999993</v>
      </c>
      <c r="V44" s="726">
        <f t="shared" si="15"/>
        <v>612.90985519127889</v>
      </c>
      <c r="W44" s="727">
        <f t="shared" si="8"/>
        <v>84.170910413418341</v>
      </c>
      <c r="Y44" s="727">
        <f t="shared" si="1"/>
        <v>113.60160685962899</v>
      </c>
    </row>
    <row r="45" spans="3:32" x14ac:dyDescent="0.2">
      <c r="C45" s="707">
        <f t="shared" si="10"/>
        <v>2008</v>
      </c>
      <c r="H45" s="774"/>
      <c r="O45" s="776">
        <v>4750.9622996216158</v>
      </c>
      <c r="Q45" s="707">
        <f t="shared" si="16"/>
        <v>2008</v>
      </c>
      <c r="R45" s="724">
        <v>540.89</v>
      </c>
      <c r="S45" s="724">
        <v>74.2804237</v>
      </c>
      <c r="V45" s="726">
        <f t="shared" si="15"/>
        <v>589.55123081668239</v>
      </c>
      <c r="W45" s="727">
        <f t="shared" si="8"/>
        <v>80.963070528054999</v>
      </c>
      <c r="Y45" s="727">
        <f t="shared" si="1"/>
        <v>109.27213289129716</v>
      </c>
    </row>
    <row r="46" spans="3:32" x14ac:dyDescent="0.2">
      <c r="C46" s="707">
        <f t="shared" si="10"/>
        <v>2009</v>
      </c>
      <c r="H46" s="774"/>
      <c r="O46" s="776">
        <v>4883.1901965997113</v>
      </c>
      <c r="Q46" s="707">
        <f t="shared" si="16"/>
        <v>2009</v>
      </c>
      <c r="R46" s="724">
        <v>556</v>
      </c>
      <c r="S46" s="724">
        <v>76.35548</v>
      </c>
      <c r="V46" s="726">
        <f t="shared" si="15"/>
        <v>605.9595107598733</v>
      </c>
      <c r="W46" s="727">
        <f t="shared" si="8"/>
        <v>83.216419612653397</v>
      </c>
      <c r="Y46" s="727">
        <f t="shared" si="1"/>
        <v>112.31337452179336</v>
      </c>
    </row>
    <row r="47" spans="3:32" x14ac:dyDescent="0.2">
      <c r="C47" s="707">
        <f t="shared" si="10"/>
        <v>2010</v>
      </c>
      <c r="H47" s="774"/>
      <c r="O47" s="776">
        <v>4753.008830155235</v>
      </c>
      <c r="Q47" s="707">
        <f t="shared" si="16"/>
        <v>2010</v>
      </c>
      <c r="R47" s="724">
        <v>532.15</v>
      </c>
      <c r="S47" s="724">
        <v>73.080159499999993</v>
      </c>
      <c r="V47" s="726">
        <f t="shared" si="15"/>
        <v>589.8051866510815</v>
      </c>
      <c r="W47" s="727">
        <f t="shared" si="8"/>
        <v>80.997946282793009</v>
      </c>
      <c r="Y47" s="727">
        <f t="shared" si="1"/>
        <v>109.31920309357041</v>
      </c>
    </row>
    <row r="48" spans="3:32" x14ac:dyDescent="0.2">
      <c r="C48" s="707">
        <f t="shared" si="10"/>
        <v>2011</v>
      </c>
      <c r="H48" s="774"/>
      <c r="O48" s="776">
        <v>4428.6465607054706</v>
      </c>
      <c r="Q48" s="707">
        <f t="shared" si="16"/>
        <v>2011</v>
      </c>
      <c r="R48" s="724">
        <v>532.15</v>
      </c>
      <c r="S48" s="724">
        <v>73.080159499999993</v>
      </c>
      <c r="V48" s="726">
        <f t="shared" si="15"/>
        <v>549.55477776026976</v>
      </c>
      <c r="W48" s="727">
        <f t="shared" si="8"/>
        <v>75.47035762981784</v>
      </c>
      <c r="Y48" s="727">
        <f t="shared" si="1"/>
        <v>101.85887089622582</v>
      </c>
    </row>
    <row r="49" spans="3:18" x14ac:dyDescent="0.2">
      <c r="C49" s="707">
        <f t="shared" si="10"/>
        <v>2012</v>
      </c>
    </row>
    <row r="50" spans="3:18" x14ac:dyDescent="0.2">
      <c r="J50" s="722" t="s">
        <v>1385</v>
      </c>
      <c r="O50" s="777" t="s">
        <v>1416</v>
      </c>
      <c r="P50" s="777"/>
      <c r="Q50" s="777"/>
      <c r="R50" s="777"/>
    </row>
    <row r="51" spans="3:18" x14ac:dyDescent="0.2">
      <c r="J51" s="707" t="s">
        <v>1386</v>
      </c>
      <c r="O51" s="777" t="s">
        <v>1417</v>
      </c>
      <c r="P51" s="777"/>
      <c r="Q51" s="777"/>
      <c r="R51" s="777"/>
    </row>
    <row r="52" spans="3:18" x14ac:dyDescent="0.2">
      <c r="J52" s="707" t="s">
        <v>1387</v>
      </c>
      <c r="O52" s="777" t="s">
        <v>1418</v>
      </c>
      <c r="P52" s="777"/>
      <c r="Q52" s="777"/>
      <c r="R52" s="777"/>
    </row>
    <row r="53" spans="3:18" x14ac:dyDescent="0.2">
      <c r="J53" s="707" t="s">
        <v>1388</v>
      </c>
    </row>
    <row r="54" spans="3:18" x14ac:dyDescent="0.2">
      <c r="J54" s="751" t="s">
        <v>1421</v>
      </c>
    </row>
    <row r="55" spans="3:18" x14ac:dyDescent="0.2">
      <c r="K55" s="707" t="s">
        <v>1420</v>
      </c>
    </row>
    <row r="56" spans="3:18" x14ac:dyDescent="0.2">
      <c r="C56" s="750" t="s">
        <v>632</v>
      </c>
      <c r="J56" s="775"/>
    </row>
    <row r="57" spans="3:18" x14ac:dyDescent="0.2">
      <c r="C57" s="707" t="s">
        <v>1310</v>
      </c>
      <c r="D57" s="707" t="s">
        <v>1389</v>
      </c>
    </row>
    <row r="58" spans="3:18" x14ac:dyDescent="0.2">
      <c r="D58" s="707" t="s">
        <v>1390</v>
      </c>
    </row>
    <row r="59" spans="3:18" x14ac:dyDescent="0.2">
      <c r="C59" s="707" t="s">
        <v>1313</v>
      </c>
      <c r="D59" s="707" t="s">
        <v>1391</v>
      </c>
    </row>
    <row r="60" spans="3:18" x14ac:dyDescent="0.2">
      <c r="C60" s="707" t="s">
        <v>1313</v>
      </c>
      <c r="D60" s="707" t="s">
        <v>1392</v>
      </c>
    </row>
    <row r="61" spans="3:18" x14ac:dyDescent="0.2">
      <c r="C61" s="707" t="s">
        <v>1320</v>
      </c>
      <c r="D61" s="707" t="s">
        <v>1393</v>
      </c>
    </row>
    <row r="62" spans="3:18" x14ac:dyDescent="0.2">
      <c r="D62" s="707" t="s">
        <v>1394</v>
      </c>
    </row>
    <row r="63" spans="3:18" x14ac:dyDescent="0.2">
      <c r="D63" s="707" t="s">
        <v>1395</v>
      </c>
    </row>
    <row r="64" spans="3:18" x14ac:dyDescent="0.2">
      <c r="C64" s="707" t="s">
        <v>1322</v>
      </c>
      <c r="D64" s="707" t="s">
        <v>1396</v>
      </c>
    </row>
    <row r="65" spans="3:4" x14ac:dyDescent="0.2">
      <c r="C65" s="707" t="s">
        <v>1397</v>
      </c>
      <c r="D65" s="707" t="s">
        <v>1398</v>
      </c>
    </row>
    <row r="66" spans="3:4" x14ac:dyDescent="0.2">
      <c r="C66" s="707" t="s">
        <v>1399</v>
      </c>
      <c r="D66" s="707" t="s">
        <v>1400</v>
      </c>
    </row>
    <row r="67" spans="3:4" x14ac:dyDescent="0.2">
      <c r="C67" s="707" t="s">
        <v>1401</v>
      </c>
      <c r="D67" s="707" t="s">
        <v>1402</v>
      </c>
    </row>
    <row r="68" spans="3:4" x14ac:dyDescent="0.2">
      <c r="C68" s="707" t="s">
        <v>1403</v>
      </c>
      <c r="D68" s="707" t="s">
        <v>1404</v>
      </c>
    </row>
    <row r="69" spans="3:4" x14ac:dyDescent="0.2">
      <c r="C69" s="707" t="s">
        <v>1405</v>
      </c>
      <c r="D69" s="707" t="s">
        <v>1406</v>
      </c>
    </row>
    <row r="70" spans="3:4" x14ac:dyDescent="0.2">
      <c r="C70" s="707" t="s">
        <v>1407</v>
      </c>
      <c r="D70" s="707" t="s">
        <v>1408</v>
      </c>
    </row>
    <row r="71" spans="3:4" x14ac:dyDescent="0.2">
      <c r="D71" s="707" t="s">
        <v>1409</v>
      </c>
    </row>
    <row r="72" spans="3:4" x14ac:dyDescent="0.2">
      <c r="D72" s="707" t="s">
        <v>1410</v>
      </c>
    </row>
    <row r="73" spans="3:4" x14ac:dyDescent="0.2">
      <c r="C73" s="707" t="s">
        <v>125</v>
      </c>
    </row>
    <row r="74" spans="3:4" x14ac:dyDescent="0.2">
      <c r="C74" s="707" t="s">
        <v>1411</v>
      </c>
      <c r="D74" s="707" t="s">
        <v>1350</v>
      </c>
    </row>
    <row r="75" spans="3:4" x14ac:dyDescent="0.2">
      <c r="C75" s="707" t="s">
        <v>1345</v>
      </c>
    </row>
    <row r="76" spans="3:4" x14ac:dyDescent="0.2">
      <c r="C76" s="707" t="s">
        <v>1412</v>
      </c>
    </row>
    <row r="78" spans="3:4" x14ac:dyDescent="0.2">
      <c r="C78" s="707" t="s">
        <v>1349</v>
      </c>
      <c r="D78" s="707" t="s">
        <v>1413</v>
      </c>
    </row>
    <row r="79" spans="3:4" x14ac:dyDescent="0.2">
      <c r="C79" s="707" t="s">
        <v>1351</v>
      </c>
      <c r="D79" s="707" t="s">
        <v>1414</v>
      </c>
    </row>
    <row r="81" spans="3:4" x14ac:dyDescent="0.2">
      <c r="C81" s="707" t="s">
        <v>1352</v>
      </c>
      <c r="D81" s="707" t="s">
        <v>1415</v>
      </c>
    </row>
  </sheetData>
  <mergeCells count="1">
    <mergeCell ref="R5:T5"/>
  </mergeCells>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topLeftCell="A28" zoomScale="110" zoomScaleNormal="110" workbookViewId="0">
      <selection activeCell="N43" sqref="N43"/>
    </sheetView>
  </sheetViews>
  <sheetFormatPr defaultRowHeight="12.75" x14ac:dyDescent="0.2"/>
  <cols>
    <col min="1" max="1" width="2.28515625" style="376" customWidth="1"/>
    <col min="2" max="3" width="10.42578125" style="376" customWidth="1"/>
    <col min="4" max="4" width="10.140625" style="376" bestFit="1" customWidth="1"/>
    <col min="5" max="5" width="11.7109375" style="376" customWidth="1"/>
    <col min="6" max="6" width="10.7109375" style="376" bestFit="1" customWidth="1"/>
    <col min="7" max="7" width="11.42578125" style="376" customWidth="1"/>
    <col min="8" max="8" width="10.42578125" style="376" customWidth="1"/>
    <col min="9" max="9" width="14.5703125" style="376" bestFit="1" customWidth="1"/>
    <col min="10" max="16384" width="9.140625" style="376"/>
  </cols>
  <sheetData>
    <row r="1" spans="2:11" ht="15.75" thickBot="1" x14ac:dyDescent="0.3">
      <c r="B1" s="426"/>
      <c r="C1" s="426"/>
      <c r="D1" s="426"/>
      <c r="E1" s="426"/>
      <c r="F1" s="426"/>
      <c r="G1" s="426"/>
      <c r="H1" s="426"/>
      <c r="I1" s="426"/>
      <c r="J1" s="426"/>
      <c r="K1" s="426"/>
    </row>
    <row r="2" spans="2:11" ht="15" x14ac:dyDescent="0.25">
      <c r="B2" s="467" t="s">
        <v>797</v>
      </c>
      <c r="C2" s="468"/>
      <c r="D2" s="468"/>
      <c r="E2" s="468"/>
      <c r="F2" s="468"/>
      <c r="G2" s="468"/>
      <c r="H2" s="468"/>
      <c r="I2" s="468"/>
      <c r="J2" s="469"/>
      <c r="K2" s="426"/>
    </row>
    <row r="3" spans="2:11" ht="15.75" thickBot="1" x14ac:dyDescent="0.3">
      <c r="B3" s="470" t="s">
        <v>798</v>
      </c>
      <c r="C3" s="446"/>
      <c r="D3" s="446"/>
      <c r="E3" s="446"/>
      <c r="F3" s="446"/>
      <c r="G3" s="446"/>
      <c r="H3" s="446"/>
      <c r="I3" s="446"/>
      <c r="J3" s="471"/>
      <c r="K3" s="426"/>
    </row>
    <row r="4" spans="2:11" x14ac:dyDescent="0.2">
      <c r="B4" s="377"/>
      <c r="C4" s="378"/>
      <c r="D4" s="378"/>
      <c r="E4" s="378"/>
      <c r="F4" s="378"/>
      <c r="G4" s="378"/>
      <c r="H4" s="378"/>
      <c r="I4" s="378"/>
      <c r="J4" s="378"/>
    </row>
    <row r="5" spans="2:11" ht="15" x14ac:dyDescent="0.25">
      <c r="B5" s="967" t="s">
        <v>384</v>
      </c>
      <c r="C5" s="967"/>
      <c r="D5" s="967"/>
      <c r="E5" s="967"/>
      <c r="F5" s="967"/>
      <c r="G5" s="967"/>
      <c r="H5" s="967"/>
      <c r="I5" s="967"/>
      <c r="J5" s="967"/>
      <c r="K5" s="426"/>
    </row>
    <row r="6" spans="2:11" ht="15" x14ac:dyDescent="0.25">
      <c r="B6" s="967" t="s">
        <v>799</v>
      </c>
      <c r="C6" s="967"/>
      <c r="D6" s="967"/>
      <c r="E6" s="967"/>
      <c r="F6" s="967"/>
      <c r="G6" s="967"/>
      <c r="H6" s="967"/>
      <c r="I6" s="967"/>
      <c r="J6" s="967"/>
      <c r="K6" s="426"/>
    </row>
    <row r="7" spans="2:11" ht="15.75" thickBot="1" x14ac:dyDescent="0.3">
      <c r="B7" s="445"/>
      <c r="C7" s="446"/>
      <c r="D7" s="446"/>
      <c r="E7" s="446"/>
      <c r="F7" s="446"/>
      <c r="G7" s="446"/>
      <c r="H7" s="446"/>
      <c r="I7" s="446"/>
      <c r="J7" s="447"/>
      <c r="K7" s="426"/>
    </row>
    <row r="8" spans="2:11" ht="15" x14ac:dyDescent="0.25">
      <c r="B8" s="431"/>
      <c r="C8" s="426"/>
      <c r="D8" s="426"/>
      <c r="E8" s="426"/>
      <c r="F8" s="426"/>
      <c r="G8" s="437" t="s">
        <v>385</v>
      </c>
      <c r="H8" s="426"/>
      <c r="I8" s="426"/>
      <c r="J8" s="439" t="s">
        <v>386</v>
      </c>
      <c r="K8" s="426"/>
    </row>
    <row r="9" spans="2:11" ht="15" x14ac:dyDescent="0.25">
      <c r="B9" s="431"/>
      <c r="C9" s="437" t="s">
        <v>800</v>
      </c>
      <c r="D9" s="437" t="s">
        <v>800</v>
      </c>
      <c r="E9" s="426"/>
      <c r="F9" s="426"/>
      <c r="G9" s="437" t="s">
        <v>387</v>
      </c>
      <c r="H9" s="437" t="s">
        <v>388</v>
      </c>
      <c r="I9" s="437" t="s">
        <v>389</v>
      </c>
      <c r="J9" s="439" t="s">
        <v>390</v>
      </c>
      <c r="K9" s="426"/>
    </row>
    <row r="10" spans="2:11" ht="15" x14ac:dyDescent="0.25">
      <c r="B10" s="435"/>
      <c r="C10" s="438" t="s">
        <v>391</v>
      </c>
      <c r="D10" s="438" t="s">
        <v>801</v>
      </c>
      <c r="E10" s="438" t="s">
        <v>802</v>
      </c>
      <c r="F10" s="438" t="s">
        <v>803</v>
      </c>
      <c r="G10" s="438" t="s">
        <v>392</v>
      </c>
      <c r="H10" s="438" t="s">
        <v>393</v>
      </c>
      <c r="I10" s="438" t="s">
        <v>394</v>
      </c>
      <c r="J10" s="440" t="s">
        <v>395</v>
      </c>
      <c r="K10" s="436"/>
    </row>
    <row r="11" spans="2:11" ht="15" x14ac:dyDescent="0.25">
      <c r="B11" s="448" t="s">
        <v>310</v>
      </c>
      <c r="C11" s="448" t="s">
        <v>804</v>
      </c>
      <c r="D11" s="448" t="s">
        <v>396</v>
      </c>
      <c r="E11" s="448" t="s">
        <v>397</v>
      </c>
      <c r="F11" s="448" t="s">
        <v>397</v>
      </c>
      <c r="G11" s="448" t="s">
        <v>398</v>
      </c>
      <c r="H11" s="448" t="s">
        <v>399</v>
      </c>
      <c r="I11" s="448" t="s">
        <v>400</v>
      </c>
      <c r="J11" s="449" t="s">
        <v>401</v>
      </c>
      <c r="K11" s="436"/>
    </row>
    <row r="12" spans="2:11" ht="18" x14ac:dyDescent="0.25">
      <c r="B12" s="453">
        <v>1971</v>
      </c>
      <c r="C12" s="454" t="s">
        <v>402</v>
      </c>
      <c r="D12" s="455">
        <v>1165</v>
      </c>
      <c r="E12" s="455">
        <v>16537</v>
      </c>
      <c r="F12" s="455">
        <v>140147</v>
      </c>
      <c r="G12" s="455">
        <v>1993</v>
      </c>
      <c r="H12" s="453">
        <v>188</v>
      </c>
      <c r="I12" s="454" t="s">
        <v>402</v>
      </c>
      <c r="J12" s="456" t="s">
        <v>402</v>
      </c>
      <c r="K12" s="436"/>
    </row>
    <row r="13" spans="2:11" ht="18" x14ac:dyDescent="0.25">
      <c r="B13" s="450">
        <v>1972</v>
      </c>
      <c r="C13" s="450">
        <v>285</v>
      </c>
      <c r="D13" s="451">
        <v>1571</v>
      </c>
      <c r="E13" s="451">
        <v>26302</v>
      </c>
      <c r="F13" s="451">
        <v>213261</v>
      </c>
      <c r="G13" s="451">
        <v>3039</v>
      </c>
      <c r="H13" s="450">
        <v>183</v>
      </c>
      <c r="I13" s="452" t="s">
        <v>402</v>
      </c>
      <c r="J13" s="452" t="s">
        <v>402</v>
      </c>
      <c r="K13" s="436"/>
    </row>
    <row r="14" spans="2:11" ht="15" x14ac:dyDescent="0.25">
      <c r="B14" s="450">
        <v>1973</v>
      </c>
      <c r="C14" s="450">
        <v>352</v>
      </c>
      <c r="D14" s="451">
        <v>1777</v>
      </c>
      <c r="E14" s="451">
        <v>27151</v>
      </c>
      <c r="F14" s="451">
        <v>239775</v>
      </c>
      <c r="G14" s="451">
        <v>3807</v>
      </c>
      <c r="H14" s="450">
        <v>224</v>
      </c>
      <c r="I14" s="457">
        <v>3624.7701602311531</v>
      </c>
      <c r="J14" s="458">
        <v>13.7995</v>
      </c>
      <c r="K14" s="426"/>
    </row>
    <row r="15" spans="2:11" ht="15" x14ac:dyDescent="0.25">
      <c r="B15" s="450">
        <v>1974</v>
      </c>
      <c r="C15" s="450">
        <v>457</v>
      </c>
      <c r="D15" s="451">
        <v>1848</v>
      </c>
      <c r="E15" s="451">
        <v>29538</v>
      </c>
      <c r="F15" s="451">
        <v>260060</v>
      </c>
      <c r="G15" s="451">
        <v>4259</v>
      </c>
      <c r="H15" s="450">
        <v>233</v>
      </c>
      <c r="I15" s="457">
        <v>3126.7903263676922</v>
      </c>
      <c r="J15" s="458">
        <v>13.317</v>
      </c>
      <c r="K15" s="426"/>
    </row>
    <row r="16" spans="2:11" ht="15" x14ac:dyDescent="0.25">
      <c r="B16" s="453">
        <v>1975</v>
      </c>
      <c r="C16" s="453">
        <v>355</v>
      </c>
      <c r="D16" s="455">
        <v>1913</v>
      </c>
      <c r="E16" s="455">
        <v>30166</v>
      </c>
      <c r="F16" s="455">
        <v>253898</v>
      </c>
      <c r="G16" s="455">
        <v>3753</v>
      </c>
      <c r="H16" s="453">
        <v>224</v>
      </c>
      <c r="I16" s="455">
        <v>3548</v>
      </c>
      <c r="J16" s="459">
        <v>13.3</v>
      </c>
      <c r="K16" s="436"/>
    </row>
    <row r="17" spans="2:11" ht="15" x14ac:dyDescent="0.25">
      <c r="B17" s="450">
        <v>1976</v>
      </c>
      <c r="C17" s="450">
        <v>379</v>
      </c>
      <c r="D17" s="451">
        <v>2062</v>
      </c>
      <c r="E17" s="451">
        <v>30885</v>
      </c>
      <c r="F17" s="451">
        <v>263589</v>
      </c>
      <c r="G17" s="451">
        <v>4268</v>
      </c>
      <c r="H17" s="450">
        <v>229</v>
      </c>
      <c r="I17" s="457">
        <v>3278.4676663542641</v>
      </c>
      <c r="J17" s="458">
        <v>13.9925</v>
      </c>
      <c r="K17" s="436"/>
    </row>
    <row r="18" spans="2:11" ht="15" x14ac:dyDescent="0.25">
      <c r="B18" s="450">
        <v>1977</v>
      </c>
      <c r="C18" s="450">
        <v>369</v>
      </c>
      <c r="D18" s="451">
        <v>2154</v>
      </c>
      <c r="E18" s="451">
        <v>33200</v>
      </c>
      <c r="F18" s="451">
        <v>261325</v>
      </c>
      <c r="G18" s="451">
        <v>4204</v>
      </c>
      <c r="H18" s="450">
        <v>221</v>
      </c>
      <c r="I18" s="457">
        <v>3443.1493815413892</v>
      </c>
      <c r="J18" s="458">
        <v>14.475</v>
      </c>
      <c r="K18" s="426"/>
    </row>
    <row r="19" spans="2:11" ht="15" x14ac:dyDescent="0.25">
      <c r="B19" s="450">
        <v>1978</v>
      </c>
      <c r="C19" s="450">
        <v>441</v>
      </c>
      <c r="D19" s="451">
        <v>2084</v>
      </c>
      <c r="E19" s="451">
        <v>32451</v>
      </c>
      <c r="F19" s="451">
        <v>255214</v>
      </c>
      <c r="G19" s="451">
        <v>4154</v>
      </c>
      <c r="H19" s="450">
        <v>217</v>
      </c>
      <c r="I19" s="457">
        <v>3554.2850264805011</v>
      </c>
      <c r="J19" s="458">
        <v>14.7645</v>
      </c>
      <c r="K19" s="426"/>
    </row>
    <row r="20" spans="2:11" ht="15" x14ac:dyDescent="0.25">
      <c r="B20" s="450">
        <v>1979</v>
      </c>
      <c r="C20" s="450">
        <v>437</v>
      </c>
      <c r="D20" s="451">
        <v>2026</v>
      </c>
      <c r="E20" s="451">
        <v>31379</v>
      </c>
      <c r="F20" s="451">
        <v>255129</v>
      </c>
      <c r="G20" s="451">
        <v>4867</v>
      </c>
      <c r="H20" s="450">
        <v>226</v>
      </c>
      <c r="I20" s="457">
        <v>3350.8321347852884</v>
      </c>
      <c r="J20" s="458">
        <v>16.308499999999999</v>
      </c>
      <c r="K20" s="426"/>
    </row>
    <row r="21" spans="2:11" ht="15" x14ac:dyDescent="0.25">
      <c r="B21" s="460">
        <v>1980</v>
      </c>
      <c r="C21" s="460">
        <v>448</v>
      </c>
      <c r="D21" s="461">
        <v>2128</v>
      </c>
      <c r="E21" s="461">
        <v>29487</v>
      </c>
      <c r="F21" s="461">
        <v>235235</v>
      </c>
      <c r="G21" s="461">
        <v>4503</v>
      </c>
      <c r="H21" s="460">
        <v>217</v>
      </c>
      <c r="I21" s="461">
        <v>3065</v>
      </c>
      <c r="J21" s="462">
        <v>13.8</v>
      </c>
      <c r="K21" s="426"/>
    </row>
    <row r="22" spans="2:11" ht="15" x14ac:dyDescent="0.25">
      <c r="B22" s="430">
        <v>1981</v>
      </c>
      <c r="C22" s="430">
        <v>398</v>
      </c>
      <c r="D22" s="432">
        <v>1830</v>
      </c>
      <c r="E22" s="432">
        <v>30380</v>
      </c>
      <c r="F22" s="432">
        <v>222753</v>
      </c>
      <c r="G22" s="432">
        <v>4397</v>
      </c>
      <c r="H22" s="430">
        <v>226</v>
      </c>
      <c r="I22" s="432">
        <v>2883</v>
      </c>
      <c r="J22" s="441">
        <v>12.7</v>
      </c>
      <c r="K22" s="426"/>
    </row>
    <row r="23" spans="2:11" ht="15" x14ac:dyDescent="0.25">
      <c r="B23" s="430">
        <v>1982</v>
      </c>
      <c r="C23" s="430">
        <v>396</v>
      </c>
      <c r="D23" s="432">
        <v>1929</v>
      </c>
      <c r="E23" s="432">
        <v>28833</v>
      </c>
      <c r="F23" s="432">
        <v>217385</v>
      </c>
      <c r="G23" s="432">
        <v>3993</v>
      </c>
      <c r="H23" s="430">
        <v>220</v>
      </c>
      <c r="I23" s="432">
        <v>3052</v>
      </c>
      <c r="J23" s="441">
        <v>12.2</v>
      </c>
      <c r="K23" s="426"/>
    </row>
    <row r="24" spans="2:11" ht="15" x14ac:dyDescent="0.25">
      <c r="B24" s="430">
        <v>1983</v>
      </c>
      <c r="C24" s="430">
        <v>388</v>
      </c>
      <c r="D24" s="432">
        <v>1880</v>
      </c>
      <c r="E24" s="432">
        <v>28805</v>
      </c>
      <c r="F24" s="432">
        <v>223509</v>
      </c>
      <c r="G24" s="432">
        <v>4227</v>
      </c>
      <c r="H24" s="430">
        <v>223</v>
      </c>
      <c r="I24" s="432">
        <v>2875</v>
      </c>
      <c r="J24" s="441">
        <v>12.2</v>
      </c>
      <c r="K24" s="426"/>
    </row>
    <row r="25" spans="2:11" ht="15" x14ac:dyDescent="0.25">
      <c r="B25" s="430">
        <v>1984</v>
      </c>
      <c r="C25" s="430">
        <v>387</v>
      </c>
      <c r="D25" s="432">
        <v>1844</v>
      </c>
      <c r="E25" s="432">
        <v>29133</v>
      </c>
      <c r="F25" s="432">
        <v>234557</v>
      </c>
      <c r="G25" s="432">
        <v>4427</v>
      </c>
      <c r="H25" s="430">
        <v>227</v>
      </c>
      <c r="I25" s="432">
        <v>2923</v>
      </c>
      <c r="J25" s="441">
        <v>12.9</v>
      </c>
      <c r="K25" s="426"/>
    </row>
    <row r="26" spans="2:11" ht="15" x14ac:dyDescent="0.25">
      <c r="B26" s="430">
        <v>1985</v>
      </c>
      <c r="C26" s="430">
        <v>382</v>
      </c>
      <c r="D26" s="432">
        <v>1818</v>
      </c>
      <c r="E26" s="432">
        <v>30038</v>
      </c>
      <c r="F26" s="432">
        <v>250642</v>
      </c>
      <c r="G26" s="432">
        <v>4785</v>
      </c>
      <c r="H26" s="430">
        <v>238</v>
      </c>
      <c r="I26" s="432">
        <v>2703</v>
      </c>
      <c r="J26" s="441">
        <v>12.9</v>
      </c>
      <c r="K26" s="426"/>
    </row>
    <row r="27" spans="2:11" ht="15" x14ac:dyDescent="0.25">
      <c r="B27" s="430">
        <v>1986</v>
      </c>
      <c r="C27" s="430">
        <v>369</v>
      </c>
      <c r="D27" s="432">
        <v>1793</v>
      </c>
      <c r="E27" s="432">
        <v>28604</v>
      </c>
      <c r="F27" s="432">
        <v>249665</v>
      </c>
      <c r="G27" s="432">
        <v>5011</v>
      </c>
      <c r="H27" s="430">
        <v>249</v>
      </c>
      <c r="I27" s="432">
        <v>2481</v>
      </c>
      <c r="J27" s="441">
        <v>12.4</v>
      </c>
      <c r="K27" s="426"/>
    </row>
    <row r="28" spans="2:11" ht="15" x14ac:dyDescent="0.25">
      <c r="B28" s="430">
        <v>1987</v>
      </c>
      <c r="C28" s="430">
        <v>381</v>
      </c>
      <c r="D28" s="432">
        <v>1850</v>
      </c>
      <c r="E28" s="432">
        <v>29515</v>
      </c>
      <c r="F28" s="432">
        <v>261054</v>
      </c>
      <c r="G28" s="432">
        <v>5361</v>
      </c>
      <c r="H28" s="430">
        <v>259</v>
      </c>
      <c r="I28" s="432">
        <v>2450</v>
      </c>
      <c r="J28" s="441">
        <v>13.1</v>
      </c>
      <c r="K28" s="426"/>
    </row>
    <row r="29" spans="2:11" ht="15" x14ac:dyDescent="0.25">
      <c r="B29" s="430">
        <v>1988</v>
      </c>
      <c r="C29" s="430">
        <v>391</v>
      </c>
      <c r="D29" s="432">
        <v>1845</v>
      </c>
      <c r="E29" s="432">
        <v>30221</v>
      </c>
      <c r="F29" s="432">
        <v>277774</v>
      </c>
      <c r="G29" s="432">
        <v>5686</v>
      </c>
      <c r="H29" s="430">
        <v>265</v>
      </c>
      <c r="I29" s="432">
        <v>2379</v>
      </c>
      <c r="J29" s="441">
        <v>13.5</v>
      </c>
      <c r="K29" s="426"/>
    </row>
    <row r="30" spans="2:11" ht="15" x14ac:dyDescent="0.25">
      <c r="B30" s="430">
        <v>1989</v>
      </c>
      <c r="C30" s="430">
        <v>312</v>
      </c>
      <c r="D30" s="432">
        <v>1742</v>
      </c>
      <c r="E30" s="432">
        <v>31000</v>
      </c>
      <c r="F30" s="432">
        <v>285255</v>
      </c>
      <c r="G30" s="432">
        <v>5859</v>
      </c>
      <c r="H30" s="430">
        <v>274</v>
      </c>
      <c r="I30" s="432">
        <v>2614</v>
      </c>
      <c r="J30" s="441">
        <v>15.3</v>
      </c>
      <c r="K30" s="426"/>
    </row>
    <row r="31" spans="2:11" ht="15" x14ac:dyDescent="0.25">
      <c r="B31" s="430">
        <v>1990</v>
      </c>
      <c r="C31" s="430">
        <v>318</v>
      </c>
      <c r="D31" s="432">
        <v>1863</v>
      </c>
      <c r="E31" s="432">
        <v>33000</v>
      </c>
      <c r="F31" s="432">
        <v>300996</v>
      </c>
      <c r="G31" s="432">
        <v>6057</v>
      </c>
      <c r="H31" s="430">
        <v>273</v>
      </c>
      <c r="I31" s="432">
        <v>2505</v>
      </c>
      <c r="J31" s="441">
        <v>15.2</v>
      </c>
      <c r="K31" s="426"/>
    </row>
    <row r="32" spans="2:11" ht="15" x14ac:dyDescent="0.25">
      <c r="B32" s="430">
        <v>1991</v>
      </c>
      <c r="C32" s="430">
        <v>316</v>
      </c>
      <c r="D32" s="432">
        <v>1786</v>
      </c>
      <c r="E32" s="432">
        <v>34000</v>
      </c>
      <c r="F32" s="432">
        <v>312484</v>
      </c>
      <c r="G32" s="432">
        <v>6273</v>
      </c>
      <c r="H32" s="430">
        <v>285</v>
      </c>
      <c r="I32" s="432">
        <v>2417</v>
      </c>
      <c r="J32" s="441">
        <v>15.2</v>
      </c>
      <c r="K32" s="426"/>
    </row>
    <row r="33" spans="2:11" ht="15" x14ac:dyDescent="0.2">
      <c r="B33" s="430">
        <v>1992</v>
      </c>
      <c r="C33" s="430">
        <v>336</v>
      </c>
      <c r="D33" s="432">
        <v>1796</v>
      </c>
      <c r="E33" s="432">
        <v>34000</v>
      </c>
      <c r="F33" s="432">
        <v>307282</v>
      </c>
      <c r="G33" s="432">
        <v>6091</v>
      </c>
      <c r="H33" s="430">
        <v>286</v>
      </c>
      <c r="I33" s="432">
        <v>2534</v>
      </c>
      <c r="J33" s="441">
        <v>15.4</v>
      </c>
    </row>
    <row r="34" spans="2:11" ht="15" x14ac:dyDescent="0.2">
      <c r="B34" s="430">
        <v>1993</v>
      </c>
      <c r="C34" s="430">
        <v>360</v>
      </c>
      <c r="D34" s="432">
        <v>1853</v>
      </c>
      <c r="E34" s="432">
        <v>34936</v>
      </c>
      <c r="F34" s="432">
        <v>302739</v>
      </c>
      <c r="G34" s="432">
        <v>6199</v>
      </c>
      <c r="H34" s="430">
        <v>280</v>
      </c>
      <c r="I34" s="432">
        <v>2565</v>
      </c>
      <c r="J34" s="441">
        <v>15.9</v>
      </c>
    </row>
    <row r="35" spans="2:11" ht="15" x14ac:dyDescent="0.2">
      <c r="B35" s="430">
        <v>1994</v>
      </c>
      <c r="C35" s="430">
        <v>411</v>
      </c>
      <c r="D35" s="432">
        <v>1874</v>
      </c>
      <c r="E35" s="432">
        <v>34940</v>
      </c>
      <c r="F35" s="432">
        <v>305600</v>
      </c>
      <c r="G35" s="432">
        <v>5869</v>
      </c>
      <c r="H35" s="430">
        <v>276</v>
      </c>
      <c r="I35" s="432">
        <v>2282</v>
      </c>
      <c r="J35" s="472">
        <v>13.4</v>
      </c>
      <c r="K35" s="473" t="s">
        <v>814</v>
      </c>
    </row>
    <row r="36" spans="2:11" ht="15" x14ac:dyDescent="0.2">
      <c r="B36" s="430">
        <v>1995</v>
      </c>
      <c r="C36" s="430">
        <v>422</v>
      </c>
      <c r="D36" s="432">
        <v>1907</v>
      </c>
      <c r="E36" s="432">
        <v>31579</v>
      </c>
      <c r="F36" s="432">
        <v>282579</v>
      </c>
      <c r="G36" s="432">
        <v>5401</v>
      </c>
      <c r="H36" s="430">
        <v>266</v>
      </c>
      <c r="I36" s="432">
        <v>2501</v>
      </c>
      <c r="J36" s="441">
        <v>13.5</v>
      </c>
    </row>
    <row r="37" spans="2:11" ht="15" x14ac:dyDescent="0.2">
      <c r="B37" s="430">
        <v>1996</v>
      </c>
      <c r="C37" s="430">
        <v>348</v>
      </c>
      <c r="D37" s="432">
        <v>1501</v>
      </c>
      <c r="E37" s="432">
        <v>30542</v>
      </c>
      <c r="F37" s="432">
        <v>277750</v>
      </c>
      <c r="G37" s="432">
        <v>5066</v>
      </c>
      <c r="H37" s="430">
        <v>257</v>
      </c>
      <c r="I37" s="432">
        <v>2690</v>
      </c>
      <c r="J37" s="441">
        <v>13.6</v>
      </c>
    </row>
    <row r="38" spans="2:11" ht="15" x14ac:dyDescent="0.2">
      <c r="B38" s="430">
        <v>1997</v>
      </c>
      <c r="C38" s="430">
        <v>292</v>
      </c>
      <c r="D38" s="432">
        <v>1572</v>
      </c>
      <c r="E38" s="432">
        <v>32000</v>
      </c>
      <c r="F38" s="432">
        <v>287760</v>
      </c>
      <c r="G38" s="432">
        <v>5166</v>
      </c>
      <c r="H38" s="430">
        <v>255</v>
      </c>
      <c r="I38" s="432">
        <v>2811</v>
      </c>
      <c r="J38" s="441">
        <v>14.5</v>
      </c>
    </row>
    <row r="39" spans="2:11" ht="15" x14ac:dyDescent="0.2">
      <c r="B39" s="430">
        <v>1998</v>
      </c>
      <c r="C39" s="430">
        <v>362</v>
      </c>
      <c r="D39" s="432">
        <v>1347</v>
      </c>
      <c r="E39" s="432">
        <v>32926</v>
      </c>
      <c r="F39" s="432">
        <v>315823</v>
      </c>
      <c r="G39" s="432">
        <v>5325</v>
      </c>
      <c r="H39" s="430">
        <v>251</v>
      </c>
      <c r="I39" s="432">
        <v>2788</v>
      </c>
      <c r="J39" s="441">
        <v>14.8</v>
      </c>
    </row>
    <row r="40" spans="2:11" ht="15" x14ac:dyDescent="0.2">
      <c r="B40" s="430">
        <v>1999</v>
      </c>
      <c r="C40" s="430">
        <v>385</v>
      </c>
      <c r="D40" s="432">
        <v>1285</v>
      </c>
      <c r="E40" s="432">
        <v>34080</v>
      </c>
      <c r="F40" s="432">
        <v>349337</v>
      </c>
      <c r="G40" s="432">
        <v>5289</v>
      </c>
      <c r="H40" s="430">
        <v>245</v>
      </c>
      <c r="I40" s="432">
        <v>2943</v>
      </c>
      <c r="J40" s="441">
        <v>15.6</v>
      </c>
    </row>
    <row r="41" spans="2:11" ht="15" x14ac:dyDescent="0.2">
      <c r="B41" s="430">
        <v>2000</v>
      </c>
      <c r="C41" s="430">
        <v>385</v>
      </c>
      <c r="D41" s="432">
        <v>1891</v>
      </c>
      <c r="E41" s="432">
        <v>35404</v>
      </c>
      <c r="F41" s="432">
        <v>371215</v>
      </c>
      <c r="G41" s="432">
        <v>5574</v>
      </c>
      <c r="H41" s="430">
        <v>243</v>
      </c>
      <c r="I41" s="432">
        <v>3235</v>
      </c>
      <c r="J41" s="441">
        <v>18</v>
      </c>
    </row>
    <row r="42" spans="2:11" ht="15" x14ac:dyDescent="0.2">
      <c r="B42" s="430">
        <v>2001</v>
      </c>
      <c r="C42" s="430">
        <v>401</v>
      </c>
      <c r="D42" s="432">
        <v>2084</v>
      </c>
      <c r="E42" s="432">
        <v>36512</v>
      </c>
      <c r="F42" s="432">
        <v>377705</v>
      </c>
      <c r="G42" s="432">
        <v>5571</v>
      </c>
      <c r="H42" s="430">
        <v>238</v>
      </c>
      <c r="I42" s="432">
        <v>3257</v>
      </c>
      <c r="J42" s="441">
        <v>18.100000000000001</v>
      </c>
    </row>
    <row r="43" spans="2:11" ht="15" x14ac:dyDescent="0.2">
      <c r="B43" s="430">
        <v>2002</v>
      </c>
      <c r="C43" s="430">
        <v>372</v>
      </c>
      <c r="D43" s="432">
        <v>2896</v>
      </c>
      <c r="E43" s="432">
        <v>37624</v>
      </c>
      <c r="F43" s="432">
        <v>378542</v>
      </c>
      <c r="G43" s="432">
        <v>5314</v>
      </c>
      <c r="H43" s="430">
        <v>228</v>
      </c>
      <c r="I43" s="432">
        <v>3212</v>
      </c>
      <c r="J43" s="441">
        <v>17.100000000000001</v>
      </c>
    </row>
    <row r="44" spans="2:11" ht="15" x14ac:dyDescent="0.2">
      <c r="B44" s="430">
        <v>2003</v>
      </c>
      <c r="C44" s="430">
        <v>442</v>
      </c>
      <c r="D44" s="432">
        <v>1623</v>
      </c>
      <c r="E44" s="432">
        <v>37459</v>
      </c>
      <c r="F44" s="432">
        <v>331864</v>
      </c>
      <c r="G44" s="432">
        <v>5680</v>
      </c>
      <c r="H44" s="430">
        <v>231</v>
      </c>
      <c r="I44" s="432">
        <v>2800</v>
      </c>
      <c r="J44" s="441">
        <v>15.9</v>
      </c>
    </row>
    <row r="45" spans="2:11" ht="15" x14ac:dyDescent="0.2">
      <c r="B45" s="430">
        <v>2004</v>
      </c>
      <c r="C45" s="430">
        <v>276</v>
      </c>
      <c r="D45" s="432">
        <v>1211</v>
      </c>
      <c r="E45" s="432">
        <v>37159</v>
      </c>
      <c r="F45" s="432">
        <v>308437</v>
      </c>
      <c r="G45" s="432">
        <v>5511</v>
      </c>
      <c r="H45" s="430">
        <v>219</v>
      </c>
      <c r="I45" s="432">
        <v>2760</v>
      </c>
      <c r="J45" s="441">
        <v>15.2</v>
      </c>
    </row>
    <row r="46" spans="2:11" ht="15" x14ac:dyDescent="0.2">
      <c r="B46" s="430">
        <v>2005</v>
      </c>
      <c r="C46" s="430">
        <v>258</v>
      </c>
      <c r="D46" s="432">
        <v>1186</v>
      </c>
      <c r="E46" s="432">
        <v>36199</v>
      </c>
      <c r="F46" s="432">
        <v>264796</v>
      </c>
      <c r="G46" s="432">
        <v>5381</v>
      </c>
      <c r="H46" s="430">
        <v>215</v>
      </c>
      <c r="I46" s="432">
        <v>2709</v>
      </c>
      <c r="J46" s="441">
        <v>14.6</v>
      </c>
    </row>
    <row r="47" spans="2:11" ht="15" x14ac:dyDescent="0.2">
      <c r="B47" s="430">
        <v>2006</v>
      </c>
      <c r="C47" s="430">
        <v>319</v>
      </c>
      <c r="D47" s="432">
        <v>1191</v>
      </c>
      <c r="E47" s="432">
        <v>36083</v>
      </c>
      <c r="F47" s="432">
        <v>263908</v>
      </c>
      <c r="G47" s="432">
        <v>5410</v>
      </c>
      <c r="H47" s="430">
        <v>220</v>
      </c>
      <c r="I47" s="432">
        <v>2650</v>
      </c>
      <c r="J47" s="441">
        <v>14.3</v>
      </c>
    </row>
    <row r="48" spans="2:11" ht="15" x14ac:dyDescent="0.2">
      <c r="B48" s="430">
        <v>2007</v>
      </c>
      <c r="C48" s="430">
        <v>270</v>
      </c>
      <c r="D48" s="432">
        <v>1164</v>
      </c>
      <c r="E48" s="432">
        <v>37484</v>
      </c>
      <c r="F48" s="432">
        <v>266545</v>
      </c>
      <c r="G48" s="432">
        <v>5784</v>
      </c>
      <c r="H48" s="430">
        <v>218</v>
      </c>
      <c r="I48" s="432">
        <v>2516</v>
      </c>
      <c r="J48" s="441">
        <v>14.5</v>
      </c>
    </row>
    <row r="49" spans="1:10" ht="15" x14ac:dyDescent="0.25">
      <c r="A49" s="426"/>
      <c r="B49" s="430">
        <v>2008</v>
      </c>
      <c r="C49" s="430">
        <v>278</v>
      </c>
      <c r="D49" s="432">
        <v>1177</v>
      </c>
      <c r="E49" s="432">
        <v>37736</v>
      </c>
      <c r="F49" s="432">
        <v>271762</v>
      </c>
      <c r="G49" s="432">
        <v>6179</v>
      </c>
      <c r="H49" s="430">
        <v>215</v>
      </c>
      <c r="I49" s="432">
        <v>2398</v>
      </c>
      <c r="J49" s="441">
        <v>14.8</v>
      </c>
    </row>
    <row r="50" spans="1:10" ht="15" x14ac:dyDescent="0.25">
      <c r="A50" s="426"/>
      <c r="B50" s="430">
        <v>2009</v>
      </c>
      <c r="C50" s="430">
        <v>274</v>
      </c>
      <c r="D50" s="432">
        <v>1214</v>
      </c>
      <c r="E50" s="432">
        <v>38300</v>
      </c>
      <c r="F50" s="432">
        <v>282764</v>
      </c>
      <c r="G50" s="432">
        <v>5914</v>
      </c>
      <c r="H50" s="430">
        <v>217</v>
      </c>
      <c r="I50" s="432">
        <v>2435</v>
      </c>
      <c r="J50" s="441">
        <v>14.4</v>
      </c>
    </row>
    <row r="51" spans="1:10" ht="15" x14ac:dyDescent="0.25">
      <c r="A51" s="426"/>
      <c r="B51" s="968" t="s">
        <v>403</v>
      </c>
      <c r="C51" s="968"/>
      <c r="D51" s="968"/>
      <c r="E51" s="968"/>
      <c r="F51" s="968"/>
      <c r="G51" s="968"/>
      <c r="H51" s="968"/>
      <c r="I51" s="968"/>
      <c r="J51" s="968"/>
    </row>
    <row r="52" spans="1:10" ht="18" x14ac:dyDescent="0.25">
      <c r="A52" s="426"/>
      <c r="B52" s="430" t="s">
        <v>805</v>
      </c>
      <c r="C52" s="433" t="s">
        <v>402</v>
      </c>
      <c r="D52" s="444">
        <v>1E-3</v>
      </c>
      <c r="E52" s="444">
        <v>2.1999999999999999E-2</v>
      </c>
      <c r="F52" s="444">
        <v>1.9E-2</v>
      </c>
      <c r="G52" s="444">
        <v>2.9000000000000001E-2</v>
      </c>
      <c r="H52" s="444">
        <v>4.0000000000000001E-3</v>
      </c>
      <c r="I52" s="433" t="s">
        <v>402</v>
      </c>
      <c r="J52" s="442" t="s">
        <v>402</v>
      </c>
    </row>
    <row r="53" spans="1:10" ht="15.75" thickBot="1" x14ac:dyDescent="0.3">
      <c r="A53" s="426"/>
      <c r="B53" s="434" t="s">
        <v>806</v>
      </c>
      <c r="C53" s="443">
        <v>-3.3000000000000002E-2</v>
      </c>
      <c r="D53" s="443">
        <v>-6.0000000000000001E-3</v>
      </c>
      <c r="E53" s="443">
        <v>1.2E-2</v>
      </c>
      <c r="F53" s="443">
        <v>-2.1000000000000001E-2</v>
      </c>
      <c r="G53" s="443">
        <v>6.0000000000000001E-3</v>
      </c>
      <c r="H53" s="443">
        <v>-1.0999999999999999E-2</v>
      </c>
      <c r="I53" s="443">
        <v>-2.8000000000000001E-2</v>
      </c>
      <c r="J53" s="443">
        <v>-8.0000000000000002E-3</v>
      </c>
    </row>
    <row r="54" spans="1:10" ht="15.75" thickTop="1" x14ac:dyDescent="0.25">
      <c r="A54" s="426"/>
      <c r="B54" s="431"/>
      <c r="C54" s="426"/>
      <c r="D54" s="426"/>
      <c r="E54" s="426"/>
      <c r="F54" s="426"/>
      <c r="G54" s="426"/>
      <c r="H54" s="426"/>
      <c r="I54" s="426"/>
      <c r="J54" s="426"/>
    </row>
    <row r="55" spans="1:10" x14ac:dyDescent="0.2">
      <c r="A55" s="428"/>
      <c r="B55" s="429" t="s">
        <v>632</v>
      </c>
      <c r="C55" s="463"/>
      <c r="D55" s="463"/>
      <c r="E55" s="463"/>
      <c r="F55" s="463"/>
      <c r="G55" s="463"/>
      <c r="H55" s="463"/>
      <c r="I55" s="463"/>
      <c r="J55" s="464"/>
    </row>
    <row r="56" spans="1:10" x14ac:dyDescent="0.2">
      <c r="A56" s="428"/>
      <c r="B56" s="969" t="s">
        <v>807</v>
      </c>
      <c r="C56" s="969"/>
      <c r="D56" s="969"/>
      <c r="E56" s="969"/>
      <c r="F56" s="969"/>
      <c r="G56" s="969"/>
      <c r="H56" s="969"/>
      <c r="I56" s="969"/>
      <c r="J56" s="969"/>
    </row>
    <row r="57" spans="1:10" x14ac:dyDescent="0.2">
      <c r="A57" s="428"/>
      <c r="B57" s="969" t="s">
        <v>808</v>
      </c>
      <c r="C57" s="969"/>
      <c r="D57" s="969"/>
      <c r="E57" s="969"/>
      <c r="F57" s="969"/>
      <c r="G57" s="969"/>
      <c r="H57" s="969"/>
      <c r="I57" s="969"/>
      <c r="J57" s="969"/>
    </row>
    <row r="58" spans="1:10" x14ac:dyDescent="0.2">
      <c r="A58" s="428"/>
      <c r="B58" s="969" t="s">
        <v>809</v>
      </c>
      <c r="C58" s="969"/>
      <c r="D58" s="969"/>
      <c r="E58" s="969"/>
      <c r="F58" s="969"/>
      <c r="G58" s="969"/>
      <c r="H58" s="969"/>
      <c r="I58" s="969"/>
      <c r="J58" s="969"/>
    </row>
    <row r="59" spans="1:10" x14ac:dyDescent="0.2">
      <c r="A59" s="428"/>
      <c r="B59" s="969" t="s">
        <v>810</v>
      </c>
      <c r="C59" s="969"/>
      <c r="D59" s="969"/>
      <c r="E59" s="969"/>
      <c r="F59" s="969"/>
      <c r="G59" s="969"/>
      <c r="H59" s="969"/>
      <c r="I59" s="969"/>
      <c r="J59" s="969"/>
    </row>
    <row r="60" spans="1:10" x14ac:dyDescent="0.2">
      <c r="A60" s="428"/>
      <c r="B60" s="969" t="s">
        <v>811</v>
      </c>
      <c r="C60" s="969"/>
      <c r="D60" s="969"/>
      <c r="E60" s="969"/>
      <c r="F60" s="969"/>
      <c r="G60" s="969"/>
      <c r="H60" s="969"/>
      <c r="I60" s="969"/>
      <c r="J60" s="969"/>
    </row>
    <row r="61" spans="1:10" x14ac:dyDescent="0.2">
      <c r="A61" s="428"/>
      <c r="B61" s="427"/>
      <c r="C61" s="463"/>
      <c r="D61" s="463"/>
      <c r="E61" s="463"/>
      <c r="F61" s="463"/>
      <c r="G61" s="463"/>
      <c r="H61" s="463"/>
      <c r="I61" s="463"/>
      <c r="J61" s="464"/>
    </row>
    <row r="62" spans="1:10" ht="13.5" thickBot="1" x14ac:dyDescent="0.25">
      <c r="A62" s="428"/>
      <c r="B62" s="465"/>
      <c r="C62" s="463"/>
      <c r="D62" s="463"/>
      <c r="E62" s="463"/>
      <c r="F62" s="463"/>
      <c r="G62" s="463"/>
      <c r="H62" s="463"/>
      <c r="I62" s="463"/>
      <c r="J62" s="464"/>
    </row>
    <row r="63" spans="1:10" x14ac:dyDescent="0.2">
      <c r="A63" s="428"/>
      <c r="B63" s="428"/>
      <c r="C63" s="463"/>
      <c r="D63" s="463"/>
      <c r="E63" s="463"/>
      <c r="F63" s="463"/>
      <c r="G63" s="463"/>
      <c r="H63" s="463"/>
      <c r="I63" s="463"/>
      <c r="J63" s="464"/>
    </row>
    <row r="64" spans="1:10" ht="15.75" x14ac:dyDescent="0.2">
      <c r="A64" s="466"/>
      <c r="B64" s="971" t="s">
        <v>812</v>
      </c>
      <c r="C64" s="971"/>
      <c r="D64" s="971"/>
      <c r="E64" s="971"/>
      <c r="F64" s="971"/>
      <c r="G64" s="971"/>
      <c r="H64" s="971"/>
      <c r="I64" s="971"/>
      <c r="J64" s="971"/>
    </row>
    <row r="65" spans="2:10" ht="15.75" x14ac:dyDescent="0.2">
      <c r="B65" s="970" t="s">
        <v>813</v>
      </c>
      <c r="C65" s="970"/>
      <c r="D65" s="970"/>
      <c r="E65" s="970"/>
      <c r="F65" s="970"/>
      <c r="G65" s="970"/>
      <c r="H65" s="970"/>
      <c r="I65" s="970"/>
      <c r="J65" s="970"/>
    </row>
  </sheetData>
  <mergeCells count="10">
    <mergeCell ref="B65:J65"/>
    <mergeCell ref="B64:J64"/>
    <mergeCell ref="B58:J58"/>
    <mergeCell ref="B59:J59"/>
    <mergeCell ref="B60:J60"/>
    <mergeCell ref="B5:J5"/>
    <mergeCell ref="B6:J6"/>
    <mergeCell ref="B51:J51"/>
    <mergeCell ref="B56:J56"/>
    <mergeCell ref="B57:J57"/>
  </mergeCells>
  <phoneticPr fontId="47" type="noConversion"/>
  <pageMargins left="0.28000000000000003" right="0.27" top="0.64" bottom="0.47"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workbookViewId="0">
      <selection activeCell="K18" sqref="K18"/>
    </sheetView>
  </sheetViews>
  <sheetFormatPr defaultRowHeight="15" x14ac:dyDescent="0.25"/>
  <cols>
    <col min="1" max="1" width="9.140625" style="502"/>
    <col min="2" max="2" width="14.140625" style="502" customWidth="1"/>
    <col min="3" max="8" width="12.7109375" style="437" customWidth="1"/>
    <col min="9" max="9" width="15.7109375" style="437" customWidth="1"/>
    <col min="10" max="10" width="10.7109375" style="439" customWidth="1"/>
    <col min="11" max="16384" width="9.140625" style="502"/>
  </cols>
  <sheetData>
    <row r="1" spans="2:11" ht="15.75" thickBot="1" x14ac:dyDescent="0.3"/>
    <row r="2" spans="2:11" x14ac:dyDescent="0.25">
      <c r="B2" s="503" t="s">
        <v>797</v>
      </c>
      <c r="C2" s="468"/>
      <c r="D2" s="468"/>
      <c r="E2" s="468"/>
      <c r="F2" s="468"/>
      <c r="G2" s="468"/>
      <c r="H2" s="468"/>
      <c r="I2" s="468"/>
      <c r="J2" s="469"/>
    </row>
    <row r="3" spans="2:11" ht="15.75" thickBot="1" x14ac:dyDescent="0.3">
      <c r="B3" s="504" t="s">
        <v>880</v>
      </c>
      <c r="C3" s="446"/>
      <c r="D3" s="446"/>
      <c r="E3" s="446"/>
      <c r="F3" s="446"/>
      <c r="G3" s="446"/>
      <c r="H3" s="446"/>
      <c r="I3" s="446"/>
      <c r="J3" s="471"/>
    </row>
    <row r="5" spans="2:11" x14ac:dyDescent="0.25">
      <c r="B5" s="967" t="s">
        <v>384</v>
      </c>
      <c r="C5" s="967"/>
      <c r="D5" s="967"/>
      <c r="E5" s="967"/>
      <c r="F5" s="967"/>
      <c r="G5" s="967"/>
      <c r="H5" s="967"/>
      <c r="I5" s="967"/>
      <c r="J5" s="967"/>
    </row>
    <row r="6" spans="2:11" x14ac:dyDescent="0.25">
      <c r="B6" s="967" t="s">
        <v>881</v>
      </c>
      <c r="C6" s="967"/>
      <c r="D6" s="967"/>
      <c r="E6" s="967"/>
      <c r="F6" s="967"/>
      <c r="G6" s="967"/>
      <c r="H6" s="967"/>
      <c r="I6" s="967"/>
      <c r="J6" s="967"/>
    </row>
    <row r="7" spans="2:11" ht="15.75" thickBot="1" x14ac:dyDescent="0.3">
      <c r="B7" s="445"/>
      <c r="C7" s="446"/>
      <c r="D7" s="446"/>
      <c r="E7" s="446"/>
      <c r="F7" s="446"/>
      <c r="G7" s="446"/>
      <c r="H7" s="446"/>
      <c r="I7" s="446"/>
      <c r="J7" s="447"/>
    </row>
    <row r="8" spans="2:11" ht="15" customHeight="1" x14ac:dyDescent="0.25">
      <c r="B8" s="431"/>
      <c r="G8" s="437" t="s">
        <v>385</v>
      </c>
      <c r="J8" s="439" t="s">
        <v>386</v>
      </c>
    </row>
    <row r="9" spans="2:11" ht="15" customHeight="1" x14ac:dyDescent="0.25">
      <c r="B9" s="431"/>
      <c r="C9" s="437" t="s">
        <v>800</v>
      </c>
      <c r="D9" s="437" t="s">
        <v>800</v>
      </c>
      <c r="G9" s="437" t="s">
        <v>387</v>
      </c>
      <c r="H9" s="437" t="s">
        <v>388</v>
      </c>
      <c r="I9" s="437" t="s">
        <v>389</v>
      </c>
      <c r="J9" s="439" t="s">
        <v>390</v>
      </c>
    </row>
    <row r="10" spans="2:11" ht="15" customHeight="1" x14ac:dyDescent="0.25">
      <c r="B10" s="435"/>
      <c r="C10" s="438" t="s">
        <v>391</v>
      </c>
      <c r="D10" s="438" t="s">
        <v>801</v>
      </c>
      <c r="E10" s="438" t="s">
        <v>802</v>
      </c>
      <c r="F10" s="438" t="s">
        <v>803</v>
      </c>
      <c r="G10" s="438" t="s">
        <v>392</v>
      </c>
      <c r="H10" s="438" t="s">
        <v>393</v>
      </c>
      <c r="I10" s="438" t="s">
        <v>394</v>
      </c>
      <c r="J10" s="440" t="s">
        <v>395</v>
      </c>
      <c r="K10" s="436"/>
    </row>
    <row r="11" spans="2:11" ht="15" customHeight="1" x14ac:dyDescent="0.25">
      <c r="B11" s="448" t="s">
        <v>310</v>
      </c>
      <c r="C11" s="448" t="s">
        <v>804</v>
      </c>
      <c r="D11" s="448" t="s">
        <v>396</v>
      </c>
      <c r="E11" s="448" t="s">
        <v>397</v>
      </c>
      <c r="F11" s="448" t="s">
        <v>397</v>
      </c>
      <c r="G11" s="448" t="s">
        <v>398</v>
      </c>
      <c r="H11" s="448" t="s">
        <v>399</v>
      </c>
      <c r="I11" s="448" t="s">
        <v>400</v>
      </c>
      <c r="J11" s="449" t="s">
        <v>401</v>
      </c>
      <c r="K11" s="436"/>
    </row>
    <row r="12" spans="2:11" ht="15" customHeight="1" x14ac:dyDescent="0.25">
      <c r="B12" s="453">
        <v>1971</v>
      </c>
      <c r="C12" s="454" t="s">
        <v>402</v>
      </c>
      <c r="D12" s="455">
        <v>1165</v>
      </c>
      <c r="E12" s="455">
        <v>16537</v>
      </c>
      <c r="F12" s="455">
        <v>140147</v>
      </c>
      <c r="G12" s="455">
        <v>1993</v>
      </c>
      <c r="H12" s="453">
        <v>188</v>
      </c>
      <c r="I12" s="454" t="s">
        <v>402</v>
      </c>
      <c r="J12" s="456" t="s">
        <v>402</v>
      </c>
      <c r="K12" s="436"/>
    </row>
    <row r="13" spans="2:11" ht="15" customHeight="1" x14ac:dyDescent="0.25">
      <c r="B13" s="450">
        <v>1972</v>
      </c>
      <c r="C13" s="450">
        <v>285</v>
      </c>
      <c r="D13" s="451">
        <v>1571</v>
      </c>
      <c r="E13" s="451">
        <v>26302</v>
      </c>
      <c r="F13" s="451">
        <v>213261</v>
      </c>
      <c r="G13" s="451">
        <v>3039</v>
      </c>
      <c r="H13" s="450">
        <v>183</v>
      </c>
      <c r="I13" s="452" t="s">
        <v>402</v>
      </c>
      <c r="J13" s="452" t="s">
        <v>402</v>
      </c>
      <c r="K13" s="436"/>
    </row>
    <row r="14" spans="2:11" ht="15" customHeight="1" x14ac:dyDescent="0.25">
      <c r="B14" s="450">
        <v>1973</v>
      </c>
      <c r="C14" s="450">
        <v>352</v>
      </c>
      <c r="D14" s="451">
        <v>1777</v>
      </c>
      <c r="E14" s="451">
        <v>27151</v>
      </c>
      <c r="F14" s="451">
        <v>239775</v>
      </c>
      <c r="G14" s="451">
        <v>3807</v>
      </c>
      <c r="H14" s="450">
        <v>224</v>
      </c>
      <c r="I14" s="457">
        <v>3624.7701602311531</v>
      </c>
      <c r="J14" s="458">
        <v>13.7995</v>
      </c>
    </row>
    <row r="15" spans="2:11" ht="15" customHeight="1" x14ac:dyDescent="0.25">
      <c r="B15" s="450">
        <v>1974</v>
      </c>
      <c r="C15" s="450">
        <v>457</v>
      </c>
      <c r="D15" s="451">
        <v>1848</v>
      </c>
      <c r="E15" s="451">
        <v>29538</v>
      </c>
      <c r="F15" s="451">
        <v>260060</v>
      </c>
      <c r="G15" s="451">
        <v>4259</v>
      </c>
      <c r="H15" s="450">
        <v>233</v>
      </c>
      <c r="I15" s="457">
        <v>3126.7903263676922</v>
      </c>
      <c r="J15" s="458">
        <v>13.317</v>
      </c>
    </row>
    <row r="16" spans="2:11" ht="15" customHeight="1" x14ac:dyDescent="0.25">
      <c r="B16" s="453">
        <v>1975</v>
      </c>
      <c r="C16" s="453">
        <v>355</v>
      </c>
      <c r="D16" s="455">
        <v>1913</v>
      </c>
      <c r="E16" s="455">
        <v>30166</v>
      </c>
      <c r="F16" s="455">
        <v>253898</v>
      </c>
      <c r="G16" s="455">
        <v>3753</v>
      </c>
      <c r="H16" s="453">
        <v>224</v>
      </c>
      <c r="I16" s="455">
        <v>3548</v>
      </c>
      <c r="J16" s="459">
        <v>13.3</v>
      </c>
      <c r="K16" s="436"/>
    </row>
    <row r="17" spans="2:11" ht="15" customHeight="1" x14ac:dyDescent="0.25">
      <c r="B17" s="450">
        <v>1976</v>
      </c>
      <c r="C17" s="450">
        <v>379</v>
      </c>
      <c r="D17" s="451">
        <v>2062</v>
      </c>
      <c r="E17" s="451">
        <v>30885</v>
      </c>
      <c r="F17" s="451">
        <v>263589</v>
      </c>
      <c r="G17" s="451">
        <v>4268</v>
      </c>
      <c r="H17" s="450">
        <v>229</v>
      </c>
      <c r="I17" s="457">
        <v>3278.4676663542641</v>
      </c>
      <c r="J17" s="458">
        <v>13.9925</v>
      </c>
      <c r="K17" s="436"/>
    </row>
    <row r="18" spans="2:11" ht="15" customHeight="1" x14ac:dyDescent="0.25">
      <c r="B18" s="450">
        <v>1977</v>
      </c>
      <c r="C18" s="450">
        <v>369</v>
      </c>
      <c r="D18" s="451">
        <v>2154</v>
      </c>
      <c r="E18" s="451">
        <v>33200</v>
      </c>
      <c r="F18" s="451">
        <v>261325</v>
      </c>
      <c r="G18" s="451">
        <v>4204</v>
      </c>
      <c r="H18" s="450">
        <v>221</v>
      </c>
      <c r="I18" s="457">
        <v>3443.1493815413892</v>
      </c>
      <c r="J18" s="458">
        <v>14.475</v>
      </c>
    </row>
    <row r="19" spans="2:11" ht="15" customHeight="1" x14ac:dyDescent="0.25">
      <c r="B19" s="450">
        <v>1978</v>
      </c>
      <c r="C19" s="450">
        <v>441</v>
      </c>
      <c r="D19" s="451">
        <v>2084</v>
      </c>
      <c r="E19" s="451">
        <v>32451</v>
      </c>
      <c r="F19" s="451">
        <v>255214</v>
      </c>
      <c r="G19" s="451">
        <v>4154</v>
      </c>
      <c r="H19" s="450">
        <v>217</v>
      </c>
      <c r="I19" s="457">
        <v>3554.2850264805011</v>
      </c>
      <c r="J19" s="458">
        <v>14.7645</v>
      </c>
    </row>
    <row r="20" spans="2:11" ht="15" customHeight="1" x14ac:dyDescent="0.25">
      <c r="B20" s="450">
        <v>1979</v>
      </c>
      <c r="C20" s="450">
        <v>437</v>
      </c>
      <c r="D20" s="451">
        <v>2026</v>
      </c>
      <c r="E20" s="451">
        <v>31379</v>
      </c>
      <c r="F20" s="451">
        <v>255129</v>
      </c>
      <c r="G20" s="451">
        <v>4867</v>
      </c>
      <c r="H20" s="450">
        <v>226</v>
      </c>
      <c r="I20" s="457">
        <v>3350.8321347852884</v>
      </c>
      <c r="J20" s="458">
        <v>16.308499999999999</v>
      </c>
    </row>
    <row r="21" spans="2:11" ht="15" customHeight="1" x14ac:dyDescent="0.25">
      <c r="B21" s="460">
        <v>1980</v>
      </c>
      <c r="C21" s="460">
        <v>448</v>
      </c>
      <c r="D21" s="461">
        <v>2128</v>
      </c>
      <c r="E21" s="461">
        <v>29487</v>
      </c>
      <c r="F21" s="461">
        <v>235235</v>
      </c>
      <c r="G21" s="461">
        <v>4503</v>
      </c>
      <c r="H21" s="460">
        <v>217</v>
      </c>
      <c r="I21" s="461">
        <v>3065</v>
      </c>
      <c r="J21" s="462">
        <v>13.8</v>
      </c>
    </row>
    <row r="22" spans="2:11" ht="15" customHeight="1" x14ac:dyDescent="0.25">
      <c r="B22" s="430">
        <v>1981</v>
      </c>
      <c r="C22" s="430">
        <v>398</v>
      </c>
      <c r="D22" s="432">
        <v>1830</v>
      </c>
      <c r="E22" s="432">
        <v>30380</v>
      </c>
      <c r="F22" s="432">
        <v>222753</v>
      </c>
      <c r="G22" s="432">
        <v>4397</v>
      </c>
      <c r="H22" s="430">
        <v>226</v>
      </c>
      <c r="I22" s="432">
        <v>2883</v>
      </c>
      <c r="J22" s="441">
        <v>12.7</v>
      </c>
    </row>
    <row r="23" spans="2:11" ht="15" customHeight="1" x14ac:dyDescent="0.25">
      <c r="B23" s="430">
        <v>1982</v>
      </c>
      <c r="C23" s="430">
        <v>396</v>
      </c>
      <c r="D23" s="432">
        <v>1929</v>
      </c>
      <c r="E23" s="432">
        <v>28833</v>
      </c>
      <c r="F23" s="432">
        <v>217385</v>
      </c>
      <c r="G23" s="432">
        <v>3993</v>
      </c>
      <c r="H23" s="430">
        <v>220</v>
      </c>
      <c r="I23" s="432">
        <v>3052</v>
      </c>
      <c r="J23" s="441">
        <v>12.2</v>
      </c>
    </row>
    <row r="24" spans="2:11" ht="15" customHeight="1" x14ac:dyDescent="0.25">
      <c r="B24" s="430">
        <v>1983</v>
      </c>
      <c r="C24" s="430">
        <v>388</v>
      </c>
      <c r="D24" s="432">
        <v>1880</v>
      </c>
      <c r="E24" s="432">
        <v>28805</v>
      </c>
      <c r="F24" s="432">
        <v>223509</v>
      </c>
      <c r="G24" s="432">
        <v>4227</v>
      </c>
      <c r="H24" s="430">
        <v>223</v>
      </c>
      <c r="I24" s="432">
        <v>2875</v>
      </c>
      <c r="J24" s="441">
        <v>12.2</v>
      </c>
    </row>
    <row r="25" spans="2:11" ht="15" customHeight="1" x14ac:dyDescent="0.25">
      <c r="B25" s="430">
        <v>1984</v>
      </c>
      <c r="C25" s="430">
        <v>387</v>
      </c>
      <c r="D25" s="432">
        <v>1844</v>
      </c>
      <c r="E25" s="432">
        <v>29133</v>
      </c>
      <c r="F25" s="432">
        <v>234557</v>
      </c>
      <c r="G25" s="432">
        <v>4427</v>
      </c>
      <c r="H25" s="430">
        <v>227</v>
      </c>
      <c r="I25" s="432">
        <v>2923</v>
      </c>
      <c r="J25" s="441">
        <v>12.9</v>
      </c>
    </row>
    <row r="26" spans="2:11" ht="15" customHeight="1" x14ac:dyDescent="0.25">
      <c r="B26" s="430">
        <v>1985</v>
      </c>
      <c r="C26" s="430">
        <v>382</v>
      </c>
      <c r="D26" s="432">
        <v>1818</v>
      </c>
      <c r="E26" s="432">
        <v>30038</v>
      </c>
      <c r="F26" s="432">
        <v>250642</v>
      </c>
      <c r="G26" s="432">
        <v>4785</v>
      </c>
      <c r="H26" s="430">
        <v>238</v>
      </c>
      <c r="I26" s="432">
        <v>2703</v>
      </c>
      <c r="J26" s="441">
        <v>12.9</v>
      </c>
    </row>
    <row r="27" spans="2:11" ht="15" customHeight="1" x14ac:dyDescent="0.25">
      <c r="B27" s="430">
        <v>1986</v>
      </c>
      <c r="C27" s="430">
        <v>369</v>
      </c>
      <c r="D27" s="432">
        <v>1793</v>
      </c>
      <c r="E27" s="432">
        <v>28604</v>
      </c>
      <c r="F27" s="432">
        <v>249665</v>
      </c>
      <c r="G27" s="432">
        <v>5011</v>
      </c>
      <c r="H27" s="430">
        <v>249</v>
      </c>
      <c r="I27" s="432">
        <v>2481</v>
      </c>
      <c r="J27" s="441">
        <v>12.4</v>
      </c>
    </row>
    <row r="28" spans="2:11" ht="15" customHeight="1" x14ac:dyDescent="0.25">
      <c r="B28" s="430">
        <v>1987</v>
      </c>
      <c r="C28" s="430">
        <v>381</v>
      </c>
      <c r="D28" s="432">
        <v>1850</v>
      </c>
      <c r="E28" s="432">
        <v>29515</v>
      </c>
      <c r="F28" s="432">
        <v>261054</v>
      </c>
      <c r="G28" s="432">
        <v>5361</v>
      </c>
      <c r="H28" s="430">
        <v>259</v>
      </c>
      <c r="I28" s="432">
        <v>2450</v>
      </c>
      <c r="J28" s="441">
        <v>13.1</v>
      </c>
    </row>
    <row r="29" spans="2:11" ht="15" customHeight="1" x14ac:dyDescent="0.25">
      <c r="B29" s="430">
        <v>1988</v>
      </c>
      <c r="C29" s="430">
        <v>391</v>
      </c>
      <c r="D29" s="432">
        <v>1845</v>
      </c>
      <c r="E29" s="432">
        <v>30221</v>
      </c>
      <c r="F29" s="432">
        <v>277774</v>
      </c>
      <c r="G29" s="432">
        <v>5686</v>
      </c>
      <c r="H29" s="430">
        <v>265</v>
      </c>
      <c r="I29" s="432">
        <v>2379</v>
      </c>
      <c r="J29" s="441">
        <v>13.5</v>
      </c>
    </row>
    <row r="30" spans="2:11" ht="15" customHeight="1" x14ac:dyDescent="0.25">
      <c r="B30" s="430">
        <v>1989</v>
      </c>
      <c r="C30" s="430">
        <v>312</v>
      </c>
      <c r="D30" s="432">
        <v>1742</v>
      </c>
      <c r="E30" s="432">
        <v>31000</v>
      </c>
      <c r="F30" s="432">
        <v>285255</v>
      </c>
      <c r="G30" s="432">
        <v>5859</v>
      </c>
      <c r="H30" s="430">
        <v>274</v>
      </c>
      <c r="I30" s="432">
        <v>2614</v>
      </c>
      <c r="J30" s="441">
        <v>15.3</v>
      </c>
    </row>
    <row r="31" spans="2:11" ht="15" customHeight="1" x14ac:dyDescent="0.25">
      <c r="B31" s="430">
        <v>1990</v>
      </c>
      <c r="C31" s="430">
        <v>318</v>
      </c>
      <c r="D31" s="432">
        <v>1863</v>
      </c>
      <c r="E31" s="432">
        <v>33000</v>
      </c>
      <c r="F31" s="432">
        <v>300996</v>
      </c>
      <c r="G31" s="432">
        <v>6057</v>
      </c>
      <c r="H31" s="430">
        <v>273</v>
      </c>
      <c r="I31" s="432">
        <v>2505</v>
      </c>
      <c r="J31" s="441">
        <v>15.2</v>
      </c>
    </row>
    <row r="32" spans="2:11" ht="15" customHeight="1" x14ac:dyDescent="0.25">
      <c r="B32" s="430">
        <v>1991</v>
      </c>
      <c r="C32" s="430">
        <v>316</v>
      </c>
      <c r="D32" s="432">
        <v>1786</v>
      </c>
      <c r="E32" s="432">
        <v>34000</v>
      </c>
      <c r="F32" s="432">
        <v>312484</v>
      </c>
      <c r="G32" s="432">
        <v>6273</v>
      </c>
      <c r="H32" s="430">
        <v>285</v>
      </c>
      <c r="I32" s="432">
        <v>2417</v>
      </c>
      <c r="J32" s="441">
        <v>15.2</v>
      </c>
    </row>
    <row r="33" spans="2:10" ht="15" customHeight="1" x14ac:dyDescent="0.25">
      <c r="B33" s="430">
        <v>1992</v>
      </c>
      <c r="C33" s="430">
        <v>336</v>
      </c>
      <c r="D33" s="432">
        <v>1796</v>
      </c>
      <c r="E33" s="432">
        <v>34000</v>
      </c>
      <c r="F33" s="432">
        <v>307282</v>
      </c>
      <c r="G33" s="432">
        <v>6091</v>
      </c>
      <c r="H33" s="430">
        <v>286</v>
      </c>
      <c r="I33" s="432">
        <v>2534</v>
      </c>
      <c r="J33" s="441">
        <v>15.4</v>
      </c>
    </row>
    <row r="34" spans="2:10" ht="15" customHeight="1" x14ac:dyDescent="0.25">
      <c r="B34" s="430">
        <v>1993</v>
      </c>
      <c r="C34" s="430">
        <v>360</v>
      </c>
      <c r="D34" s="432">
        <v>1853</v>
      </c>
      <c r="E34" s="432">
        <v>34936</v>
      </c>
      <c r="F34" s="432">
        <v>302739</v>
      </c>
      <c r="G34" s="432">
        <v>6199</v>
      </c>
      <c r="H34" s="430">
        <v>280</v>
      </c>
      <c r="I34" s="432">
        <v>2565</v>
      </c>
      <c r="J34" s="449" t="s">
        <v>882</v>
      </c>
    </row>
    <row r="35" spans="2:10" ht="15" customHeight="1" x14ac:dyDescent="0.25">
      <c r="B35" s="430">
        <v>1994</v>
      </c>
      <c r="C35" s="430">
        <v>411</v>
      </c>
      <c r="D35" s="432">
        <v>1874</v>
      </c>
      <c r="E35" s="432">
        <v>34940</v>
      </c>
      <c r="F35" s="432">
        <v>305600</v>
      </c>
      <c r="G35" s="432">
        <v>5869</v>
      </c>
      <c r="H35" s="430">
        <v>276</v>
      </c>
      <c r="I35" s="432">
        <v>2282</v>
      </c>
      <c r="J35" s="441">
        <v>13.4</v>
      </c>
    </row>
    <row r="36" spans="2:10" ht="15" customHeight="1" x14ac:dyDescent="0.25">
      <c r="B36" s="430">
        <v>1995</v>
      </c>
      <c r="C36" s="430">
        <v>422</v>
      </c>
      <c r="D36" s="432">
        <v>1907</v>
      </c>
      <c r="E36" s="432">
        <v>31579</v>
      </c>
      <c r="F36" s="432">
        <v>282579</v>
      </c>
      <c r="G36" s="432">
        <v>5401</v>
      </c>
      <c r="H36" s="430">
        <v>266</v>
      </c>
      <c r="I36" s="432">
        <v>2501</v>
      </c>
      <c r="J36" s="441">
        <v>13.5</v>
      </c>
    </row>
    <row r="37" spans="2:10" ht="15" customHeight="1" x14ac:dyDescent="0.25">
      <c r="B37" s="430">
        <v>1996</v>
      </c>
      <c r="C37" s="430">
        <v>348</v>
      </c>
      <c r="D37" s="432">
        <v>1501</v>
      </c>
      <c r="E37" s="432">
        <v>30542</v>
      </c>
      <c r="F37" s="432">
        <v>277750</v>
      </c>
      <c r="G37" s="432">
        <v>5066</v>
      </c>
      <c r="H37" s="430">
        <v>257</v>
      </c>
      <c r="I37" s="432">
        <v>2690</v>
      </c>
      <c r="J37" s="441">
        <v>13.6</v>
      </c>
    </row>
    <row r="38" spans="2:10" ht="15" customHeight="1" x14ac:dyDescent="0.25">
      <c r="B38" s="430">
        <v>1997</v>
      </c>
      <c r="C38" s="430">
        <v>292</v>
      </c>
      <c r="D38" s="432">
        <v>1572</v>
      </c>
      <c r="E38" s="432">
        <v>32000</v>
      </c>
      <c r="F38" s="432">
        <v>287760</v>
      </c>
      <c r="G38" s="432">
        <v>5166</v>
      </c>
      <c r="H38" s="430">
        <v>255</v>
      </c>
      <c r="I38" s="432">
        <v>2811</v>
      </c>
      <c r="J38" s="441">
        <v>14.5</v>
      </c>
    </row>
    <row r="39" spans="2:10" ht="15" customHeight="1" x14ac:dyDescent="0.25">
      <c r="B39" s="430">
        <v>1998</v>
      </c>
      <c r="C39" s="430">
        <v>362</v>
      </c>
      <c r="D39" s="432">
        <v>1347</v>
      </c>
      <c r="E39" s="432">
        <v>32926</v>
      </c>
      <c r="F39" s="432">
        <v>315823</v>
      </c>
      <c r="G39" s="432">
        <v>5325</v>
      </c>
      <c r="H39" s="430">
        <v>251</v>
      </c>
      <c r="I39" s="432">
        <v>2788</v>
      </c>
      <c r="J39" s="441">
        <v>14.8</v>
      </c>
    </row>
    <row r="40" spans="2:10" ht="15" customHeight="1" x14ac:dyDescent="0.25">
      <c r="B40" s="430">
        <v>1999</v>
      </c>
      <c r="C40" s="430">
        <v>385</v>
      </c>
      <c r="D40" s="432">
        <v>1285</v>
      </c>
      <c r="E40" s="432">
        <v>34080</v>
      </c>
      <c r="F40" s="432">
        <v>349337</v>
      </c>
      <c r="G40" s="432">
        <v>5289</v>
      </c>
      <c r="H40" s="430">
        <v>245</v>
      </c>
      <c r="I40" s="432">
        <v>2943</v>
      </c>
      <c r="J40" s="441">
        <v>15.6</v>
      </c>
    </row>
    <row r="41" spans="2:10" ht="15" customHeight="1" x14ac:dyDescent="0.25">
      <c r="B41" s="430">
        <v>2000</v>
      </c>
      <c r="C41" s="430">
        <v>385</v>
      </c>
      <c r="D41" s="432">
        <v>1891</v>
      </c>
      <c r="E41" s="432">
        <v>35404</v>
      </c>
      <c r="F41" s="432">
        <v>371215</v>
      </c>
      <c r="G41" s="432">
        <v>5574</v>
      </c>
      <c r="H41" s="430">
        <v>243</v>
      </c>
      <c r="I41" s="432">
        <v>3235</v>
      </c>
      <c r="J41" s="441">
        <v>18</v>
      </c>
    </row>
    <row r="42" spans="2:10" ht="15" customHeight="1" x14ac:dyDescent="0.25">
      <c r="B42" s="430">
        <v>2001</v>
      </c>
      <c r="C42" s="430">
        <v>401</v>
      </c>
      <c r="D42" s="432">
        <v>2084</v>
      </c>
      <c r="E42" s="432">
        <v>36512</v>
      </c>
      <c r="F42" s="432">
        <v>377705</v>
      </c>
      <c r="G42" s="432">
        <v>5571</v>
      </c>
      <c r="H42" s="430">
        <v>238</v>
      </c>
      <c r="I42" s="432">
        <v>3257</v>
      </c>
      <c r="J42" s="441">
        <v>18.100000000000001</v>
      </c>
    </row>
    <row r="43" spans="2:10" ht="15" customHeight="1" x14ac:dyDescent="0.25">
      <c r="B43" s="430">
        <v>2002</v>
      </c>
      <c r="C43" s="430">
        <v>372</v>
      </c>
      <c r="D43" s="432">
        <v>2896</v>
      </c>
      <c r="E43" s="432">
        <v>37624</v>
      </c>
      <c r="F43" s="432">
        <v>378542</v>
      </c>
      <c r="G43" s="432">
        <v>5314</v>
      </c>
      <c r="H43" s="430">
        <v>228</v>
      </c>
      <c r="I43" s="432">
        <v>3212</v>
      </c>
      <c r="J43" s="441">
        <v>17.100000000000001</v>
      </c>
    </row>
    <row r="44" spans="2:10" ht="15" customHeight="1" x14ac:dyDescent="0.25">
      <c r="B44" s="430">
        <v>2003</v>
      </c>
      <c r="C44" s="430">
        <v>442</v>
      </c>
      <c r="D44" s="432">
        <v>1623</v>
      </c>
      <c r="E44" s="432">
        <v>37459</v>
      </c>
      <c r="F44" s="432">
        <v>331864</v>
      </c>
      <c r="G44" s="432">
        <v>5680</v>
      </c>
      <c r="H44" s="430">
        <v>231</v>
      </c>
      <c r="I44" s="432">
        <v>2800</v>
      </c>
      <c r="J44" s="441">
        <v>15.9</v>
      </c>
    </row>
    <row r="45" spans="2:10" ht="15" customHeight="1" x14ac:dyDescent="0.25">
      <c r="B45" s="430">
        <v>2004</v>
      </c>
      <c r="C45" s="430">
        <v>276</v>
      </c>
      <c r="D45" s="432">
        <v>1211</v>
      </c>
      <c r="E45" s="432">
        <v>37159</v>
      </c>
      <c r="F45" s="432">
        <v>308437</v>
      </c>
      <c r="G45" s="432">
        <v>5511</v>
      </c>
      <c r="H45" s="430">
        <v>219</v>
      </c>
      <c r="I45" s="432">
        <v>2760</v>
      </c>
      <c r="J45" s="441">
        <v>15.2</v>
      </c>
    </row>
    <row r="46" spans="2:10" ht="15" customHeight="1" x14ac:dyDescent="0.25">
      <c r="B46" s="430">
        <v>2005</v>
      </c>
      <c r="C46" s="430">
        <v>258</v>
      </c>
      <c r="D46" s="432">
        <v>1186</v>
      </c>
      <c r="E46" s="432">
        <v>36199</v>
      </c>
      <c r="F46" s="432">
        <v>264796</v>
      </c>
      <c r="G46" s="432">
        <v>5381</v>
      </c>
      <c r="H46" s="430">
        <v>215</v>
      </c>
      <c r="I46" s="432">
        <v>2709</v>
      </c>
      <c r="J46" s="441">
        <v>14.6</v>
      </c>
    </row>
    <row r="47" spans="2:10" ht="15" customHeight="1" x14ac:dyDescent="0.25">
      <c r="B47" s="430">
        <v>2006</v>
      </c>
      <c r="C47" s="430">
        <v>319</v>
      </c>
      <c r="D47" s="432">
        <v>1191</v>
      </c>
      <c r="E47" s="432">
        <v>36083</v>
      </c>
      <c r="F47" s="432">
        <v>263908</v>
      </c>
      <c r="G47" s="432">
        <v>5410</v>
      </c>
      <c r="H47" s="430">
        <v>220</v>
      </c>
      <c r="I47" s="432">
        <v>2650</v>
      </c>
      <c r="J47" s="441">
        <v>14.3</v>
      </c>
    </row>
    <row r="48" spans="2:10" ht="15" customHeight="1" x14ac:dyDescent="0.25">
      <c r="B48" s="430">
        <v>2007</v>
      </c>
      <c r="C48" s="430">
        <v>270</v>
      </c>
      <c r="D48" s="432">
        <v>1164</v>
      </c>
      <c r="E48" s="432">
        <v>37484</v>
      </c>
      <c r="F48" s="432">
        <v>266545</v>
      </c>
      <c r="G48" s="432">
        <v>5784</v>
      </c>
      <c r="H48" s="430">
        <v>218</v>
      </c>
      <c r="I48" s="432">
        <v>2516</v>
      </c>
      <c r="J48" s="441">
        <v>14.5</v>
      </c>
    </row>
    <row r="49" spans="2:10" ht="15" customHeight="1" x14ac:dyDescent="0.25">
      <c r="B49" s="430">
        <v>2008</v>
      </c>
      <c r="C49" s="430">
        <v>278</v>
      </c>
      <c r="D49" s="432">
        <v>1177</v>
      </c>
      <c r="E49" s="432">
        <v>37736</v>
      </c>
      <c r="F49" s="432">
        <v>271762</v>
      </c>
      <c r="G49" s="432">
        <v>6179</v>
      </c>
      <c r="H49" s="430">
        <v>215</v>
      </c>
      <c r="I49" s="432">
        <v>2398</v>
      </c>
      <c r="J49" s="441">
        <v>14.8</v>
      </c>
    </row>
    <row r="50" spans="2:10" ht="15" customHeight="1" x14ac:dyDescent="0.25">
      <c r="B50" s="430">
        <v>2009</v>
      </c>
      <c r="C50" s="430">
        <v>274</v>
      </c>
      <c r="D50" s="432">
        <v>1214</v>
      </c>
      <c r="E50" s="432">
        <v>38300</v>
      </c>
      <c r="F50" s="432">
        <v>282764</v>
      </c>
      <c r="G50" s="432">
        <v>5914</v>
      </c>
      <c r="H50" s="430">
        <v>217</v>
      </c>
      <c r="I50" s="432">
        <v>2435</v>
      </c>
      <c r="J50" s="441">
        <v>14.4</v>
      </c>
    </row>
    <row r="51" spans="2:10" ht="15" customHeight="1" x14ac:dyDescent="0.25">
      <c r="B51" s="430">
        <v>2010</v>
      </c>
      <c r="C51" s="430">
        <v>282</v>
      </c>
      <c r="D51" s="432">
        <v>1274</v>
      </c>
      <c r="E51" s="432">
        <v>37453</v>
      </c>
      <c r="F51" s="432">
        <v>294820</v>
      </c>
      <c r="G51" s="432">
        <v>6420</v>
      </c>
      <c r="H51" s="430">
        <v>220</v>
      </c>
      <c r="I51" s="432">
        <v>2271</v>
      </c>
      <c r="J51" s="441">
        <v>14.6</v>
      </c>
    </row>
    <row r="52" spans="2:10" ht="15" customHeight="1" x14ac:dyDescent="0.25">
      <c r="B52" s="968" t="s">
        <v>403</v>
      </c>
      <c r="C52" s="968"/>
      <c r="D52" s="968"/>
      <c r="E52" s="968"/>
      <c r="F52" s="968"/>
      <c r="G52" s="968"/>
      <c r="H52" s="968"/>
      <c r="I52" s="968"/>
      <c r="J52" s="968"/>
    </row>
    <row r="53" spans="2:10" ht="15" customHeight="1" x14ac:dyDescent="0.25">
      <c r="B53" s="430" t="s">
        <v>883</v>
      </c>
      <c r="C53" s="433" t="s">
        <v>402</v>
      </c>
      <c r="D53" s="444">
        <v>2E-3</v>
      </c>
      <c r="E53" s="444">
        <v>2.1000000000000001E-2</v>
      </c>
      <c r="F53" s="444">
        <v>1.9E-2</v>
      </c>
      <c r="G53" s="444">
        <v>0.03</v>
      </c>
      <c r="H53" s="444">
        <v>4.0000000000000001E-3</v>
      </c>
      <c r="I53" s="433" t="s">
        <v>402</v>
      </c>
      <c r="J53" s="442" t="s">
        <v>402</v>
      </c>
    </row>
    <row r="54" spans="2:10" ht="15" customHeight="1" thickBot="1" x14ac:dyDescent="0.3">
      <c r="B54" s="434" t="s">
        <v>878</v>
      </c>
      <c r="C54" s="443">
        <v>-3.1E-2</v>
      </c>
      <c r="D54" s="443">
        <v>-3.9E-2</v>
      </c>
      <c r="E54" s="443">
        <v>6.0000000000000001E-3</v>
      </c>
      <c r="F54" s="443">
        <v>-2.3E-2</v>
      </c>
      <c r="G54" s="443">
        <v>1.4E-2</v>
      </c>
      <c r="H54" s="443">
        <v>-0.01</v>
      </c>
      <c r="I54" s="443">
        <v>-3.5000000000000003E-2</v>
      </c>
      <c r="J54" s="443">
        <v>-2.1000000000000001E-2</v>
      </c>
    </row>
    <row r="55" spans="2:10" ht="15" customHeight="1" thickTop="1" x14ac:dyDescent="0.25">
      <c r="B55" s="431"/>
    </row>
    <row r="56" spans="2:10" ht="15" customHeight="1" x14ac:dyDescent="0.25">
      <c r="B56" s="505" t="s">
        <v>632</v>
      </c>
    </row>
    <row r="57" spans="2:10" ht="15" customHeight="1" x14ac:dyDescent="0.25">
      <c r="B57" s="972" t="s">
        <v>884</v>
      </c>
      <c r="C57" s="972"/>
      <c r="D57" s="972"/>
      <c r="E57" s="972"/>
      <c r="F57" s="972"/>
      <c r="G57" s="972"/>
      <c r="H57" s="972"/>
      <c r="I57" s="972"/>
      <c r="J57" s="972"/>
    </row>
    <row r="58" spans="2:10" ht="15" customHeight="1" x14ac:dyDescent="0.25">
      <c r="B58" s="972" t="s">
        <v>885</v>
      </c>
      <c r="C58" s="972"/>
      <c r="D58" s="972"/>
      <c r="E58" s="972"/>
      <c r="F58" s="972"/>
      <c r="G58" s="972"/>
      <c r="H58" s="972"/>
      <c r="I58" s="972"/>
      <c r="J58" s="972"/>
    </row>
    <row r="59" spans="2:10" ht="15" customHeight="1" x14ac:dyDescent="0.25">
      <c r="B59" s="972" t="s">
        <v>809</v>
      </c>
      <c r="C59" s="972"/>
      <c r="D59" s="972"/>
      <c r="E59" s="972"/>
      <c r="F59" s="972"/>
      <c r="G59" s="972"/>
      <c r="H59" s="972"/>
      <c r="I59" s="972"/>
      <c r="J59" s="972"/>
    </row>
    <row r="60" spans="2:10" x14ac:dyDescent="0.25">
      <c r="B60" s="972" t="s">
        <v>886</v>
      </c>
      <c r="C60" s="972"/>
      <c r="D60" s="972"/>
      <c r="E60" s="972"/>
      <c r="F60" s="972"/>
      <c r="G60" s="972"/>
      <c r="H60" s="972"/>
      <c r="I60" s="972"/>
      <c r="J60" s="972"/>
    </row>
    <row r="61" spans="2:10" x14ac:dyDescent="0.25">
      <c r="B61" s="973" t="s">
        <v>887</v>
      </c>
      <c r="C61" s="973"/>
      <c r="D61" s="973"/>
      <c r="E61" s="973"/>
      <c r="F61" s="973"/>
      <c r="G61" s="973"/>
      <c r="H61" s="973"/>
      <c r="I61" s="973"/>
      <c r="J61" s="431"/>
    </row>
    <row r="62" spans="2:10" ht="15" customHeight="1" x14ac:dyDescent="0.25">
      <c r="B62" s="972" t="s">
        <v>811</v>
      </c>
      <c r="C62" s="972"/>
      <c r="D62" s="972"/>
      <c r="E62" s="972"/>
      <c r="F62" s="972"/>
      <c r="G62" s="972"/>
      <c r="H62" s="972"/>
      <c r="I62" s="972"/>
      <c r="J62" s="972"/>
    </row>
    <row r="63" spans="2:10" ht="15.75" thickBot="1" x14ac:dyDescent="0.3">
      <c r="B63" s="506"/>
    </row>
    <row r="65" spans="1:10" ht="18" x14ac:dyDescent="0.25">
      <c r="A65" s="507"/>
      <c r="B65" s="974" t="s">
        <v>888</v>
      </c>
      <c r="C65" s="974"/>
      <c r="D65" s="974"/>
      <c r="E65" s="974"/>
      <c r="F65" s="974"/>
      <c r="G65" s="974"/>
      <c r="H65" s="974"/>
      <c r="I65" s="974"/>
      <c r="J65" s="974"/>
    </row>
    <row r="66" spans="1:10" ht="18" x14ac:dyDescent="0.25">
      <c r="B66" s="975" t="s">
        <v>889</v>
      </c>
      <c r="C66" s="975"/>
      <c r="D66" s="975"/>
      <c r="E66" s="975"/>
      <c r="F66" s="975"/>
      <c r="G66" s="975"/>
      <c r="H66" s="975"/>
      <c r="I66" s="975"/>
      <c r="J66" s="975"/>
    </row>
    <row r="67" spans="1:10" x14ac:dyDescent="0.25">
      <c r="B67" s="502" t="s">
        <v>890</v>
      </c>
    </row>
  </sheetData>
  <mergeCells count="11">
    <mergeCell ref="B59:J59"/>
    <mergeCell ref="B5:J5"/>
    <mergeCell ref="B6:J6"/>
    <mergeCell ref="B52:J52"/>
    <mergeCell ref="B57:J57"/>
    <mergeCell ref="B58:J58"/>
    <mergeCell ref="B60:J60"/>
    <mergeCell ref="B61:I61"/>
    <mergeCell ref="B62:J62"/>
    <mergeCell ref="B65:J65"/>
    <mergeCell ref="B66:J66"/>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6"/>
  <sheetViews>
    <sheetView showGridLines="0" workbookViewId="0">
      <pane xSplit="1" ySplit="8" topLeftCell="B117" activePane="bottomRight" state="frozen"/>
      <selection pane="topRight" activeCell="B1" sqref="B1"/>
      <selection pane="bottomLeft" activeCell="A9" sqref="A9"/>
      <selection pane="bottomRight" activeCell="B123" sqref="B123"/>
    </sheetView>
  </sheetViews>
  <sheetFormatPr defaultRowHeight="12.75" x14ac:dyDescent="0.2"/>
  <cols>
    <col min="1" max="1" width="14.85546875" style="326" customWidth="1"/>
    <col min="2" max="2" width="13.28515625" style="326" bestFit="1" customWidth="1"/>
    <col min="3" max="3" width="29.140625" style="326" bestFit="1" customWidth="1"/>
    <col min="4" max="4" width="15.28515625" style="326" bestFit="1" customWidth="1"/>
    <col min="5" max="5" width="29.140625" style="326" bestFit="1" customWidth="1"/>
    <col min="6" max="6" width="14.5703125" style="326" bestFit="1" customWidth="1"/>
    <col min="7" max="7" width="29.140625" style="326" bestFit="1" customWidth="1"/>
    <col min="8" max="16384" width="9.140625" style="326"/>
  </cols>
  <sheetData>
    <row r="1" spans="1:7" ht="27" x14ac:dyDescent="0.5">
      <c r="A1" s="325" t="s">
        <v>493</v>
      </c>
    </row>
    <row r="3" spans="1:7" ht="15" x14ac:dyDescent="0.3">
      <c r="A3" s="327" t="s">
        <v>24</v>
      </c>
    </row>
    <row r="5" spans="1:7" ht="15" x14ac:dyDescent="0.3">
      <c r="A5" s="327" t="s">
        <v>494</v>
      </c>
    </row>
    <row r="8" spans="1:7" ht="15" x14ac:dyDescent="0.2">
      <c r="A8" s="328" t="s">
        <v>495</v>
      </c>
      <c r="B8" s="329" t="s">
        <v>496</v>
      </c>
      <c r="C8" s="329" t="s">
        <v>497</v>
      </c>
      <c r="D8" s="329" t="s">
        <v>498</v>
      </c>
      <c r="E8" s="329" t="s">
        <v>497</v>
      </c>
      <c r="F8" s="329" t="s">
        <v>499</v>
      </c>
      <c r="G8" s="329" t="s">
        <v>497</v>
      </c>
    </row>
    <row r="9" spans="1:7" ht="15" x14ac:dyDescent="0.3">
      <c r="A9" s="330">
        <v>32874</v>
      </c>
      <c r="B9" s="331">
        <v>66.555766008590993</v>
      </c>
      <c r="C9" s="332"/>
      <c r="D9" s="331">
        <v>70.547414169936701</v>
      </c>
      <c r="E9" s="332"/>
      <c r="F9" s="331">
        <v>67.130355603550498</v>
      </c>
      <c r="G9" s="332"/>
    </row>
    <row r="10" spans="1:7" ht="15" x14ac:dyDescent="0.3">
      <c r="A10" s="330">
        <v>32905</v>
      </c>
      <c r="B10" s="331">
        <v>67.740989187485198</v>
      </c>
      <c r="C10" s="333">
        <v>1.7999999999999999E-2</v>
      </c>
      <c r="D10" s="331">
        <v>71.300868496215898</v>
      </c>
      <c r="E10" s="333">
        <v>1.0999999999999999E-2</v>
      </c>
      <c r="F10" s="331">
        <v>68.213155081514003</v>
      </c>
      <c r="G10" s="333">
        <v>1.6E-2</v>
      </c>
    </row>
    <row r="11" spans="1:7" ht="15" x14ac:dyDescent="0.3">
      <c r="A11" s="330">
        <v>32933</v>
      </c>
      <c r="B11" s="331">
        <v>68.795396591442497</v>
      </c>
      <c r="C11" s="333">
        <v>1.6E-2</v>
      </c>
      <c r="D11" s="331">
        <v>71.404400995585107</v>
      </c>
      <c r="E11" s="333">
        <v>1E-3</v>
      </c>
      <c r="F11" s="331">
        <v>69.050079797371396</v>
      </c>
      <c r="G11" s="333">
        <v>1.2E-2</v>
      </c>
    </row>
    <row r="12" spans="1:7" ht="15" x14ac:dyDescent="0.3">
      <c r="A12" s="330">
        <v>32964</v>
      </c>
      <c r="B12" s="331">
        <v>69.112759859330595</v>
      </c>
      <c r="C12" s="333">
        <v>5.0000000000000001E-3</v>
      </c>
      <c r="D12" s="331">
        <v>70.104316430627904</v>
      </c>
      <c r="E12" s="333">
        <v>-1.7999999999999999E-2</v>
      </c>
      <c r="F12" s="331">
        <v>69.0054662585285</v>
      </c>
      <c r="G12" s="333">
        <v>-1E-3</v>
      </c>
    </row>
    <row r="13" spans="1:7" ht="15" x14ac:dyDescent="0.3">
      <c r="A13" s="330">
        <v>32994</v>
      </c>
      <c r="B13" s="331">
        <v>67.930925817852199</v>
      </c>
      <c r="C13" s="333">
        <v>-1.7000000000000001E-2</v>
      </c>
      <c r="D13" s="331">
        <v>69.412567832029595</v>
      </c>
      <c r="E13" s="333">
        <v>-0.01</v>
      </c>
      <c r="F13" s="331">
        <v>67.938202263322196</v>
      </c>
      <c r="G13" s="333">
        <v>-1.4999999999999999E-2</v>
      </c>
    </row>
    <row r="14" spans="1:7" ht="15" x14ac:dyDescent="0.3">
      <c r="A14" s="330">
        <v>33025</v>
      </c>
      <c r="B14" s="331">
        <v>68.563777833833996</v>
      </c>
      <c r="C14" s="333">
        <v>8.9999999999999993E-3</v>
      </c>
      <c r="D14" s="331">
        <v>69.818599074219506</v>
      </c>
      <c r="E14" s="333">
        <v>6.0000000000000001E-3</v>
      </c>
      <c r="F14" s="331">
        <v>68.517734553900098</v>
      </c>
      <c r="G14" s="333">
        <v>8.9999999999999993E-3</v>
      </c>
    </row>
    <row r="15" spans="1:7" ht="15" x14ac:dyDescent="0.3">
      <c r="A15" s="330">
        <v>33055</v>
      </c>
      <c r="B15" s="331">
        <v>68.289646130829198</v>
      </c>
      <c r="C15" s="333">
        <v>-4.0000000000000001E-3</v>
      </c>
      <c r="D15" s="331">
        <v>69.830388222572097</v>
      </c>
      <c r="E15" s="333">
        <v>0</v>
      </c>
      <c r="F15" s="331">
        <v>68.308213623240306</v>
      </c>
      <c r="G15" s="333">
        <v>-3.0000000000000001E-3</v>
      </c>
    </row>
    <row r="16" spans="1:7" ht="15" x14ac:dyDescent="0.3">
      <c r="A16" s="330">
        <v>33086</v>
      </c>
      <c r="B16" s="331">
        <v>68.033061810352805</v>
      </c>
      <c r="C16" s="333">
        <v>-4.0000000000000001E-3</v>
      </c>
      <c r="D16" s="331">
        <v>70.721929690366395</v>
      </c>
      <c r="E16" s="333">
        <v>1.2999999999999999E-2</v>
      </c>
      <c r="F16" s="331">
        <v>68.306653185764304</v>
      </c>
      <c r="G16" s="333">
        <v>0</v>
      </c>
    </row>
    <row r="17" spans="1:7" ht="15" x14ac:dyDescent="0.3">
      <c r="A17" s="330">
        <v>33117</v>
      </c>
      <c r="B17" s="331">
        <v>69.159666646419097</v>
      </c>
      <c r="C17" s="333">
        <v>1.7000000000000001E-2</v>
      </c>
      <c r="D17" s="331">
        <v>69.350623045654501</v>
      </c>
      <c r="E17" s="333">
        <v>-1.9E-2</v>
      </c>
      <c r="F17" s="331">
        <v>68.876577345197006</v>
      </c>
      <c r="G17" s="333">
        <v>8.0000000000000002E-3</v>
      </c>
    </row>
    <row r="18" spans="1:7" ht="15" x14ac:dyDescent="0.3">
      <c r="A18" s="330">
        <v>33147</v>
      </c>
      <c r="B18" s="331">
        <v>67.966961265334106</v>
      </c>
      <c r="C18" s="333">
        <v>-1.7000000000000001E-2</v>
      </c>
      <c r="D18" s="331">
        <v>69.841382903315704</v>
      </c>
      <c r="E18" s="333">
        <v>7.0000000000000001E-3</v>
      </c>
      <c r="F18" s="331">
        <v>68.060600649036104</v>
      </c>
      <c r="G18" s="333">
        <v>-1.2E-2</v>
      </c>
    </row>
    <row r="19" spans="1:7" ht="15" x14ac:dyDescent="0.3">
      <c r="A19" s="330">
        <v>33178</v>
      </c>
      <c r="B19" s="331">
        <v>67.671427255746494</v>
      </c>
      <c r="C19" s="333">
        <v>-4.0000000000000001E-3</v>
      </c>
      <c r="D19" s="331">
        <v>69.287021518888594</v>
      </c>
      <c r="E19" s="333">
        <v>-8.0000000000000002E-3</v>
      </c>
      <c r="F19" s="331">
        <v>67.709456326553095</v>
      </c>
      <c r="G19" s="333">
        <v>-5.0000000000000001E-3</v>
      </c>
    </row>
    <row r="20" spans="1:7" ht="15" x14ac:dyDescent="0.3">
      <c r="A20" s="330">
        <v>33208</v>
      </c>
      <c r="B20" s="331">
        <v>67.948802509596703</v>
      </c>
      <c r="C20" s="333">
        <v>4.0000000000000001E-3</v>
      </c>
      <c r="D20" s="331">
        <v>72.904017167728099</v>
      </c>
      <c r="E20" s="333">
        <v>5.1999999999999998E-2</v>
      </c>
      <c r="F20" s="331">
        <v>68.720347073224005</v>
      </c>
      <c r="G20" s="333">
        <v>1.4999999999999999E-2</v>
      </c>
    </row>
    <row r="21" spans="1:7" ht="15" x14ac:dyDescent="0.3">
      <c r="A21" s="330">
        <v>33239</v>
      </c>
      <c r="B21" s="331">
        <v>67.442115380542305</v>
      </c>
      <c r="C21" s="333">
        <v>-7.0000000000000001E-3</v>
      </c>
      <c r="D21" s="331">
        <v>69.975206522789804</v>
      </c>
      <c r="E21" s="333">
        <v>-0.04</v>
      </c>
      <c r="F21" s="331">
        <v>67.683464010472207</v>
      </c>
      <c r="G21" s="333">
        <v>-1.4999999999999999E-2</v>
      </c>
    </row>
    <row r="22" spans="1:7" ht="15" x14ac:dyDescent="0.3">
      <c r="A22" s="330">
        <v>33270</v>
      </c>
      <c r="B22" s="331">
        <v>67.487915179560602</v>
      </c>
      <c r="C22" s="333">
        <v>1E-3</v>
      </c>
      <c r="D22" s="331">
        <v>64.432558982828297</v>
      </c>
      <c r="E22" s="333">
        <v>-7.9000000000000001E-2</v>
      </c>
      <c r="F22" s="331">
        <v>66.501094455227999</v>
      </c>
      <c r="G22" s="333">
        <v>-1.7000000000000001E-2</v>
      </c>
    </row>
    <row r="23" spans="1:7" ht="15" x14ac:dyDescent="0.3">
      <c r="A23" s="330">
        <v>33298</v>
      </c>
      <c r="B23" s="331">
        <v>66.8438383076451</v>
      </c>
      <c r="C23" s="333">
        <v>-0.01</v>
      </c>
      <c r="D23" s="331">
        <v>63.464706529435198</v>
      </c>
      <c r="E23" s="333">
        <v>-1.4999999999999999E-2</v>
      </c>
      <c r="F23" s="331">
        <v>65.788933183865893</v>
      </c>
      <c r="G23" s="333">
        <v>-1.0999999999999999E-2</v>
      </c>
    </row>
    <row r="24" spans="1:7" ht="15" x14ac:dyDescent="0.3">
      <c r="A24" s="330">
        <v>33329</v>
      </c>
      <c r="B24" s="331">
        <v>66.2364248232698</v>
      </c>
      <c r="C24" s="333">
        <v>-8.9999999999999993E-3</v>
      </c>
      <c r="D24" s="331">
        <v>69.773117686703202</v>
      </c>
      <c r="E24" s="333">
        <v>9.9000000000000005E-2</v>
      </c>
      <c r="F24" s="331">
        <v>66.702161480021303</v>
      </c>
      <c r="G24" s="333">
        <v>1.4E-2</v>
      </c>
    </row>
    <row r="25" spans="1:7" ht="15" x14ac:dyDescent="0.3">
      <c r="A25" s="330">
        <v>33359</v>
      </c>
      <c r="B25" s="331">
        <v>66.2005884645056</v>
      </c>
      <c r="C25" s="333">
        <v>-1E-3</v>
      </c>
      <c r="D25" s="331">
        <v>69.899566425871498</v>
      </c>
      <c r="E25" s="333">
        <v>2E-3</v>
      </c>
      <c r="F25" s="331">
        <v>66.702091035264004</v>
      </c>
      <c r="G25" s="333">
        <v>0</v>
      </c>
    </row>
    <row r="26" spans="1:7" ht="15" x14ac:dyDescent="0.3">
      <c r="A26" s="330">
        <v>33390</v>
      </c>
      <c r="B26" s="331">
        <v>68.487307127410602</v>
      </c>
      <c r="C26" s="333">
        <v>3.5000000000000003E-2</v>
      </c>
      <c r="D26" s="331">
        <v>69.307122863557296</v>
      </c>
      <c r="E26" s="333">
        <v>-8.0000000000000002E-3</v>
      </c>
      <c r="F26" s="331">
        <v>68.346852282163994</v>
      </c>
      <c r="G26" s="333">
        <v>2.5000000000000001E-2</v>
      </c>
    </row>
    <row r="27" spans="1:7" ht="15" x14ac:dyDescent="0.3">
      <c r="A27" s="330">
        <v>33420</v>
      </c>
      <c r="B27" s="331">
        <v>69.159057701365796</v>
      </c>
      <c r="C27" s="333">
        <v>0.01</v>
      </c>
      <c r="D27" s="331">
        <v>69.720009455767496</v>
      </c>
      <c r="E27" s="333">
        <v>6.0000000000000001E-3</v>
      </c>
      <c r="F27" s="331">
        <v>68.958729384854905</v>
      </c>
      <c r="G27" s="333">
        <v>8.9999999999999993E-3</v>
      </c>
    </row>
    <row r="28" spans="1:7" ht="15" x14ac:dyDescent="0.3">
      <c r="A28" s="330">
        <v>33451</v>
      </c>
      <c r="B28" s="331">
        <v>70.289925701120794</v>
      </c>
      <c r="C28" s="333">
        <v>1.6E-2</v>
      </c>
      <c r="D28" s="331">
        <v>69.841645898750102</v>
      </c>
      <c r="E28" s="333">
        <v>2E-3</v>
      </c>
      <c r="F28" s="331">
        <v>69.863211562475399</v>
      </c>
      <c r="G28" s="333">
        <v>1.2999999999999999E-2</v>
      </c>
    </row>
    <row r="29" spans="1:7" ht="15" x14ac:dyDescent="0.3">
      <c r="A29" s="330">
        <v>33482</v>
      </c>
      <c r="B29" s="331">
        <v>71.426004944422502</v>
      </c>
      <c r="C29" s="333">
        <v>1.6E-2</v>
      </c>
      <c r="D29" s="331">
        <v>70.190884854080494</v>
      </c>
      <c r="E29" s="333">
        <v>5.0000000000000001E-3</v>
      </c>
      <c r="F29" s="331">
        <v>70.821656311793703</v>
      </c>
      <c r="G29" s="333">
        <v>1.4E-2</v>
      </c>
    </row>
    <row r="30" spans="1:7" ht="15" x14ac:dyDescent="0.3">
      <c r="A30" s="330">
        <v>33512</v>
      </c>
      <c r="B30" s="331">
        <v>70.490945869707403</v>
      </c>
      <c r="C30" s="333">
        <v>-1.2999999999999999E-2</v>
      </c>
      <c r="D30" s="331">
        <v>69.776625536047206</v>
      </c>
      <c r="E30" s="333">
        <v>-6.0000000000000001E-3</v>
      </c>
      <c r="F30" s="331">
        <v>70.004997465377599</v>
      </c>
      <c r="G30" s="333">
        <v>-1.2E-2</v>
      </c>
    </row>
    <row r="31" spans="1:7" ht="15" x14ac:dyDescent="0.3">
      <c r="A31" s="330">
        <v>33543</v>
      </c>
      <c r="B31" s="331">
        <v>70.781868542413406</v>
      </c>
      <c r="C31" s="333">
        <v>4.0000000000000001E-3</v>
      </c>
      <c r="D31" s="331">
        <v>70.735385670790507</v>
      </c>
      <c r="E31" s="333">
        <v>1.4E-2</v>
      </c>
      <c r="F31" s="331">
        <v>70.440750388982394</v>
      </c>
      <c r="G31" s="333">
        <v>6.0000000000000001E-3</v>
      </c>
    </row>
    <row r="32" spans="1:7" ht="15" x14ac:dyDescent="0.3">
      <c r="A32" s="330">
        <v>33573</v>
      </c>
      <c r="B32" s="331">
        <v>70.845281118343195</v>
      </c>
      <c r="C32" s="333">
        <v>1E-3</v>
      </c>
      <c r="D32" s="331">
        <v>71.378904005369407</v>
      </c>
      <c r="E32" s="333">
        <v>8.9999999999999993E-3</v>
      </c>
      <c r="F32" s="331">
        <v>70.630834953176105</v>
      </c>
      <c r="G32" s="333">
        <v>3.0000000000000001E-3</v>
      </c>
    </row>
    <row r="33" spans="1:7" ht="15" x14ac:dyDescent="0.3">
      <c r="A33" s="330">
        <v>33604</v>
      </c>
      <c r="B33" s="331">
        <v>71.569823238676804</v>
      </c>
      <c r="C33" s="333">
        <v>0.01</v>
      </c>
      <c r="D33" s="331">
        <v>70.329303980229994</v>
      </c>
      <c r="E33" s="333">
        <v>-1.4999999999999999E-2</v>
      </c>
      <c r="F33" s="331">
        <v>70.963698795889798</v>
      </c>
      <c r="G33" s="333">
        <v>5.0000000000000001E-3</v>
      </c>
    </row>
    <row r="34" spans="1:7" ht="15" x14ac:dyDescent="0.3">
      <c r="A34" s="330">
        <v>33635</v>
      </c>
      <c r="B34" s="331">
        <v>72.513519796674899</v>
      </c>
      <c r="C34" s="333">
        <v>1.2999999999999999E-2</v>
      </c>
      <c r="D34" s="331">
        <v>70.874291917797507</v>
      </c>
      <c r="E34" s="333">
        <v>8.0000000000000002E-3</v>
      </c>
      <c r="F34" s="331">
        <v>71.815703376969694</v>
      </c>
      <c r="G34" s="333">
        <v>1.2E-2</v>
      </c>
    </row>
    <row r="35" spans="1:7" ht="15" x14ac:dyDescent="0.3">
      <c r="A35" s="330">
        <v>33664</v>
      </c>
      <c r="B35" s="331">
        <v>73.015334372908299</v>
      </c>
      <c r="C35" s="333">
        <v>7.0000000000000001E-3</v>
      </c>
      <c r="D35" s="331">
        <v>70.634927345442506</v>
      </c>
      <c r="E35" s="333">
        <v>-3.0000000000000001E-3</v>
      </c>
      <c r="F35" s="331">
        <v>72.152846983725993</v>
      </c>
      <c r="G35" s="333">
        <v>5.0000000000000001E-3</v>
      </c>
    </row>
    <row r="36" spans="1:7" ht="15" x14ac:dyDescent="0.3">
      <c r="A36" s="330">
        <v>33695</v>
      </c>
      <c r="B36" s="331">
        <v>73.912100798989599</v>
      </c>
      <c r="C36" s="333">
        <v>1.2E-2</v>
      </c>
      <c r="D36" s="331">
        <v>68.979169067091107</v>
      </c>
      <c r="E36" s="333">
        <v>-2.3E-2</v>
      </c>
      <c r="F36" s="331">
        <v>72.485961986674994</v>
      </c>
      <c r="G36" s="333">
        <v>5.0000000000000001E-3</v>
      </c>
    </row>
    <row r="37" spans="1:7" ht="15" x14ac:dyDescent="0.3">
      <c r="A37" s="330">
        <v>33725</v>
      </c>
      <c r="B37" s="331">
        <v>74.142188927437005</v>
      </c>
      <c r="C37" s="333">
        <v>3.0000000000000001E-3</v>
      </c>
      <c r="D37" s="331">
        <v>70.990836464192597</v>
      </c>
      <c r="E37" s="333">
        <v>2.9000000000000001E-2</v>
      </c>
      <c r="F37" s="331">
        <v>73.105884224929795</v>
      </c>
      <c r="G37" s="333">
        <v>8.9999999999999993E-3</v>
      </c>
    </row>
    <row r="38" spans="1:7" ht="15" x14ac:dyDescent="0.3">
      <c r="A38" s="330">
        <v>33756</v>
      </c>
      <c r="B38" s="331">
        <v>72.997025197613397</v>
      </c>
      <c r="C38" s="333">
        <v>-1.4999999999999999E-2</v>
      </c>
      <c r="D38" s="331">
        <v>74.6809946564981</v>
      </c>
      <c r="E38" s="333">
        <v>5.1999999999999998E-2</v>
      </c>
      <c r="F38" s="331">
        <v>73.028383941002502</v>
      </c>
      <c r="G38" s="333">
        <v>-1E-3</v>
      </c>
    </row>
    <row r="39" spans="1:7" ht="15" x14ac:dyDescent="0.3">
      <c r="A39" s="330">
        <v>33786</v>
      </c>
      <c r="B39" s="331">
        <v>74.722866379819195</v>
      </c>
      <c r="C39" s="333">
        <v>2.4E-2</v>
      </c>
      <c r="D39" s="331">
        <v>77.522481784782101</v>
      </c>
      <c r="E39" s="333">
        <v>3.7999999999999999E-2</v>
      </c>
      <c r="F39" s="331">
        <v>74.991705342356198</v>
      </c>
      <c r="G39" s="333">
        <v>2.7E-2</v>
      </c>
    </row>
    <row r="40" spans="1:7" ht="15" x14ac:dyDescent="0.3">
      <c r="A40" s="330">
        <v>33817</v>
      </c>
      <c r="B40" s="331">
        <v>74.524699249231503</v>
      </c>
      <c r="C40" s="333">
        <v>-3.0000000000000001E-3</v>
      </c>
      <c r="D40" s="331">
        <v>78.6380544601666</v>
      </c>
      <c r="E40" s="333">
        <v>1.4E-2</v>
      </c>
      <c r="F40" s="331">
        <v>75.084077418566807</v>
      </c>
      <c r="G40" s="333">
        <v>1E-3</v>
      </c>
    </row>
    <row r="41" spans="1:7" ht="15" x14ac:dyDescent="0.3">
      <c r="A41" s="330">
        <v>33848</v>
      </c>
      <c r="B41" s="331">
        <v>73.126745234510295</v>
      </c>
      <c r="C41" s="333">
        <v>-1.9E-2</v>
      </c>
      <c r="D41" s="331">
        <v>75.3276902791673</v>
      </c>
      <c r="E41" s="333">
        <v>-4.2000000000000003E-2</v>
      </c>
      <c r="F41" s="331">
        <v>73.270204986105995</v>
      </c>
      <c r="G41" s="333">
        <v>-2.4E-2</v>
      </c>
    </row>
    <row r="42" spans="1:7" ht="15" x14ac:dyDescent="0.3">
      <c r="A42" s="330">
        <v>33878</v>
      </c>
      <c r="B42" s="331">
        <v>74.321212188704607</v>
      </c>
      <c r="C42" s="333">
        <v>1.6E-2</v>
      </c>
      <c r="D42" s="331">
        <v>72.125835355723595</v>
      </c>
      <c r="E42" s="333">
        <v>-4.2999999999999997E-2</v>
      </c>
      <c r="F42" s="331">
        <v>73.485587456700401</v>
      </c>
      <c r="G42" s="333">
        <v>3.0000000000000001E-3</v>
      </c>
    </row>
    <row r="43" spans="1:7" ht="15" x14ac:dyDescent="0.3">
      <c r="A43" s="330">
        <v>33909</v>
      </c>
      <c r="B43" s="331">
        <v>74.815443895762897</v>
      </c>
      <c r="C43" s="333">
        <v>7.0000000000000001E-3</v>
      </c>
      <c r="D43" s="331">
        <v>73.831472812774905</v>
      </c>
      <c r="E43" s="333">
        <v>2.4E-2</v>
      </c>
      <c r="F43" s="331">
        <v>74.246453562489506</v>
      </c>
      <c r="G43" s="333">
        <v>0.01</v>
      </c>
    </row>
    <row r="44" spans="1:7" ht="15" x14ac:dyDescent="0.3">
      <c r="A44" s="330">
        <v>33939</v>
      </c>
      <c r="B44" s="331">
        <v>74.910590021935604</v>
      </c>
      <c r="C44" s="333">
        <v>1E-3</v>
      </c>
      <c r="D44" s="331">
        <v>73.714221392986403</v>
      </c>
      <c r="E44" s="333">
        <v>-2E-3</v>
      </c>
      <c r="F44" s="331">
        <v>74.293861879094294</v>
      </c>
      <c r="G44" s="333">
        <v>1E-3</v>
      </c>
    </row>
    <row r="45" spans="1:7" ht="15" x14ac:dyDescent="0.3">
      <c r="A45" s="330">
        <v>33970</v>
      </c>
      <c r="B45" s="331">
        <v>78.057777364015493</v>
      </c>
      <c r="C45" s="333">
        <v>4.2000000000000003E-2</v>
      </c>
      <c r="D45" s="331">
        <v>75.232487198431599</v>
      </c>
      <c r="E45" s="333">
        <v>2.1000000000000001E-2</v>
      </c>
      <c r="F45" s="331">
        <v>77.0625308806259</v>
      </c>
      <c r="G45" s="333">
        <v>3.6999999999999998E-2</v>
      </c>
    </row>
    <row r="46" spans="1:7" ht="15" x14ac:dyDescent="0.3">
      <c r="A46" s="330">
        <v>34001</v>
      </c>
      <c r="B46" s="331">
        <v>75.953936208468505</v>
      </c>
      <c r="C46" s="333">
        <v>-2.7E-2</v>
      </c>
      <c r="D46" s="331">
        <v>75.161878104637793</v>
      </c>
      <c r="E46" s="333">
        <v>-1E-3</v>
      </c>
      <c r="F46" s="331">
        <v>75.4240966788919</v>
      </c>
      <c r="G46" s="333">
        <v>-2.1000000000000001E-2</v>
      </c>
    </row>
    <row r="47" spans="1:7" ht="15" x14ac:dyDescent="0.3">
      <c r="A47" s="330">
        <v>34029</v>
      </c>
      <c r="B47" s="331">
        <v>75.130831042398796</v>
      </c>
      <c r="C47" s="333">
        <v>-1.0999999999999999E-2</v>
      </c>
      <c r="D47" s="331">
        <v>74.473501921864099</v>
      </c>
      <c r="E47" s="333">
        <v>-8.9999999999999993E-3</v>
      </c>
      <c r="F47" s="331">
        <v>74.635100378650407</v>
      </c>
      <c r="G47" s="333">
        <v>-0.01</v>
      </c>
    </row>
    <row r="48" spans="1:7" ht="15" x14ac:dyDescent="0.3">
      <c r="A48" s="330">
        <v>34060</v>
      </c>
      <c r="B48" s="331">
        <v>76.603697822715603</v>
      </c>
      <c r="C48" s="333">
        <v>0.02</v>
      </c>
      <c r="D48" s="331">
        <v>74.4413319831758</v>
      </c>
      <c r="E48" s="333">
        <v>0</v>
      </c>
      <c r="F48" s="331">
        <v>75.761489170760498</v>
      </c>
      <c r="G48" s="333">
        <v>1.4999999999999999E-2</v>
      </c>
    </row>
    <row r="49" spans="1:7" ht="15" x14ac:dyDescent="0.3">
      <c r="A49" s="330">
        <v>34090</v>
      </c>
      <c r="B49" s="331">
        <v>77.342104117694305</v>
      </c>
      <c r="C49" s="333">
        <v>0.01</v>
      </c>
      <c r="D49" s="331">
        <v>75.447778602992997</v>
      </c>
      <c r="E49" s="333">
        <v>1.4E-2</v>
      </c>
      <c r="F49" s="331">
        <v>76.5572216946737</v>
      </c>
      <c r="G49" s="333">
        <v>1.0999999999999999E-2</v>
      </c>
    </row>
    <row r="50" spans="1:7" ht="15" x14ac:dyDescent="0.3">
      <c r="A50" s="330">
        <v>34121</v>
      </c>
      <c r="B50" s="331">
        <v>76.775463116298496</v>
      </c>
      <c r="C50" s="333">
        <v>-7.0000000000000001E-3</v>
      </c>
      <c r="D50" s="331">
        <v>73.665362411686999</v>
      </c>
      <c r="E50" s="333">
        <v>-2.4E-2</v>
      </c>
      <c r="F50" s="331">
        <v>75.716664264689598</v>
      </c>
      <c r="G50" s="333">
        <v>-1.0999999999999999E-2</v>
      </c>
    </row>
    <row r="51" spans="1:7" ht="15" x14ac:dyDescent="0.3">
      <c r="A51" s="330">
        <v>34151</v>
      </c>
      <c r="B51" s="331">
        <v>75.765110044140499</v>
      </c>
      <c r="C51" s="333">
        <v>-1.2999999999999999E-2</v>
      </c>
      <c r="D51" s="331">
        <v>74.292987342811998</v>
      </c>
      <c r="E51" s="333">
        <v>8.9999999999999993E-3</v>
      </c>
      <c r="F51" s="331">
        <v>75.084961719426602</v>
      </c>
      <c r="G51" s="333">
        <v>-8.0000000000000002E-3</v>
      </c>
    </row>
    <row r="52" spans="1:7" ht="15" x14ac:dyDescent="0.3">
      <c r="A52" s="330">
        <v>34182</v>
      </c>
      <c r="B52" s="331">
        <v>75.639864266290701</v>
      </c>
      <c r="C52" s="333">
        <v>-2E-3</v>
      </c>
      <c r="D52" s="331">
        <v>75.045024867801303</v>
      </c>
      <c r="E52" s="333">
        <v>0.01</v>
      </c>
      <c r="F52" s="331">
        <v>75.161489351304695</v>
      </c>
      <c r="G52" s="333">
        <v>1E-3</v>
      </c>
    </row>
    <row r="53" spans="1:7" ht="15" x14ac:dyDescent="0.3">
      <c r="A53" s="330">
        <v>34213</v>
      </c>
      <c r="B53" s="331">
        <v>77.177990559357298</v>
      </c>
      <c r="C53" s="333">
        <v>0.02</v>
      </c>
      <c r="D53" s="331">
        <v>75.769414473163195</v>
      </c>
      <c r="E53" s="333">
        <v>0.01</v>
      </c>
      <c r="F53" s="331">
        <v>76.505214700784805</v>
      </c>
      <c r="G53" s="333">
        <v>1.7999999999999999E-2</v>
      </c>
    </row>
    <row r="54" spans="1:7" ht="15" x14ac:dyDescent="0.3">
      <c r="A54" s="330">
        <v>34243</v>
      </c>
      <c r="B54" s="331">
        <v>78.813210833844806</v>
      </c>
      <c r="C54" s="333">
        <v>2.1000000000000001E-2</v>
      </c>
      <c r="D54" s="331">
        <v>76.741415916878395</v>
      </c>
      <c r="E54" s="333">
        <v>1.2999999999999999E-2</v>
      </c>
      <c r="F54" s="331">
        <v>77.979608283443397</v>
      </c>
      <c r="G54" s="333">
        <v>1.9E-2</v>
      </c>
    </row>
    <row r="55" spans="1:7" ht="15" x14ac:dyDescent="0.3">
      <c r="A55" s="330">
        <v>34274</v>
      </c>
      <c r="B55" s="331">
        <v>79.611692560656493</v>
      </c>
      <c r="C55" s="333">
        <v>0.01</v>
      </c>
      <c r="D55" s="331">
        <v>76.774436366833598</v>
      </c>
      <c r="E55" s="333">
        <v>0</v>
      </c>
      <c r="F55" s="331">
        <v>78.596549026498195</v>
      </c>
      <c r="G55" s="333">
        <v>8.0000000000000002E-3</v>
      </c>
    </row>
    <row r="56" spans="1:7" ht="15" x14ac:dyDescent="0.3">
      <c r="A56" s="330">
        <v>34304</v>
      </c>
      <c r="B56" s="331">
        <v>78.675878504638504</v>
      </c>
      <c r="C56" s="333">
        <v>-1.2E-2</v>
      </c>
      <c r="D56" s="331">
        <v>76.822319816905505</v>
      </c>
      <c r="E56" s="333">
        <v>1E-3</v>
      </c>
      <c r="F56" s="331">
        <v>77.9489336540708</v>
      </c>
      <c r="G56" s="333">
        <v>-8.0000000000000002E-3</v>
      </c>
    </row>
    <row r="57" spans="1:7" ht="15" x14ac:dyDescent="0.3">
      <c r="A57" s="330">
        <v>34335</v>
      </c>
      <c r="B57" s="331">
        <v>79.586193217743798</v>
      </c>
      <c r="C57" s="333">
        <v>1.2E-2</v>
      </c>
      <c r="D57" s="331">
        <v>76.386993760259003</v>
      </c>
      <c r="E57" s="333">
        <v>-6.0000000000000001E-3</v>
      </c>
      <c r="F57" s="331">
        <v>78.464773633756494</v>
      </c>
      <c r="G57" s="333">
        <v>7.0000000000000001E-3</v>
      </c>
    </row>
    <row r="58" spans="1:7" ht="15" x14ac:dyDescent="0.3">
      <c r="A58" s="330">
        <v>34366</v>
      </c>
      <c r="B58" s="331">
        <v>79.622947815364398</v>
      </c>
      <c r="C58" s="333">
        <v>0</v>
      </c>
      <c r="D58" s="331">
        <v>76.366262108774393</v>
      </c>
      <c r="E58" s="333">
        <v>0</v>
      </c>
      <c r="F58" s="331">
        <v>78.484633366165099</v>
      </c>
      <c r="G58" s="333">
        <v>0</v>
      </c>
    </row>
    <row r="59" spans="1:7" ht="15" x14ac:dyDescent="0.3">
      <c r="A59" s="330">
        <v>34394</v>
      </c>
      <c r="B59" s="331">
        <v>81.988601222982695</v>
      </c>
      <c r="C59" s="333">
        <v>0.03</v>
      </c>
      <c r="D59" s="331">
        <v>77.2495029200999</v>
      </c>
      <c r="E59" s="333">
        <v>1.2E-2</v>
      </c>
      <c r="F59" s="331">
        <v>80.410153827822498</v>
      </c>
      <c r="G59" s="333">
        <v>2.5000000000000001E-2</v>
      </c>
    </row>
    <row r="60" spans="1:7" ht="15" x14ac:dyDescent="0.3">
      <c r="A60" s="330">
        <v>34425</v>
      </c>
      <c r="B60" s="331">
        <v>75.248214270014202</v>
      </c>
      <c r="C60" s="333">
        <v>-8.2000000000000003E-2</v>
      </c>
      <c r="D60" s="331">
        <v>77.207049120356103</v>
      </c>
      <c r="E60" s="333">
        <v>-1E-3</v>
      </c>
      <c r="F60" s="331">
        <v>75.654393441983302</v>
      </c>
      <c r="G60" s="333">
        <v>-5.8999999999999997E-2</v>
      </c>
    </row>
    <row r="61" spans="1:7" ht="15" x14ac:dyDescent="0.3">
      <c r="A61" s="330">
        <v>34455</v>
      </c>
      <c r="B61" s="331">
        <v>83.2041785886003</v>
      </c>
      <c r="C61" s="333">
        <v>0.106</v>
      </c>
      <c r="D61" s="331">
        <v>77.445395625665796</v>
      </c>
      <c r="E61" s="333">
        <v>3.0000000000000001E-3</v>
      </c>
      <c r="F61" s="331">
        <v>81.317231133161002</v>
      </c>
      <c r="G61" s="333">
        <v>7.4999999999999997E-2</v>
      </c>
    </row>
    <row r="62" spans="1:7" ht="15" x14ac:dyDescent="0.3">
      <c r="A62" s="330">
        <v>34486</v>
      </c>
      <c r="B62" s="331">
        <v>84.507964363890494</v>
      </c>
      <c r="C62" s="333">
        <v>1.6E-2</v>
      </c>
      <c r="D62" s="331">
        <v>78.090138055192796</v>
      </c>
      <c r="E62" s="333">
        <v>8.0000000000000002E-3</v>
      </c>
      <c r="F62" s="331">
        <v>82.423345143474293</v>
      </c>
      <c r="G62" s="333">
        <v>1.4E-2</v>
      </c>
    </row>
    <row r="63" spans="1:7" ht="15" x14ac:dyDescent="0.3">
      <c r="A63" s="330">
        <v>34516</v>
      </c>
      <c r="B63" s="331">
        <v>83.459268503999496</v>
      </c>
      <c r="C63" s="333">
        <v>-1.2E-2</v>
      </c>
      <c r="D63" s="331">
        <v>78.507128780689101</v>
      </c>
      <c r="E63" s="333">
        <v>5.0000000000000001E-3</v>
      </c>
      <c r="F63" s="331">
        <v>81.811170987989101</v>
      </c>
      <c r="G63" s="333">
        <v>-7.0000000000000001E-3</v>
      </c>
    </row>
    <row r="64" spans="1:7" ht="15" x14ac:dyDescent="0.3">
      <c r="A64" s="330">
        <v>34547</v>
      </c>
      <c r="B64" s="331">
        <v>83.694343416542907</v>
      </c>
      <c r="C64" s="333">
        <v>3.0000000000000001E-3</v>
      </c>
      <c r="D64" s="331">
        <v>77.946790670797299</v>
      </c>
      <c r="E64" s="333">
        <v>-7.0000000000000001E-3</v>
      </c>
      <c r="F64" s="331">
        <v>81.809517726101802</v>
      </c>
      <c r="G64" s="333">
        <v>0</v>
      </c>
    </row>
    <row r="65" spans="1:7" ht="15" x14ac:dyDescent="0.3">
      <c r="A65" s="330">
        <v>34578</v>
      </c>
      <c r="B65" s="331">
        <v>85.216454493115293</v>
      </c>
      <c r="C65" s="333">
        <v>1.7999999999999999E-2</v>
      </c>
      <c r="D65" s="331">
        <v>78.585735391202704</v>
      </c>
      <c r="E65" s="333">
        <v>8.0000000000000002E-3</v>
      </c>
      <c r="F65" s="331">
        <v>83.065565629343197</v>
      </c>
      <c r="G65" s="333">
        <v>1.4999999999999999E-2</v>
      </c>
    </row>
    <row r="66" spans="1:7" ht="15" x14ac:dyDescent="0.3">
      <c r="A66" s="330">
        <v>34608</v>
      </c>
      <c r="B66" s="331">
        <v>86.396686891867603</v>
      </c>
      <c r="C66" s="333">
        <v>1.4E-2</v>
      </c>
      <c r="D66" s="331">
        <v>79.767926317799095</v>
      </c>
      <c r="E66" s="333">
        <v>1.4999999999999999E-2</v>
      </c>
      <c r="F66" s="331">
        <v>84.243990624413399</v>
      </c>
      <c r="G66" s="333">
        <v>1.4E-2</v>
      </c>
    </row>
    <row r="67" spans="1:7" ht="15" x14ac:dyDescent="0.3">
      <c r="A67" s="330">
        <v>34639</v>
      </c>
      <c r="B67" s="331">
        <v>87.700744732712707</v>
      </c>
      <c r="C67" s="333">
        <v>1.4999999999999999E-2</v>
      </c>
      <c r="D67" s="331">
        <v>80.252785862817007</v>
      </c>
      <c r="E67" s="333">
        <v>6.0000000000000001E-3</v>
      </c>
      <c r="F67" s="331">
        <v>85.300553170581594</v>
      </c>
      <c r="G67" s="333">
        <v>1.2999999999999999E-2</v>
      </c>
    </row>
    <row r="68" spans="1:7" ht="15" x14ac:dyDescent="0.3">
      <c r="A68" s="330">
        <v>34669</v>
      </c>
      <c r="B68" s="331">
        <v>95.692694187101097</v>
      </c>
      <c r="C68" s="333">
        <v>9.0999999999999998E-2</v>
      </c>
      <c r="D68" s="331">
        <v>80.789322812407804</v>
      </c>
      <c r="E68" s="333">
        <v>7.0000000000000001E-3</v>
      </c>
      <c r="F68" s="331">
        <v>91.043640051558697</v>
      </c>
      <c r="G68" s="333">
        <v>6.7000000000000004E-2</v>
      </c>
    </row>
    <row r="69" spans="1:7" ht="15" x14ac:dyDescent="0.3">
      <c r="A69" s="330">
        <v>34700</v>
      </c>
      <c r="B69" s="331">
        <v>92.098857738965407</v>
      </c>
      <c r="C69" s="333">
        <v>-3.7999999999999999E-2</v>
      </c>
      <c r="D69" s="331">
        <v>80.508293045494</v>
      </c>
      <c r="E69" s="333">
        <v>-3.0000000000000001E-3</v>
      </c>
      <c r="F69" s="331">
        <v>88.450901210540394</v>
      </c>
      <c r="G69" s="333">
        <v>-2.8000000000000001E-2</v>
      </c>
    </row>
    <row r="70" spans="1:7" ht="15" x14ac:dyDescent="0.3">
      <c r="A70" s="330">
        <v>34731</v>
      </c>
      <c r="B70" s="331">
        <v>91.524614540394197</v>
      </c>
      <c r="C70" s="333">
        <v>-6.0000000000000001E-3</v>
      </c>
      <c r="D70" s="331">
        <v>79.365055778363299</v>
      </c>
      <c r="E70" s="333">
        <v>-1.4E-2</v>
      </c>
      <c r="F70" s="331">
        <v>87.706469294241998</v>
      </c>
      <c r="G70" s="333">
        <v>-8.0000000000000002E-3</v>
      </c>
    </row>
    <row r="71" spans="1:7" ht="15" x14ac:dyDescent="0.3">
      <c r="A71" s="330">
        <v>34759</v>
      </c>
      <c r="B71" s="331">
        <v>88.018238826033794</v>
      </c>
      <c r="C71" s="333">
        <v>-3.7999999999999999E-2</v>
      </c>
      <c r="D71" s="331">
        <v>79.327939632404494</v>
      </c>
      <c r="E71" s="333">
        <v>0</v>
      </c>
      <c r="F71" s="331">
        <v>85.2521186986434</v>
      </c>
      <c r="G71" s="333">
        <v>-2.8000000000000001E-2</v>
      </c>
    </row>
    <row r="72" spans="1:7" ht="15" x14ac:dyDescent="0.3">
      <c r="A72" s="330">
        <v>34790</v>
      </c>
      <c r="B72" s="331">
        <v>88.495094700310801</v>
      </c>
      <c r="C72" s="333">
        <v>5.0000000000000001E-3</v>
      </c>
      <c r="D72" s="331">
        <v>79.627037242797698</v>
      </c>
      <c r="E72" s="333">
        <v>4.0000000000000001E-3</v>
      </c>
      <c r="F72" s="331">
        <v>85.674485309404503</v>
      </c>
      <c r="G72" s="333">
        <v>5.0000000000000001E-3</v>
      </c>
    </row>
    <row r="73" spans="1:7" ht="15" x14ac:dyDescent="0.3">
      <c r="A73" s="330">
        <v>34820</v>
      </c>
      <c r="B73" s="331">
        <v>86.710913068207702</v>
      </c>
      <c r="C73" s="333">
        <v>-0.02</v>
      </c>
      <c r="D73" s="331">
        <v>79.233260884215795</v>
      </c>
      <c r="E73" s="333">
        <v>-5.0000000000000001E-3</v>
      </c>
      <c r="F73" s="331">
        <v>84.314363976328494</v>
      </c>
      <c r="G73" s="333">
        <v>-1.6E-2</v>
      </c>
    </row>
    <row r="74" spans="1:7" ht="15" x14ac:dyDescent="0.3">
      <c r="A74" s="330">
        <v>34851</v>
      </c>
      <c r="B74" s="331">
        <v>87.621388610980006</v>
      </c>
      <c r="C74" s="333">
        <v>1.0999999999999999E-2</v>
      </c>
      <c r="D74" s="331">
        <v>79.125347280012605</v>
      </c>
      <c r="E74" s="333">
        <v>-1E-3</v>
      </c>
      <c r="F74" s="331">
        <v>84.9140835687259</v>
      </c>
      <c r="G74" s="333">
        <v>7.0000000000000001E-3</v>
      </c>
    </row>
    <row r="75" spans="1:7" ht="15" x14ac:dyDescent="0.3">
      <c r="A75" s="330">
        <v>34881</v>
      </c>
      <c r="B75" s="331">
        <v>87.517859940840495</v>
      </c>
      <c r="C75" s="333">
        <v>-1E-3</v>
      </c>
      <c r="D75" s="331">
        <v>79.765639073587707</v>
      </c>
      <c r="E75" s="333">
        <v>8.0000000000000002E-3</v>
      </c>
      <c r="F75" s="331">
        <v>85.037341579532693</v>
      </c>
      <c r="G75" s="333">
        <v>1E-3</v>
      </c>
    </row>
    <row r="76" spans="1:7" ht="15" x14ac:dyDescent="0.3">
      <c r="A76" s="330">
        <v>34912</v>
      </c>
      <c r="B76" s="331">
        <v>88.271731931155401</v>
      </c>
      <c r="C76" s="333">
        <v>8.9999999999999993E-3</v>
      </c>
      <c r="D76" s="331">
        <v>79.985472964834202</v>
      </c>
      <c r="E76" s="333">
        <v>3.0000000000000001E-3</v>
      </c>
      <c r="F76" s="331">
        <v>85.627062211243498</v>
      </c>
      <c r="G76" s="333">
        <v>7.0000000000000001E-3</v>
      </c>
    </row>
    <row r="77" spans="1:7" ht="15" x14ac:dyDescent="0.3">
      <c r="A77" s="330">
        <v>34943</v>
      </c>
      <c r="B77" s="331">
        <v>88.719003043505595</v>
      </c>
      <c r="C77" s="333">
        <v>5.0000000000000001E-3</v>
      </c>
      <c r="D77" s="331">
        <v>80.503897822091901</v>
      </c>
      <c r="E77" s="333">
        <v>6.0000000000000001E-3</v>
      </c>
      <c r="F77" s="331">
        <v>86.095609137001802</v>
      </c>
      <c r="G77" s="333">
        <v>5.0000000000000001E-3</v>
      </c>
    </row>
    <row r="78" spans="1:7" ht="15" x14ac:dyDescent="0.3">
      <c r="A78" s="330">
        <v>34973</v>
      </c>
      <c r="B78" s="331">
        <v>85.788743928793096</v>
      </c>
      <c r="C78" s="333">
        <v>-3.3000000000000002E-2</v>
      </c>
      <c r="D78" s="331">
        <v>80.436817487725705</v>
      </c>
      <c r="E78" s="333">
        <v>-1E-3</v>
      </c>
      <c r="F78" s="331">
        <v>84.048832250188994</v>
      </c>
      <c r="G78" s="333">
        <v>-2.4E-2</v>
      </c>
    </row>
    <row r="79" spans="1:7" ht="15" x14ac:dyDescent="0.3">
      <c r="A79" s="330">
        <v>35004</v>
      </c>
      <c r="B79" s="331">
        <v>85.5222521800019</v>
      </c>
      <c r="C79" s="333">
        <v>-3.0000000000000001E-3</v>
      </c>
      <c r="D79" s="331">
        <v>81.126656020698803</v>
      </c>
      <c r="E79" s="333">
        <v>8.9999999999999993E-3</v>
      </c>
      <c r="F79" s="331">
        <v>84.077554640354094</v>
      </c>
      <c r="G79" s="333">
        <v>0</v>
      </c>
    </row>
    <row r="80" spans="1:7" ht="15" x14ac:dyDescent="0.3">
      <c r="A80" s="330">
        <v>35034</v>
      </c>
      <c r="B80" s="331">
        <v>86.141829466433805</v>
      </c>
      <c r="C80" s="333">
        <v>7.0000000000000001E-3</v>
      </c>
      <c r="D80" s="331">
        <v>82.202461045701796</v>
      </c>
      <c r="E80" s="333">
        <v>1.2999999999999999E-2</v>
      </c>
      <c r="F80" s="331">
        <v>84.837675560441298</v>
      </c>
      <c r="G80" s="333">
        <v>8.9999999999999993E-3</v>
      </c>
    </row>
    <row r="81" spans="1:7" ht="15" x14ac:dyDescent="0.3">
      <c r="A81" s="330">
        <v>35065</v>
      </c>
      <c r="B81" s="331">
        <v>83.320525156326696</v>
      </c>
      <c r="C81" s="333">
        <v>-3.3000000000000002E-2</v>
      </c>
      <c r="D81" s="331">
        <v>81.528618153383704</v>
      </c>
      <c r="E81" s="333">
        <v>-8.0000000000000002E-3</v>
      </c>
      <c r="F81" s="331">
        <v>82.685504738305795</v>
      </c>
      <c r="G81" s="333">
        <v>-2.5000000000000001E-2</v>
      </c>
    </row>
    <row r="82" spans="1:7" ht="15" x14ac:dyDescent="0.3">
      <c r="A82" s="330">
        <v>35096</v>
      </c>
      <c r="B82" s="331">
        <v>84.561904935857797</v>
      </c>
      <c r="C82" s="333">
        <v>1.4999999999999999E-2</v>
      </c>
      <c r="D82" s="331">
        <v>84.154382513819399</v>
      </c>
      <c r="E82" s="333">
        <v>3.2000000000000001E-2</v>
      </c>
      <c r="F82" s="331">
        <v>84.356494698552794</v>
      </c>
      <c r="G82" s="333">
        <v>0.02</v>
      </c>
    </row>
    <row r="83" spans="1:7" ht="15" x14ac:dyDescent="0.3">
      <c r="A83" s="330">
        <v>35125</v>
      </c>
      <c r="B83" s="331">
        <v>86.606967379369394</v>
      </c>
      <c r="C83" s="333">
        <v>2.4E-2</v>
      </c>
      <c r="D83" s="331">
        <v>84.289519705986393</v>
      </c>
      <c r="E83" s="333">
        <v>2E-3</v>
      </c>
      <c r="F83" s="331">
        <v>85.8040712940753</v>
      </c>
      <c r="G83" s="333">
        <v>1.7000000000000001E-2</v>
      </c>
    </row>
    <row r="84" spans="1:7" ht="15" x14ac:dyDescent="0.3">
      <c r="A84" s="330">
        <v>35156</v>
      </c>
      <c r="B84" s="331">
        <v>86.887230196611995</v>
      </c>
      <c r="C84" s="333">
        <v>3.0000000000000001E-3</v>
      </c>
      <c r="D84" s="331">
        <v>83.320008352489197</v>
      </c>
      <c r="E84" s="333">
        <v>-1.2E-2</v>
      </c>
      <c r="F84" s="331">
        <v>85.693646462838799</v>
      </c>
      <c r="G84" s="333">
        <v>-1E-3</v>
      </c>
    </row>
    <row r="85" spans="1:7" ht="15" x14ac:dyDescent="0.3">
      <c r="A85" s="330">
        <v>35186</v>
      </c>
      <c r="B85" s="331">
        <v>87.441252254538</v>
      </c>
      <c r="C85" s="333">
        <v>6.0000000000000001E-3</v>
      </c>
      <c r="D85" s="331">
        <v>84.207673925101005</v>
      </c>
      <c r="E85" s="333">
        <v>1.0999999999999999E-2</v>
      </c>
      <c r="F85" s="331">
        <v>86.351552753592003</v>
      </c>
      <c r="G85" s="333">
        <v>8.0000000000000002E-3</v>
      </c>
    </row>
    <row r="86" spans="1:7" ht="15" x14ac:dyDescent="0.3">
      <c r="A86" s="330">
        <v>35217</v>
      </c>
      <c r="B86" s="331">
        <v>87.765668590390703</v>
      </c>
      <c r="C86" s="333">
        <v>4.0000000000000001E-3</v>
      </c>
      <c r="D86" s="331">
        <v>84.851487039326798</v>
      </c>
      <c r="E86" s="333">
        <v>8.0000000000000002E-3</v>
      </c>
      <c r="F86" s="331">
        <v>86.775706049224794</v>
      </c>
      <c r="G86" s="333">
        <v>5.0000000000000001E-3</v>
      </c>
    </row>
    <row r="87" spans="1:7" ht="15" x14ac:dyDescent="0.3">
      <c r="A87" s="330">
        <v>35247</v>
      </c>
      <c r="B87" s="331">
        <v>88.168003343144804</v>
      </c>
      <c r="C87" s="333">
        <v>5.0000000000000001E-3</v>
      </c>
      <c r="D87" s="331">
        <v>85.022812380553006</v>
      </c>
      <c r="E87" s="333">
        <v>2E-3</v>
      </c>
      <c r="F87" s="331">
        <v>87.105301841218406</v>
      </c>
      <c r="G87" s="333">
        <v>4.0000000000000001E-3</v>
      </c>
    </row>
    <row r="88" spans="1:7" ht="15" x14ac:dyDescent="0.3">
      <c r="A88" s="330">
        <v>35278</v>
      </c>
      <c r="B88" s="331">
        <v>87.957815465117605</v>
      </c>
      <c r="C88" s="333">
        <v>-2E-3</v>
      </c>
      <c r="D88" s="331">
        <v>85.325138601597999</v>
      </c>
      <c r="E88" s="333">
        <v>4.0000000000000001E-3</v>
      </c>
      <c r="F88" s="331">
        <v>87.055928467971995</v>
      </c>
      <c r="G88" s="333">
        <v>-1E-3</v>
      </c>
    </row>
    <row r="89" spans="1:7" ht="15" x14ac:dyDescent="0.3">
      <c r="A89" s="330">
        <v>35309</v>
      </c>
      <c r="B89" s="331">
        <v>87.393755065936404</v>
      </c>
      <c r="C89" s="333">
        <v>-6.0000000000000001E-3</v>
      </c>
      <c r="D89" s="331">
        <v>85.392291036425405</v>
      </c>
      <c r="E89" s="333">
        <v>1E-3</v>
      </c>
      <c r="F89" s="331">
        <v>86.690157068177896</v>
      </c>
      <c r="G89" s="333">
        <v>-4.0000000000000001E-3</v>
      </c>
    </row>
    <row r="90" spans="1:7" ht="15" x14ac:dyDescent="0.3">
      <c r="A90" s="330">
        <v>35339</v>
      </c>
      <c r="B90" s="331">
        <v>88.639495837275902</v>
      </c>
      <c r="C90" s="333">
        <v>1.4E-2</v>
      </c>
      <c r="D90" s="331">
        <v>85.762009354319602</v>
      </c>
      <c r="E90" s="333">
        <v>4.0000000000000001E-3</v>
      </c>
      <c r="F90" s="331">
        <v>87.660459845699293</v>
      </c>
      <c r="G90" s="333">
        <v>1.0999999999999999E-2</v>
      </c>
    </row>
    <row r="91" spans="1:7" ht="15" x14ac:dyDescent="0.3">
      <c r="A91" s="330">
        <v>35370</v>
      </c>
      <c r="B91" s="331">
        <v>89.241227886504205</v>
      </c>
      <c r="C91" s="333">
        <v>7.0000000000000001E-3</v>
      </c>
      <c r="D91" s="331">
        <v>85.153252247195397</v>
      </c>
      <c r="E91" s="333">
        <v>-7.0000000000000001E-3</v>
      </c>
      <c r="F91" s="331">
        <v>87.882955061786404</v>
      </c>
      <c r="G91" s="333">
        <v>3.0000000000000001E-3</v>
      </c>
    </row>
    <row r="92" spans="1:7" ht="15" x14ac:dyDescent="0.3">
      <c r="A92" s="330">
        <v>35400</v>
      </c>
      <c r="B92" s="331">
        <v>88.840953801694795</v>
      </c>
      <c r="C92" s="333">
        <v>-4.0000000000000001E-3</v>
      </c>
      <c r="D92" s="331">
        <v>86.428270614256405</v>
      </c>
      <c r="E92" s="333">
        <v>1.4999999999999999E-2</v>
      </c>
      <c r="F92" s="331">
        <v>88.006403580155805</v>
      </c>
      <c r="G92" s="333">
        <v>1E-3</v>
      </c>
    </row>
    <row r="93" spans="1:7" ht="15" x14ac:dyDescent="0.3">
      <c r="A93" s="330">
        <v>35431</v>
      </c>
      <c r="B93" s="331">
        <v>89.684406982632396</v>
      </c>
      <c r="C93" s="333">
        <v>8.9999999999999993E-3</v>
      </c>
      <c r="D93" s="331">
        <v>88.229338687287793</v>
      </c>
      <c r="E93" s="333">
        <v>2.1000000000000001E-2</v>
      </c>
      <c r="F93" s="331">
        <v>89.147826685927598</v>
      </c>
      <c r="G93" s="333">
        <v>1.2999999999999999E-2</v>
      </c>
    </row>
    <row r="94" spans="1:7" ht="15" x14ac:dyDescent="0.3">
      <c r="A94" s="330">
        <v>35462</v>
      </c>
      <c r="B94" s="331">
        <v>90.971449809804298</v>
      </c>
      <c r="C94" s="333">
        <v>1.4E-2</v>
      </c>
      <c r="D94" s="331">
        <v>88.345217731929196</v>
      </c>
      <c r="E94" s="333">
        <v>1E-3</v>
      </c>
      <c r="F94" s="331">
        <v>90.068598104902605</v>
      </c>
      <c r="G94" s="333">
        <v>0.01</v>
      </c>
    </row>
    <row r="95" spans="1:7" ht="15" x14ac:dyDescent="0.3">
      <c r="A95" s="330">
        <v>35490</v>
      </c>
      <c r="B95" s="331">
        <v>90.606384871580701</v>
      </c>
      <c r="C95" s="333">
        <v>-4.0000000000000001E-3</v>
      </c>
      <c r="D95" s="331">
        <v>87.983000901424901</v>
      </c>
      <c r="E95" s="333">
        <v>-4.0000000000000001E-3</v>
      </c>
      <c r="F95" s="331">
        <v>89.704759370722996</v>
      </c>
      <c r="G95" s="333">
        <v>-4.0000000000000001E-3</v>
      </c>
    </row>
    <row r="96" spans="1:7" ht="15" x14ac:dyDescent="0.3">
      <c r="A96" s="330">
        <v>35521</v>
      </c>
      <c r="B96" s="331">
        <v>92.320654353903294</v>
      </c>
      <c r="C96" s="333">
        <v>1.9E-2</v>
      </c>
      <c r="D96" s="331">
        <v>87.795645555467402</v>
      </c>
      <c r="E96" s="333">
        <v>-2E-3</v>
      </c>
      <c r="F96" s="331">
        <v>90.824578086922997</v>
      </c>
      <c r="G96" s="333">
        <v>1.2E-2</v>
      </c>
    </row>
    <row r="97" spans="1:7" ht="15" x14ac:dyDescent="0.3">
      <c r="A97" s="330">
        <v>35551</v>
      </c>
      <c r="B97" s="331">
        <v>92.465071643745802</v>
      </c>
      <c r="C97" s="333">
        <v>2E-3</v>
      </c>
      <c r="D97" s="331">
        <v>87.413469986505604</v>
      </c>
      <c r="E97" s="333">
        <v>-4.0000000000000001E-3</v>
      </c>
      <c r="F97" s="331">
        <v>90.804535618723605</v>
      </c>
      <c r="G97" s="333">
        <v>0</v>
      </c>
    </row>
    <row r="98" spans="1:7" ht="15" x14ac:dyDescent="0.3">
      <c r="A98" s="330">
        <v>35582</v>
      </c>
      <c r="B98" s="331">
        <v>92.164699427379105</v>
      </c>
      <c r="C98" s="333">
        <v>-3.0000000000000001E-3</v>
      </c>
      <c r="D98" s="331">
        <v>87.390559644997793</v>
      </c>
      <c r="E98" s="333">
        <v>0</v>
      </c>
      <c r="F98" s="331">
        <v>90.591144584876403</v>
      </c>
      <c r="G98" s="333">
        <v>-2E-3</v>
      </c>
    </row>
    <row r="99" spans="1:7" ht="15" x14ac:dyDescent="0.3">
      <c r="A99" s="330">
        <v>35612</v>
      </c>
      <c r="B99" s="331">
        <v>94.712500696636894</v>
      </c>
      <c r="C99" s="333">
        <v>2.8000000000000001E-2</v>
      </c>
      <c r="D99" s="331">
        <v>87.988944431307701</v>
      </c>
      <c r="E99" s="333">
        <v>7.0000000000000001E-3</v>
      </c>
      <c r="F99" s="331">
        <v>92.526248840445007</v>
      </c>
      <c r="G99" s="333">
        <v>2.1000000000000001E-2</v>
      </c>
    </row>
    <row r="100" spans="1:7" ht="15" x14ac:dyDescent="0.3">
      <c r="A100" s="330">
        <v>35643</v>
      </c>
      <c r="B100" s="331">
        <v>94.227022761993396</v>
      </c>
      <c r="C100" s="333">
        <v>-5.0000000000000001E-3</v>
      </c>
      <c r="D100" s="331">
        <v>87.958678338877604</v>
      </c>
      <c r="E100" s="333">
        <v>0</v>
      </c>
      <c r="F100" s="331">
        <v>92.184106290116404</v>
      </c>
      <c r="G100" s="333">
        <v>-4.0000000000000001E-3</v>
      </c>
    </row>
    <row r="101" spans="1:7" ht="15" x14ac:dyDescent="0.3">
      <c r="A101" s="330">
        <v>35674</v>
      </c>
      <c r="B101" s="331">
        <v>96.0033161005219</v>
      </c>
      <c r="C101" s="333">
        <v>1.9E-2</v>
      </c>
      <c r="D101" s="331">
        <v>89.919352496602698</v>
      </c>
      <c r="E101" s="333">
        <v>2.1999999999999999E-2</v>
      </c>
      <c r="F101" s="331">
        <v>94.017208854780705</v>
      </c>
      <c r="G101" s="333">
        <v>0.02</v>
      </c>
    </row>
    <row r="102" spans="1:7" ht="15" x14ac:dyDescent="0.3">
      <c r="A102" s="330">
        <v>35704</v>
      </c>
      <c r="B102" s="331">
        <v>96.802134230560398</v>
      </c>
      <c r="C102" s="333">
        <v>8.0000000000000002E-3</v>
      </c>
      <c r="D102" s="331">
        <v>88.422713342788697</v>
      </c>
      <c r="E102" s="333">
        <v>-1.7000000000000001E-2</v>
      </c>
      <c r="F102" s="331">
        <v>94.089519626397205</v>
      </c>
      <c r="G102" s="333">
        <v>1E-3</v>
      </c>
    </row>
    <row r="103" spans="1:7" ht="15" x14ac:dyDescent="0.3">
      <c r="A103" s="330">
        <v>35735</v>
      </c>
      <c r="B103" s="331">
        <v>96.140546502016406</v>
      </c>
      <c r="C103" s="333">
        <v>-7.0000000000000001E-3</v>
      </c>
      <c r="D103" s="331">
        <v>89.658103418188901</v>
      </c>
      <c r="E103" s="333">
        <v>1.4E-2</v>
      </c>
      <c r="F103" s="331">
        <v>94.030903319994707</v>
      </c>
      <c r="G103" s="333">
        <v>-1E-3</v>
      </c>
    </row>
    <row r="104" spans="1:7" ht="15" x14ac:dyDescent="0.3">
      <c r="A104" s="330">
        <v>35765</v>
      </c>
      <c r="B104" s="331">
        <v>96.8030658310647</v>
      </c>
      <c r="C104" s="333">
        <v>7.0000000000000001E-3</v>
      </c>
      <c r="D104" s="331">
        <v>89.917731746492393</v>
      </c>
      <c r="E104" s="333">
        <v>3.0000000000000001E-3</v>
      </c>
      <c r="F104" s="331">
        <v>94.564517112329597</v>
      </c>
      <c r="G104" s="333">
        <v>6.0000000000000001E-3</v>
      </c>
    </row>
    <row r="105" spans="1:7" ht="15" x14ac:dyDescent="0.3">
      <c r="A105" s="330">
        <v>35796</v>
      </c>
      <c r="B105" s="331">
        <v>98.166876865415503</v>
      </c>
      <c r="C105" s="333">
        <v>1.4E-2</v>
      </c>
      <c r="D105" s="331">
        <v>90.472876446092002</v>
      </c>
      <c r="E105" s="333">
        <v>6.0000000000000001E-3</v>
      </c>
      <c r="F105" s="331">
        <v>95.668440338488395</v>
      </c>
      <c r="G105" s="333">
        <v>1.2E-2</v>
      </c>
    </row>
    <row r="106" spans="1:7" ht="15" x14ac:dyDescent="0.3">
      <c r="A106" s="330">
        <v>35827</v>
      </c>
      <c r="B106" s="331">
        <v>98.004439323203002</v>
      </c>
      <c r="C106" s="333">
        <v>-2E-3</v>
      </c>
      <c r="D106" s="331">
        <v>90.684319352562895</v>
      </c>
      <c r="E106" s="333">
        <v>2E-3</v>
      </c>
      <c r="F106" s="331">
        <v>95.626543973264702</v>
      </c>
      <c r="G106" s="333">
        <v>0</v>
      </c>
    </row>
    <row r="107" spans="1:7" ht="15" x14ac:dyDescent="0.3">
      <c r="A107" s="330">
        <v>35855</v>
      </c>
      <c r="B107" s="331">
        <v>98.825960864161303</v>
      </c>
      <c r="C107" s="333">
        <v>8.0000000000000002E-3</v>
      </c>
      <c r="D107" s="331">
        <v>89.522716846170397</v>
      </c>
      <c r="E107" s="333">
        <v>-1.2999999999999999E-2</v>
      </c>
      <c r="F107" s="331">
        <v>95.806234692089205</v>
      </c>
      <c r="G107" s="333">
        <v>2E-3</v>
      </c>
    </row>
    <row r="108" spans="1:7" ht="15" x14ac:dyDescent="0.3">
      <c r="A108" s="330">
        <v>35886</v>
      </c>
      <c r="B108" s="331">
        <v>100.450475916068</v>
      </c>
      <c r="C108" s="333">
        <v>1.6E-2</v>
      </c>
      <c r="D108" s="331">
        <v>91.169780507537595</v>
      </c>
      <c r="E108" s="333">
        <v>1.7999999999999999E-2</v>
      </c>
      <c r="F108" s="331">
        <v>97.438094516812896</v>
      </c>
      <c r="G108" s="333">
        <v>1.7000000000000001E-2</v>
      </c>
    </row>
    <row r="109" spans="1:7" ht="15" x14ac:dyDescent="0.3">
      <c r="A109" s="330">
        <v>35916</v>
      </c>
      <c r="B109" s="331">
        <v>100.50470501448</v>
      </c>
      <c r="C109" s="333">
        <v>1E-3</v>
      </c>
      <c r="D109" s="331">
        <v>91.181381929241695</v>
      </c>
      <c r="E109" s="333">
        <v>0</v>
      </c>
      <c r="F109" s="331">
        <v>97.478444931187497</v>
      </c>
      <c r="G109" s="333">
        <v>0</v>
      </c>
    </row>
    <row r="110" spans="1:7" ht="15" x14ac:dyDescent="0.3">
      <c r="A110" s="330">
        <v>35947</v>
      </c>
      <c r="B110" s="331">
        <v>101.094741164204</v>
      </c>
      <c r="C110" s="333">
        <v>6.0000000000000001E-3</v>
      </c>
      <c r="D110" s="331">
        <v>89.763416974319895</v>
      </c>
      <c r="E110" s="333">
        <v>-1.6E-2</v>
      </c>
      <c r="F110" s="331">
        <v>97.413024975271995</v>
      </c>
      <c r="G110" s="333">
        <v>-1E-3</v>
      </c>
    </row>
    <row r="111" spans="1:7" ht="15" x14ac:dyDescent="0.3">
      <c r="A111" s="330">
        <v>35977</v>
      </c>
      <c r="B111" s="331">
        <v>101.14663891427401</v>
      </c>
      <c r="C111" s="333">
        <v>1E-3</v>
      </c>
      <c r="D111" s="331">
        <v>89.623192156772703</v>
      </c>
      <c r="E111" s="333">
        <v>-2E-3</v>
      </c>
      <c r="F111" s="331">
        <v>97.402092517937604</v>
      </c>
      <c r="G111" s="333">
        <v>0</v>
      </c>
    </row>
    <row r="112" spans="1:7" ht="15" x14ac:dyDescent="0.3">
      <c r="A112" s="330">
        <v>36008</v>
      </c>
      <c r="B112" s="331">
        <v>100.296437789436</v>
      </c>
      <c r="C112" s="333">
        <v>-8.0000000000000002E-3</v>
      </c>
      <c r="D112" s="331">
        <v>92.274383290830002</v>
      </c>
      <c r="E112" s="333">
        <v>0.03</v>
      </c>
      <c r="F112" s="331">
        <v>97.698518272309599</v>
      </c>
      <c r="G112" s="333">
        <v>3.0000000000000001E-3</v>
      </c>
    </row>
    <row r="113" spans="1:7" ht="15" x14ac:dyDescent="0.3">
      <c r="A113" s="330">
        <v>36039</v>
      </c>
      <c r="B113" s="331">
        <v>99.795644154352303</v>
      </c>
      <c r="C113" s="333">
        <v>-5.0000000000000001E-3</v>
      </c>
      <c r="D113" s="331">
        <v>90.053955434542999</v>
      </c>
      <c r="E113" s="333">
        <v>-2.4E-2</v>
      </c>
      <c r="F113" s="331">
        <v>96.633827142027698</v>
      </c>
      <c r="G113" s="333">
        <v>-1.0999999999999999E-2</v>
      </c>
    </row>
    <row r="114" spans="1:7" ht="15" x14ac:dyDescent="0.3">
      <c r="A114" s="330">
        <v>36069</v>
      </c>
      <c r="B114" s="331">
        <v>100.668977701331</v>
      </c>
      <c r="C114" s="333">
        <v>8.9999999999999993E-3</v>
      </c>
      <c r="D114" s="331">
        <v>92.883808834437403</v>
      </c>
      <c r="E114" s="333">
        <v>3.1E-2</v>
      </c>
      <c r="F114" s="331">
        <v>98.149048241187202</v>
      </c>
      <c r="G114" s="333">
        <v>1.6E-2</v>
      </c>
    </row>
    <row r="115" spans="1:7" ht="15" x14ac:dyDescent="0.3">
      <c r="A115" s="330">
        <v>36100</v>
      </c>
      <c r="B115" s="331">
        <v>100.772447918523</v>
      </c>
      <c r="C115" s="333">
        <v>1E-3</v>
      </c>
      <c r="D115" s="331">
        <v>93.255505518922803</v>
      </c>
      <c r="E115" s="333">
        <v>4.0000000000000001E-3</v>
      </c>
      <c r="F115" s="331">
        <v>98.340493882160203</v>
      </c>
      <c r="G115" s="333">
        <v>2E-3</v>
      </c>
    </row>
    <row r="116" spans="1:7" ht="15" x14ac:dyDescent="0.3">
      <c r="A116" s="330">
        <v>36130</v>
      </c>
      <c r="B116" s="331">
        <v>99.883104223080295</v>
      </c>
      <c r="C116" s="333">
        <v>-8.9999999999999993E-3</v>
      </c>
      <c r="D116" s="331">
        <v>93.540623859530996</v>
      </c>
      <c r="E116" s="333">
        <v>3.0000000000000001E-3</v>
      </c>
      <c r="F116" s="331">
        <v>97.835667924808106</v>
      </c>
      <c r="G116" s="333">
        <v>-5.0000000000000001E-3</v>
      </c>
    </row>
    <row r="117" spans="1:7" ht="15" x14ac:dyDescent="0.3">
      <c r="A117" s="330">
        <v>36161</v>
      </c>
      <c r="B117" s="331">
        <v>99.839683565585503</v>
      </c>
      <c r="C117" s="333">
        <v>0</v>
      </c>
      <c r="D117" s="331">
        <v>93.411192941823103</v>
      </c>
      <c r="E117" s="333">
        <v>-1E-3</v>
      </c>
      <c r="F117" s="331">
        <v>97.764081897737299</v>
      </c>
      <c r="G117" s="333">
        <v>-1E-3</v>
      </c>
    </row>
    <row r="118" spans="1:7" ht="15" x14ac:dyDescent="0.3">
      <c r="A118" s="330">
        <v>36192</v>
      </c>
      <c r="B118" s="331">
        <v>101.66962656403101</v>
      </c>
      <c r="C118" s="333">
        <v>1.7999999999999999E-2</v>
      </c>
      <c r="D118" s="331">
        <v>93.577249372695505</v>
      </c>
      <c r="E118" s="333">
        <v>2E-3</v>
      </c>
      <c r="F118" s="331">
        <v>99.050380119882306</v>
      </c>
      <c r="G118" s="333">
        <v>1.2999999999999999E-2</v>
      </c>
    </row>
    <row r="119" spans="1:7" ht="15" x14ac:dyDescent="0.3">
      <c r="A119" s="330">
        <v>36220</v>
      </c>
      <c r="B119" s="331">
        <v>102.752516551574</v>
      </c>
      <c r="C119" s="333">
        <v>1.0999999999999999E-2</v>
      </c>
      <c r="D119" s="331">
        <v>93.707840741646706</v>
      </c>
      <c r="E119" s="333">
        <v>1E-3</v>
      </c>
      <c r="F119" s="331">
        <v>99.822376909455102</v>
      </c>
      <c r="G119" s="333">
        <v>8.0000000000000002E-3</v>
      </c>
    </row>
    <row r="120" spans="1:7" ht="15" x14ac:dyDescent="0.3">
      <c r="A120" s="330">
        <v>36251</v>
      </c>
      <c r="B120" s="331">
        <v>101.944134795203</v>
      </c>
      <c r="C120" s="333">
        <v>-8.0000000000000002E-3</v>
      </c>
      <c r="D120" s="331">
        <v>93.6139691158874</v>
      </c>
      <c r="E120" s="333">
        <v>-1E-3</v>
      </c>
      <c r="F120" s="331">
        <v>99.247091099028594</v>
      </c>
      <c r="G120" s="333">
        <v>-6.0000000000000001E-3</v>
      </c>
    </row>
    <row r="121" spans="1:7" ht="15" x14ac:dyDescent="0.3">
      <c r="A121" s="330">
        <v>36281</v>
      </c>
      <c r="B121" s="331">
        <v>102.384810940012</v>
      </c>
      <c r="C121" s="333">
        <v>4.0000000000000001E-3</v>
      </c>
      <c r="D121" s="331">
        <v>92.995405716646601</v>
      </c>
      <c r="E121" s="333">
        <v>-7.0000000000000001E-3</v>
      </c>
      <c r="F121" s="331">
        <v>99.342297497276306</v>
      </c>
      <c r="G121" s="333">
        <v>1E-3</v>
      </c>
    </row>
    <row r="122" spans="1:7" ht="15" x14ac:dyDescent="0.3">
      <c r="A122" s="330">
        <v>36312</v>
      </c>
      <c r="B122" s="331">
        <v>102.303261947991</v>
      </c>
      <c r="C122" s="333">
        <v>-1E-3</v>
      </c>
      <c r="D122" s="331">
        <v>94.072863121380493</v>
      </c>
      <c r="E122" s="333">
        <v>1.2E-2</v>
      </c>
      <c r="F122" s="331">
        <v>99.638564400624503</v>
      </c>
      <c r="G122" s="333">
        <v>3.0000000000000001E-3</v>
      </c>
    </row>
    <row r="123" spans="1:7" ht="15" x14ac:dyDescent="0.3">
      <c r="A123" s="330">
        <v>36342</v>
      </c>
      <c r="B123" s="331">
        <v>101.950008773623</v>
      </c>
      <c r="C123" s="333">
        <v>-3.0000000000000001E-3</v>
      </c>
      <c r="D123" s="331">
        <v>95.7057686990929</v>
      </c>
      <c r="E123" s="333">
        <v>1.7000000000000001E-2</v>
      </c>
      <c r="F123" s="331">
        <v>99.932298600639399</v>
      </c>
      <c r="G123" s="333">
        <v>3.0000000000000001E-3</v>
      </c>
    </row>
    <row r="124" spans="1:7" ht="15" x14ac:dyDescent="0.3">
      <c r="A124" s="330">
        <v>36373</v>
      </c>
      <c r="B124" s="331">
        <v>102.802903030813</v>
      </c>
      <c r="C124" s="333">
        <v>8.0000000000000002E-3</v>
      </c>
      <c r="D124" s="331">
        <v>95.641094835802306</v>
      </c>
      <c r="E124" s="333">
        <v>-1E-3</v>
      </c>
      <c r="F124" s="331">
        <v>100.486588090651</v>
      </c>
      <c r="G124" s="333">
        <v>6.0000000000000001E-3</v>
      </c>
    </row>
    <row r="125" spans="1:7" ht="15" x14ac:dyDescent="0.3">
      <c r="A125" s="330">
        <v>36404</v>
      </c>
      <c r="B125" s="331">
        <v>104.027559648391</v>
      </c>
      <c r="C125" s="333">
        <v>1.2E-2</v>
      </c>
      <c r="D125" s="331">
        <v>97.158931301840099</v>
      </c>
      <c r="E125" s="333">
        <v>1.6E-2</v>
      </c>
      <c r="F125" s="331">
        <v>101.806804695043</v>
      </c>
      <c r="G125" s="333">
        <v>1.2999999999999999E-2</v>
      </c>
    </row>
    <row r="126" spans="1:7" ht="15" x14ac:dyDescent="0.3">
      <c r="A126" s="330">
        <v>36434</v>
      </c>
      <c r="B126" s="331">
        <v>104.062192043419</v>
      </c>
      <c r="C126" s="333">
        <v>0</v>
      </c>
      <c r="D126" s="331">
        <v>98.131853656318498</v>
      </c>
      <c r="E126" s="333">
        <v>0.01</v>
      </c>
      <c r="F126" s="331">
        <v>102.146570743795</v>
      </c>
      <c r="G126" s="333">
        <v>3.0000000000000001E-3</v>
      </c>
    </row>
    <row r="127" spans="1:7" ht="15" x14ac:dyDescent="0.3">
      <c r="A127" s="330">
        <v>36465</v>
      </c>
      <c r="B127" s="331">
        <v>104.131023827189</v>
      </c>
      <c r="C127" s="333">
        <v>1E-3</v>
      </c>
      <c r="D127" s="331">
        <v>98.834347908723899</v>
      </c>
      <c r="E127" s="333">
        <v>7.0000000000000001E-3</v>
      </c>
      <c r="F127" s="331">
        <v>102.421369628519</v>
      </c>
      <c r="G127" s="333">
        <v>3.0000000000000001E-3</v>
      </c>
    </row>
    <row r="128" spans="1:7" ht="15" x14ac:dyDescent="0.3">
      <c r="A128" s="330">
        <v>36495</v>
      </c>
      <c r="B128" s="331">
        <v>105.00053589556801</v>
      </c>
      <c r="C128" s="333">
        <v>8.0000000000000002E-3</v>
      </c>
      <c r="D128" s="331">
        <v>95.278408100963503</v>
      </c>
      <c r="E128" s="333">
        <v>-3.5999999999999997E-2</v>
      </c>
      <c r="F128" s="331">
        <v>101.85324724327</v>
      </c>
      <c r="G128" s="333">
        <v>-6.0000000000000001E-3</v>
      </c>
    </row>
    <row r="129" spans="1:7" ht="15" x14ac:dyDescent="0.3">
      <c r="A129" s="330">
        <v>36526</v>
      </c>
      <c r="B129" s="331">
        <v>104.249420760104</v>
      </c>
      <c r="C129" s="333">
        <v>-7.0000000000000001E-3</v>
      </c>
      <c r="D129" s="331">
        <v>95.346045676963101</v>
      </c>
      <c r="E129" s="333">
        <v>1E-3</v>
      </c>
      <c r="F129" s="331">
        <v>101.367902369902</v>
      </c>
      <c r="G129" s="333">
        <v>-5.0000000000000001E-3</v>
      </c>
    </row>
    <row r="130" spans="1:7" ht="15" x14ac:dyDescent="0.3">
      <c r="A130" s="330">
        <v>36557</v>
      </c>
      <c r="B130" s="331">
        <v>104.143909127237</v>
      </c>
      <c r="C130" s="333">
        <v>-1E-3</v>
      </c>
      <c r="D130" s="331">
        <v>96.738034385545205</v>
      </c>
      <c r="E130" s="333">
        <v>1.4999999999999999E-2</v>
      </c>
      <c r="F130" s="331">
        <v>101.74817109965799</v>
      </c>
      <c r="G130" s="333">
        <v>4.0000000000000001E-3</v>
      </c>
    </row>
    <row r="131" spans="1:7" ht="15" x14ac:dyDescent="0.3">
      <c r="A131" s="330">
        <v>36586</v>
      </c>
      <c r="B131" s="331">
        <v>99.909292450405403</v>
      </c>
      <c r="C131" s="333">
        <v>-4.1000000000000002E-2</v>
      </c>
      <c r="D131" s="331">
        <v>99.152324759098406</v>
      </c>
      <c r="E131" s="333">
        <v>2.5000000000000001E-2</v>
      </c>
      <c r="F131" s="331">
        <v>99.667795246533501</v>
      </c>
      <c r="G131" s="333">
        <v>-0.02</v>
      </c>
    </row>
    <row r="132" spans="1:7" ht="15" x14ac:dyDescent="0.3">
      <c r="A132" s="330">
        <v>36617</v>
      </c>
      <c r="B132" s="331">
        <v>97.983582107058197</v>
      </c>
      <c r="C132" s="333">
        <v>-1.9E-2</v>
      </c>
      <c r="D132" s="331">
        <v>98.982023578335003</v>
      </c>
      <c r="E132" s="333">
        <v>-2E-3</v>
      </c>
      <c r="F132" s="331">
        <v>98.309999922684099</v>
      </c>
      <c r="G132" s="333">
        <v>-1.4E-2</v>
      </c>
    </row>
    <row r="133" spans="1:7" ht="15" x14ac:dyDescent="0.3">
      <c r="A133" s="330">
        <v>36647</v>
      </c>
      <c r="B133" s="331">
        <v>99.3852710118136</v>
      </c>
      <c r="C133" s="333">
        <v>1.4E-2</v>
      </c>
      <c r="D133" s="331">
        <v>100.863363491671</v>
      </c>
      <c r="E133" s="333">
        <v>1.9E-2</v>
      </c>
      <c r="F133" s="331">
        <v>99.866680472158393</v>
      </c>
      <c r="G133" s="333">
        <v>1.6E-2</v>
      </c>
    </row>
    <row r="134" spans="1:7" ht="15" x14ac:dyDescent="0.3">
      <c r="A134" s="330">
        <v>36678</v>
      </c>
      <c r="B134" s="331">
        <v>100.233214511475</v>
      </c>
      <c r="C134" s="333">
        <v>8.9999999999999993E-3</v>
      </c>
      <c r="D134" s="331">
        <v>100.088355857834</v>
      </c>
      <c r="E134" s="333">
        <v>-8.0000000000000002E-3</v>
      </c>
      <c r="F134" s="331">
        <v>100.191443430359</v>
      </c>
      <c r="G134" s="333">
        <v>3.0000000000000001E-3</v>
      </c>
    </row>
    <row r="135" spans="1:7" ht="15" x14ac:dyDescent="0.3">
      <c r="A135" s="330">
        <v>36708</v>
      </c>
      <c r="B135" s="331">
        <v>98.6865396278953</v>
      </c>
      <c r="C135" s="333">
        <v>-1.4999999999999999E-2</v>
      </c>
      <c r="D135" s="331">
        <v>100.389798257438</v>
      </c>
      <c r="E135" s="333">
        <v>3.0000000000000001E-3</v>
      </c>
      <c r="F135" s="331">
        <v>99.239179502464395</v>
      </c>
      <c r="G135" s="333">
        <v>-0.01</v>
      </c>
    </row>
    <row r="136" spans="1:7" ht="15" x14ac:dyDescent="0.3">
      <c r="A136" s="330">
        <v>36739</v>
      </c>
      <c r="B136" s="331">
        <v>100.924232089946</v>
      </c>
      <c r="C136" s="333">
        <v>2.3E-2</v>
      </c>
      <c r="D136" s="331">
        <v>100.467899097284</v>
      </c>
      <c r="E136" s="333">
        <v>1E-3</v>
      </c>
      <c r="F136" s="331">
        <v>100.784063366895</v>
      </c>
      <c r="G136" s="333">
        <v>1.6E-2</v>
      </c>
    </row>
    <row r="137" spans="1:7" ht="15" x14ac:dyDescent="0.3">
      <c r="A137" s="330">
        <v>36770</v>
      </c>
      <c r="B137" s="331">
        <v>98.787142334511103</v>
      </c>
      <c r="C137" s="333">
        <v>-2.1000000000000001E-2</v>
      </c>
      <c r="D137" s="331">
        <v>102.618121168794</v>
      </c>
      <c r="E137" s="333">
        <v>2.1000000000000001E-2</v>
      </c>
      <c r="F137" s="331">
        <v>100.01867693673</v>
      </c>
      <c r="G137" s="333">
        <v>-8.0000000000000002E-3</v>
      </c>
    </row>
    <row r="138" spans="1:7" ht="15" x14ac:dyDescent="0.3">
      <c r="A138" s="330">
        <v>36800</v>
      </c>
      <c r="B138" s="331">
        <v>98.731759691897096</v>
      </c>
      <c r="C138" s="333">
        <v>-1E-3</v>
      </c>
      <c r="D138" s="331">
        <v>101.826474928031</v>
      </c>
      <c r="E138" s="333">
        <v>-8.0000000000000002E-3</v>
      </c>
      <c r="F138" s="331">
        <v>99.728410134217</v>
      </c>
      <c r="G138" s="333">
        <v>-3.0000000000000001E-3</v>
      </c>
    </row>
    <row r="139" spans="1:7" ht="15" x14ac:dyDescent="0.3">
      <c r="A139" s="330">
        <v>36831</v>
      </c>
      <c r="B139" s="331">
        <v>99.110650499604404</v>
      </c>
      <c r="C139" s="333">
        <v>4.0000000000000001E-3</v>
      </c>
      <c r="D139" s="331">
        <v>102.57358592587499</v>
      </c>
      <c r="E139" s="333">
        <v>7.0000000000000001E-3</v>
      </c>
      <c r="F139" s="331">
        <v>100.224431520715</v>
      </c>
      <c r="G139" s="333">
        <v>5.0000000000000001E-3</v>
      </c>
    </row>
    <row r="140" spans="1:7" ht="15" x14ac:dyDescent="0.3">
      <c r="A140" s="330">
        <v>36861</v>
      </c>
      <c r="B140" s="331">
        <v>97.854985788052502</v>
      </c>
      <c r="C140" s="333">
        <v>-1.2999999999999999E-2</v>
      </c>
      <c r="D140" s="331">
        <v>100.953972873132</v>
      </c>
      <c r="E140" s="333">
        <v>-1.6E-2</v>
      </c>
      <c r="F140" s="331">
        <v>98.853245997682905</v>
      </c>
      <c r="G140" s="333">
        <v>-1.4E-2</v>
      </c>
    </row>
    <row r="141" spans="1:7" ht="15" x14ac:dyDescent="0.3">
      <c r="A141" s="330">
        <v>36892</v>
      </c>
      <c r="B141" s="331">
        <v>99.199607637542599</v>
      </c>
      <c r="C141" s="333">
        <v>1.4E-2</v>
      </c>
      <c r="D141" s="331">
        <v>101.579073833389</v>
      </c>
      <c r="E141" s="333">
        <v>6.0000000000000001E-3</v>
      </c>
      <c r="F141" s="331">
        <v>99.971029255236104</v>
      </c>
      <c r="G141" s="333">
        <v>1.0999999999999999E-2</v>
      </c>
    </row>
    <row r="142" spans="1:7" ht="15" x14ac:dyDescent="0.3">
      <c r="A142" s="330">
        <v>36923</v>
      </c>
      <c r="B142" s="331">
        <v>98.525808324327599</v>
      </c>
      <c r="C142" s="333">
        <v>-7.0000000000000001E-3</v>
      </c>
      <c r="D142" s="331">
        <v>100.629519775845</v>
      </c>
      <c r="E142" s="333">
        <v>-8.9999999999999993E-3</v>
      </c>
      <c r="F142" s="331">
        <v>99.210362328704306</v>
      </c>
      <c r="G142" s="333">
        <v>-8.0000000000000002E-3</v>
      </c>
    </row>
    <row r="143" spans="1:7" ht="15" x14ac:dyDescent="0.3">
      <c r="A143" s="330">
        <v>36951</v>
      </c>
      <c r="B143" s="331">
        <v>99.390564864869205</v>
      </c>
      <c r="C143" s="333">
        <v>8.9999999999999993E-3</v>
      </c>
      <c r="D143" s="331">
        <v>100.440636062256</v>
      </c>
      <c r="E143" s="333">
        <v>-2E-3</v>
      </c>
      <c r="F143" s="331">
        <v>99.745309003920198</v>
      </c>
      <c r="G143" s="333">
        <v>5.0000000000000001E-3</v>
      </c>
    </row>
    <row r="144" spans="1:7" ht="15" x14ac:dyDescent="0.3">
      <c r="A144" s="330">
        <v>36982</v>
      </c>
      <c r="B144" s="331">
        <v>98.611927767009107</v>
      </c>
      <c r="C144" s="333">
        <v>-8.0000000000000002E-3</v>
      </c>
      <c r="D144" s="331">
        <v>100.71166637687899</v>
      </c>
      <c r="E144" s="333">
        <v>3.0000000000000001E-3</v>
      </c>
      <c r="F144" s="331">
        <v>99.293958813580602</v>
      </c>
      <c r="G144" s="333">
        <v>-5.0000000000000001E-3</v>
      </c>
    </row>
    <row r="145" spans="1:7" ht="15" x14ac:dyDescent="0.3">
      <c r="A145" s="330">
        <v>37012</v>
      </c>
      <c r="B145" s="331">
        <v>100.058641415042</v>
      </c>
      <c r="C145" s="333">
        <v>1.4999999999999999E-2</v>
      </c>
      <c r="D145" s="331">
        <v>100.61477106256</v>
      </c>
      <c r="E145" s="333">
        <v>-1E-3</v>
      </c>
      <c r="F145" s="331">
        <v>100.26140234623399</v>
      </c>
      <c r="G145" s="333">
        <v>0.01</v>
      </c>
    </row>
    <row r="146" spans="1:7" ht="15" x14ac:dyDescent="0.3">
      <c r="A146" s="330">
        <v>37043</v>
      </c>
      <c r="B146" s="331">
        <v>98.714398383693606</v>
      </c>
      <c r="C146" s="333">
        <v>-1.2999999999999999E-2</v>
      </c>
      <c r="D146" s="331">
        <v>100.282404632024</v>
      </c>
      <c r="E146" s="333">
        <v>-3.0000000000000001E-3</v>
      </c>
      <c r="F146" s="331">
        <v>99.229938473681102</v>
      </c>
      <c r="G146" s="333">
        <v>-0.01</v>
      </c>
    </row>
    <row r="147" spans="1:7" ht="15" x14ac:dyDescent="0.3">
      <c r="A147" s="330">
        <v>37073</v>
      </c>
      <c r="B147" s="331">
        <v>98.358503928608201</v>
      </c>
      <c r="C147" s="333">
        <v>-4.0000000000000001E-3</v>
      </c>
      <c r="D147" s="331">
        <v>101.415848378882</v>
      </c>
      <c r="E147" s="333">
        <v>1.0999999999999999E-2</v>
      </c>
      <c r="F147" s="331">
        <v>99.333041587707299</v>
      </c>
      <c r="G147" s="333">
        <v>1E-3</v>
      </c>
    </row>
    <row r="148" spans="1:7" ht="15" x14ac:dyDescent="0.3">
      <c r="A148" s="330">
        <v>37104</v>
      </c>
      <c r="B148" s="331">
        <v>100.318997003909</v>
      </c>
      <c r="C148" s="333">
        <v>0.02</v>
      </c>
      <c r="D148" s="331">
        <v>103.164774418639</v>
      </c>
      <c r="E148" s="333">
        <v>1.7000000000000001E-2</v>
      </c>
      <c r="F148" s="331">
        <v>101.229298584852</v>
      </c>
      <c r="G148" s="333">
        <v>1.9E-2</v>
      </c>
    </row>
    <row r="149" spans="1:7" ht="15" x14ac:dyDescent="0.3">
      <c r="A149" s="330">
        <v>37135</v>
      </c>
      <c r="B149" s="331">
        <v>97.419684859167404</v>
      </c>
      <c r="C149" s="333">
        <v>-2.9000000000000001E-2</v>
      </c>
      <c r="D149" s="331">
        <v>79.207787495040193</v>
      </c>
      <c r="E149" s="333">
        <v>-0.23200000000000001</v>
      </c>
      <c r="F149" s="331">
        <v>91.890683174245694</v>
      </c>
      <c r="G149" s="333">
        <v>-9.1999999999999998E-2</v>
      </c>
    </row>
    <row r="150" spans="1:7" ht="15" x14ac:dyDescent="0.3">
      <c r="A150" s="330">
        <v>37165</v>
      </c>
      <c r="B150" s="331">
        <v>98.616449170564394</v>
      </c>
      <c r="C150" s="333">
        <v>1.2E-2</v>
      </c>
      <c r="D150" s="331">
        <v>83.365219084669206</v>
      </c>
      <c r="E150" s="333">
        <v>5.1999999999999998E-2</v>
      </c>
      <c r="F150" s="331">
        <v>93.989044714666207</v>
      </c>
      <c r="G150" s="333">
        <v>2.3E-2</v>
      </c>
    </row>
    <row r="151" spans="1:7" ht="15" x14ac:dyDescent="0.3">
      <c r="A151" s="330">
        <v>37196</v>
      </c>
      <c r="B151" s="331">
        <v>97.631330028243795</v>
      </c>
      <c r="C151" s="333">
        <v>-0.01</v>
      </c>
      <c r="D151" s="331">
        <v>86.509258886537097</v>
      </c>
      <c r="E151" s="333">
        <v>3.7999999999999999E-2</v>
      </c>
      <c r="F151" s="331">
        <v>94.2558988376001</v>
      </c>
      <c r="G151" s="333">
        <v>3.0000000000000001E-3</v>
      </c>
    </row>
    <row r="152" spans="1:7" ht="15" x14ac:dyDescent="0.3">
      <c r="A152" s="330">
        <v>37226</v>
      </c>
      <c r="B152" s="331">
        <v>97.276268385739797</v>
      </c>
      <c r="C152" s="333">
        <v>-4.0000000000000001E-3</v>
      </c>
      <c r="D152" s="331">
        <v>91.268067902479402</v>
      </c>
      <c r="E152" s="333">
        <v>5.5E-2</v>
      </c>
      <c r="F152" s="331">
        <v>95.444976941577394</v>
      </c>
      <c r="G152" s="333">
        <v>1.2999999999999999E-2</v>
      </c>
    </row>
    <row r="153" spans="1:7" ht="15" x14ac:dyDescent="0.3">
      <c r="A153" s="330">
        <v>37257</v>
      </c>
      <c r="B153" s="331">
        <v>98.1723113282833</v>
      </c>
      <c r="C153" s="333">
        <v>8.9999999999999993E-3</v>
      </c>
      <c r="D153" s="331">
        <v>91.549149097347097</v>
      </c>
      <c r="E153" s="333">
        <v>3.0000000000000001E-3</v>
      </c>
      <c r="F153" s="331">
        <v>96.155867693500497</v>
      </c>
      <c r="G153" s="333">
        <v>7.0000000000000001E-3</v>
      </c>
    </row>
    <row r="154" spans="1:7" ht="15" x14ac:dyDescent="0.3">
      <c r="A154" s="330">
        <v>37288</v>
      </c>
      <c r="B154" s="331">
        <v>98.931363627032098</v>
      </c>
      <c r="C154" s="333">
        <v>8.0000000000000002E-3</v>
      </c>
      <c r="D154" s="331">
        <v>93.071218946519394</v>
      </c>
      <c r="E154" s="333">
        <v>1.7000000000000001E-2</v>
      </c>
      <c r="F154" s="331">
        <v>97.143235981210097</v>
      </c>
      <c r="G154" s="333">
        <v>0.01</v>
      </c>
    </row>
    <row r="155" spans="1:7" ht="15" x14ac:dyDescent="0.3">
      <c r="A155" s="330">
        <v>37316</v>
      </c>
      <c r="B155" s="331">
        <v>98.806818623079906</v>
      </c>
      <c r="C155" s="333">
        <v>-1E-3</v>
      </c>
      <c r="D155" s="331">
        <v>93.137833480324005</v>
      </c>
      <c r="E155" s="333">
        <v>1E-3</v>
      </c>
      <c r="F155" s="331">
        <v>97.075795890806205</v>
      </c>
      <c r="G155" s="333">
        <v>-1E-3</v>
      </c>
    </row>
    <row r="156" spans="1:7" ht="15" x14ac:dyDescent="0.3">
      <c r="A156" s="330">
        <v>37347</v>
      </c>
      <c r="B156" s="331">
        <v>99.250561280991207</v>
      </c>
      <c r="C156" s="333">
        <v>4.0000000000000001E-3</v>
      </c>
      <c r="D156" s="331">
        <v>93.270267709368895</v>
      </c>
      <c r="E156" s="333">
        <v>1E-3</v>
      </c>
      <c r="F156" s="331">
        <v>97.426737856311505</v>
      </c>
      <c r="G156" s="333">
        <v>4.0000000000000001E-3</v>
      </c>
    </row>
    <row r="157" spans="1:7" ht="15" x14ac:dyDescent="0.3">
      <c r="A157" s="330">
        <v>37377</v>
      </c>
      <c r="B157" s="331">
        <v>101.11598548264401</v>
      </c>
      <c r="C157" s="333">
        <v>1.9E-2</v>
      </c>
      <c r="D157" s="331">
        <v>94.394362360368106</v>
      </c>
      <c r="E157" s="333">
        <v>1.2E-2</v>
      </c>
      <c r="F157" s="331">
        <v>99.071401398048096</v>
      </c>
      <c r="G157" s="333">
        <v>1.7000000000000001E-2</v>
      </c>
    </row>
    <row r="158" spans="1:7" ht="15" x14ac:dyDescent="0.3">
      <c r="A158" s="330">
        <v>37408</v>
      </c>
      <c r="B158" s="331">
        <v>101.387464412101</v>
      </c>
      <c r="C158" s="333">
        <v>3.0000000000000001E-3</v>
      </c>
      <c r="D158" s="331">
        <v>94.412096334168794</v>
      </c>
      <c r="E158" s="333">
        <v>0</v>
      </c>
      <c r="F158" s="331">
        <v>99.267711939920801</v>
      </c>
      <c r="G158" s="333">
        <v>2E-3</v>
      </c>
    </row>
    <row r="159" spans="1:7" ht="15" x14ac:dyDescent="0.3">
      <c r="A159" s="330">
        <v>37438</v>
      </c>
      <c r="B159" s="331">
        <v>102.978854655837</v>
      </c>
      <c r="C159" s="333">
        <v>1.6E-2</v>
      </c>
      <c r="D159" s="331">
        <v>94.142336307002495</v>
      </c>
      <c r="E159" s="333">
        <v>-3.0000000000000001E-3</v>
      </c>
      <c r="F159" s="331">
        <v>100.309409071204</v>
      </c>
      <c r="G159" s="333">
        <v>0.01</v>
      </c>
    </row>
    <row r="160" spans="1:7" ht="15" x14ac:dyDescent="0.3">
      <c r="A160" s="330">
        <v>37469</v>
      </c>
      <c r="B160" s="331">
        <v>102.530605855423</v>
      </c>
      <c r="C160" s="333">
        <v>-4.0000000000000001E-3</v>
      </c>
      <c r="D160" s="331">
        <v>95.337542656078597</v>
      </c>
      <c r="E160" s="333">
        <v>1.2999999999999999E-2</v>
      </c>
      <c r="F160" s="331">
        <v>100.344764983671</v>
      </c>
      <c r="G160" s="333">
        <v>0</v>
      </c>
    </row>
    <row r="161" spans="1:7" ht="15" x14ac:dyDescent="0.3">
      <c r="A161" s="330">
        <v>37500</v>
      </c>
      <c r="B161" s="331">
        <v>102.51535892905299</v>
      </c>
      <c r="C161" s="333">
        <v>0</v>
      </c>
      <c r="D161" s="331">
        <v>93.841903236190603</v>
      </c>
      <c r="E161" s="333">
        <v>-1.6E-2</v>
      </c>
      <c r="F161" s="331">
        <v>99.895188991367604</v>
      </c>
      <c r="G161" s="333">
        <v>-4.0000000000000001E-3</v>
      </c>
    </row>
    <row r="162" spans="1:7" ht="15" x14ac:dyDescent="0.3">
      <c r="A162" s="330">
        <v>37530</v>
      </c>
      <c r="B162" s="331">
        <v>103.460389402532</v>
      </c>
      <c r="C162" s="333">
        <v>8.9999999999999993E-3</v>
      </c>
      <c r="D162" s="331">
        <v>96.341356473416198</v>
      </c>
      <c r="E162" s="333">
        <v>2.7E-2</v>
      </c>
      <c r="F162" s="331">
        <v>101.294592551553</v>
      </c>
      <c r="G162" s="333">
        <v>1.4E-2</v>
      </c>
    </row>
    <row r="163" spans="1:7" ht="15" x14ac:dyDescent="0.3">
      <c r="A163" s="330">
        <v>37561</v>
      </c>
      <c r="B163" s="331">
        <v>103.66877653991899</v>
      </c>
      <c r="C163" s="333">
        <v>2E-3</v>
      </c>
      <c r="D163" s="331">
        <v>96.0388141750378</v>
      </c>
      <c r="E163" s="333">
        <v>-3.0000000000000001E-3</v>
      </c>
      <c r="F163" s="331">
        <v>101.353489461191</v>
      </c>
      <c r="G163" s="333">
        <v>1E-3</v>
      </c>
    </row>
    <row r="164" spans="1:7" ht="15" x14ac:dyDescent="0.3">
      <c r="A164" s="330">
        <v>37591</v>
      </c>
      <c r="B164" s="331">
        <v>104.61382500840701</v>
      </c>
      <c r="C164" s="333">
        <v>8.9999999999999993E-3</v>
      </c>
      <c r="D164" s="331">
        <v>97.646817052890995</v>
      </c>
      <c r="E164" s="333">
        <v>1.7000000000000001E-2</v>
      </c>
      <c r="F164" s="331">
        <v>102.491146271521</v>
      </c>
      <c r="G164" s="333">
        <v>1.0999999999999999E-2</v>
      </c>
    </row>
    <row r="165" spans="1:7" ht="15" x14ac:dyDescent="0.3">
      <c r="A165" s="330">
        <v>37622</v>
      </c>
      <c r="B165" s="331">
        <v>103.280451529987</v>
      </c>
      <c r="C165" s="333">
        <v>-1.2999999999999999E-2</v>
      </c>
      <c r="D165" s="331">
        <v>96.832855603603605</v>
      </c>
      <c r="E165" s="333">
        <v>-8.0000000000000002E-3</v>
      </c>
      <c r="F165" s="331">
        <v>101.31027142811401</v>
      </c>
      <c r="G165" s="333">
        <v>-1.2E-2</v>
      </c>
    </row>
    <row r="166" spans="1:7" ht="15" x14ac:dyDescent="0.3">
      <c r="A166" s="330">
        <v>37653</v>
      </c>
      <c r="B166" s="331">
        <v>102.085533513081</v>
      </c>
      <c r="C166" s="333">
        <v>-1.2E-2</v>
      </c>
      <c r="D166" s="331">
        <v>94.958131308817599</v>
      </c>
      <c r="E166" s="333">
        <v>-1.9E-2</v>
      </c>
      <c r="F166" s="331">
        <v>99.918652456161595</v>
      </c>
      <c r="G166" s="333">
        <v>-1.4E-2</v>
      </c>
    </row>
    <row r="167" spans="1:7" ht="15" x14ac:dyDescent="0.3">
      <c r="A167" s="330">
        <v>37681</v>
      </c>
      <c r="B167" s="331">
        <v>103.051081913235</v>
      </c>
      <c r="C167" s="333">
        <v>8.9999999999999993E-3</v>
      </c>
      <c r="D167" s="331">
        <v>93.744628907132494</v>
      </c>
      <c r="E167" s="333">
        <v>-1.2999999999999999E-2</v>
      </c>
      <c r="F167" s="331">
        <v>100.249926133247</v>
      </c>
      <c r="G167" s="333">
        <v>3.0000000000000001E-3</v>
      </c>
    </row>
    <row r="168" spans="1:7" ht="15" x14ac:dyDescent="0.3">
      <c r="A168" s="330">
        <v>37712</v>
      </c>
      <c r="B168" s="331">
        <v>103.830426576413</v>
      </c>
      <c r="C168" s="333">
        <v>8.0000000000000002E-3</v>
      </c>
      <c r="D168" s="331">
        <v>91.028363684640993</v>
      </c>
      <c r="E168" s="333">
        <v>-2.9000000000000001E-2</v>
      </c>
      <c r="F168" s="331">
        <v>100.013205224166</v>
      </c>
      <c r="G168" s="333">
        <v>-2E-3</v>
      </c>
    </row>
    <row r="169" spans="1:7" ht="15" x14ac:dyDescent="0.3">
      <c r="A169" s="330">
        <v>37742</v>
      </c>
      <c r="B169" s="331">
        <v>102.493236417018</v>
      </c>
      <c r="C169" s="333">
        <v>-1.2999999999999999E-2</v>
      </c>
      <c r="D169" s="331">
        <v>92.173968270498406</v>
      </c>
      <c r="E169" s="333">
        <v>1.2999999999999999E-2</v>
      </c>
      <c r="F169" s="331">
        <v>99.398134755883206</v>
      </c>
      <c r="G169" s="333">
        <v>-6.0000000000000001E-3</v>
      </c>
    </row>
    <row r="170" spans="1:7" ht="15" x14ac:dyDescent="0.3">
      <c r="A170" s="330">
        <v>37773</v>
      </c>
      <c r="B170" s="331">
        <v>103.169725484696</v>
      </c>
      <c r="C170" s="333">
        <v>7.0000000000000001E-3</v>
      </c>
      <c r="D170" s="331">
        <v>93.571747822012995</v>
      </c>
      <c r="E170" s="333">
        <v>1.4999999999999999E-2</v>
      </c>
      <c r="F170" s="331">
        <v>100.283324852161</v>
      </c>
      <c r="G170" s="333">
        <v>8.9999999999999993E-3</v>
      </c>
    </row>
    <row r="171" spans="1:7" ht="15" x14ac:dyDescent="0.3">
      <c r="A171" s="330">
        <v>37803</v>
      </c>
      <c r="B171" s="331">
        <v>104.00197646163799</v>
      </c>
      <c r="C171" s="333">
        <v>8.0000000000000002E-3</v>
      </c>
      <c r="D171" s="331">
        <v>97.196804066670694</v>
      </c>
      <c r="E171" s="333">
        <v>3.9E-2</v>
      </c>
      <c r="F171" s="331">
        <v>101.92536532242001</v>
      </c>
      <c r="G171" s="333">
        <v>1.6E-2</v>
      </c>
    </row>
    <row r="172" spans="1:7" ht="15" x14ac:dyDescent="0.3">
      <c r="A172" s="330">
        <v>37834</v>
      </c>
      <c r="B172" s="331">
        <v>103.38253661492099</v>
      </c>
      <c r="C172" s="333">
        <v>-6.0000000000000001E-3</v>
      </c>
      <c r="D172" s="331">
        <v>97.059629737518904</v>
      </c>
      <c r="E172" s="333">
        <v>-1E-3</v>
      </c>
      <c r="F172" s="331">
        <v>101.44652870785799</v>
      </c>
      <c r="G172" s="333">
        <v>-5.0000000000000001E-3</v>
      </c>
    </row>
    <row r="173" spans="1:7" ht="15" x14ac:dyDescent="0.3">
      <c r="A173" s="330">
        <v>37865</v>
      </c>
      <c r="B173" s="331">
        <v>104.403485179528</v>
      </c>
      <c r="C173" s="333">
        <v>0.01</v>
      </c>
      <c r="D173" s="331">
        <v>98.246608158071695</v>
      </c>
      <c r="E173" s="333">
        <v>1.2E-2</v>
      </c>
      <c r="F173" s="331">
        <v>102.51470981259401</v>
      </c>
      <c r="G173" s="333">
        <v>1.0999999999999999E-2</v>
      </c>
    </row>
    <row r="174" spans="1:7" ht="15" x14ac:dyDescent="0.3">
      <c r="A174" s="330">
        <v>37895</v>
      </c>
      <c r="B174" s="331">
        <v>106.14809952719</v>
      </c>
      <c r="C174" s="333">
        <v>1.7000000000000001E-2</v>
      </c>
      <c r="D174" s="331">
        <v>98.258566093973201</v>
      </c>
      <c r="E174" s="333">
        <v>0</v>
      </c>
      <c r="F174" s="331">
        <v>103.754156904992</v>
      </c>
      <c r="G174" s="333">
        <v>1.2E-2</v>
      </c>
    </row>
    <row r="175" spans="1:7" ht="15" x14ac:dyDescent="0.3">
      <c r="A175" s="330">
        <v>37926</v>
      </c>
      <c r="B175" s="331">
        <v>105.33829228258701</v>
      </c>
      <c r="C175" s="333">
        <v>-8.0000000000000002E-3</v>
      </c>
      <c r="D175" s="331">
        <v>99.829831285483493</v>
      </c>
      <c r="E175" s="333">
        <v>1.6E-2</v>
      </c>
      <c r="F175" s="331">
        <v>103.637606169059</v>
      </c>
      <c r="G175" s="333">
        <v>-1E-3</v>
      </c>
    </row>
    <row r="176" spans="1:7" ht="15" x14ac:dyDescent="0.3">
      <c r="A176" s="330">
        <v>37956</v>
      </c>
      <c r="B176" s="331">
        <v>108.067058773065</v>
      </c>
      <c r="C176" s="333">
        <v>2.5999999999999999E-2</v>
      </c>
      <c r="D176" s="331">
        <v>100.46705185330801</v>
      </c>
      <c r="E176" s="333">
        <v>6.0000000000000001E-3</v>
      </c>
      <c r="F176" s="331">
        <v>105.754946973016</v>
      </c>
      <c r="G176" s="333">
        <v>0.02</v>
      </c>
    </row>
    <row r="177" spans="1:7" ht="15" x14ac:dyDescent="0.3">
      <c r="A177" s="330">
        <v>37987</v>
      </c>
      <c r="B177" s="331">
        <v>106.465109523409</v>
      </c>
      <c r="C177" s="333">
        <v>-1.4999999999999999E-2</v>
      </c>
      <c r="D177" s="331">
        <v>99.225049177152897</v>
      </c>
      <c r="E177" s="333">
        <v>-1.2E-2</v>
      </c>
      <c r="F177" s="331">
        <v>104.25930423155</v>
      </c>
      <c r="G177" s="333">
        <v>-1.4E-2</v>
      </c>
    </row>
    <row r="178" spans="1:7" ht="15" x14ac:dyDescent="0.3">
      <c r="A178" s="330">
        <v>38018</v>
      </c>
      <c r="B178" s="331">
        <v>109.609989469901</v>
      </c>
      <c r="C178" s="333">
        <v>0.03</v>
      </c>
      <c r="D178" s="331">
        <v>101.029528820698</v>
      </c>
      <c r="E178" s="333">
        <v>1.7999999999999999E-2</v>
      </c>
      <c r="F178" s="331">
        <v>107.011021005155</v>
      </c>
      <c r="G178" s="333">
        <v>2.5999999999999999E-2</v>
      </c>
    </row>
    <row r="179" spans="1:7" ht="15" x14ac:dyDescent="0.3">
      <c r="A179" s="330">
        <v>38047</v>
      </c>
      <c r="B179" s="331">
        <v>109.796221018029</v>
      </c>
      <c r="C179" s="333">
        <v>2E-3</v>
      </c>
      <c r="D179" s="331">
        <v>102.109423278123</v>
      </c>
      <c r="E179" s="333">
        <v>1.0999999999999999E-2</v>
      </c>
      <c r="F179" s="331">
        <v>107.45690537626599</v>
      </c>
      <c r="G179" s="333">
        <v>4.0000000000000001E-3</v>
      </c>
    </row>
    <row r="180" spans="1:7" ht="15" x14ac:dyDescent="0.3">
      <c r="A180" s="330">
        <v>38078</v>
      </c>
      <c r="B180" s="331">
        <v>110.534369110394</v>
      </c>
      <c r="C180" s="333">
        <v>7.0000000000000001E-3</v>
      </c>
      <c r="D180" s="331">
        <v>102.82052715265399</v>
      </c>
      <c r="E180" s="333">
        <v>7.0000000000000001E-3</v>
      </c>
      <c r="F180" s="331">
        <v>108.18647171414</v>
      </c>
      <c r="G180" s="333">
        <v>7.0000000000000001E-3</v>
      </c>
    </row>
    <row r="181" spans="1:7" ht="15" x14ac:dyDescent="0.3">
      <c r="A181" s="330">
        <v>38108</v>
      </c>
      <c r="B181" s="331">
        <v>110.063536724515</v>
      </c>
      <c r="C181" s="333">
        <v>-4.0000000000000001E-3</v>
      </c>
      <c r="D181" s="331">
        <v>102.50840099722301</v>
      </c>
      <c r="E181" s="333">
        <v>-3.0000000000000001E-3</v>
      </c>
      <c r="F181" s="331">
        <v>107.762013231485</v>
      </c>
      <c r="G181" s="333">
        <v>-4.0000000000000001E-3</v>
      </c>
    </row>
    <row r="182" spans="1:7" ht="15" x14ac:dyDescent="0.3">
      <c r="A182" s="330">
        <v>38139</v>
      </c>
      <c r="B182" s="331">
        <v>110.40530633959099</v>
      </c>
      <c r="C182" s="333">
        <v>3.0000000000000001E-3</v>
      </c>
      <c r="D182" s="331">
        <v>104.169658980515</v>
      </c>
      <c r="E182" s="333">
        <v>1.6E-2</v>
      </c>
      <c r="F182" s="331">
        <v>108.483052691328</v>
      </c>
      <c r="G182" s="333">
        <v>7.0000000000000001E-3</v>
      </c>
    </row>
    <row r="183" spans="1:7" ht="15" x14ac:dyDescent="0.3">
      <c r="A183" s="330">
        <v>38169</v>
      </c>
      <c r="B183" s="331">
        <v>110.179600740144</v>
      </c>
      <c r="C183" s="333">
        <v>-2E-3</v>
      </c>
      <c r="D183" s="331">
        <v>104.339561626728</v>
      </c>
      <c r="E183" s="333">
        <v>2E-3</v>
      </c>
      <c r="F183" s="331">
        <v>108.37083449481401</v>
      </c>
      <c r="G183" s="333">
        <v>-1E-3</v>
      </c>
    </row>
    <row r="184" spans="1:7" ht="15" x14ac:dyDescent="0.3">
      <c r="A184" s="330">
        <v>38200</v>
      </c>
      <c r="B184" s="331">
        <v>109.68631748289</v>
      </c>
      <c r="C184" s="333">
        <v>-4.0000000000000001E-3</v>
      </c>
      <c r="D184" s="331">
        <v>105.276209318854</v>
      </c>
      <c r="E184" s="333">
        <v>8.9999999999999993E-3</v>
      </c>
      <c r="F184" s="331">
        <v>108.28474688630099</v>
      </c>
      <c r="G184" s="333">
        <v>-1E-3</v>
      </c>
    </row>
    <row r="185" spans="1:7" ht="15" x14ac:dyDescent="0.3">
      <c r="A185" s="330">
        <v>38231</v>
      </c>
      <c r="B185" s="331">
        <v>109.93009450601301</v>
      </c>
      <c r="C185" s="333">
        <v>2E-3</v>
      </c>
      <c r="D185" s="331">
        <v>105.083520870391</v>
      </c>
      <c r="E185" s="333">
        <v>-2E-3</v>
      </c>
      <c r="F185" s="331">
        <v>108.40501177082</v>
      </c>
      <c r="G185" s="333">
        <v>1E-3</v>
      </c>
    </row>
    <row r="186" spans="1:7" ht="15" x14ac:dyDescent="0.3">
      <c r="A186" s="330">
        <v>38261</v>
      </c>
      <c r="B186" s="331">
        <v>110.097827454124</v>
      </c>
      <c r="C186" s="333">
        <v>2E-3</v>
      </c>
      <c r="D186" s="331">
        <v>107.42798215701499</v>
      </c>
      <c r="E186" s="333">
        <v>2.1999999999999999E-2</v>
      </c>
      <c r="F186" s="331">
        <v>109.18153269328199</v>
      </c>
      <c r="G186" s="333">
        <v>7.0000000000000001E-3</v>
      </c>
    </row>
    <row r="187" spans="1:7" ht="15" x14ac:dyDescent="0.3">
      <c r="A187" s="330">
        <v>38292</v>
      </c>
      <c r="B187" s="331">
        <v>111.40032123797999</v>
      </c>
      <c r="C187" s="333">
        <v>1.2E-2</v>
      </c>
      <c r="D187" s="331">
        <v>106.419258656228</v>
      </c>
      <c r="E187" s="333">
        <v>-8.9999999999999993E-3</v>
      </c>
      <c r="F187" s="331">
        <v>109.841306147626</v>
      </c>
      <c r="G187" s="333">
        <v>6.0000000000000001E-3</v>
      </c>
    </row>
    <row r="188" spans="1:7" ht="15" x14ac:dyDescent="0.3">
      <c r="A188" s="330">
        <v>38322</v>
      </c>
      <c r="B188" s="331">
        <v>110.979212373526</v>
      </c>
      <c r="C188" s="333">
        <v>-4.0000000000000001E-3</v>
      </c>
      <c r="D188" s="331">
        <v>106.36000013478601</v>
      </c>
      <c r="E188" s="333">
        <v>-1E-3</v>
      </c>
      <c r="F188" s="331">
        <v>109.52017832835099</v>
      </c>
      <c r="G188" s="333">
        <v>-3.0000000000000001E-3</v>
      </c>
    </row>
    <row r="189" spans="1:7" ht="15" x14ac:dyDescent="0.3">
      <c r="A189" s="330">
        <v>38353</v>
      </c>
      <c r="B189" s="331">
        <v>112.903205050457</v>
      </c>
      <c r="C189" s="333">
        <v>1.7000000000000001E-2</v>
      </c>
      <c r="D189" s="331">
        <v>107.863809100889</v>
      </c>
      <c r="E189" s="333">
        <v>1.4E-2</v>
      </c>
      <c r="F189" s="331">
        <v>111.326596420873</v>
      </c>
      <c r="G189" s="333">
        <v>1.6E-2</v>
      </c>
    </row>
    <row r="190" spans="1:7" ht="15" x14ac:dyDescent="0.3">
      <c r="A190" s="330">
        <v>38384</v>
      </c>
      <c r="B190" s="331">
        <v>111.929289475001</v>
      </c>
      <c r="C190" s="333">
        <v>-8.9999999999999993E-3</v>
      </c>
      <c r="D190" s="331">
        <v>107.769010727408</v>
      </c>
      <c r="E190" s="333">
        <v>-1E-3</v>
      </c>
      <c r="F190" s="331">
        <v>110.590631604384</v>
      </c>
      <c r="G190" s="333">
        <v>-7.0000000000000001E-3</v>
      </c>
    </row>
    <row r="191" spans="1:7" ht="15" x14ac:dyDescent="0.3">
      <c r="A191" s="330">
        <v>38412</v>
      </c>
      <c r="B191" s="331">
        <v>111.995230324256</v>
      </c>
      <c r="C191" s="333">
        <v>1E-3</v>
      </c>
      <c r="D191" s="331">
        <v>108.32432293180101</v>
      </c>
      <c r="E191" s="333">
        <v>5.0000000000000001E-3</v>
      </c>
      <c r="F191" s="331">
        <v>110.786454573233</v>
      </c>
      <c r="G191" s="333">
        <v>2E-3</v>
      </c>
    </row>
    <row r="192" spans="1:7" ht="15" x14ac:dyDescent="0.3">
      <c r="A192" s="330">
        <v>38443</v>
      </c>
      <c r="B192" s="331">
        <v>111.682715063925</v>
      </c>
      <c r="C192" s="333">
        <v>-3.0000000000000001E-3</v>
      </c>
      <c r="D192" s="331">
        <v>108.29383490391</v>
      </c>
      <c r="E192" s="333">
        <v>0</v>
      </c>
      <c r="F192" s="331">
        <v>110.548783122974</v>
      </c>
      <c r="G192" s="333">
        <v>-2E-3</v>
      </c>
    </row>
    <row r="193" spans="1:7" ht="15" x14ac:dyDescent="0.3">
      <c r="A193" s="330">
        <v>38473</v>
      </c>
      <c r="B193" s="331">
        <v>111.693140763925</v>
      </c>
      <c r="C193" s="333">
        <v>0</v>
      </c>
      <c r="D193" s="331">
        <v>109.152304092881</v>
      </c>
      <c r="E193" s="333">
        <v>8.0000000000000002E-3</v>
      </c>
      <c r="F193" s="331">
        <v>110.780003664897</v>
      </c>
      <c r="G193" s="333">
        <v>2E-3</v>
      </c>
    </row>
    <row r="194" spans="1:7" ht="15" x14ac:dyDescent="0.3">
      <c r="A194" s="330">
        <v>38504</v>
      </c>
      <c r="B194" s="331">
        <v>111.20176684309899</v>
      </c>
      <c r="C194" s="333">
        <v>-4.0000000000000001E-3</v>
      </c>
      <c r="D194" s="331">
        <v>109.258962226875</v>
      </c>
      <c r="E194" s="333">
        <v>1E-3</v>
      </c>
      <c r="F194" s="331">
        <v>110.44396384055899</v>
      </c>
      <c r="G194" s="333">
        <v>-3.0000000000000001E-3</v>
      </c>
    </row>
    <row r="195" spans="1:7" ht="15" x14ac:dyDescent="0.3">
      <c r="A195" s="330">
        <v>38534</v>
      </c>
      <c r="B195" s="331">
        <v>110.685287649304</v>
      </c>
      <c r="C195" s="333">
        <v>-5.0000000000000001E-3</v>
      </c>
      <c r="D195" s="331">
        <v>109.327568343187</v>
      </c>
      <c r="E195" s="333">
        <v>1E-3</v>
      </c>
      <c r="F195" s="331">
        <v>110.078135365074</v>
      </c>
      <c r="G195" s="333">
        <v>-3.0000000000000001E-3</v>
      </c>
    </row>
    <row r="196" spans="1:7" ht="15" x14ac:dyDescent="0.3">
      <c r="A196" s="330">
        <v>38565</v>
      </c>
      <c r="B196" s="331">
        <v>111.847410378167</v>
      </c>
      <c r="C196" s="333">
        <v>0.01</v>
      </c>
      <c r="D196" s="331">
        <v>109.58415522739899</v>
      </c>
      <c r="E196" s="333">
        <v>2E-3</v>
      </c>
      <c r="F196" s="331">
        <v>111.008332702242</v>
      </c>
      <c r="G196" s="333">
        <v>8.0000000000000002E-3</v>
      </c>
    </row>
    <row r="197" spans="1:7" ht="15" x14ac:dyDescent="0.3">
      <c r="A197" s="330">
        <v>38596</v>
      </c>
      <c r="B197" s="331">
        <v>110.410378149793</v>
      </c>
      <c r="C197" s="333">
        <v>-1.2999999999999999E-2</v>
      </c>
      <c r="D197" s="331">
        <v>111.105950715297</v>
      </c>
      <c r="E197" s="333">
        <v>1.4E-2</v>
      </c>
      <c r="F197" s="331">
        <v>110.31682160988299</v>
      </c>
      <c r="G197" s="333">
        <v>-6.0000000000000001E-3</v>
      </c>
    </row>
    <row r="198" spans="1:7" ht="15" x14ac:dyDescent="0.3">
      <c r="A198" s="330">
        <v>38626</v>
      </c>
      <c r="B198" s="331">
        <v>110.06055380056</v>
      </c>
      <c r="C198" s="333">
        <v>-3.0000000000000001E-3</v>
      </c>
      <c r="D198" s="331">
        <v>109.005915797996</v>
      </c>
      <c r="E198" s="333">
        <v>-1.9E-2</v>
      </c>
      <c r="F198" s="331">
        <v>109.53271553331599</v>
      </c>
      <c r="G198" s="333">
        <v>-7.0000000000000001E-3</v>
      </c>
    </row>
    <row r="199" spans="1:7" ht="15" x14ac:dyDescent="0.3">
      <c r="A199" s="330">
        <v>38657</v>
      </c>
      <c r="B199" s="331">
        <v>113.127202354942</v>
      </c>
      <c r="C199" s="333">
        <v>2.8000000000000001E-2</v>
      </c>
      <c r="D199" s="331">
        <v>109.77584449763999</v>
      </c>
      <c r="E199" s="333">
        <v>7.0000000000000001E-3</v>
      </c>
      <c r="F199" s="331">
        <v>112.025744362111</v>
      </c>
      <c r="G199" s="333">
        <v>2.3E-2</v>
      </c>
    </row>
    <row r="200" spans="1:7" ht="15" x14ac:dyDescent="0.3">
      <c r="A200" s="330">
        <v>38687</v>
      </c>
      <c r="B200" s="331">
        <v>111.253129657972</v>
      </c>
      <c r="C200" s="333">
        <v>-1.7000000000000001E-2</v>
      </c>
      <c r="D200" s="331">
        <v>108.820822622074</v>
      </c>
      <c r="E200" s="333">
        <v>-8.9999999999999993E-3</v>
      </c>
      <c r="F200" s="331">
        <v>110.38101966362601</v>
      </c>
      <c r="G200" s="333">
        <v>-1.4999999999999999E-2</v>
      </c>
    </row>
    <row r="201" spans="1:7" ht="15" x14ac:dyDescent="0.3">
      <c r="A201" s="330">
        <v>38718</v>
      </c>
      <c r="B201" s="331">
        <v>111.73723608105701</v>
      </c>
      <c r="C201" s="333">
        <v>4.0000000000000001E-3</v>
      </c>
      <c r="D201" s="331">
        <v>110.88396126745199</v>
      </c>
      <c r="E201" s="333">
        <v>1.9E-2</v>
      </c>
      <c r="F201" s="331">
        <v>111.246841229835</v>
      </c>
      <c r="G201" s="333">
        <v>8.0000000000000002E-3</v>
      </c>
    </row>
    <row r="202" spans="1:7" ht="15" x14ac:dyDescent="0.3">
      <c r="A202" s="330">
        <v>38749</v>
      </c>
      <c r="B202" s="331">
        <v>110.197815760916</v>
      </c>
      <c r="C202" s="333">
        <v>-1.4E-2</v>
      </c>
      <c r="D202" s="331">
        <v>110.172853265705</v>
      </c>
      <c r="E202" s="333">
        <v>-6.0000000000000001E-3</v>
      </c>
      <c r="F202" s="331">
        <v>109.91079590753699</v>
      </c>
      <c r="G202" s="333">
        <v>-1.2E-2</v>
      </c>
    </row>
    <row r="203" spans="1:7" ht="15" x14ac:dyDescent="0.3">
      <c r="A203" s="330">
        <v>38777</v>
      </c>
      <c r="B203" s="331">
        <v>110.68160295182</v>
      </c>
      <c r="C203" s="333">
        <v>4.0000000000000001E-3</v>
      </c>
      <c r="D203" s="331">
        <v>111.266166429744</v>
      </c>
      <c r="E203" s="333">
        <v>0.01</v>
      </c>
      <c r="F203" s="331">
        <v>110.539163477242</v>
      </c>
      <c r="G203" s="333">
        <v>6.0000000000000001E-3</v>
      </c>
    </row>
    <row r="204" spans="1:7" ht="15" x14ac:dyDescent="0.3">
      <c r="A204" s="330">
        <v>38808</v>
      </c>
      <c r="B204" s="331">
        <v>110.36742808272901</v>
      </c>
      <c r="C204" s="333">
        <v>-3.0000000000000001E-3</v>
      </c>
      <c r="D204" s="331">
        <v>111.62432119090001</v>
      </c>
      <c r="E204" s="333">
        <v>3.0000000000000001E-3</v>
      </c>
      <c r="F204" s="331">
        <v>110.385691866527</v>
      </c>
      <c r="G204" s="333">
        <v>-1E-3</v>
      </c>
    </row>
    <row r="205" spans="1:7" ht="15" x14ac:dyDescent="0.3">
      <c r="A205" s="330">
        <v>38838</v>
      </c>
      <c r="B205" s="331">
        <v>113.017837544583</v>
      </c>
      <c r="C205" s="333">
        <v>2.4E-2</v>
      </c>
      <c r="D205" s="331">
        <v>112.25863563552601</v>
      </c>
      <c r="E205" s="333">
        <v>6.0000000000000001E-3</v>
      </c>
      <c r="F205" s="331">
        <v>112.552362387557</v>
      </c>
      <c r="G205" s="333">
        <v>0.02</v>
      </c>
    </row>
    <row r="206" spans="1:7" ht="15" x14ac:dyDescent="0.3">
      <c r="A206" s="330">
        <v>38869</v>
      </c>
      <c r="B206" s="331">
        <v>112.71649553427601</v>
      </c>
      <c r="C206" s="333">
        <v>-3.0000000000000001E-3</v>
      </c>
      <c r="D206" s="331">
        <v>111.159100740157</v>
      </c>
      <c r="E206" s="333">
        <v>-0.01</v>
      </c>
      <c r="F206" s="331">
        <v>112.06377072265499</v>
      </c>
      <c r="G206" s="333">
        <v>-4.0000000000000001E-3</v>
      </c>
    </row>
    <row r="207" spans="1:7" ht="15" x14ac:dyDescent="0.3">
      <c r="A207" s="330">
        <v>38899</v>
      </c>
      <c r="B207" s="331">
        <v>111.72019202782</v>
      </c>
      <c r="C207" s="333">
        <v>-8.9999999999999993E-3</v>
      </c>
      <c r="D207" s="331">
        <v>111.706874174234</v>
      </c>
      <c r="E207" s="333">
        <v>5.0000000000000001E-3</v>
      </c>
      <c r="F207" s="331">
        <v>111.432315527542</v>
      </c>
      <c r="G207" s="333">
        <v>-6.0000000000000001E-3</v>
      </c>
    </row>
    <row r="208" spans="1:7" ht="15" x14ac:dyDescent="0.3">
      <c r="A208" s="330">
        <v>38930</v>
      </c>
      <c r="B208" s="331">
        <v>108.910593633487</v>
      </c>
      <c r="C208" s="333">
        <v>-2.5000000000000001E-2</v>
      </c>
      <c r="D208" s="331">
        <v>111.66027122801999</v>
      </c>
      <c r="E208" s="333">
        <v>0</v>
      </c>
      <c r="F208" s="331">
        <v>109.276151888763</v>
      </c>
      <c r="G208" s="333">
        <v>-1.9E-2</v>
      </c>
    </row>
    <row r="209" spans="1:7" ht="15" x14ac:dyDescent="0.3">
      <c r="A209" s="330">
        <v>38961</v>
      </c>
      <c r="B209" s="331">
        <v>109.856401589661</v>
      </c>
      <c r="C209" s="333">
        <v>8.9999999999999993E-3</v>
      </c>
      <c r="D209" s="331">
        <v>112.70113288450899</v>
      </c>
      <c r="E209" s="333">
        <v>8.9999999999999993E-3</v>
      </c>
      <c r="F209" s="331">
        <v>110.241741046752</v>
      </c>
      <c r="G209" s="333">
        <v>8.9999999999999993E-3</v>
      </c>
    </row>
    <row r="210" spans="1:7" ht="15" x14ac:dyDescent="0.3">
      <c r="A210" s="330">
        <v>38991</v>
      </c>
      <c r="B210" s="331">
        <v>109.78739752941399</v>
      </c>
      <c r="C210" s="333">
        <v>-1E-3</v>
      </c>
      <c r="D210" s="331">
        <v>113.178568695957</v>
      </c>
      <c r="E210" s="333">
        <v>4.0000000000000001E-3</v>
      </c>
      <c r="F210" s="331">
        <v>110.300172141228</v>
      </c>
      <c r="G210" s="333">
        <v>1E-3</v>
      </c>
    </row>
    <row r="211" spans="1:7" ht="15" x14ac:dyDescent="0.3">
      <c r="A211" s="330">
        <v>39022</v>
      </c>
      <c r="B211" s="331">
        <v>108.25295142089701</v>
      </c>
      <c r="C211" s="333">
        <v>-1.4E-2</v>
      </c>
      <c r="D211" s="331">
        <v>112.981968450721</v>
      </c>
      <c r="E211" s="333">
        <v>-2E-3</v>
      </c>
      <c r="F211" s="331">
        <v>109.080789763735</v>
      </c>
      <c r="G211" s="333">
        <v>-1.0999999999999999E-2</v>
      </c>
    </row>
    <row r="212" spans="1:7" ht="15" x14ac:dyDescent="0.3">
      <c r="A212" s="330">
        <v>39052</v>
      </c>
      <c r="B212" s="331">
        <v>108.850285089173</v>
      </c>
      <c r="C212" s="333">
        <v>6.0000000000000001E-3</v>
      </c>
      <c r="D212" s="331">
        <v>114.19890803408001</v>
      </c>
      <c r="E212" s="333">
        <v>1.0999999999999999E-2</v>
      </c>
      <c r="F212" s="331">
        <v>109.820678126682</v>
      </c>
      <c r="G212" s="333">
        <v>7.0000000000000001E-3</v>
      </c>
    </row>
    <row r="213" spans="1:7" ht="15" x14ac:dyDescent="0.3">
      <c r="A213" s="330">
        <v>39083</v>
      </c>
      <c r="B213" s="331">
        <v>108.508996725404</v>
      </c>
      <c r="C213" s="333">
        <v>-3.0000000000000001E-3</v>
      </c>
      <c r="D213" s="331">
        <v>114.03225582703401</v>
      </c>
      <c r="E213" s="333">
        <v>-1E-3</v>
      </c>
      <c r="F213" s="331">
        <v>109.520837816986</v>
      </c>
      <c r="G213" s="333">
        <v>-3.0000000000000001E-3</v>
      </c>
    </row>
    <row r="214" spans="1:7" ht="15" x14ac:dyDescent="0.3">
      <c r="A214" s="330">
        <v>39114</v>
      </c>
      <c r="B214" s="331">
        <v>108.53834695921699</v>
      </c>
      <c r="C214" s="333">
        <v>0</v>
      </c>
      <c r="D214" s="331">
        <v>111.748727549488</v>
      </c>
      <c r="E214" s="333">
        <v>-0.02</v>
      </c>
      <c r="F214" s="331">
        <v>109.01589633114099</v>
      </c>
      <c r="G214" s="333">
        <v>-5.0000000000000001E-3</v>
      </c>
    </row>
    <row r="215" spans="1:7" ht="15" x14ac:dyDescent="0.3">
      <c r="A215" s="330">
        <v>39142</v>
      </c>
      <c r="B215" s="331">
        <v>109.772748469728</v>
      </c>
      <c r="C215" s="333">
        <v>1.0999999999999999E-2</v>
      </c>
      <c r="D215" s="331">
        <v>114.168050434501</v>
      </c>
      <c r="E215" s="333">
        <v>2.1999999999999999E-2</v>
      </c>
      <c r="F215" s="331">
        <v>110.521047952576</v>
      </c>
      <c r="G215" s="333">
        <v>1.4E-2</v>
      </c>
    </row>
    <row r="216" spans="1:7" ht="15" x14ac:dyDescent="0.3">
      <c r="A216" s="330">
        <v>39173</v>
      </c>
      <c r="B216" s="331">
        <v>109.320134250332</v>
      </c>
      <c r="C216" s="333">
        <v>-4.0000000000000001E-3</v>
      </c>
      <c r="D216" s="331">
        <v>114.706536643398</v>
      </c>
      <c r="E216" s="333">
        <v>5.0000000000000001E-3</v>
      </c>
      <c r="F216" s="331">
        <v>110.29844030004</v>
      </c>
      <c r="G216" s="333">
        <v>-2E-3</v>
      </c>
    </row>
    <row r="217" spans="1:7" ht="15" x14ac:dyDescent="0.3">
      <c r="A217" s="330">
        <v>39203</v>
      </c>
      <c r="B217" s="331">
        <v>109.157387271237</v>
      </c>
      <c r="C217" s="333">
        <v>-1E-3</v>
      </c>
      <c r="D217" s="331">
        <v>116.48108025101099</v>
      </c>
      <c r="E217" s="333">
        <v>1.4999999999999999E-2</v>
      </c>
      <c r="F217" s="331">
        <v>110.5843244914</v>
      </c>
      <c r="G217" s="333">
        <v>3.0000000000000001E-3</v>
      </c>
    </row>
    <row r="218" spans="1:7" ht="15" x14ac:dyDescent="0.3">
      <c r="A218" s="330">
        <v>39234</v>
      </c>
      <c r="B218" s="331">
        <v>108.363202497906</v>
      </c>
      <c r="C218" s="333">
        <v>-7.0000000000000001E-3</v>
      </c>
      <c r="D218" s="331">
        <v>116.24909703947399</v>
      </c>
      <c r="E218" s="333">
        <v>-2E-3</v>
      </c>
      <c r="F218" s="331">
        <v>109.92210809797599</v>
      </c>
      <c r="G218" s="333">
        <v>-6.0000000000000001E-3</v>
      </c>
    </row>
    <row r="219" spans="1:7" ht="15" x14ac:dyDescent="0.3">
      <c r="A219" s="330">
        <v>39264</v>
      </c>
      <c r="B219" s="331">
        <v>108.41793430304</v>
      </c>
      <c r="C219" s="333">
        <v>1E-3</v>
      </c>
      <c r="D219" s="331">
        <v>116.17186295674099</v>
      </c>
      <c r="E219" s="333">
        <v>-1E-3</v>
      </c>
      <c r="F219" s="331">
        <v>109.94622627807</v>
      </c>
      <c r="G219" s="333">
        <v>0</v>
      </c>
    </row>
    <row r="220" spans="1:7" ht="15" x14ac:dyDescent="0.3">
      <c r="A220" s="330">
        <v>39295</v>
      </c>
      <c r="B220" s="331">
        <v>109.002762888926</v>
      </c>
      <c r="C220" s="333">
        <v>5.0000000000000001E-3</v>
      </c>
      <c r="D220" s="331">
        <v>117.443796439674</v>
      </c>
      <c r="E220" s="333">
        <v>1.0999999999999999E-2</v>
      </c>
      <c r="F220" s="331">
        <v>110.688448556008</v>
      </c>
      <c r="G220" s="333">
        <v>7.0000000000000001E-3</v>
      </c>
    </row>
    <row r="221" spans="1:7" ht="15" x14ac:dyDescent="0.3">
      <c r="A221" s="330">
        <v>39326</v>
      </c>
      <c r="B221" s="331">
        <v>107.97751449015099</v>
      </c>
      <c r="C221" s="333">
        <v>-8.9999999999999993E-3</v>
      </c>
      <c r="D221" s="331">
        <v>117.38333293736299</v>
      </c>
      <c r="E221" s="333">
        <v>-1E-3</v>
      </c>
      <c r="F221" s="331">
        <v>109.888726472759</v>
      </c>
      <c r="G221" s="333">
        <v>-7.0000000000000001E-3</v>
      </c>
    </row>
    <row r="222" spans="1:7" ht="15" x14ac:dyDescent="0.3">
      <c r="A222" s="330">
        <v>39356</v>
      </c>
      <c r="B222" s="331">
        <v>109.8192189678</v>
      </c>
      <c r="C222" s="333">
        <v>1.7000000000000001E-2</v>
      </c>
      <c r="D222" s="331">
        <v>118.171988249672</v>
      </c>
      <c r="E222" s="333">
        <v>7.0000000000000001E-3</v>
      </c>
      <c r="F222" s="331">
        <v>111.482049537492</v>
      </c>
      <c r="G222" s="333">
        <v>1.4E-2</v>
      </c>
    </row>
    <row r="223" spans="1:7" ht="15" x14ac:dyDescent="0.3">
      <c r="A223" s="330">
        <v>39387</v>
      </c>
      <c r="B223" s="331">
        <v>110.233019493863</v>
      </c>
      <c r="C223" s="333">
        <v>4.0000000000000001E-3</v>
      </c>
      <c r="D223" s="331">
        <v>116.436907966053</v>
      </c>
      <c r="E223" s="333">
        <v>-1.4999999999999999E-2</v>
      </c>
      <c r="F223" s="331">
        <v>111.39755075615</v>
      </c>
      <c r="G223" s="333">
        <v>-1E-3</v>
      </c>
    </row>
    <row r="224" spans="1:7" ht="15" x14ac:dyDescent="0.3">
      <c r="A224" s="330">
        <v>39417</v>
      </c>
      <c r="B224" s="331">
        <v>108.358473575688</v>
      </c>
      <c r="C224" s="333">
        <v>-1.7000000000000001E-2</v>
      </c>
      <c r="D224" s="331">
        <v>117.27251475730699</v>
      </c>
      <c r="E224" s="333">
        <v>7.0000000000000001E-3</v>
      </c>
      <c r="F224" s="331">
        <v>110.154036225008</v>
      </c>
      <c r="G224" s="333">
        <v>-1.0999999999999999E-2</v>
      </c>
    </row>
    <row r="225" spans="1:7" ht="15" x14ac:dyDescent="0.3">
      <c r="A225" s="330">
        <v>39448</v>
      </c>
      <c r="B225" s="331">
        <v>111.438248224329</v>
      </c>
      <c r="C225" s="333">
        <v>2.8000000000000001E-2</v>
      </c>
      <c r="D225" s="331">
        <v>117.136761418144</v>
      </c>
      <c r="E225" s="333">
        <v>-1E-3</v>
      </c>
      <c r="F225" s="331">
        <v>112.48374006527</v>
      </c>
      <c r="G225" s="333">
        <v>2.1000000000000001E-2</v>
      </c>
    </row>
    <row r="226" spans="1:7" ht="15" x14ac:dyDescent="0.3">
      <c r="A226" s="330">
        <v>39479</v>
      </c>
      <c r="B226" s="343">
        <v>111.298546991127</v>
      </c>
      <c r="C226" s="333">
        <v>1E-3</v>
      </c>
      <c r="D226" s="331">
        <v>116.525095306476</v>
      </c>
      <c r="E226" s="333">
        <v>-5.0000000000000001E-3</v>
      </c>
      <c r="F226" s="331">
        <v>112.404363528825</v>
      </c>
      <c r="G226" s="333">
        <v>-1E-3</v>
      </c>
    </row>
    <row r="227" spans="1:7" x14ac:dyDescent="0.2">
      <c r="A227" s="344">
        <v>39508</v>
      </c>
      <c r="B227" s="343">
        <v>109.783541492203</v>
      </c>
      <c r="C227" s="345">
        <v>-1.4E-2</v>
      </c>
      <c r="D227" s="343">
        <v>117.17741933608499</v>
      </c>
      <c r="E227" s="345">
        <v>2E-3</v>
      </c>
      <c r="F227" s="343">
        <v>111.344222202678</v>
      </c>
      <c r="G227" s="345">
        <v>-0.01</v>
      </c>
    </row>
    <row r="228" spans="1:7" x14ac:dyDescent="0.2">
      <c r="A228" s="344">
        <v>39539</v>
      </c>
      <c r="B228" s="343">
        <v>110.438639177342</v>
      </c>
      <c r="C228" s="345">
        <v>6.0000000000000001E-3</v>
      </c>
      <c r="D228" s="343">
        <v>118.506517770469</v>
      </c>
      <c r="E228" s="345">
        <v>1.0999999999999999E-2</v>
      </c>
      <c r="F228" s="343">
        <v>112.154067972427</v>
      </c>
      <c r="G228" s="345">
        <v>7.0000000000000001E-3</v>
      </c>
    </row>
    <row r="229" spans="1:7" x14ac:dyDescent="0.2">
      <c r="A229" s="344">
        <v>39569</v>
      </c>
      <c r="B229" s="343">
        <v>110.407020330571</v>
      </c>
      <c r="C229" s="345">
        <v>0</v>
      </c>
      <c r="D229" s="343">
        <v>117.966397726632</v>
      </c>
      <c r="E229" s="345">
        <v>-5.0000000000000001E-3</v>
      </c>
      <c r="F229" s="343">
        <v>112.005247232627</v>
      </c>
      <c r="G229" s="345">
        <v>-1E-3</v>
      </c>
    </row>
    <row r="230" spans="1:7" x14ac:dyDescent="0.2">
      <c r="A230" s="344">
        <v>39600</v>
      </c>
      <c r="B230" s="343">
        <v>109.501685686473</v>
      </c>
      <c r="C230" s="345">
        <v>-8.0000000000000002E-3</v>
      </c>
      <c r="D230" s="343">
        <v>117.52051955771501</v>
      </c>
      <c r="E230" s="345">
        <v>-4.0000000000000001E-3</v>
      </c>
      <c r="F230" s="343">
        <v>111.20687182018</v>
      </c>
      <c r="G230" s="345">
        <v>-7.0000000000000001E-3</v>
      </c>
    </row>
    <row r="231" spans="1:7" x14ac:dyDescent="0.2">
      <c r="A231" s="344">
        <v>39630</v>
      </c>
      <c r="B231" s="343">
        <v>110.3620494932</v>
      </c>
      <c r="C231" s="345">
        <v>8.0000000000000002E-3</v>
      </c>
      <c r="D231" s="343">
        <v>117.31803575537199</v>
      </c>
      <c r="E231" s="345">
        <v>-2E-3</v>
      </c>
      <c r="F231" s="343">
        <v>111.821740490376</v>
      </c>
      <c r="G231" s="345">
        <v>6.0000000000000001E-3</v>
      </c>
    </row>
    <row r="232" spans="1:7" x14ac:dyDescent="0.2">
      <c r="A232" s="344">
        <v>39661</v>
      </c>
      <c r="B232" s="343">
        <v>107.89616790772401</v>
      </c>
      <c r="C232" s="345">
        <v>-2.1999999999999999E-2</v>
      </c>
      <c r="D232" s="343">
        <v>116.074017732158</v>
      </c>
      <c r="E232" s="345">
        <v>-1.0999999999999999E-2</v>
      </c>
      <c r="F232" s="343">
        <v>109.639542897981</v>
      </c>
      <c r="G232" s="345">
        <v>-0.02</v>
      </c>
    </row>
    <row r="233" spans="1:7" x14ac:dyDescent="0.2">
      <c r="A233" s="344">
        <v>39692</v>
      </c>
      <c r="B233" s="343">
        <v>106.207693297517</v>
      </c>
      <c r="C233" s="345">
        <v>-1.6E-2</v>
      </c>
      <c r="D233" s="343">
        <v>115.429710358701</v>
      </c>
      <c r="E233" s="345">
        <v>-6.0000000000000001E-3</v>
      </c>
      <c r="F233" s="343">
        <v>108.192630130076</v>
      </c>
      <c r="G233" s="345">
        <v>-1.2999999999999999E-2</v>
      </c>
    </row>
    <row r="234" spans="1:7" x14ac:dyDescent="0.2">
      <c r="A234" s="344">
        <v>39722</v>
      </c>
      <c r="B234" s="343">
        <v>105.61688664873201</v>
      </c>
      <c r="C234" s="345">
        <v>-6.0000000000000001E-3</v>
      </c>
      <c r="D234" s="343">
        <v>113.820026395683</v>
      </c>
      <c r="E234" s="345">
        <v>-1.4E-2</v>
      </c>
      <c r="F234" s="343">
        <v>107.369122993907</v>
      </c>
      <c r="G234" s="345">
        <v>-8.0000000000000002E-3</v>
      </c>
    </row>
    <row r="235" spans="1:7" x14ac:dyDescent="0.2">
      <c r="A235" s="344">
        <v>39753</v>
      </c>
      <c r="B235" s="343">
        <v>103.241453173701</v>
      </c>
      <c r="C235" s="345">
        <v>-2.1999999999999999E-2</v>
      </c>
      <c r="D235" s="343">
        <v>111.7731700474</v>
      </c>
      <c r="E235" s="345">
        <v>-1.7999999999999999E-2</v>
      </c>
      <c r="F235" s="343">
        <v>105.071681962585</v>
      </c>
      <c r="G235" s="345">
        <v>-2.1000000000000001E-2</v>
      </c>
    </row>
    <row r="236" spans="1:7" x14ac:dyDescent="0.2">
      <c r="A236" s="344">
        <v>39783</v>
      </c>
      <c r="B236" s="343">
        <v>100.329752137304</v>
      </c>
      <c r="C236" s="345">
        <v>-2.8000000000000001E-2</v>
      </c>
      <c r="D236" s="343">
        <v>110.763689867129</v>
      </c>
      <c r="E236" s="345">
        <v>-8.9999999999999993E-3</v>
      </c>
      <c r="F236" s="343">
        <v>102.598161377914</v>
      </c>
      <c r="G236" s="345">
        <v>-2.4E-2</v>
      </c>
    </row>
    <row r="237" spans="1:7" ht="15" x14ac:dyDescent="0.2">
      <c r="A237" s="346" t="s">
        <v>19</v>
      </c>
      <c r="B237" s="343">
        <v>97.828082986384004</v>
      </c>
      <c r="C237" s="345">
        <v>-2.5000000000000001E-2</v>
      </c>
      <c r="D237" s="343">
        <v>109.979718485856</v>
      </c>
      <c r="E237" s="345">
        <v>-7.0000000000000001E-3</v>
      </c>
      <c r="F237" s="343">
        <v>100.491573825138</v>
      </c>
      <c r="G237" s="345">
        <v>-2.1000000000000001E-2</v>
      </c>
    </row>
    <row r="238" spans="1:7" ht="15" x14ac:dyDescent="0.2">
      <c r="A238" s="346" t="s">
        <v>20</v>
      </c>
      <c r="B238" s="343">
        <v>99.133024127140601</v>
      </c>
      <c r="C238" s="345">
        <v>1.2999999999999999E-2</v>
      </c>
      <c r="D238" s="343">
        <v>110.21740934118</v>
      </c>
      <c r="E238" s="345">
        <v>2E-3</v>
      </c>
      <c r="F238" s="343">
        <v>101.551580568473</v>
      </c>
      <c r="G238" s="345">
        <v>1.0999999999999999E-2</v>
      </c>
    </row>
    <row r="239" spans="1:7" ht="15" x14ac:dyDescent="0.2">
      <c r="A239" s="346" t="s">
        <v>21</v>
      </c>
      <c r="B239" s="343">
        <v>95.561063716118298</v>
      </c>
      <c r="C239" s="345">
        <v>-3.5999999999999997E-2</v>
      </c>
      <c r="D239" s="343">
        <v>108.841475359931</v>
      </c>
      <c r="E239" s="345">
        <v>-1.2E-2</v>
      </c>
      <c r="F239" s="343">
        <v>98.484092838253801</v>
      </c>
      <c r="G239" s="345">
        <v>-0.03</v>
      </c>
    </row>
    <row r="240" spans="1:7" ht="15" x14ac:dyDescent="0.2">
      <c r="A240" s="346" t="s">
        <v>22</v>
      </c>
      <c r="B240" s="343">
        <v>94.571682111525703</v>
      </c>
      <c r="C240" s="345">
        <v>-0.01</v>
      </c>
      <c r="D240" s="343">
        <v>110.34382867257401</v>
      </c>
      <c r="E240" s="345">
        <v>1.4E-2</v>
      </c>
      <c r="F240" s="343">
        <v>98.063327711764003</v>
      </c>
      <c r="G240" s="345">
        <v>-4.0000000000000001E-3</v>
      </c>
    </row>
    <row r="241" spans="1:7" ht="15" x14ac:dyDescent="0.2">
      <c r="A241" s="346" t="s">
        <v>23</v>
      </c>
      <c r="B241" s="343">
        <v>94.011894606500505</v>
      </c>
      <c r="C241" s="345">
        <v>-6.0000000000000001E-3</v>
      </c>
      <c r="D241" s="343">
        <v>109.403136758217</v>
      </c>
      <c r="E241" s="345">
        <v>-8.9999999999999993E-3</v>
      </c>
      <c r="F241" s="343">
        <v>97.417419378700103</v>
      </c>
      <c r="G241" s="345">
        <v>-7.0000000000000001E-3</v>
      </c>
    </row>
    <row r="242" spans="1:7" ht="15" x14ac:dyDescent="0.3">
      <c r="A242" s="332"/>
      <c r="B242" s="331"/>
      <c r="C242" s="333"/>
      <c r="D242" s="331"/>
      <c r="E242" s="333"/>
      <c r="F242" s="331"/>
      <c r="G242" s="333"/>
    </row>
    <row r="244" spans="1:7" ht="15" x14ac:dyDescent="0.3">
      <c r="A244" s="327" t="s">
        <v>500</v>
      </c>
    </row>
    <row r="247" spans="1:7" ht="45" customHeight="1" x14ac:dyDescent="0.3">
      <c r="A247" s="976" t="s">
        <v>501</v>
      </c>
      <c r="B247" s="977"/>
      <c r="C247" s="977"/>
      <c r="D247" s="977"/>
      <c r="E247" s="977"/>
      <c r="F247" s="977"/>
      <c r="G247" s="977"/>
    </row>
    <row r="249" spans="1:7" ht="15" x14ac:dyDescent="0.3">
      <c r="A249" s="327" t="s">
        <v>502</v>
      </c>
    </row>
    <row r="250" spans="1:7" ht="15" x14ac:dyDescent="0.3">
      <c r="A250" s="327" t="s">
        <v>503</v>
      </c>
    </row>
    <row r="252" spans="1:7" ht="15" customHeight="1" x14ac:dyDescent="0.3">
      <c r="A252" s="976" t="s">
        <v>504</v>
      </c>
      <c r="B252" s="977"/>
      <c r="C252" s="977"/>
      <c r="D252" s="977"/>
      <c r="E252" s="977"/>
      <c r="F252" s="977"/>
      <c r="G252" s="977"/>
    </row>
    <row r="255" spans="1:7" x14ac:dyDescent="0.2">
      <c r="A255" s="335" t="s">
        <v>505</v>
      </c>
      <c r="B255" s="337">
        <f>AVERAGE(B201:B212)</f>
        <v>110.50801977048609</v>
      </c>
      <c r="C255" s="336"/>
      <c r="D255" s="337">
        <f>AVERAGE(D201:D212)</f>
        <v>111.98273016641708</v>
      </c>
      <c r="F255" s="337">
        <f>AVERAGE(F201:F212)</f>
        <v>110.57087284050458</v>
      </c>
    </row>
    <row r="256" spans="1:7" x14ac:dyDescent="0.2">
      <c r="A256" s="335" t="s">
        <v>506</v>
      </c>
      <c r="B256" s="337">
        <f>AVERAGE(B213:B224)</f>
        <v>108.95581165777433</v>
      </c>
      <c r="D256" s="337">
        <f>AVERAGE(D213:D224)</f>
        <v>115.85551258764299</v>
      </c>
      <c r="F256" s="337">
        <f>AVERAGE(F213:F224)</f>
        <v>110.28497440130047</v>
      </c>
    </row>
    <row r="257" spans="1:6" x14ac:dyDescent="0.2">
      <c r="A257" s="335" t="s">
        <v>25</v>
      </c>
      <c r="B257" s="337">
        <f>AVERAGE(B225:B236)</f>
        <v>108.04347371335193</v>
      </c>
      <c r="D257" s="337">
        <f>AVERAGE(D225:D236)</f>
        <v>115.834280105997</v>
      </c>
      <c r="F257" s="337">
        <f>AVERAGE(F225:F236)</f>
        <v>109.69094938957051</v>
      </c>
    </row>
    <row r="258" spans="1:6" x14ac:dyDescent="0.2">
      <c r="A258" s="335"/>
      <c r="B258" s="337"/>
      <c r="D258" s="337"/>
      <c r="F258" s="337"/>
    </row>
    <row r="259" spans="1:6" x14ac:dyDescent="0.2">
      <c r="A259" s="335" t="s">
        <v>26</v>
      </c>
      <c r="B259" s="339">
        <f>B256/B255-1</f>
        <v>-1.4046112815481959E-2</v>
      </c>
      <c r="D259" s="339">
        <f>D256/D255-1</f>
        <v>3.4583747114136143E-2</v>
      </c>
      <c r="F259" s="339">
        <f>F256/F255-1</f>
        <v>-2.5856577944944892E-3</v>
      </c>
    </row>
    <row r="260" spans="1:6" x14ac:dyDescent="0.2">
      <c r="A260" s="335" t="s">
        <v>27</v>
      </c>
      <c r="B260" s="339">
        <f>B257/B256-1</f>
        <v>-8.3734674685185251E-3</v>
      </c>
      <c r="D260" s="339">
        <f>D257/D256-1</f>
        <v>-1.8326690868453177E-4</v>
      </c>
      <c r="F260" s="339">
        <f>F257/F256-1</f>
        <v>-5.3862732884033537E-3</v>
      </c>
    </row>
    <row r="262" spans="1:6" x14ac:dyDescent="0.2">
      <c r="A262" s="334" t="s">
        <v>776</v>
      </c>
      <c r="B262" s="340">
        <f>'Total_Transportation '!$D$76</f>
        <v>0</v>
      </c>
      <c r="D262" s="340">
        <f>'Total_Transportation '!$E$76</f>
        <v>0</v>
      </c>
    </row>
    <row r="263" spans="1:6" x14ac:dyDescent="0.2">
      <c r="A263" s="334" t="s">
        <v>508</v>
      </c>
      <c r="B263" s="338" t="e">
        <f>1-D263</f>
        <v>#DIV/0!</v>
      </c>
      <c r="D263" s="338" t="e">
        <f>B262/(B262+D262)</f>
        <v>#DIV/0!</v>
      </c>
    </row>
    <row r="265" spans="1:6" x14ac:dyDescent="0.2">
      <c r="A265" s="334" t="s">
        <v>509</v>
      </c>
      <c r="B265" s="341" t="e">
        <f>B263*B259+D259*D263</f>
        <v>#DIV/0!</v>
      </c>
    </row>
    <row r="266" spans="1:6" x14ac:dyDescent="0.2">
      <c r="B266" s="341">
        <f>B264*B260+D260*D264</f>
        <v>0</v>
      </c>
    </row>
  </sheetData>
  <mergeCells count="2">
    <mergeCell ref="A247:G247"/>
    <mergeCell ref="A252:G252"/>
  </mergeCells>
  <phoneticPr fontId="47"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G12"/>
  <sheetViews>
    <sheetView workbookViewId="0">
      <selection activeCell="D16" sqref="D15:D16"/>
    </sheetView>
  </sheetViews>
  <sheetFormatPr defaultRowHeight="12.75" x14ac:dyDescent="0.2"/>
  <cols>
    <col min="3" max="3" width="16.7109375" customWidth="1"/>
    <col min="4" max="4" width="24.140625" customWidth="1"/>
  </cols>
  <sheetData>
    <row r="5" spans="4:7" x14ac:dyDescent="0.2">
      <c r="E5" s="800"/>
      <c r="F5" s="800"/>
      <c r="G5" s="800"/>
    </row>
    <row r="6" spans="4:7" x14ac:dyDescent="0.2">
      <c r="E6" s="978" t="s">
        <v>1090</v>
      </c>
      <c r="F6" s="978"/>
      <c r="G6" s="978"/>
    </row>
    <row r="7" spans="4:7" ht="15.75" customHeight="1" thickBot="1" x14ac:dyDescent="0.25">
      <c r="D7" s="157"/>
      <c r="E7" s="157">
        <v>2009</v>
      </c>
      <c r="F7" s="157">
        <v>2010</v>
      </c>
      <c r="G7" s="157">
        <v>2011</v>
      </c>
    </row>
    <row r="8" spans="4:7" ht="25.5" x14ac:dyDescent="0.2">
      <c r="D8" s="603" t="s">
        <v>1088</v>
      </c>
      <c r="E8" s="604">
        <v>23.5</v>
      </c>
      <c r="F8" s="604">
        <v>23.3</v>
      </c>
      <c r="G8" s="604">
        <v>23.1</v>
      </c>
    </row>
    <row r="9" spans="4:7" ht="25.5" x14ac:dyDescent="0.2">
      <c r="D9" s="512" t="s">
        <v>1089</v>
      </c>
      <c r="E9" s="605">
        <v>17.3</v>
      </c>
      <c r="F9" s="605">
        <v>17.2</v>
      </c>
      <c r="G9" s="605">
        <v>17.100000000000001</v>
      </c>
    </row>
    <row r="10" spans="4:7" ht="27.75" customHeight="1" x14ac:dyDescent="0.2">
      <c r="D10" s="603" t="s">
        <v>1091</v>
      </c>
      <c r="E10" s="604">
        <v>22.9</v>
      </c>
      <c r="F10" s="604">
        <v>24</v>
      </c>
      <c r="G10" s="604">
        <v>23.6</v>
      </c>
    </row>
    <row r="11" spans="4:7" ht="25.5" x14ac:dyDescent="0.2">
      <c r="D11" s="512" t="s">
        <v>1092</v>
      </c>
      <c r="E11" s="605">
        <v>17</v>
      </c>
      <c r="F11" s="606">
        <v>17.8</v>
      </c>
      <c r="G11" s="605">
        <v>17.5</v>
      </c>
    </row>
    <row r="12" spans="4:7" x14ac:dyDescent="0.2">
      <c r="D12" s="603"/>
      <c r="E12" s="603"/>
      <c r="F12" s="603"/>
      <c r="G12" s="603"/>
    </row>
  </sheetData>
  <mergeCells count="2">
    <mergeCell ref="E5:G5"/>
    <mergeCell ref="E6:G6"/>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09"/>
  <sheetViews>
    <sheetView topLeftCell="A6" workbookViewId="0">
      <selection activeCell="A48" sqref="A48"/>
    </sheetView>
  </sheetViews>
  <sheetFormatPr defaultRowHeight="12.75" x14ac:dyDescent="0.2"/>
  <cols>
    <col min="7" max="7" width="11.140625" customWidth="1"/>
    <col min="13" max="13" width="13.85546875" customWidth="1"/>
    <col min="14" max="14" width="21.42578125" customWidth="1"/>
    <col min="15" max="15" width="9.5703125" bestFit="1" customWidth="1"/>
    <col min="16" max="16" width="11.5703125" bestFit="1" customWidth="1"/>
    <col min="20" max="20" width="12.5703125" bestFit="1" customWidth="1"/>
    <col min="21" max="21" width="9.5703125" bestFit="1" customWidth="1"/>
  </cols>
  <sheetData>
    <row r="1" spans="1:25" x14ac:dyDescent="0.2">
      <c r="A1" t="s">
        <v>232</v>
      </c>
      <c r="O1" t="s">
        <v>271</v>
      </c>
    </row>
    <row r="2" spans="1:25" x14ac:dyDescent="0.2">
      <c r="A2" t="s">
        <v>233</v>
      </c>
      <c r="O2" t="s">
        <v>272</v>
      </c>
    </row>
    <row r="3" spans="1:25" x14ac:dyDescent="0.2">
      <c r="A3" t="s">
        <v>234</v>
      </c>
      <c r="P3" s="36"/>
      <c r="Q3" s="36"/>
      <c r="R3" s="36"/>
      <c r="S3" s="36"/>
    </row>
    <row r="4" spans="1:25" ht="26.25" thickBot="1" x14ac:dyDescent="0.25">
      <c r="P4" s="157" t="s">
        <v>757</v>
      </c>
      <c r="Q4" s="157" t="s">
        <v>288</v>
      </c>
      <c r="R4" s="157" t="s">
        <v>775</v>
      </c>
      <c r="S4" s="157" t="s">
        <v>776</v>
      </c>
      <c r="V4" s="157" t="s">
        <v>757</v>
      </c>
      <c r="W4" s="157" t="s">
        <v>288</v>
      </c>
      <c r="X4" s="157" t="s">
        <v>775</v>
      </c>
      <c r="Y4" s="157" t="s">
        <v>776</v>
      </c>
    </row>
    <row r="5" spans="1:25" x14ac:dyDescent="0.2">
      <c r="I5" s="6" t="s">
        <v>292</v>
      </c>
      <c r="O5">
        <v>1985</v>
      </c>
      <c r="P5" s="129">
        <f>'Total_Transportation '!V46</f>
        <v>1</v>
      </c>
      <c r="Q5" s="129">
        <f>'Total_Transportation '!AD46</f>
        <v>1</v>
      </c>
      <c r="R5" s="129">
        <f>'Total_Transportation '!Z46</f>
        <v>1</v>
      </c>
      <c r="S5" s="129">
        <f>'Total_Transportation '!AB46</f>
        <v>1</v>
      </c>
      <c r="U5">
        <v>1970</v>
      </c>
      <c r="V5" s="129">
        <f>'Total_Transportation '!V31</f>
        <v>0.68193706832566803</v>
      </c>
      <c r="W5" s="129">
        <f>'Total_Transportation '!AD31</f>
        <v>0.95937390934674072</v>
      </c>
      <c r="X5" s="129">
        <f>'Total_Transportation '!Z31</f>
        <v>1.1934927904088419</v>
      </c>
      <c r="Y5" s="129">
        <f>'Total_Transportation '!AB31</f>
        <v>0.78082192854927746</v>
      </c>
    </row>
    <row r="6" spans="1:25" x14ac:dyDescent="0.2">
      <c r="I6" t="s">
        <v>237</v>
      </c>
      <c r="O6">
        <f>O5+1</f>
        <v>1986</v>
      </c>
      <c r="P6" s="129">
        <f>'Total_Transportation '!V47</f>
        <v>1.0164849796307009</v>
      </c>
      <c r="Q6" s="129">
        <f>'Total_Transportation '!AD47</f>
        <v>1.0066120725388663</v>
      </c>
      <c r="R6" s="129">
        <f>'Total_Transportation '!Z47</f>
        <v>1.0076372215364484</v>
      </c>
      <c r="S6" s="129">
        <f>'Total_Transportation '!AB47</f>
        <v>1.0310205033476332</v>
      </c>
      <c r="U6">
        <f>U5+1</f>
        <v>1971</v>
      </c>
      <c r="V6" s="129">
        <f>'Total_Transportation '!V32</f>
        <v>0.71329863032904883</v>
      </c>
      <c r="W6" s="129">
        <f>'Total_Transportation '!AD32</f>
        <v>0.96959186211407933</v>
      </c>
      <c r="X6" s="129">
        <f>'Total_Transportation '!Z32</f>
        <v>1.1820648969438168</v>
      </c>
      <c r="Y6" s="129">
        <f>'Total_Transportation '!AB32</f>
        <v>0.81752618609999606</v>
      </c>
    </row>
    <row r="7" spans="1:25" x14ac:dyDescent="0.2">
      <c r="I7" t="s">
        <v>241</v>
      </c>
      <c r="O7">
        <f t="shared" ref="O7:O20" si="0">O6+1</f>
        <v>1987</v>
      </c>
      <c r="P7" s="129">
        <f>'Total_Transportation '!V48</f>
        <v>1.0584149691674531</v>
      </c>
      <c r="Q7" s="129">
        <f>'Total_Transportation '!AD48</f>
        <v>1.008249059701241</v>
      </c>
      <c r="R7" s="129">
        <f>'Total_Transportation '!Z48</f>
        <v>0.98888140040758443</v>
      </c>
      <c r="S7" s="129">
        <f>'Total_Transportation '!AB48</f>
        <v>1.0552807294965139</v>
      </c>
      <c r="U7">
        <f t="shared" ref="U7:U46" si="1">U6+1</f>
        <v>1972</v>
      </c>
      <c r="V7" s="129">
        <f>'Total_Transportation '!V33</f>
        <v>0.75758347402363191</v>
      </c>
      <c r="W7" s="129">
        <f>'Total_Transportation '!AD33</f>
        <v>0.97620078296171153</v>
      </c>
      <c r="X7" s="129">
        <f>'Total_Transportation '!Z33</f>
        <v>1.1818043808444494</v>
      </c>
      <c r="Y7" s="129">
        <f>'Total_Transportation '!AB33</f>
        <v>0.87400766130495355</v>
      </c>
    </row>
    <row r="8" spans="1:25" x14ac:dyDescent="0.2">
      <c r="I8" t="s">
        <v>291</v>
      </c>
      <c r="O8">
        <f t="shared" si="0"/>
        <v>1988</v>
      </c>
      <c r="P8" s="129">
        <f>'Total_Transportation '!V49</f>
        <v>1.0991398319654007</v>
      </c>
      <c r="Q8" s="129">
        <f>'Total_Transportation '!AD49</f>
        <v>1.012366337615753</v>
      </c>
      <c r="R8" s="129">
        <f>'Total_Transportation '!Z49</f>
        <v>0.97402907385998705</v>
      </c>
      <c r="S8" s="129">
        <f>'Total_Transportation '!AB49</f>
        <v>1.0838334813120365</v>
      </c>
      <c r="U8">
        <f t="shared" si="1"/>
        <v>1973</v>
      </c>
      <c r="V8" s="129">
        <f>'Total_Transportation '!V34</f>
        <v>0.78563192137415572</v>
      </c>
      <c r="W8" s="129">
        <f>'Total_Transportation '!AD34</f>
        <v>0.97998802154816</v>
      </c>
      <c r="X8" s="129">
        <f>'Total_Transportation '!Z34</f>
        <v>1.1858681144100962</v>
      </c>
      <c r="Y8" s="129">
        <f>'Total_Transportation '!AB34</f>
        <v>0.91301156852127197</v>
      </c>
    </row>
    <row r="9" spans="1:25" x14ac:dyDescent="0.2">
      <c r="O9">
        <f t="shared" si="0"/>
        <v>1989</v>
      </c>
      <c r="P9" s="129">
        <f>'Total_Transportation '!V50</f>
        <v>1.1129082704181696</v>
      </c>
      <c r="Q9" s="129">
        <f>'Total_Transportation '!AD50</f>
        <v>1.0221551717222097</v>
      </c>
      <c r="R9" s="129">
        <f>'Total_Transportation '!Z50</f>
        <v>0.96511721846800635</v>
      </c>
      <c r="S9" s="129">
        <f>'Total_Transportation '!AB50</f>
        <v>1.0978835148312631</v>
      </c>
      <c r="U9">
        <f t="shared" si="1"/>
        <v>1974</v>
      </c>
      <c r="V9" s="129">
        <f>'Total_Transportation '!V35</f>
        <v>0.77065445171387126</v>
      </c>
      <c r="W9" s="129">
        <f>'Total_Transportation '!AD35</f>
        <v>0.97957540613371152</v>
      </c>
      <c r="X9" s="129">
        <f>'Total_Transportation '!Z35</f>
        <v>1.1687116123917829</v>
      </c>
      <c r="Y9" s="129">
        <f>'Total_Transportation '!AB35</f>
        <v>0.88227693057291134</v>
      </c>
    </row>
    <row r="10" spans="1:25" x14ac:dyDescent="0.2">
      <c r="I10" t="s">
        <v>245</v>
      </c>
      <c r="O10">
        <f t="shared" si="0"/>
        <v>1990</v>
      </c>
      <c r="P10" s="129">
        <f>'Total_Transportation '!V51</f>
        <v>1.1281809015259485</v>
      </c>
      <c r="Q10" s="129">
        <f>'Total_Transportation '!AD51</f>
        <v>1.0229895758226804</v>
      </c>
      <c r="R10" s="129">
        <f>'Total_Transportation '!Z51</f>
        <v>0.95515668919483165</v>
      </c>
      <c r="S10" s="129">
        <f>'Total_Transportation '!AB51</f>
        <v>1.102362861028408</v>
      </c>
      <c r="U10">
        <f t="shared" si="1"/>
        <v>1975</v>
      </c>
      <c r="V10" s="129">
        <f>'Total_Transportation '!V36</f>
        <v>0.77452140459660235</v>
      </c>
      <c r="W10" s="129">
        <f>'Total_Transportation '!AD36</f>
        <v>0.98794015026700865</v>
      </c>
      <c r="X10" s="129">
        <f>'Total_Transportation '!Z36</f>
        <v>1.1664740838244174</v>
      </c>
      <c r="Y10" s="129">
        <f>'Total_Transportation '!AB36</f>
        <v>0.89256356429062644</v>
      </c>
    </row>
    <row r="11" spans="1:25" x14ac:dyDescent="0.2">
      <c r="I11" s="275" t="s">
        <v>244</v>
      </c>
      <c r="O11">
        <f t="shared" si="0"/>
        <v>1991</v>
      </c>
      <c r="P11" s="129">
        <f>'Total_Transportation '!V52</f>
        <v>1.1387410050538485</v>
      </c>
      <c r="Q11" s="129">
        <f>'Total_Transportation '!AD52</f>
        <v>1.0269882151215839</v>
      </c>
      <c r="R11" s="129">
        <f>'Total_Transportation '!Z52</f>
        <v>0.91712551484643423</v>
      </c>
      <c r="S11" s="129">
        <f>'Total_Transportation '!AB52</f>
        <v>1.0725540704062735</v>
      </c>
      <c r="U11">
        <f t="shared" si="1"/>
        <v>1976</v>
      </c>
      <c r="V11" s="129">
        <f>'Total_Transportation '!V37</f>
        <v>0.82042491580161059</v>
      </c>
      <c r="W11" s="129">
        <f>'Total_Transportation '!AD37</f>
        <v>0.99484521397153858</v>
      </c>
      <c r="X11" s="129">
        <f>'Total_Transportation '!Z37</f>
        <v>1.1498700807763698</v>
      </c>
      <c r="Y11" s="129">
        <f>'Total_Transportation '!AB37</f>
        <v>0.93851913151968624</v>
      </c>
    </row>
    <row r="12" spans="1:25" x14ac:dyDescent="0.2">
      <c r="I12" s="173"/>
      <c r="O12">
        <f t="shared" si="0"/>
        <v>1992</v>
      </c>
      <c r="P12" s="129">
        <f>'Total_Transportation '!V53</f>
        <v>1.1743557038530226</v>
      </c>
      <c r="Q12" s="129">
        <f>'Total_Transportation '!AD53</f>
        <v>1.0290448673490344</v>
      </c>
      <c r="R12" s="129">
        <f>'Total_Transportation '!Z53</f>
        <v>0.9168561266835954</v>
      </c>
      <c r="S12" s="129">
        <f>'Total_Transportation '!AB53</f>
        <v>1.1079882727786654</v>
      </c>
      <c r="U12">
        <f t="shared" si="1"/>
        <v>1977</v>
      </c>
      <c r="V12" s="129">
        <f>'Total_Transportation '!V38</f>
        <v>0.85681885206776398</v>
      </c>
      <c r="W12" s="129">
        <f>'Total_Transportation '!AD38</f>
        <v>1.001258552650897</v>
      </c>
      <c r="X12" s="129">
        <f>'Total_Transportation '!Z38</f>
        <v>1.1257992165647734</v>
      </c>
      <c r="Y12" s="129">
        <f>'Total_Transportation '!AB38</f>
        <v>0.96581999982461852</v>
      </c>
    </row>
    <row r="13" spans="1:25" x14ac:dyDescent="0.2">
      <c r="I13" s="173"/>
      <c r="O13">
        <f t="shared" si="0"/>
        <v>1993</v>
      </c>
      <c r="P13" s="129">
        <f>'Total_Transportation '!V54</f>
        <v>1.1928861897329768</v>
      </c>
      <c r="Q13" s="129">
        <f>'Total_Transportation '!AD54</f>
        <v>1.0382272741535608</v>
      </c>
      <c r="R13" s="129">
        <f>'Total_Transportation '!Z54</f>
        <v>0.92060839512767934</v>
      </c>
      <c r="S13" s="129">
        <f>'Total_Transportation '!AB54</f>
        <v>1.1401615084131307</v>
      </c>
      <c r="U13">
        <f t="shared" si="1"/>
        <v>1978</v>
      </c>
      <c r="V13" s="129">
        <f>'Total_Transportation '!V39</f>
        <v>0.91602019497620724</v>
      </c>
      <c r="W13" s="129">
        <f>'Total_Transportation '!AD39</f>
        <v>0.99343406014476054</v>
      </c>
      <c r="X13" s="129">
        <f>'Total_Transportation '!Z39</f>
        <v>1.1130098189801645</v>
      </c>
      <c r="Y13" s="129">
        <f>'Total_Transportation '!AB39</f>
        <v>1.0128452365434371</v>
      </c>
    </row>
    <row r="14" spans="1:25" x14ac:dyDescent="0.2">
      <c r="I14" s="173"/>
      <c r="O14">
        <f t="shared" si="0"/>
        <v>1994</v>
      </c>
      <c r="P14" s="129">
        <f>'Total_Transportation '!V55</f>
        <v>1.2351947387818187</v>
      </c>
      <c r="Q14" s="129">
        <f>'Total_Transportation '!AD55</f>
        <v>1.0389767434336543</v>
      </c>
      <c r="R14" s="129">
        <f>'Total_Transportation '!Z55</f>
        <v>0.91767019977188213</v>
      </c>
      <c r="S14" s="129">
        <f>'Total_Transportation '!AB55</f>
        <v>1.1776815960496221</v>
      </c>
      <c r="U14">
        <f t="shared" si="1"/>
        <v>1979</v>
      </c>
      <c r="V14" s="129">
        <f>'Total_Transportation '!V40</f>
        <v>0.92015382081904729</v>
      </c>
      <c r="W14" s="129">
        <f>'Total_Transportation '!AD40</f>
        <v>0.99116973880962289</v>
      </c>
      <c r="X14" s="129">
        <f>'Total_Transportation '!Z40</f>
        <v>1.0999515590507036</v>
      </c>
      <c r="Y14" s="129">
        <f>'Total_Transportation '!AB40</f>
        <v>1.0031873049382338</v>
      </c>
    </row>
    <row r="15" spans="1:25" x14ac:dyDescent="0.2">
      <c r="O15">
        <f t="shared" si="0"/>
        <v>1995</v>
      </c>
      <c r="P15" s="129">
        <f>'Total_Transportation '!V56</f>
        <v>1.2729453420385728</v>
      </c>
      <c r="Q15" s="129">
        <f>'Total_Transportation '!AD56</f>
        <v>1.0376006639713391</v>
      </c>
      <c r="R15" s="129">
        <f>'Total_Transportation '!Z56</f>
        <v>0.91260196733691934</v>
      </c>
      <c r="S15" s="129">
        <f>'Total_Transportation '!AB56</f>
        <v>1.2053728299092168</v>
      </c>
      <c r="U15">
        <f t="shared" si="1"/>
        <v>1980</v>
      </c>
      <c r="V15" s="129">
        <f>'Total_Transportation '!V41</f>
        <v>0.91829096619781136</v>
      </c>
      <c r="W15" s="129">
        <f>'Total_Transportation '!AD41</f>
        <v>0.97720521209100131</v>
      </c>
      <c r="X15" s="129">
        <f>'Total_Transportation '!Z41</f>
        <v>1.0650117526963567</v>
      </c>
      <c r="Y15" s="129">
        <f>'Total_Transportation '!AB41</f>
        <v>0.9556975814641212</v>
      </c>
    </row>
    <row r="16" spans="1:25" x14ac:dyDescent="0.2">
      <c r="O16">
        <f t="shared" si="0"/>
        <v>1996</v>
      </c>
      <c r="P16" s="129">
        <f>'Total_Transportation '!V57</f>
        <v>1.3079839647165596</v>
      </c>
      <c r="Q16" s="129">
        <f>'Total_Transportation '!AD57</f>
        <v>1.0419402995770661</v>
      </c>
      <c r="R16" s="129">
        <f>'Total_Transportation '!Z57</f>
        <v>0.90593073042817418</v>
      </c>
      <c r="S16" s="129">
        <f>'Total_Transportation '!AB57</f>
        <v>1.2346397274324545</v>
      </c>
      <c r="U16">
        <f t="shared" si="1"/>
        <v>1981</v>
      </c>
      <c r="V16" s="129">
        <f>'Total_Transportation '!V42</f>
        <v>0.92139324235246656</v>
      </c>
      <c r="W16" s="129">
        <f>'Total_Transportation '!AD42</f>
        <v>0.97450269902441289</v>
      </c>
      <c r="X16" s="129">
        <f>'Total_Transportation '!Z42</f>
        <v>1.0623116885641064</v>
      </c>
      <c r="Y16" s="129">
        <f>'Total_Transportation '!AB42</f>
        <v>0.95384987925505194</v>
      </c>
    </row>
    <row r="17" spans="2:25" x14ac:dyDescent="0.2">
      <c r="O17">
        <f t="shared" si="0"/>
        <v>1997</v>
      </c>
      <c r="P17" s="129">
        <f>'Total_Transportation '!V58</f>
        <v>1.3374430898950085</v>
      </c>
      <c r="Q17" s="129">
        <f>'Total_Transportation '!AD58</f>
        <v>1.0545660502797622</v>
      </c>
      <c r="R17" s="129">
        <f>'Total_Transportation '!Z58</f>
        <v>0.89476708570107855</v>
      </c>
      <c r="S17" s="129">
        <f>'Total_Transportation '!AB58</f>
        <v>1.2619992512529643</v>
      </c>
      <c r="U17">
        <f t="shared" si="1"/>
        <v>1982</v>
      </c>
      <c r="V17" s="129">
        <f>'Total_Transportation '!V43</f>
        <v>0.91880064372129211</v>
      </c>
      <c r="W17" s="129">
        <f>'Total_Transportation '!AD43</f>
        <v>0.98585955999683084</v>
      </c>
      <c r="X17" s="129">
        <f>'Total_Transportation '!Z43</f>
        <v>1.0367523713592406</v>
      </c>
      <c r="Y17" s="129">
        <f>'Total_Transportation '!AB43</f>
        <v>0.93909900498013155</v>
      </c>
    </row>
    <row r="18" spans="2:25" x14ac:dyDescent="0.2">
      <c r="O18">
        <f t="shared" si="0"/>
        <v>1998</v>
      </c>
      <c r="P18" s="129">
        <f>'Total_Transportation '!V59</f>
        <v>1.3675717880848217</v>
      </c>
      <c r="Q18" s="129">
        <f>'Total_Transportation '!AD59</f>
        <v>1.0578740715371109</v>
      </c>
      <c r="R18" s="129">
        <f>'Total_Transportation '!Z59</f>
        <v>0.89522062609407849</v>
      </c>
      <c r="S18" s="129">
        <f>'Total_Transportation '!AB59</f>
        <v>1.2951324522484764</v>
      </c>
      <c r="U18">
        <f t="shared" si="1"/>
        <v>1983</v>
      </c>
      <c r="V18" s="129">
        <f>'Total_Transportation '!V44</f>
        <v>0.95430002937887426</v>
      </c>
      <c r="W18" s="129">
        <f>'Total_Transportation '!AD44</f>
        <v>0.98952235828338286</v>
      </c>
      <c r="X18" s="129">
        <f>'Total_Transportation '!Z44</f>
        <v>1.0062017936136707</v>
      </c>
      <c r="Y18" s="129">
        <f>'Total_Transportation '!AB44</f>
        <v>0.95015757682905622</v>
      </c>
    </row>
    <row r="19" spans="2:25" x14ac:dyDescent="0.2">
      <c r="O19">
        <f t="shared" si="0"/>
        <v>1999</v>
      </c>
      <c r="P19" s="129">
        <f>'Total_Transportation '!V60</f>
        <v>1.4042865844576962</v>
      </c>
      <c r="Q19" s="129">
        <f>'Total_Transportation '!AD60</f>
        <v>1.0584350998453786</v>
      </c>
      <c r="R19" s="129">
        <f>'Total_Transportation '!Z60</f>
        <v>0.90243289468672849</v>
      </c>
      <c r="S19" s="129">
        <f>'Total_Transportation '!AB60</f>
        <v>1.3413277139087507</v>
      </c>
      <c r="U19">
        <f t="shared" si="1"/>
        <v>1984</v>
      </c>
      <c r="V19" s="129">
        <f>'Total_Transportation '!V45</f>
        <v>0.9856623894086658</v>
      </c>
      <c r="W19" s="129">
        <f>'Total_Transportation '!AD45</f>
        <v>0.99484746146333647</v>
      </c>
      <c r="X19" s="129">
        <f>'Total_Transportation '!Z45</f>
        <v>1.0018455894501788</v>
      </c>
      <c r="Y19" s="129">
        <f>'Total_Transportation '!AB45</f>
        <v>0.98239348094275258</v>
      </c>
    </row>
    <row r="20" spans="2:25" x14ac:dyDescent="0.2">
      <c r="O20">
        <f t="shared" si="0"/>
        <v>2000</v>
      </c>
      <c r="P20" s="129">
        <f>'Total_Transportation '!V61</f>
        <v>1.4401122757567597</v>
      </c>
      <c r="Q20" s="129">
        <f>'Total_Transportation '!AD61</f>
        <v>1.0610286564513156</v>
      </c>
      <c r="R20" s="129">
        <f>'Total_Transportation '!Z61</f>
        <v>0.88736930071001807</v>
      </c>
      <c r="S20" s="129">
        <f>'Total_Transportation '!AB61</f>
        <v>1.3559006402966816</v>
      </c>
      <c r="U20">
        <f t="shared" si="1"/>
        <v>1985</v>
      </c>
      <c r="V20" s="129">
        <f>'Total_Transportation '!V46</f>
        <v>1</v>
      </c>
      <c r="W20" s="129">
        <f>'Total_Transportation '!AD46</f>
        <v>1</v>
      </c>
      <c r="X20" s="129">
        <f>'Total_Transportation '!Z46</f>
        <v>1</v>
      </c>
      <c r="Y20" s="129">
        <f>'Total_Transportation '!AB46</f>
        <v>1</v>
      </c>
    </row>
    <row r="21" spans="2:25" x14ac:dyDescent="0.2">
      <c r="O21">
        <f t="shared" ref="O21:O26" si="2">O20+1</f>
        <v>2001</v>
      </c>
      <c r="P21" s="129">
        <f>'Total_Transportation '!V62</f>
        <v>1.4527798151403946</v>
      </c>
      <c r="Q21" s="129">
        <f>'Total_Transportation '!AD62</f>
        <v>1.0631480317122799</v>
      </c>
      <c r="R21" s="129">
        <f>'Total_Transportation '!Z62</f>
        <v>0.87598677623355403</v>
      </c>
      <c r="S21" s="129">
        <f>'Total_Transportation '!AB62</f>
        <v>1.3529790964848225</v>
      </c>
      <c r="U21">
        <f t="shared" si="1"/>
        <v>1986</v>
      </c>
      <c r="V21" s="129">
        <f>'Total_Transportation '!V47</f>
        <v>1.0164849796307009</v>
      </c>
      <c r="W21" s="129">
        <f>'Total_Transportation '!AD47</f>
        <v>1.0066120725388663</v>
      </c>
      <c r="X21" s="129">
        <f>'Total_Transportation '!Z47</f>
        <v>1.0076372215364484</v>
      </c>
      <c r="Y21" s="129">
        <f>'Total_Transportation '!AB47</f>
        <v>1.0310205033476332</v>
      </c>
    </row>
    <row r="22" spans="2:25" x14ac:dyDescent="0.2">
      <c r="O22">
        <f t="shared" si="2"/>
        <v>2002</v>
      </c>
      <c r="P22" s="129">
        <f>'Total_Transportation '!V63</f>
        <v>1.4780235734489733</v>
      </c>
      <c r="Q22" s="129">
        <f>'Total_Transportation '!AD63</f>
        <v>1.0690952605453683</v>
      </c>
      <c r="R22" s="129">
        <f>'Total_Transportation '!Z63</f>
        <v>0.87444584604045528</v>
      </c>
      <c r="S22" s="129">
        <f>'Total_Transportation '!AB63</f>
        <v>1.3817538524106496</v>
      </c>
      <c r="U22">
        <f t="shared" si="1"/>
        <v>1987</v>
      </c>
      <c r="V22" s="129">
        <f>'Total_Transportation '!V48</f>
        <v>1.0584149691674531</v>
      </c>
      <c r="W22" s="129">
        <f>'Total_Transportation '!AD48</f>
        <v>1.008249059701241</v>
      </c>
      <c r="X22" s="129">
        <f>'Total_Transportation '!Z48</f>
        <v>0.98888140040758443</v>
      </c>
      <c r="Y22" s="129">
        <f>'Total_Transportation '!AB48</f>
        <v>1.0552807294965139</v>
      </c>
    </row>
    <row r="23" spans="2:25" x14ac:dyDescent="0.2">
      <c r="O23">
        <f t="shared" si="2"/>
        <v>2003</v>
      </c>
      <c r="P23" s="129">
        <f>'Total_Transportation '!V64</f>
        <v>1.5019127170393012</v>
      </c>
      <c r="Q23" s="129">
        <f>'Total_Transportation '!AD64</f>
        <v>1.0691500122453954</v>
      </c>
      <c r="R23" s="129">
        <f>'Total_Transportation '!Z64</f>
        <v>0.87042436321684946</v>
      </c>
      <c r="S23" s="129">
        <f>'Total_Transportation '!AB64</f>
        <v>1.3977013295608933</v>
      </c>
      <c r="U23">
        <f t="shared" si="1"/>
        <v>1988</v>
      </c>
      <c r="V23" s="129">
        <f>'Total_Transportation '!V49</f>
        <v>1.0991398319654007</v>
      </c>
      <c r="W23" s="129">
        <f>'Total_Transportation '!AD49</f>
        <v>1.012366337615753</v>
      </c>
      <c r="X23" s="129">
        <f>'Total_Transportation '!Z49</f>
        <v>0.97402907385998705</v>
      </c>
      <c r="Y23" s="129">
        <f>'Total_Transportation '!AB49</f>
        <v>1.0838334813120365</v>
      </c>
    </row>
    <row r="24" spans="2:25" x14ac:dyDescent="0.2">
      <c r="B24" s="6" t="s">
        <v>764</v>
      </c>
      <c r="O24">
        <f t="shared" si="2"/>
        <v>2004</v>
      </c>
      <c r="P24" s="129">
        <f>'Total_Transportation '!V65</f>
        <v>1.5633131281393231</v>
      </c>
      <c r="Q24" s="129">
        <f>'Total_Transportation '!AD65</f>
        <v>1.0658397859426922</v>
      </c>
      <c r="R24" s="129">
        <f>'Total_Transportation '!Z65</f>
        <v>0.85472839370446074</v>
      </c>
      <c r="S24" s="129">
        <f>'Total_Transportation '!AB65</f>
        <v>1.4241837753930131</v>
      </c>
      <c r="U24">
        <f t="shared" si="1"/>
        <v>1989</v>
      </c>
      <c r="V24" s="129">
        <f>'Total_Transportation '!V50</f>
        <v>1.1129082704181696</v>
      </c>
      <c r="W24" s="129">
        <f>'Total_Transportation '!AD50</f>
        <v>1.0221551717222097</v>
      </c>
      <c r="X24" s="129">
        <f>'Total_Transportation '!Z50</f>
        <v>0.96511721846800635</v>
      </c>
      <c r="Y24" s="129">
        <f>'Total_Transportation '!AB50</f>
        <v>1.0978835148312631</v>
      </c>
    </row>
    <row r="25" spans="2:25" x14ac:dyDescent="0.2">
      <c r="O25">
        <f t="shared" si="2"/>
        <v>2005</v>
      </c>
      <c r="P25" s="129">
        <f>'Total_Transportation '!V66</f>
        <v>1.5860478109791885</v>
      </c>
      <c r="Q25" s="129">
        <f>'Total_Transportation '!AD66</f>
        <v>1.0680372541707976</v>
      </c>
      <c r="R25" s="129">
        <f>'Total_Transportation '!Z66</f>
        <v>0.84177929810714847</v>
      </c>
      <c r="S25" s="129">
        <f>'Total_Transportation '!AB66</f>
        <v>1.4259389017064681</v>
      </c>
      <c r="U25">
        <f t="shared" si="1"/>
        <v>1990</v>
      </c>
      <c r="V25" s="129">
        <f>'Total_Transportation '!V51</f>
        <v>1.1281809015259485</v>
      </c>
      <c r="W25" s="129">
        <f>'Total_Transportation '!AD51</f>
        <v>1.0229895758226804</v>
      </c>
      <c r="X25" s="129">
        <f>'Total_Transportation '!Z51</f>
        <v>0.95515668919483165</v>
      </c>
      <c r="Y25" s="129">
        <f>'Total_Transportation '!AB51</f>
        <v>1.102362861028408</v>
      </c>
    </row>
    <row r="26" spans="2:25" x14ac:dyDescent="0.2">
      <c r="O26">
        <f t="shared" si="2"/>
        <v>2006</v>
      </c>
      <c r="P26" s="129">
        <f>'Total_Transportation '!V67</f>
        <v>1.6072009796026876</v>
      </c>
      <c r="Q26" s="129">
        <f>'Total_Transportation '!AD67</f>
        <v>1.0666336253272477</v>
      </c>
      <c r="R26" s="129">
        <f>'Total_Transportation '!Z67</f>
        <v>0.838269370520482</v>
      </c>
      <c r="S26" s="129">
        <f>'Total_Transportation '!AB67</f>
        <v>1.4370406615182947</v>
      </c>
      <c r="U26">
        <f t="shared" si="1"/>
        <v>1991</v>
      </c>
      <c r="V26" s="129">
        <f>'Total_Transportation '!V52</f>
        <v>1.1387410050538485</v>
      </c>
      <c r="W26" s="129">
        <f>'Total_Transportation '!AD52</f>
        <v>1.0269882151215839</v>
      </c>
      <c r="X26" s="129">
        <f>'Total_Transportation '!Z52</f>
        <v>0.91712551484643423</v>
      </c>
      <c r="Y26" s="129">
        <f>'Total_Transportation '!AB52</f>
        <v>1.0725540704062735</v>
      </c>
    </row>
    <row r="27" spans="2:25" x14ac:dyDescent="0.2">
      <c r="O27">
        <v>2007</v>
      </c>
      <c r="P27" s="129">
        <f>'Total_Transportation '!V68</f>
        <v>1.6278385950555496</v>
      </c>
      <c r="Q27" s="129">
        <f>'Total_Transportation '!AD68</f>
        <v>1.068631992193769</v>
      </c>
      <c r="R27" s="129">
        <f>'Total_Transportation '!Z68</f>
        <v>0.83191953983036648</v>
      </c>
      <c r="S27" s="129">
        <f>'Total_Transportation '!AB68</f>
        <v>1.4471742881440883</v>
      </c>
      <c r="U27">
        <f t="shared" si="1"/>
        <v>1992</v>
      </c>
      <c r="V27" s="129">
        <f>'Total_Transportation '!V53</f>
        <v>1.1743557038530226</v>
      </c>
      <c r="W27" s="129">
        <f>'Total_Transportation '!AD53</f>
        <v>1.0290448673490344</v>
      </c>
      <c r="X27" s="129">
        <f>'Total_Transportation '!Z53</f>
        <v>0.9168561266835954</v>
      </c>
      <c r="Y27" s="129">
        <f>'Total_Transportation '!AB53</f>
        <v>1.1079882727786654</v>
      </c>
    </row>
    <row r="28" spans="2:25" x14ac:dyDescent="0.2">
      <c r="O28">
        <v>2008</v>
      </c>
      <c r="P28" s="129">
        <f>'Total_Transportation '!V69</f>
        <v>1.6004580311312939</v>
      </c>
      <c r="Q28" s="129">
        <f>'Total_Transportation '!AD69</f>
        <v>1.0732919109268</v>
      </c>
      <c r="R28" s="129">
        <f>'Total_Transportation '!Z69</f>
        <v>0.82651078855921678</v>
      </c>
      <c r="S28" s="129">
        <f>'Total_Transportation '!AB69</f>
        <v>1.4197460634665096</v>
      </c>
      <c r="U28">
        <f t="shared" si="1"/>
        <v>1993</v>
      </c>
      <c r="V28" s="129">
        <f>'Total_Transportation '!V54</f>
        <v>1.1928861897329768</v>
      </c>
      <c r="W28" s="129">
        <f>'Total_Transportation '!AD54</f>
        <v>1.0382272741535608</v>
      </c>
      <c r="X28" s="129">
        <f>'Total_Transportation '!Z54</f>
        <v>0.92060839512767934</v>
      </c>
      <c r="Y28" s="129">
        <f>'Total_Transportation '!AB54</f>
        <v>1.1401615084131307</v>
      </c>
    </row>
    <row r="29" spans="2:25" x14ac:dyDescent="0.2">
      <c r="O29">
        <v>2008</v>
      </c>
      <c r="P29" s="129">
        <f>'Total_Transportation '!V70</f>
        <v>1.5457985245593699</v>
      </c>
      <c r="Q29" s="129">
        <f>'Total_Transportation '!AD70</f>
        <v>1.0812354558026858</v>
      </c>
      <c r="R29" s="129">
        <f>'Total_Transportation '!Z70</f>
        <v>0.82425745208327461</v>
      </c>
      <c r="S29" s="129">
        <f>'Total_Transportation '!AB70</f>
        <v>1.3776409682072801</v>
      </c>
      <c r="U29">
        <f t="shared" si="1"/>
        <v>1994</v>
      </c>
      <c r="V29" s="129">
        <f>'Total_Transportation '!V55</f>
        <v>1.2351947387818187</v>
      </c>
      <c r="W29" s="129">
        <f>'Total_Transportation '!AD55</f>
        <v>1.0389767434336543</v>
      </c>
      <c r="X29" s="129">
        <f>'Total_Transportation '!Z55</f>
        <v>0.91767019977188213</v>
      </c>
      <c r="Y29" s="129">
        <f>'Total_Transportation '!AB55</f>
        <v>1.1776815960496221</v>
      </c>
    </row>
    <row r="30" spans="2:25" x14ac:dyDescent="0.2">
      <c r="O30">
        <v>2008</v>
      </c>
      <c r="P30" s="129">
        <f>'Total_Transportation '!V71</f>
        <v>1.5820070462690683</v>
      </c>
      <c r="Q30" s="129">
        <f>'Total_Transportation '!AD71</f>
        <v>1.0694695098582792</v>
      </c>
      <c r="R30" s="129">
        <f>'Total_Transportation '!Z71</f>
        <v>0.82566657545572286</v>
      </c>
      <c r="S30" s="129">
        <f>'Total_Transportation '!AB71</f>
        <v>1.3969521323480787</v>
      </c>
      <c r="U30">
        <f t="shared" si="1"/>
        <v>1995</v>
      </c>
      <c r="V30" s="129">
        <f>'Total_Transportation '!V56</f>
        <v>1.2729453420385728</v>
      </c>
      <c r="W30" s="129">
        <f>'Total_Transportation '!AD56</f>
        <v>1.0376006639713391</v>
      </c>
      <c r="X30" s="129">
        <f>'Total_Transportation '!Z56</f>
        <v>0.91260196733691934</v>
      </c>
      <c r="Y30" s="129">
        <f>'Total_Transportation '!AB56</f>
        <v>1.2053728299092168</v>
      </c>
    </row>
    <row r="31" spans="2:25" x14ac:dyDescent="0.2">
      <c r="P31" s="129"/>
      <c r="Q31" s="129"/>
      <c r="R31" s="129"/>
      <c r="S31" s="129"/>
      <c r="U31">
        <f t="shared" si="1"/>
        <v>1996</v>
      </c>
      <c r="V31" s="129">
        <f>'Total_Transportation '!V57</f>
        <v>1.3079839647165596</v>
      </c>
      <c r="W31" s="129">
        <f>'Total_Transportation '!AD57</f>
        <v>1.0419402995770661</v>
      </c>
      <c r="X31" s="129">
        <f>'Total_Transportation '!Z57</f>
        <v>0.90593073042817418</v>
      </c>
      <c r="Y31" s="129">
        <f>'Total_Transportation '!AB57</f>
        <v>1.2346397274324545</v>
      </c>
    </row>
    <row r="32" spans="2:25" x14ac:dyDescent="0.2">
      <c r="P32" s="129"/>
      <c r="Q32" s="129"/>
      <c r="R32" s="129"/>
      <c r="S32" s="129"/>
      <c r="U32">
        <f t="shared" si="1"/>
        <v>1997</v>
      </c>
      <c r="V32" s="129">
        <f>'Total_Transportation '!V58</f>
        <v>1.3374430898950085</v>
      </c>
      <c r="W32" s="129">
        <f>'Total_Transportation '!AD58</f>
        <v>1.0545660502797622</v>
      </c>
      <c r="X32" s="129">
        <f>'Total_Transportation '!Z58</f>
        <v>0.89476708570107855</v>
      </c>
      <c r="Y32" s="129">
        <f>'Total_Transportation '!AB58</f>
        <v>1.2619992512529643</v>
      </c>
    </row>
    <row r="33" spans="12:25" x14ac:dyDescent="0.2">
      <c r="P33" s="129"/>
      <c r="Q33" s="129"/>
      <c r="R33" s="129"/>
      <c r="S33" s="129"/>
      <c r="U33">
        <f t="shared" si="1"/>
        <v>1998</v>
      </c>
      <c r="V33" s="129">
        <f>'Total_Transportation '!V59</f>
        <v>1.3675717880848217</v>
      </c>
      <c r="W33" s="129">
        <f>'Total_Transportation '!AD59</f>
        <v>1.0578740715371109</v>
      </c>
      <c r="X33" s="129">
        <f>'Total_Transportation '!Z59</f>
        <v>0.89522062609407849</v>
      </c>
      <c r="Y33" s="129">
        <f>'Total_Transportation '!AB59</f>
        <v>1.2951324522484764</v>
      </c>
    </row>
    <row r="34" spans="12:25" x14ac:dyDescent="0.2">
      <c r="P34" s="129">
        <f>118133/80344</f>
        <v>1.4703400378372997</v>
      </c>
      <c r="Q34" s="129"/>
      <c r="R34" s="129"/>
      <c r="S34" s="129"/>
      <c r="U34">
        <f t="shared" si="1"/>
        <v>1999</v>
      </c>
      <c r="V34" s="129">
        <f>'Total_Transportation '!V60</f>
        <v>1.4042865844576962</v>
      </c>
      <c r="W34" s="129">
        <f>'Total_Transportation '!AD60</f>
        <v>1.0584350998453786</v>
      </c>
      <c r="X34" s="129">
        <f>'Total_Transportation '!Z60</f>
        <v>0.90243289468672849</v>
      </c>
      <c r="Y34" s="129">
        <f>'Total_Transportation '!AB60</f>
        <v>1.3413277139087507</v>
      </c>
    </row>
    <row r="35" spans="12:25" x14ac:dyDescent="0.2">
      <c r="P35" s="129"/>
      <c r="Q35" s="129"/>
      <c r="R35" s="129"/>
      <c r="S35" s="129"/>
      <c r="U35">
        <f t="shared" si="1"/>
        <v>2000</v>
      </c>
      <c r="V35" s="129">
        <f>'Total_Transportation '!V61</f>
        <v>1.4401122757567597</v>
      </c>
      <c r="W35" s="129">
        <f>'Total_Transportation '!AD61</f>
        <v>1.0610286564513156</v>
      </c>
      <c r="X35" s="129">
        <f>'Total_Transportation '!Z61</f>
        <v>0.88736930071001807</v>
      </c>
      <c r="Y35" s="129">
        <f>'Total_Transportation '!AB61</f>
        <v>1.3559006402966816</v>
      </c>
    </row>
    <row r="36" spans="12:25" x14ac:dyDescent="0.2">
      <c r="P36" s="129"/>
      <c r="Q36" s="129"/>
      <c r="R36" s="129"/>
      <c r="S36" s="129"/>
      <c r="U36">
        <f t="shared" si="1"/>
        <v>2001</v>
      </c>
      <c r="V36" s="129">
        <f>'Total_Transportation '!V62</f>
        <v>1.4527798151403946</v>
      </c>
      <c r="W36" s="129">
        <f>'Total_Transportation '!AD62</f>
        <v>1.0631480317122799</v>
      </c>
      <c r="X36" s="129">
        <f>'Total_Transportation '!Z62</f>
        <v>0.87598677623355403</v>
      </c>
      <c r="Y36" s="129">
        <f>'Total_Transportation '!AB62</f>
        <v>1.3529790964848225</v>
      </c>
    </row>
    <row r="37" spans="12:25" x14ac:dyDescent="0.2">
      <c r="P37" s="129"/>
      <c r="Q37" s="129"/>
      <c r="R37" s="129"/>
      <c r="S37" s="129"/>
      <c r="U37">
        <f t="shared" si="1"/>
        <v>2002</v>
      </c>
      <c r="V37" s="129">
        <f>'Total_Transportation '!V63</f>
        <v>1.4780235734489733</v>
      </c>
      <c r="W37" s="129">
        <f>'Total_Transportation '!AD63</f>
        <v>1.0690952605453683</v>
      </c>
      <c r="X37" s="129">
        <f>'Total_Transportation '!Z63</f>
        <v>0.87444584604045528</v>
      </c>
      <c r="Y37" s="129">
        <f>'Total_Transportation '!AB63</f>
        <v>1.3817538524106496</v>
      </c>
    </row>
    <row r="38" spans="12:25" x14ac:dyDescent="0.2">
      <c r="P38" s="129"/>
      <c r="Q38" s="129"/>
      <c r="R38" s="129"/>
      <c r="S38" s="129"/>
      <c r="U38">
        <f t="shared" si="1"/>
        <v>2003</v>
      </c>
      <c r="V38" s="129">
        <f>'Total_Transportation '!V64</f>
        <v>1.5019127170393012</v>
      </c>
      <c r="W38" s="129">
        <f>'Total_Transportation '!AD64</f>
        <v>1.0691500122453954</v>
      </c>
      <c r="X38" s="129">
        <f>'Total_Transportation '!Z64</f>
        <v>0.87042436321684946</v>
      </c>
      <c r="Y38" s="129">
        <f>'Total_Transportation '!AB64</f>
        <v>1.3977013295608933</v>
      </c>
    </row>
    <row r="39" spans="12:25" x14ac:dyDescent="0.2">
      <c r="P39" s="129"/>
      <c r="Q39" s="129"/>
      <c r="R39" s="129"/>
      <c r="S39" s="129"/>
      <c r="U39">
        <f t="shared" si="1"/>
        <v>2004</v>
      </c>
      <c r="V39" s="129">
        <f>'Total_Transportation '!V65</f>
        <v>1.5633131281393231</v>
      </c>
      <c r="W39" s="129">
        <f>'Total_Transportation '!AD65</f>
        <v>1.0658397859426922</v>
      </c>
      <c r="X39" s="129">
        <f>'Total_Transportation '!Z65</f>
        <v>0.85472839370446074</v>
      </c>
      <c r="Y39" s="129">
        <f>'Total_Transportation '!AB65</f>
        <v>1.4241837753930131</v>
      </c>
    </row>
    <row r="40" spans="12:25" x14ac:dyDescent="0.2">
      <c r="L40" s="136"/>
      <c r="P40" s="129"/>
      <c r="Q40" s="129"/>
      <c r="R40" s="129"/>
      <c r="S40" s="129"/>
      <c r="U40">
        <f t="shared" si="1"/>
        <v>2005</v>
      </c>
      <c r="V40" s="129">
        <f>'Total_Transportation '!V66</f>
        <v>1.5860478109791885</v>
      </c>
      <c r="W40" s="129">
        <f>'Total_Transportation '!AD66</f>
        <v>1.0680372541707976</v>
      </c>
      <c r="X40" s="129">
        <f>'Total_Transportation '!Z66</f>
        <v>0.84177929810714847</v>
      </c>
      <c r="Y40" s="129">
        <f>'Total_Transportation '!AB66</f>
        <v>1.4259389017064681</v>
      </c>
    </row>
    <row r="41" spans="12:25" x14ac:dyDescent="0.2">
      <c r="P41" s="129"/>
      <c r="Q41" s="129"/>
      <c r="R41" s="129"/>
      <c r="S41" s="129"/>
      <c r="U41">
        <f t="shared" si="1"/>
        <v>2006</v>
      </c>
      <c r="V41" s="129">
        <f>'Total_Transportation '!V67</f>
        <v>1.6072009796026876</v>
      </c>
      <c r="W41" s="129">
        <f>'Total_Transportation '!AD67</f>
        <v>1.0666336253272477</v>
      </c>
      <c r="X41" s="129">
        <f>'Total_Transportation '!Z67</f>
        <v>0.838269370520482</v>
      </c>
      <c r="Y41" s="129">
        <f>'Total_Transportation '!AB67</f>
        <v>1.4370406615182947</v>
      </c>
    </row>
    <row r="42" spans="12:25" x14ac:dyDescent="0.2">
      <c r="P42" s="129"/>
      <c r="Q42" s="129"/>
      <c r="R42" s="129"/>
      <c r="S42" s="129"/>
      <c r="U42">
        <f t="shared" si="1"/>
        <v>2007</v>
      </c>
      <c r="V42" s="129">
        <f>'Total_Transportation '!V68</f>
        <v>1.6278385950555496</v>
      </c>
      <c r="W42" s="129">
        <f>'Total_Transportation '!AD68</f>
        <v>1.068631992193769</v>
      </c>
      <c r="X42" s="129">
        <f>'Total_Transportation '!Z68</f>
        <v>0.83191953983036648</v>
      </c>
      <c r="Y42" s="129">
        <f>'Total_Transportation '!AB68</f>
        <v>1.4471742881440883</v>
      </c>
    </row>
    <row r="43" spans="12:25" x14ac:dyDescent="0.2">
      <c r="P43" s="129"/>
      <c r="Q43" s="129"/>
      <c r="R43" s="129"/>
      <c r="S43" s="129"/>
      <c r="U43">
        <f t="shared" si="1"/>
        <v>2008</v>
      </c>
      <c r="V43" s="129">
        <f>'Total_Transportation '!V69</f>
        <v>1.6004580311312939</v>
      </c>
      <c r="W43" s="129">
        <f>'Total_Transportation '!AD69</f>
        <v>1.0732919109268</v>
      </c>
      <c r="X43" s="129">
        <f>'Total_Transportation '!Z69</f>
        <v>0.82651078855921678</v>
      </c>
      <c r="Y43" s="129">
        <f>'Total_Transportation '!AB69</f>
        <v>1.4197460634665096</v>
      </c>
    </row>
    <row r="44" spans="12:25" x14ac:dyDescent="0.2">
      <c r="P44" s="129"/>
      <c r="Q44" s="129"/>
      <c r="R44" s="129"/>
      <c r="S44" s="129"/>
      <c r="U44">
        <f t="shared" si="1"/>
        <v>2009</v>
      </c>
      <c r="V44" s="129">
        <f>'Total_Transportation '!V70</f>
        <v>1.5457985245593699</v>
      </c>
      <c r="W44" s="129">
        <f>'Total_Transportation '!AD70</f>
        <v>1.0812354558026858</v>
      </c>
      <c r="X44" s="129">
        <f>'Total_Transportation '!Z70</f>
        <v>0.82425745208327461</v>
      </c>
      <c r="Y44" s="129">
        <f>'Total_Transportation '!AB70</f>
        <v>1.3776409682072801</v>
      </c>
    </row>
    <row r="45" spans="12:25" x14ac:dyDescent="0.2">
      <c r="P45" s="129"/>
      <c r="Q45" s="129"/>
      <c r="R45" s="129"/>
      <c r="S45" s="129"/>
      <c r="U45">
        <f t="shared" si="1"/>
        <v>2010</v>
      </c>
      <c r="V45" s="129">
        <f>'Total_Transportation '!V71</f>
        <v>1.5820070462690683</v>
      </c>
      <c r="W45" s="129">
        <f>'Total_Transportation '!AD71</f>
        <v>1.0694695098582792</v>
      </c>
      <c r="X45" s="129">
        <f>'Total_Transportation '!Z71</f>
        <v>0.82566657545572286</v>
      </c>
      <c r="Y45" s="129">
        <f>'Total_Transportation '!AB71</f>
        <v>1.3969521323480787</v>
      </c>
    </row>
    <row r="46" spans="12:25" x14ac:dyDescent="0.2">
      <c r="P46" s="129"/>
      <c r="Q46" s="129"/>
      <c r="R46" s="129"/>
      <c r="S46" s="129"/>
      <c r="U46">
        <f t="shared" si="1"/>
        <v>2011</v>
      </c>
      <c r="V46" s="129">
        <f>'Total_Transportation '!V72</f>
        <v>1.5777558350752059</v>
      </c>
      <c r="W46" s="129">
        <f>'Total_Transportation '!AD72</f>
        <v>1.0586039328172128</v>
      </c>
      <c r="X46" s="129">
        <f>'Total_Transportation '!Z72</f>
        <v>0.83248236739814063</v>
      </c>
      <c r="Y46" s="129">
        <f>'Total_Transportation '!AB72</f>
        <v>1.3904274776215071</v>
      </c>
    </row>
    <row r="47" spans="12:25" x14ac:dyDescent="0.2">
      <c r="P47" s="129"/>
      <c r="Q47" s="129"/>
      <c r="R47" s="129"/>
      <c r="S47" s="129"/>
      <c r="U47" s="129"/>
    </row>
    <row r="48" spans="12:25" x14ac:dyDescent="0.2">
      <c r="P48" s="129"/>
      <c r="Q48" s="129"/>
      <c r="R48" s="129"/>
      <c r="S48" s="129"/>
      <c r="U48" s="129"/>
    </row>
    <row r="49" spans="9:25" x14ac:dyDescent="0.2">
      <c r="P49" s="129"/>
      <c r="Q49" s="129"/>
      <c r="R49" s="129"/>
      <c r="S49" s="129">
        <f>S28/S27</f>
        <v>0.98104704809760424</v>
      </c>
      <c r="U49" s="129"/>
    </row>
    <row r="50" spans="9:25" x14ac:dyDescent="0.2">
      <c r="P50" s="129"/>
      <c r="Q50" s="129"/>
      <c r="R50" s="129"/>
      <c r="S50" s="129"/>
      <c r="U50" s="129"/>
    </row>
    <row r="51" spans="9:25" x14ac:dyDescent="0.2">
      <c r="O51" t="s">
        <v>273</v>
      </c>
      <c r="U51" t="s">
        <v>273</v>
      </c>
    </row>
    <row r="52" spans="9:25" x14ac:dyDescent="0.2">
      <c r="I52" s="6" t="s">
        <v>294</v>
      </c>
      <c r="P52" s="36"/>
      <c r="Q52" s="36"/>
      <c r="R52" s="36"/>
      <c r="S52" s="36"/>
      <c r="V52" s="36"/>
      <c r="W52" s="36"/>
      <c r="X52" s="36"/>
      <c r="Y52" s="36"/>
    </row>
    <row r="53" spans="9:25" ht="26.25" thickBot="1" x14ac:dyDescent="0.25">
      <c r="I53" t="s">
        <v>238</v>
      </c>
      <c r="P53" s="157" t="s">
        <v>757</v>
      </c>
      <c r="Q53" s="157" t="s">
        <v>288</v>
      </c>
      <c r="R53" s="157" t="s">
        <v>775</v>
      </c>
      <c r="S53" s="157" t="s">
        <v>776</v>
      </c>
      <c r="V53" s="157" t="s">
        <v>757</v>
      </c>
      <c r="W53" s="157" t="s">
        <v>288</v>
      </c>
      <c r="X53" s="157" t="s">
        <v>775</v>
      </c>
      <c r="Y53" s="157" t="s">
        <v>776</v>
      </c>
    </row>
    <row r="54" spans="9:25" x14ac:dyDescent="0.2">
      <c r="I54" t="s">
        <v>241</v>
      </c>
      <c r="O54">
        <v>1985</v>
      </c>
      <c r="P54" s="129">
        <f>Passenger_Total!AA46</f>
        <v>1</v>
      </c>
      <c r="Q54" s="129">
        <f>Passenger_Total!AI46</f>
        <v>1</v>
      </c>
      <c r="R54" s="129">
        <f>Passenger_Total!AE46</f>
        <v>1</v>
      </c>
      <c r="S54" s="129">
        <f>Passenger_Total!AG46</f>
        <v>1</v>
      </c>
      <c r="U54">
        <v>1970</v>
      </c>
      <c r="V54" s="129">
        <f>Passenger_Total!AA31</f>
        <v>0.65454466933795419</v>
      </c>
      <c r="W54" s="129">
        <f>Passenger_Total!AI31</f>
        <v>0.96603495133226391</v>
      </c>
      <c r="X54" s="129">
        <f>Passenger_Total!AE31</f>
        <v>1.2759163330998435</v>
      </c>
      <c r="Y54" s="129">
        <f>Passenger_Total!AG31</f>
        <v>0.80677851978739767</v>
      </c>
    </row>
    <row r="55" spans="9:25" x14ac:dyDescent="0.2">
      <c r="I55" t="s">
        <v>293</v>
      </c>
      <c r="O55">
        <f>O54+1</f>
        <v>1986</v>
      </c>
      <c r="P55" s="129">
        <f>Passenger_Total!AA47</f>
        <v>1.0242283939336427</v>
      </c>
      <c r="Q55" s="129">
        <f>Passenger_Total!AI47</f>
        <v>1.0018332041289146</v>
      </c>
      <c r="R55" s="129">
        <f>Passenger_Total!AE47</f>
        <v>1.0114284553295805</v>
      </c>
      <c r="S55" s="129">
        <f>Passenger_Total!AG47</f>
        <v>1.0378328203948164</v>
      </c>
      <c r="U55" s="138">
        <f>U54+1</f>
        <v>1971</v>
      </c>
      <c r="V55" s="129">
        <f>Passenger_Total!AA32</f>
        <v>0.6916901603657839</v>
      </c>
      <c r="W55" s="129">
        <f>Passenger_Total!AI32</f>
        <v>0.96808331667432368</v>
      </c>
      <c r="X55" s="129">
        <f>Passenger_Total!AE32</f>
        <v>1.2650123231521695</v>
      </c>
      <c r="Y55" s="129">
        <f>Passenger_Total!AG32</f>
        <v>0.84706958801732468</v>
      </c>
    </row>
    <row r="56" spans="9:25" x14ac:dyDescent="0.2">
      <c r="O56">
        <f t="shared" ref="O56:O69" si="3">O55+1</f>
        <v>1987</v>
      </c>
      <c r="P56" s="129">
        <f>Passenger_Total!AA48</f>
        <v>1.0618051946882867</v>
      </c>
      <c r="Q56" s="129">
        <f>Passenger_Total!AI48</f>
        <v>1.0026216954565474</v>
      </c>
      <c r="R56" s="129">
        <f>Passenger_Total!AE48</f>
        <v>0.9934296637720017</v>
      </c>
      <c r="S56" s="129">
        <f>Passenger_Total!AG48</f>
        <v>1.0575942173640895</v>
      </c>
      <c r="U56" s="138">
        <f t="shared" ref="U56:U95" si="4">U55+1</f>
        <v>1972</v>
      </c>
      <c r="V56" s="129">
        <f>Passenger_Total!AA33</f>
        <v>0.7394123173685786</v>
      </c>
      <c r="W56" s="129">
        <f>Passenger_Total!AI33</f>
        <v>0.97281497507816528</v>
      </c>
      <c r="X56" s="129">
        <f>Passenger_Total!AE33</f>
        <v>1.2579240626678765</v>
      </c>
      <c r="Y56" s="129">
        <f>Passenger_Total!AG33</f>
        <v>0.9048390872807105</v>
      </c>
    </row>
    <row r="57" spans="9:25" x14ac:dyDescent="0.2">
      <c r="O57">
        <f t="shared" si="3"/>
        <v>1988</v>
      </c>
      <c r="P57" s="129">
        <f>Passenger_Total!AA49</f>
        <v>1.1037694773536708</v>
      </c>
      <c r="Q57" s="129">
        <f>Passenger_Total!AI49</f>
        <v>1.0042824701172397</v>
      </c>
      <c r="R57" s="129">
        <f>Passenger_Total!AE49</f>
        <v>0.97562398390608562</v>
      </c>
      <c r="S57" s="129">
        <f>Passenger_Total!AG49</f>
        <v>1.0814756126021814</v>
      </c>
      <c r="U57" s="138">
        <f t="shared" si="4"/>
        <v>1973</v>
      </c>
      <c r="V57" s="129">
        <f>Passenger_Total!AA34</f>
        <v>0.7648785031279568</v>
      </c>
      <c r="W57" s="129">
        <f>Passenger_Total!AI34</f>
        <v>0.97543040587127661</v>
      </c>
      <c r="X57" s="129">
        <f>Passenger_Total!AE34</f>
        <v>1.2634151079599454</v>
      </c>
      <c r="Y57" s="129">
        <f>Passenger_Total!AG34</f>
        <v>0.94261600680223367</v>
      </c>
    </row>
    <row r="58" spans="9:25" x14ac:dyDescent="0.2">
      <c r="I58" t="s">
        <v>247</v>
      </c>
      <c r="O58">
        <f t="shared" si="3"/>
        <v>1989</v>
      </c>
      <c r="P58" s="129">
        <f>Passenger_Total!AA50</f>
        <v>1.1246438529981866</v>
      </c>
      <c r="Q58" s="129">
        <f>Passenger_Total!AI50</f>
        <v>1.0050587123220136</v>
      </c>
      <c r="R58" s="129">
        <f>Passenger_Total!AE50</f>
        <v>0.96640614607228315</v>
      </c>
      <c r="S58" s="129">
        <f>Passenger_Total!AG50</f>
        <v>1.0923608575729473</v>
      </c>
      <c r="U58" s="138">
        <f t="shared" si="4"/>
        <v>1974</v>
      </c>
      <c r="V58" s="129">
        <f>Passenger_Total!AA35</f>
        <v>0.74783588105686249</v>
      </c>
      <c r="W58" s="129">
        <f>Passenger_Total!AI35</f>
        <v>0.97657757536861878</v>
      </c>
      <c r="X58" s="129">
        <f>Passenger_Total!AE35</f>
        <v>1.2396436941349878</v>
      </c>
      <c r="Y58" s="129">
        <f>Passenger_Total!AG35</f>
        <v>0.90533627464445443</v>
      </c>
    </row>
    <row r="59" spans="9:25" x14ac:dyDescent="0.2">
      <c r="I59" s="275" t="s">
        <v>246</v>
      </c>
      <c r="O59">
        <f t="shared" si="3"/>
        <v>1990</v>
      </c>
      <c r="P59" s="129">
        <f>Passenger_Total!AA51</f>
        <v>1.1374376197170626</v>
      </c>
      <c r="Q59" s="129">
        <f>Passenger_Total!AI51</f>
        <v>1.0067599691182305</v>
      </c>
      <c r="R59" s="129">
        <f>Passenger_Total!AE51</f>
        <v>0.94568804030853193</v>
      </c>
      <c r="S59" s="129">
        <f>Passenger_Total!AG51</f>
        <v>1.0829325897431992</v>
      </c>
      <c r="U59" s="138">
        <f t="shared" si="4"/>
        <v>1975</v>
      </c>
      <c r="V59" s="129">
        <f>Passenger_Total!AA36</f>
        <v>0.77152280666766848</v>
      </c>
      <c r="W59" s="129">
        <f>Passenger_Total!AI36</f>
        <v>0.9793674951508774</v>
      </c>
      <c r="X59" s="129">
        <f>Passenger_Total!AE36</f>
        <v>1.2275752702939975</v>
      </c>
      <c r="Y59" s="129">
        <f>Passenger_Total!AG36</f>
        <v>0.92756122476567915</v>
      </c>
    </row>
    <row r="60" spans="9:25" x14ac:dyDescent="0.2">
      <c r="O60">
        <f t="shared" si="3"/>
        <v>1991</v>
      </c>
      <c r="P60" s="129">
        <f>Passenger_Total!AA52</f>
        <v>1.1451112391787956</v>
      </c>
      <c r="Q60" s="129">
        <f>Passenger_Total!AI52</f>
        <v>1.0109326814721447</v>
      </c>
      <c r="R60" s="129">
        <f>Passenger_Total!AE52</f>
        <v>0.90399721943488731</v>
      </c>
      <c r="S60" s="129">
        <f>Passenger_Total!AG52</f>
        <v>1.0464946406820113</v>
      </c>
      <c r="U60" s="138">
        <f t="shared" si="4"/>
        <v>1976</v>
      </c>
      <c r="V60" s="129">
        <f>Passenger_Total!AA37</f>
        <v>0.81623741815535333</v>
      </c>
      <c r="W60" s="129">
        <f>Passenger_Total!AI37</f>
        <v>0.98394621414179462</v>
      </c>
      <c r="X60" s="129">
        <f>Passenger_Total!AE37</f>
        <v>1.2189768579541542</v>
      </c>
      <c r="Y60" s="129">
        <f>Passenger_Total!AG37</f>
        <v>0.97900141539575269</v>
      </c>
    </row>
    <row r="61" spans="9:25" x14ac:dyDescent="0.2">
      <c r="I61" s="173" t="s">
        <v>235</v>
      </c>
      <c r="O61">
        <f t="shared" si="3"/>
        <v>1992</v>
      </c>
      <c r="P61" s="129">
        <f>Passenger_Total!AA53</f>
        <v>1.1849835037689405</v>
      </c>
      <c r="Q61" s="129">
        <f>Passenger_Total!AI53</f>
        <v>1.0122662532470388</v>
      </c>
      <c r="R61" s="129">
        <f>Passenger_Total!AE53</f>
        <v>0.90696264337629329</v>
      </c>
      <c r="S61" s="129">
        <f>Passenger_Total!AG53</f>
        <v>1.0879187520755276</v>
      </c>
      <c r="U61" s="138">
        <f t="shared" si="4"/>
        <v>1977</v>
      </c>
      <c r="V61" s="129">
        <f>Passenger_Total!AA38</f>
        <v>0.8531951377916106</v>
      </c>
      <c r="W61" s="129">
        <f>Passenger_Total!AI38</f>
        <v>0.98678664039040831</v>
      </c>
      <c r="X61" s="129">
        <f>Passenger_Total!AE38</f>
        <v>1.1838941838936499</v>
      </c>
      <c r="Y61" s="129">
        <f>Passenger_Total!AG38</f>
        <v>0.99674604246296272</v>
      </c>
    </row>
    <row r="62" spans="9:25" x14ac:dyDescent="0.2">
      <c r="O62">
        <f t="shared" si="3"/>
        <v>1993</v>
      </c>
      <c r="P62" s="129">
        <f>Passenger_Total!AA54</f>
        <v>1.2057832848913204</v>
      </c>
      <c r="Q62" s="129">
        <f>Passenger_Total!AI54</f>
        <v>1.0124340920085939</v>
      </c>
      <c r="R62" s="129">
        <f>Passenger_Total!AE54</f>
        <v>0.91612629206741147</v>
      </c>
      <c r="S62" s="129">
        <f>Passenger_Total!AG54</f>
        <v>1.1183850866996163</v>
      </c>
      <c r="U62" s="138">
        <f t="shared" si="4"/>
        <v>1978</v>
      </c>
      <c r="V62" s="129">
        <f>Passenger_Total!AA39</f>
        <v>0.8953338644219323</v>
      </c>
      <c r="W62" s="129">
        <f>Passenger_Total!AI39</f>
        <v>0.99170121841612657</v>
      </c>
      <c r="X62" s="129">
        <f>Passenger_Total!AE39</f>
        <v>1.163624049082058</v>
      </c>
      <c r="Y62" s="129">
        <f>Passenger_Total!AG39</f>
        <v>1.0331860802460946</v>
      </c>
    </row>
    <row r="63" spans="9:25" x14ac:dyDescent="0.2">
      <c r="O63">
        <f t="shared" si="3"/>
        <v>1994</v>
      </c>
      <c r="P63" s="129">
        <f>Passenger_Total!AA55</f>
        <v>1.2365738833740516</v>
      </c>
      <c r="Q63" s="129">
        <f>Passenger_Total!AI55</f>
        <v>1.0106083908996841</v>
      </c>
      <c r="R63" s="129">
        <f>Passenger_Total!AE55</f>
        <v>0.913318574182166</v>
      </c>
      <c r="S63" s="129">
        <f>Passenger_Total!AG55</f>
        <v>1.1413668630958125</v>
      </c>
      <c r="U63" s="138">
        <f t="shared" si="4"/>
        <v>1979</v>
      </c>
      <c r="V63" s="129">
        <f>Passenger_Total!AA40</f>
        <v>0.89274641986130887</v>
      </c>
      <c r="W63" s="129">
        <f>Passenger_Total!AI40</f>
        <v>0.99315366128499327</v>
      </c>
      <c r="X63" s="129">
        <f>Passenger_Total!AE40</f>
        <v>1.1352974857388176</v>
      </c>
      <c r="Y63" s="129">
        <f>Passenger_Total!AG40</f>
        <v>1.0065937772569653</v>
      </c>
    </row>
    <row r="64" spans="9:25" x14ac:dyDescent="0.2">
      <c r="O64">
        <f t="shared" si="3"/>
        <v>1995</v>
      </c>
      <c r="P64" s="129">
        <f>Passenger_Total!AA56</f>
        <v>1.2667691488992032</v>
      </c>
      <c r="Q64" s="129">
        <f>Passenger_Total!AI56</f>
        <v>1.0104128676637203</v>
      </c>
      <c r="R64" s="129">
        <f>Passenger_Total!AE56</f>
        <v>0.90659156808585362</v>
      </c>
      <c r="S64" s="129">
        <f>Passenger_Total!AG56</f>
        <v>1.1604008060543913</v>
      </c>
      <c r="U64" s="138">
        <f t="shared" si="4"/>
        <v>1980</v>
      </c>
      <c r="V64" s="129">
        <f>Passenger_Total!AA41</f>
        <v>0.88704940008007294</v>
      </c>
      <c r="W64" s="129">
        <f>Passenger_Total!AI41</f>
        <v>0.99283049772099019</v>
      </c>
      <c r="X64" s="129">
        <f>Passenger_Total!AE41</f>
        <v>1.0660392799120582</v>
      </c>
      <c r="Y64" s="129">
        <f>Passenger_Total!AG41</f>
        <v>0.93884981082585273</v>
      </c>
    </row>
    <row r="65" spans="1:26" x14ac:dyDescent="0.2">
      <c r="O65">
        <f t="shared" si="3"/>
        <v>1996</v>
      </c>
      <c r="P65" s="129">
        <f>Passenger_Total!AA57</f>
        <v>1.3092698934928872</v>
      </c>
      <c r="Q65" s="129">
        <f>Passenger_Total!AI57</f>
        <v>1.0113958481440359</v>
      </c>
      <c r="R65" s="129">
        <f>Passenger_Total!AE57</f>
        <v>0.8994038467482065</v>
      </c>
      <c r="S65" s="129">
        <f>Passenger_Total!AG57</f>
        <v>1.190981700686218</v>
      </c>
      <c r="U65" s="138">
        <f t="shared" si="4"/>
        <v>1981</v>
      </c>
      <c r="V65" s="129">
        <f>Passenger_Total!AA42</f>
        <v>0.89601169084696186</v>
      </c>
      <c r="W65" s="129">
        <f>Passenger_Total!AI42</f>
        <v>0.99314843153817867</v>
      </c>
      <c r="X65" s="129">
        <f>Passenger_Total!AE42</f>
        <v>1.0482237123309395</v>
      </c>
      <c r="Y65" s="129">
        <f>Passenger_Total!AG42</f>
        <v>0.93278556593874384</v>
      </c>
    </row>
    <row r="66" spans="1:26" x14ac:dyDescent="0.2">
      <c r="O66">
        <f t="shared" si="3"/>
        <v>1997</v>
      </c>
      <c r="P66" s="129">
        <f>Passenger_Total!AA58</f>
        <v>1.3509274539681764</v>
      </c>
      <c r="Q66" s="129">
        <f>Passenger_Total!AI58</f>
        <v>1.0136269153004613</v>
      </c>
      <c r="R66" s="129">
        <f>Passenger_Total!AE58</f>
        <v>0.89053869068887681</v>
      </c>
      <c r="S66" s="129">
        <f>Passenger_Total!AG58</f>
        <v>1.2194470696684994</v>
      </c>
      <c r="U66" s="138">
        <f t="shared" si="4"/>
        <v>1982</v>
      </c>
      <c r="V66" s="129">
        <f>Passenger_Total!AA43</f>
        <v>0.9151099212849293</v>
      </c>
      <c r="W66" s="129">
        <f>Passenger_Total!AI43</f>
        <v>0.99367052978167725</v>
      </c>
      <c r="X66" s="129">
        <f>Passenger_Total!AE43</f>
        <v>1.0164366247954264</v>
      </c>
      <c r="Y66" s="129">
        <f>Passenger_Total!AG43</f>
        <v>0.92426387513739638</v>
      </c>
    </row>
    <row r="67" spans="1:26" x14ac:dyDescent="0.2">
      <c r="O67">
        <f t="shared" si="3"/>
        <v>1998</v>
      </c>
      <c r="P67" s="129">
        <f>Passenger_Total!AA59</f>
        <v>1.3904272615544104</v>
      </c>
      <c r="Q67" s="129">
        <f>Passenger_Total!AI59</f>
        <v>1.0140885091537211</v>
      </c>
      <c r="R67" s="129">
        <f>Passenger_Total!AE59</f>
        <v>0.88697174962960545</v>
      </c>
      <c r="S67" s="129">
        <f>Passenger_Total!AG59</f>
        <v>1.2506446323839444</v>
      </c>
      <c r="U67" s="138">
        <f t="shared" si="4"/>
        <v>1983</v>
      </c>
      <c r="V67" s="129">
        <f>Passenger_Total!AA44</f>
        <v>0.94801545451041591</v>
      </c>
      <c r="W67" s="129">
        <f>Passenger_Total!AI44</f>
        <v>0.99465633238252527</v>
      </c>
      <c r="X67" s="129">
        <f>Passenger_Total!AE44</f>
        <v>0.9991527466048743</v>
      </c>
      <c r="Y67" s="129">
        <f>Passenger_Total!AG44</f>
        <v>0.94215065779641038</v>
      </c>
    </row>
    <row r="68" spans="1:26" x14ac:dyDescent="0.2">
      <c r="O68">
        <f t="shared" si="3"/>
        <v>1999</v>
      </c>
      <c r="P68" s="129">
        <f>Passenger_Total!AA60</f>
        <v>1.4299985585735773</v>
      </c>
      <c r="Q68" s="129">
        <f>Passenger_Total!AI60</f>
        <v>1.0154699724158402</v>
      </c>
      <c r="R68" s="129">
        <f>Passenger_Total!AE60</f>
        <v>0.89276271881835545</v>
      </c>
      <c r="S68" s="129">
        <f>Passenger_Total!AG60</f>
        <v>1.2963991320775501</v>
      </c>
      <c r="U68" s="138">
        <f t="shared" si="4"/>
        <v>1984</v>
      </c>
      <c r="V68" s="129">
        <f>Passenger_Total!AA45</f>
        <v>0.97576870355399725</v>
      </c>
      <c r="W68" s="129">
        <f>Passenger_Total!AI45</f>
        <v>0.9980644006967776</v>
      </c>
      <c r="X68" s="129">
        <f>Passenger_Total!AE45</f>
        <v>0.99759649851624588</v>
      </c>
      <c r="Y68" s="129">
        <f>Passenger_Total!AG45</f>
        <v>0.97153928429107639</v>
      </c>
    </row>
    <row r="69" spans="1:26" x14ac:dyDescent="0.2">
      <c r="O69">
        <f t="shared" si="3"/>
        <v>2000</v>
      </c>
      <c r="P69" s="129">
        <f>Passenger_Total!AA61</f>
        <v>1.4729468449386236</v>
      </c>
      <c r="Q69" s="129">
        <f>Passenger_Total!AI61</f>
        <v>1.0153160631567082</v>
      </c>
      <c r="R69" s="129">
        <f>Passenger_Total!AE61</f>
        <v>0.86757402620813218</v>
      </c>
      <c r="S69" s="129">
        <f>Passenger_Total!AG61</f>
        <v>1.29746267510532</v>
      </c>
      <c r="U69" s="138">
        <f t="shared" si="4"/>
        <v>1985</v>
      </c>
      <c r="V69" s="129">
        <f>Passenger_Total!AA46</f>
        <v>1</v>
      </c>
      <c r="W69" s="129">
        <f>Passenger_Total!AI46</f>
        <v>1</v>
      </c>
      <c r="X69" s="129">
        <f>Passenger_Total!AE46</f>
        <v>1</v>
      </c>
      <c r="Y69" s="129">
        <f>Passenger_Total!AG46</f>
        <v>1</v>
      </c>
      <c r="Z69" s="136">
        <f>X69/X54</f>
        <v>0.78375044982024511</v>
      </c>
    </row>
    <row r="70" spans="1:26" x14ac:dyDescent="0.2">
      <c r="O70">
        <f t="shared" ref="O70:O76" si="5">O69+1</f>
        <v>2001</v>
      </c>
      <c r="P70" s="129">
        <f>Passenger_Total!AA62</f>
        <v>1.4885176503107744</v>
      </c>
      <c r="Q70" s="129">
        <f>Passenger_Total!AI62</f>
        <v>1.0170375057950132</v>
      </c>
      <c r="R70" s="129">
        <f>Passenger_Total!AE62</f>
        <v>0.85739132371352822</v>
      </c>
      <c r="S70" s="129">
        <f>Passenger_Total!AG62</f>
        <v>1.297986101061898</v>
      </c>
      <c r="U70" s="138">
        <f t="shared" si="4"/>
        <v>1986</v>
      </c>
      <c r="V70" s="129">
        <f>Passenger_Total!AA47</f>
        <v>1.0242283939336427</v>
      </c>
      <c r="W70" s="129">
        <f>Passenger_Total!AI47</f>
        <v>1.0018332041289146</v>
      </c>
      <c r="X70" s="129">
        <f>Passenger_Total!AE47</f>
        <v>1.0114284553295805</v>
      </c>
      <c r="Y70" s="129">
        <f>Passenger_Total!AG47</f>
        <v>1.0378328203948164</v>
      </c>
      <c r="Z70" s="279"/>
    </row>
    <row r="71" spans="1:26" x14ac:dyDescent="0.2">
      <c r="O71">
        <f t="shared" si="5"/>
        <v>2002</v>
      </c>
      <c r="P71" s="129">
        <f>Passenger_Total!AA63</f>
        <v>1.5156974363683235</v>
      </c>
      <c r="Q71" s="129">
        <f>Passenger_Total!AI63</f>
        <v>1.0171457005030939</v>
      </c>
      <c r="R71" s="129">
        <f>Passenger_Total!AE63</f>
        <v>0.85178116634457823</v>
      </c>
      <c r="S71" s="129">
        <f>Passenger_Total!AG63</f>
        <v>1.3131783587344412</v>
      </c>
      <c r="U71" s="138">
        <f t="shared" si="4"/>
        <v>1987</v>
      </c>
      <c r="V71" s="129">
        <f>Passenger_Total!AA48</f>
        <v>1.0618051946882867</v>
      </c>
      <c r="W71" s="129">
        <f>Passenger_Total!AI48</f>
        <v>1.0026216954565474</v>
      </c>
      <c r="X71" s="129">
        <f>Passenger_Total!AE48</f>
        <v>0.9934296637720017</v>
      </c>
      <c r="Y71" s="129">
        <f>Passenger_Total!AG48</f>
        <v>1.0575942173640895</v>
      </c>
    </row>
    <row r="72" spans="1:26" x14ac:dyDescent="0.2">
      <c r="O72">
        <f t="shared" si="5"/>
        <v>2003</v>
      </c>
      <c r="P72" s="129">
        <f>Passenger_Total!AA64</f>
        <v>1.5428102044506418</v>
      </c>
      <c r="Q72" s="129">
        <f>Passenger_Total!AI64</f>
        <v>1.016848635045386</v>
      </c>
      <c r="R72" s="129">
        <f>Passenger_Total!AE64</f>
        <v>0.8650363298961703</v>
      </c>
      <c r="S72" s="129">
        <f>Passenger_Total!AG64</f>
        <v>1.3570728442110149</v>
      </c>
      <c r="U72" s="138">
        <f t="shared" si="4"/>
        <v>1988</v>
      </c>
      <c r="V72" s="129">
        <f>Passenger_Total!AA49</f>
        <v>1.1037694773536708</v>
      </c>
      <c r="W72" s="129">
        <f>Passenger_Total!AI49</f>
        <v>1.0042824701172397</v>
      </c>
      <c r="X72" s="129">
        <f>Passenger_Total!AE49</f>
        <v>0.97562398390608562</v>
      </c>
      <c r="Y72" s="129">
        <f>Passenger_Total!AG49</f>
        <v>1.0814756126021814</v>
      </c>
    </row>
    <row r="73" spans="1:26" x14ac:dyDescent="0.2">
      <c r="A73" t="s">
        <v>965</v>
      </c>
      <c r="O73">
        <f t="shared" si="5"/>
        <v>2004</v>
      </c>
      <c r="P73" s="129">
        <f>Passenger_Total!AA65</f>
        <v>1.6074017342628364</v>
      </c>
      <c r="Q73" s="129">
        <f>Passenger_Total!AI65</f>
        <v>1.0172257451874909</v>
      </c>
      <c r="R73" s="129">
        <f>Passenger_Total!AE65</f>
        <v>0.84645621310091668</v>
      </c>
      <c r="S73" s="129">
        <f>Passenger_Total!AG65</f>
        <v>1.3840324508746567</v>
      </c>
      <c r="U73" s="138">
        <f t="shared" si="4"/>
        <v>1989</v>
      </c>
      <c r="V73" s="129">
        <f>Passenger_Total!AA50</f>
        <v>1.1246438529981866</v>
      </c>
      <c r="W73" s="129">
        <f>Passenger_Total!AI50</f>
        <v>1.0050587123220136</v>
      </c>
      <c r="X73" s="129">
        <f>Passenger_Total!AE50</f>
        <v>0.96640614607228315</v>
      </c>
      <c r="Y73" s="129">
        <f>Passenger_Total!AG50</f>
        <v>1.0923608575729473</v>
      </c>
    </row>
    <row r="74" spans="1:26" x14ac:dyDescent="0.2">
      <c r="O74">
        <f t="shared" si="5"/>
        <v>2005</v>
      </c>
      <c r="P74" s="129">
        <f>Passenger_Total!AA66</f>
        <v>1.6380687050865446</v>
      </c>
      <c r="Q74" s="129">
        <f>Passenger_Total!AI66</f>
        <v>1.0185973432595219</v>
      </c>
      <c r="R74" s="129">
        <f>Passenger_Total!AE66</f>
        <v>0.82277940105024827</v>
      </c>
      <c r="S74" s="129">
        <f>Passenger_Total!AG66</f>
        <v>1.3728341142750418</v>
      </c>
      <c r="U74" s="138">
        <f t="shared" si="4"/>
        <v>1990</v>
      </c>
      <c r="V74" s="129">
        <f>Passenger_Total!AA51</f>
        <v>1.1374376197170626</v>
      </c>
      <c r="W74" s="129">
        <f>Passenger_Total!AI51</f>
        <v>1.0067599691182305</v>
      </c>
      <c r="X74" s="129">
        <f>Passenger_Total!AE51</f>
        <v>0.94568804030853193</v>
      </c>
      <c r="Y74" s="129">
        <f>Passenger_Total!AG51</f>
        <v>1.0829325897431992</v>
      </c>
    </row>
    <row r="75" spans="1:26" x14ac:dyDescent="0.2">
      <c r="O75">
        <f t="shared" si="5"/>
        <v>2006</v>
      </c>
      <c r="P75" s="129">
        <f>Passenger_Total!AA67</f>
        <v>1.6637858392841314</v>
      </c>
      <c r="Q75" s="129">
        <f>Passenger_Total!AI67</f>
        <v>1.0194540425689942</v>
      </c>
      <c r="R75" s="129">
        <f>Passenger_Total!AE67</f>
        <v>0.81202732503651909</v>
      </c>
      <c r="S75" s="129">
        <f>Passenger_Total!AG67</f>
        <v>1.377322745707859</v>
      </c>
      <c r="U75" s="138">
        <f t="shared" si="4"/>
        <v>1991</v>
      </c>
      <c r="V75" s="129">
        <f>Passenger_Total!AA52</f>
        <v>1.1451112391787956</v>
      </c>
      <c r="W75" s="129">
        <f>Passenger_Total!AI52</f>
        <v>1.0109326814721447</v>
      </c>
      <c r="X75" s="129">
        <f>Passenger_Total!AE52</f>
        <v>0.90399721943488731</v>
      </c>
      <c r="Y75" s="129">
        <f>Passenger_Total!AG52</f>
        <v>1.0464946406820113</v>
      </c>
    </row>
    <row r="76" spans="1:26" x14ac:dyDescent="0.2">
      <c r="O76">
        <f t="shared" si="5"/>
        <v>2007</v>
      </c>
      <c r="P76" s="129">
        <f>Passenger_Total!AA68</f>
        <v>1.6886467692226337</v>
      </c>
      <c r="Q76" s="129">
        <f>Passenger_Total!AI68</f>
        <v>1.0183332464127912</v>
      </c>
      <c r="R76" s="129">
        <f>Passenger_Total!AE68</f>
        <v>0.80480197919421437</v>
      </c>
      <c r="S76" s="129">
        <f>Passenger_Total!AG68</f>
        <v>1.3839416253735484</v>
      </c>
      <c r="U76" s="138">
        <f t="shared" si="4"/>
        <v>1992</v>
      </c>
      <c r="V76" s="129">
        <f>Passenger_Total!AA53</f>
        <v>1.1849835037689405</v>
      </c>
      <c r="W76" s="129">
        <f>Passenger_Total!AI53</f>
        <v>1.0122662532470388</v>
      </c>
      <c r="X76" s="129">
        <f>Passenger_Total!AE53</f>
        <v>0.90696264337629329</v>
      </c>
      <c r="Y76" s="129">
        <f>Passenger_Total!AG53</f>
        <v>1.0879187520755276</v>
      </c>
    </row>
    <row r="77" spans="1:26" x14ac:dyDescent="0.2">
      <c r="O77">
        <f>O76+1</f>
        <v>2008</v>
      </c>
      <c r="P77" s="129">
        <f>Passenger_Total!AA69</f>
        <v>1.6498567486833895</v>
      </c>
      <c r="Q77" s="129">
        <f>Passenger_Total!AI69</f>
        <v>1.0203340328993</v>
      </c>
      <c r="R77" s="129">
        <f>Passenger_Total!AE69</f>
        <v>0.79928663653977283</v>
      </c>
      <c r="S77" s="129">
        <f>Passenger_Total!AG69</f>
        <v>1.3455231124635059</v>
      </c>
      <c r="U77" s="138">
        <f t="shared" si="4"/>
        <v>1993</v>
      </c>
      <c r="V77" s="129">
        <f>Passenger_Total!AA54</f>
        <v>1.2057832848913204</v>
      </c>
      <c r="W77" s="129">
        <f>Passenger_Total!AI54</f>
        <v>1.0124340920085939</v>
      </c>
      <c r="X77" s="129">
        <f>Passenger_Total!AE54</f>
        <v>0.91612629206741147</v>
      </c>
      <c r="Y77" s="129">
        <f>Passenger_Total!AG54</f>
        <v>1.1183850866996163</v>
      </c>
    </row>
    <row r="78" spans="1:26" x14ac:dyDescent="0.2">
      <c r="O78">
        <f t="shared" ref="O78:O80" si="6">O77+1</f>
        <v>2009</v>
      </c>
      <c r="P78" s="129">
        <f>Passenger_Total!AA70</f>
        <v>1.6415558523876725</v>
      </c>
      <c r="Q78" s="129">
        <f>Passenger_Total!AI70</f>
        <v>1.0202970032569871</v>
      </c>
      <c r="R78" s="129">
        <f>Passenger_Total!AE70</f>
        <v>0.79590585718743001</v>
      </c>
      <c r="S78" s="129">
        <f>Passenger_Total!AG70</f>
        <v>1.3330424380308887</v>
      </c>
      <c r="U78" s="138">
        <f t="shared" si="4"/>
        <v>1994</v>
      </c>
      <c r="V78" s="129">
        <f>Passenger_Total!AA55</f>
        <v>1.2365738833740516</v>
      </c>
      <c r="W78" s="129">
        <f>Passenger_Total!AI55</f>
        <v>1.0106083908996841</v>
      </c>
      <c r="X78" s="129">
        <f>Passenger_Total!AE55</f>
        <v>0.913318574182166</v>
      </c>
      <c r="Y78" s="129">
        <f>Passenger_Total!AG55</f>
        <v>1.1413668630958125</v>
      </c>
    </row>
    <row r="79" spans="1:26" x14ac:dyDescent="0.2">
      <c r="O79">
        <f t="shared" si="6"/>
        <v>2010</v>
      </c>
      <c r="P79" s="129">
        <f>Passenger_Total!AA71</f>
        <v>1.6563436474161584</v>
      </c>
      <c r="Q79" s="129">
        <f>Passenger_Total!AI71</f>
        <v>1.020622074894348</v>
      </c>
      <c r="R79" s="129">
        <f>Passenger_Total!AE71</f>
        <v>0.79627439075489825</v>
      </c>
      <c r="S79" s="129">
        <f>Passenger_Total!AG71</f>
        <v>1.3461025663859147</v>
      </c>
      <c r="U79" s="138">
        <f t="shared" si="4"/>
        <v>1995</v>
      </c>
      <c r="V79" s="129">
        <f>Passenger_Total!AA56</f>
        <v>1.2667691488992032</v>
      </c>
      <c r="W79" s="129">
        <f>Passenger_Total!AI56</f>
        <v>1.0104128676637203</v>
      </c>
      <c r="X79" s="129">
        <f>Passenger_Total!AE56</f>
        <v>0.90659156808585362</v>
      </c>
      <c r="Y79" s="129">
        <f>Passenger_Total!AG56</f>
        <v>1.1604008060543913</v>
      </c>
    </row>
    <row r="80" spans="1:26" x14ac:dyDescent="0.2">
      <c r="O80">
        <f t="shared" si="6"/>
        <v>2011</v>
      </c>
      <c r="P80" s="129">
        <f>Passenger_Total!AA72</f>
        <v>1.6611107443399218</v>
      </c>
      <c r="Q80" s="129">
        <f>Passenger_Total!AI72</f>
        <v>1.0200950627257281</v>
      </c>
      <c r="R80" s="129">
        <f>Passenger_Total!AE72</f>
        <v>0.80246055044982545</v>
      </c>
      <c r="S80" s="129">
        <f>Passenger_Total!AG72</f>
        <v>1.3597620754232511</v>
      </c>
      <c r="U80" s="138">
        <f t="shared" si="4"/>
        <v>1996</v>
      </c>
      <c r="V80" s="129">
        <f>Passenger_Total!AA57</f>
        <v>1.3092698934928872</v>
      </c>
      <c r="W80" s="129">
        <f>Passenger_Total!AI57</f>
        <v>1.0113958481440359</v>
      </c>
      <c r="X80" s="129">
        <f>Passenger_Total!AE57</f>
        <v>0.8994038467482065</v>
      </c>
      <c r="Y80" s="129">
        <f>Passenger_Total!AG57</f>
        <v>1.190981700686218</v>
      </c>
    </row>
    <row r="81" spans="16:25" x14ac:dyDescent="0.2">
      <c r="P81" s="136"/>
      <c r="Q81" s="136"/>
      <c r="R81" s="136"/>
      <c r="S81" s="136"/>
      <c r="U81" s="138">
        <f t="shared" si="4"/>
        <v>1997</v>
      </c>
      <c r="V81" s="129">
        <f>Passenger_Total!AA58</f>
        <v>1.3509274539681764</v>
      </c>
      <c r="W81" s="129">
        <f>Passenger_Total!AI58</f>
        <v>1.0136269153004613</v>
      </c>
      <c r="X81" s="129">
        <f>Passenger_Total!AE58</f>
        <v>0.89053869068887681</v>
      </c>
      <c r="Y81" s="129">
        <f>Passenger_Total!AG58</f>
        <v>1.2194470696684994</v>
      </c>
    </row>
    <row r="82" spans="16:25" x14ac:dyDescent="0.2">
      <c r="P82" s="136"/>
      <c r="Q82" s="136"/>
      <c r="R82" s="136"/>
      <c r="S82" s="136"/>
      <c r="U82" s="138">
        <f t="shared" si="4"/>
        <v>1998</v>
      </c>
      <c r="V82" s="129">
        <f>Passenger_Total!AA59</f>
        <v>1.3904272615544104</v>
      </c>
      <c r="W82" s="129">
        <f>Passenger_Total!AI59</f>
        <v>1.0140885091537211</v>
      </c>
      <c r="X82" s="129">
        <f>Passenger_Total!AE59</f>
        <v>0.88697174962960545</v>
      </c>
      <c r="Y82" s="129">
        <f>Passenger_Total!AG59</f>
        <v>1.2506446323839444</v>
      </c>
    </row>
    <row r="83" spans="16:25" x14ac:dyDescent="0.2">
      <c r="P83" s="136"/>
      <c r="Q83" s="136"/>
      <c r="R83" s="136"/>
      <c r="S83" s="136"/>
      <c r="U83" s="138">
        <f t="shared" si="4"/>
        <v>1999</v>
      </c>
      <c r="V83" s="129">
        <f>Passenger_Total!AA60</f>
        <v>1.4299985585735773</v>
      </c>
      <c r="W83" s="129">
        <f>Passenger_Total!AI60</f>
        <v>1.0154699724158402</v>
      </c>
      <c r="X83" s="129">
        <f>Passenger_Total!AE60</f>
        <v>0.89276271881835545</v>
      </c>
      <c r="Y83" s="129">
        <f>Passenger_Total!AG60</f>
        <v>1.2963991320775501</v>
      </c>
    </row>
    <row r="84" spans="16:25" x14ac:dyDescent="0.2">
      <c r="P84" s="136"/>
      <c r="Q84" s="136"/>
      <c r="R84" s="136"/>
      <c r="S84" s="136"/>
      <c r="U84" s="138">
        <f t="shared" si="4"/>
        <v>2000</v>
      </c>
      <c r="V84" s="129">
        <f>Passenger_Total!AA61</f>
        <v>1.4729468449386236</v>
      </c>
      <c r="W84" s="129">
        <f>Passenger_Total!AI61</f>
        <v>1.0153160631567082</v>
      </c>
      <c r="X84" s="129">
        <f>Passenger_Total!AE61</f>
        <v>0.86757402620813218</v>
      </c>
      <c r="Y84" s="129">
        <f>Passenger_Total!AG61</f>
        <v>1.29746267510532</v>
      </c>
    </row>
    <row r="85" spans="16:25" x14ac:dyDescent="0.2">
      <c r="P85" s="136"/>
      <c r="Q85" s="136"/>
      <c r="R85" s="136"/>
      <c r="S85" s="136"/>
      <c r="U85" s="138">
        <f t="shared" si="4"/>
        <v>2001</v>
      </c>
      <c r="V85" s="129">
        <f>Passenger_Total!AA62</f>
        <v>1.4885176503107744</v>
      </c>
      <c r="W85" s="129">
        <f>Passenger_Total!AI62</f>
        <v>1.0170375057950132</v>
      </c>
      <c r="X85" s="129">
        <f>Passenger_Total!AE62</f>
        <v>0.85739132371352822</v>
      </c>
      <c r="Y85" s="129">
        <f>Passenger_Total!AG62</f>
        <v>1.297986101061898</v>
      </c>
    </row>
    <row r="86" spans="16:25" x14ac:dyDescent="0.2">
      <c r="P86" s="136"/>
      <c r="Q86" s="136"/>
      <c r="R86" s="136"/>
      <c r="S86" s="136"/>
      <c r="U86" s="138">
        <f t="shared" si="4"/>
        <v>2002</v>
      </c>
      <c r="V86" s="129">
        <f>Passenger_Total!AA63</f>
        <v>1.5156974363683235</v>
      </c>
      <c r="W86" s="129">
        <f>Passenger_Total!AI63</f>
        <v>1.0171457005030939</v>
      </c>
      <c r="X86" s="129">
        <f>Passenger_Total!AE63</f>
        <v>0.85178116634457823</v>
      </c>
      <c r="Y86" s="129">
        <f>Passenger_Total!AG63</f>
        <v>1.3131783587344412</v>
      </c>
    </row>
    <row r="87" spans="16:25" x14ac:dyDescent="0.2">
      <c r="P87" s="136"/>
      <c r="Q87" s="136"/>
      <c r="R87" s="136"/>
      <c r="S87" s="136"/>
      <c r="U87" s="138">
        <f t="shared" si="4"/>
        <v>2003</v>
      </c>
      <c r="V87" s="129">
        <f>Passenger_Total!AA64</f>
        <v>1.5428102044506418</v>
      </c>
      <c r="W87" s="129">
        <f>Passenger_Total!AI64</f>
        <v>1.016848635045386</v>
      </c>
      <c r="X87" s="129">
        <f>Passenger_Total!AE64</f>
        <v>0.8650363298961703</v>
      </c>
      <c r="Y87" s="129">
        <f>Passenger_Total!AG64</f>
        <v>1.3570728442110149</v>
      </c>
    </row>
    <row r="88" spans="16:25" x14ac:dyDescent="0.2">
      <c r="P88" s="136"/>
      <c r="Q88" s="136"/>
      <c r="R88" s="136"/>
      <c r="S88" s="136"/>
      <c r="U88" s="138">
        <f t="shared" si="4"/>
        <v>2004</v>
      </c>
      <c r="V88" s="129">
        <f>Passenger_Total!AA65</f>
        <v>1.6074017342628364</v>
      </c>
      <c r="W88" s="129">
        <f>Passenger_Total!AI65</f>
        <v>1.0172257451874909</v>
      </c>
      <c r="X88" s="129">
        <f>Passenger_Total!AE65</f>
        <v>0.84645621310091668</v>
      </c>
      <c r="Y88" s="129">
        <f>Passenger_Total!AG65</f>
        <v>1.3840324508746567</v>
      </c>
    </row>
    <row r="89" spans="16:25" x14ac:dyDescent="0.2">
      <c r="P89" s="136"/>
      <c r="Q89" s="136"/>
      <c r="R89" s="136"/>
      <c r="S89" s="136"/>
      <c r="U89" s="138">
        <f t="shared" si="4"/>
        <v>2005</v>
      </c>
      <c r="V89" s="129">
        <f>Passenger_Total!AA66</f>
        <v>1.6380687050865446</v>
      </c>
      <c r="W89" s="129">
        <f>Passenger_Total!AI66</f>
        <v>1.0185973432595219</v>
      </c>
      <c r="X89" s="129">
        <f>Passenger_Total!AE66</f>
        <v>0.82277940105024827</v>
      </c>
      <c r="Y89" s="129">
        <f>Passenger_Total!AG66</f>
        <v>1.3728341142750418</v>
      </c>
    </row>
    <row r="90" spans="16:25" x14ac:dyDescent="0.2">
      <c r="P90" s="136"/>
      <c r="Q90" s="136"/>
      <c r="R90" s="136"/>
      <c r="S90" s="136"/>
      <c r="U90" s="138">
        <f t="shared" si="4"/>
        <v>2006</v>
      </c>
      <c r="V90" s="129">
        <f>Passenger_Total!AA67</f>
        <v>1.6637858392841314</v>
      </c>
      <c r="W90" s="129">
        <f>Passenger_Total!AI67</f>
        <v>1.0194540425689942</v>
      </c>
      <c r="X90" s="129">
        <f>Passenger_Total!AE67</f>
        <v>0.81202732503651909</v>
      </c>
      <c r="Y90" s="129">
        <f>Passenger_Total!AG67</f>
        <v>1.377322745707859</v>
      </c>
    </row>
    <row r="91" spans="16:25" x14ac:dyDescent="0.2">
      <c r="P91" s="136"/>
      <c r="Q91" s="136"/>
      <c r="R91" s="136"/>
      <c r="S91" s="136"/>
      <c r="U91" s="138">
        <f t="shared" si="4"/>
        <v>2007</v>
      </c>
      <c r="V91" s="129">
        <f>Passenger_Total!AA68</f>
        <v>1.6886467692226337</v>
      </c>
      <c r="W91" s="129">
        <f>Passenger_Total!AI68</f>
        <v>1.0183332464127912</v>
      </c>
      <c r="X91" s="129">
        <f>Passenger_Total!AE68</f>
        <v>0.80480197919421437</v>
      </c>
      <c r="Y91" s="129">
        <f>Passenger_Total!AG68</f>
        <v>1.3839416253735484</v>
      </c>
    </row>
    <row r="92" spans="16:25" x14ac:dyDescent="0.2">
      <c r="P92" s="136"/>
      <c r="Q92" s="136"/>
      <c r="R92" s="136"/>
      <c r="S92" s="136"/>
      <c r="U92" s="138">
        <f t="shared" si="4"/>
        <v>2008</v>
      </c>
      <c r="V92" s="129">
        <f>Passenger_Total!AA69</f>
        <v>1.6498567486833895</v>
      </c>
      <c r="W92" s="129">
        <f>Passenger_Total!AI69</f>
        <v>1.0203340328993</v>
      </c>
      <c r="X92" s="129">
        <f>Passenger_Total!AE69</f>
        <v>0.79928663653977283</v>
      </c>
      <c r="Y92" s="129">
        <f>Passenger_Total!AG69</f>
        <v>1.3455231124635059</v>
      </c>
    </row>
    <row r="93" spans="16:25" x14ac:dyDescent="0.2">
      <c r="P93" s="136"/>
      <c r="Q93" s="136"/>
      <c r="R93" s="136"/>
      <c r="S93" s="136"/>
      <c r="U93" s="138">
        <f t="shared" si="4"/>
        <v>2009</v>
      </c>
      <c r="V93" s="129">
        <f>Passenger_Total!AA70</f>
        <v>1.6415558523876725</v>
      </c>
      <c r="W93" s="129">
        <f>Passenger_Total!AI70</f>
        <v>1.0202970032569871</v>
      </c>
      <c r="X93" s="129">
        <f>Passenger_Total!AE70</f>
        <v>0.79590585718743001</v>
      </c>
      <c r="Y93" s="129">
        <f>Passenger_Total!AG70</f>
        <v>1.3330424380308887</v>
      </c>
    </row>
    <row r="94" spans="16:25" x14ac:dyDescent="0.2">
      <c r="P94" s="136"/>
      <c r="Q94" s="136"/>
      <c r="R94" s="136"/>
      <c r="S94" s="136"/>
      <c r="U94" s="138">
        <f t="shared" si="4"/>
        <v>2010</v>
      </c>
      <c r="V94" s="129">
        <f>Passenger_Total!AA71</f>
        <v>1.6563436474161584</v>
      </c>
      <c r="W94" s="129">
        <f>Passenger_Total!AI71</f>
        <v>1.020622074894348</v>
      </c>
      <c r="X94" s="129">
        <f>Passenger_Total!AE71</f>
        <v>0.79627439075489825</v>
      </c>
      <c r="Y94" s="129">
        <f>Passenger_Total!AG71</f>
        <v>1.3461025663859147</v>
      </c>
    </row>
    <row r="95" spans="16:25" x14ac:dyDescent="0.2">
      <c r="P95" s="136"/>
      <c r="Q95" s="136"/>
      <c r="R95" s="136"/>
      <c r="S95" s="136"/>
      <c r="U95" s="138">
        <f t="shared" si="4"/>
        <v>2011</v>
      </c>
      <c r="V95" s="129">
        <f>Passenger_Total!AA72</f>
        <v>1.6611107443399218</v>
      </c>
      <c r="W95" s="129">
        <f>Passenger_Total!AI72</f>
        <v>1.0200950627257281</v>
      </c>
      <c r="X95" s="129">
        <f>Passenger_Total!AE72</f>
        <v>0.80246055044982545</v>
      </c>
      <c r="Y95" s="129">
        <f>Passenger_Total!AG72</f>
        <v>1.3597620754232511</v>
      </c>
    </row>
    <row r="96" spans="16:25" x14ac:dyDescent="0.2">
      <c r="P96" s="136"/>
      <c r="Q96" s="136"/>
      <c r="R96" s="136"/>
      <c r="S96" s="136"/>
    </row>
    <row r="97" spans="1:25" x14ac:dyDescent="0.2">
      <c r="P97" s="136"/>
      <c r="Q97" s="136"/>
      <c r="R97" s="136"/>
      <c r="S97" s="136"/>
    </row>
    <row r="98" spans="1:25" x14ac:dyDescent="0.2">
      <c r="P98" s="136"/>
      <c r="Q98" s="136"/>
      <c r="R98" s="136"/>
      <c r="S98" s="136"/>
    </row>
    <row r="99" spans="1:25" x14ac:dyDescent="0.2">
      <c r="P99" s="136"/>
      <c r="Q99" s="136"/>
      <c r="R99" s="136"/>
      <c r="S99" s="136"/>
    </row>
    <row r="100" spans="1:25" x14ac:dyDescent="0.2">
      <c r="P100" s="136"/>
      <c r="Q100" s="136"/>
      <c r="R100" s="136"/>
      <c r="S100" s="136"/>
    </row>
    <row r="101" spans="1:25" x14ac:dyDescent="0.2">
      <c r="P101" s="136"/>
      <c r="Q101" s="136"/>
      <c r="R101" s="136"/>
      <c r="S101" s="136"/>
    </row>
    <row r="102" spans="1:25" x14ac:dyDescent="0.2">
      <c r="P102" s="136"/>
      <c r="Q102" s="136"/>
      <c r="R102" s="136"/>
      <c r="S102" s="136"/>
    </row>
    <row r="103" spans="1:25" x14ac:dyDescent="0.2">
      <c r="P103" s="136"/>
      <c r="Q103" s="136"/>
      <c r="R103" s="136"/>
      <c r="S103" s="136"/>
    </row>
    <row r="104" spans="1:25" x14ac:dyDescent="0.2">
      <c r="P104" s="136"/>
      <c r="Q104" s="136"/>
      <c r="R104" s="136"/>
      <c r="S104" s="136"/>
    </row>
    <row r="105" spans="1:25" x14ac:dyDescent="0.2">
      <c r="A105" t="s">
        <v>660</v>
      </c>
      <c r="P105" s="136"/>
      <c r="Q105" s="136"/>
      <c r="R105" s="136"/>
      <c r="S105" s="136"/>
    </row>
    <row r="106" spans="1:25" x14ac:dyDescent="0.2">
      <c r="P106" s="129"/>
      <c r="Q106" s="129"/>
      <c r="R106" s="129"/>
      <c r="S106" s="129"/>
    </row>
    <row r="107" spans="1:25" x14ac:dyDescent="0.2">
      <c r="I107" s="6" t="s">
        <v>296</v>
      </c>
      <c r="O107" t="s">
        <v>274</v>
      </c>
      <c r="U107" t="s">
        <v>274</v>
      </c>
    </row>
    <row r="108" spans="1:25" x14ac:dyDescent="0.2">
      <c r="I108" t="s">
        <v>239</v>
      </c>
      <c r="P108" s="36"/>
      <c r="Q108" s="36"/>
      <c r="R108" s="36"/>
      <c r="S108" s="36"/>
      <c r="V108" s="36"/>
      <c r="W108" s="36"/>
      <c r="X108" s="36"/>
      <c r="Y108" s="36"/>
    </row>
    <row r="109" spans="1:25" ht="26.25" thickBot="1" x14ac:dyDescent="0.25">
      <c r="I109" t="s">
        <v>241</v>
      </c>
      <c r="P109" s="157" t="s">
        <v>757</v>
      </c>
      <c r="Q109" s="157" t="s">
        <v>288</v>
      </c>
      <c r="R109" s="157" t="s">
        <v>775</v>
      </c>
      <c r="S109" s="157" t="s">
        <v>776</v>
      </c>
      <c r="V109" s="157" t="s">
        <v>757</v>
      </c>
      <c r="W109" s="157" t="s">
        <v>288</v>
      </c>
      <c r="X109" s="157" t="s">
        <v>775</v>
      </c>
      <c r="Y109" s="157" t="s">
        <v>776</v>
      </c>
    </row>
    <row r="110" spans="1:25" x14ac:dyDescent="0.2">
      <c r="I110" t="s">
        <v>297</v>
      </c>
      <c r="O110">
        <v>1985</v>
      </c>
      <c r="P110" s="129">
        <f>Freight_Total!AK45</f>
        <v>1</v>
      </c>
      <c r="Q110" s="129">
        <f>Freight_Total!AS45</f>
        <v>1</v>
      </c>
      <c r="R110" s="129">
        <f>Freight_Total!AO45</f>
        <v>1</v>
      </c>
      <c r="S110" s="129">
        <f>Freight_Total!AQ45</f>
        <v>1</v>
      </c>
      <c r="U110">
        <v>1970</v>
      </c>
      <c r="V110" s="129">
        <f>Freight_Total!AK30</f>
        <v>0.76588284859472133</v>
      </c>
      <c r="W110" s="129">
        <f>Freight_Total!AS30</f>
        <v>0.93787500349955433</v>
      </c>
      <c r="X110" s="129">
        <f>Freight_Total!AO30</f>
        <v>0.98694527092068007</v>
      </c>
      <c r="Y110" s="129">
        <f>Freight_Total!AQ30</f>
        <v>0.70892513634715182</v>
      </c>
    </row>
    <row r="111" spans="1:25" x14ac:dyDescent="0.2">
      <c r="O111">
        <f>O110+1</f>
        <v>1986</v>
      </c>
      <c r="P111" s="129">
        <f>Freight_Total!AK46</f>
        <v>0.9950774200832454</v>
      </c>
      <c r="Q111" s="129">
        <f>Freight_Total!AS46</f>
        <v>1.0201376884178959</v>
      </c>
      <c r="R111" s="129">
        <f>Freight_Total!AO46</f>
        <v>0.99707933305078211</v>
      </c>
      <c r="S111" s="129">
        <f>Freight_Total!AQ46</f>
        <v>1.0121511634307252</v>
      </c>
      <c r="U111" s="138">
        <f>U110+1</f>
        <v>1971</v>
      </c>
      <c r="V111" s="129">
        <f>Freight_Total!AK31</f>
        <v>0.77552394319024065</v>
      </c>
      <c r="W111" s="129">
        <f>Freight_Total!AS31</f>
        <v>0.97368324789262395</v>
      </c>
      <c r="X111" s="129">
        <f>Freight_Total!AO31</f>
        <v>0.97428160987882351</v>
      </c>
      <c r="Y111" s="129">
        <f>Freight_Total!AQ31</f>
        <v>0.7356943381077754</v>
      </c>
    </row>
    <row r="112" spans="1:25" x14ac:dyDescent="0.2">
      <c r="I112" t="s">
        <v>248</v>
      </c>
      <c r="O112">
        <f t="shared" ref="O112:O125" si="7">O111+1</f>
        <v>1987</v>
      </c>
      <c r="P112" s="129">
        <f>Freight_Total!AK47</f>
        <v>1.0490174975236324</v>
      </c>
      <c r="Q112" s="129">
        <f>Freight_Total!AS47</f>
        <v>1.0242116331946314</v>
      </c>
      <c r="R112" s="129">
        <f>Freight_Total!AO47</f>
        <v>0.97622588106667141</v>
      </c>
      <c r="S112" s="129">
        <f>Freight_Total!AQ47</f>
        <v>1.0488726324181519</v>
      </c>
      <c r="U112" s="138">
        <f t="shared" ref="U112:U151" si="8">U111+1</f>
        <v>1972</v>
      </c>
      <c r="V112" s="129">
        <f>Freight_Total!AK32</f>
        <v>0.80684324483253345</v>
      </c>
      <c r="W112" s="129">
        <f>Freight_Total!AS32</f>
        <v>0.98632231454950425</v>
      </c>
      <c r="X112" s="129">
        <f>Freight_Total!AO32</f>
        <v>0.99095338643512765</v>
      </c>
      <c r="Y112" s="129">
        <f>Freight_Total!AQ32</f>
        <v>0.78860813382698591</v>
      </c>
    </row>
    <row r="113" spans="9:26" x14ac:dyDescent="0.2">
      <c r="I113" s="275" t="s">
        <v>243</v>
      </c>
      <c r="O113">
        <f t="shared" si="7"/>
        <v>1988</v>
      </c>
      <c r="P113" s="129">
        <f>Freight_Total!AK48</f>
        <v>1.08635165196587</v>
      </c>
      <c r="Q113" s="129">
        <f>Freight_Total!AS48</f>
        <v>1.035311614727191</v>
      </c>
      <c r="R113" s="129">
        <f>Freight_Total!AO48</f>
        <v>0.96946066196849845</v>
      </c>
      <c r="S113" s="129">
        <f>Freight_Total!AQ48</f>
        <v>1.0903645082530222</v>
      </c>
      <c r="U113" s="138">
        <f t="shared" si="8"/>
        <v>1973</v>
      </c>
      <c r="V113" s="129">
        <f>Freight_Total!AK33</f>
        <v>0.84333390051701151</v>
      </c>
      <c r="W113" s="129">
        <f>Freight_Total!AS33</f>
        <v>0.99387017984647652</v>
      </c>
      <c r="X113" s="129">
        <f>Freight_Total!AO33</f>
        <v>0.99146496979463183</v>
      </c>
      <c r="Y113" s="129">
        <f>Freight_Total!AQ33</f>
        <v>0.83101065677516139</v>
      </c>
    </row>
    <row r="114" spans="9:26" x14ac:dyDescent="0.2">
      <c r="O114">
        <f t="shared" si="7"/>
        <v>1989</v>
      </c>
      <c r="P114" s="129">
        <f>Freight_Total!AK49</f>
        <v>1.0812251749249242</v>
      </c>
      <c r="Q114" s="129">
        <f>Freight_Total!AS49</f>
        <v>1.070911004930911</v>
      </c>
      <c r="R114" s="129">
        <f>Freight_Total!AO49</f>
        <v>0.96138228603499831</v>
      </c>
      <c r="S114" s="129">
        <f>Freight_Total!AQ49</f>
        <v>1.1131806444759895</v>
      </c>
      <c r="U114" s="138">
        <f t="shared" si="8"/>
        <v>1974</v>
      </c>
      <c r="V114" s="129">
        <f>Freight_Total!AK34</f>
        <v>0.83573164264384192</v>
      </c>
      <c r="W114" s="129">
        <f>Freight_Total!AS34</f>
        <v>0.98854283897677309</v>
      </c>
      <c r="X114" s="129">
        <f>Freight_Total!AO34</f>
        <v>0.99061757870186251</v>
      </c>
      <c r="Y114" s="129">
        <f>Freight_Total!AQ34</f>
        <v>0.81840518201317569</v>
      </c>
    </row>
    <row r="115" spans="9:26" x14ac:dyDescent="0.2">
      <c r="I115" s="173" t="s">
        <v>236</v>
      </c>
      <c r="O115">
        <f t="shared" si="7"/>
        <v>1990</v>
      </c>
      <c r="P115" s="129">
        <f>Freight_Total!AK50</f>
        <v>1.1028310617166657</v>
      </c>
      <c r="Q115" s="129">
        <f>Freight_Total!AS50</f>
        <v>1.0692970351191116</v>
      </c>
      <c r="R115" s="129">
        <f>Freight_Total!AO50</f>
        <v>0.9804355191978964</v>
      </c>
      <c r="S115" s="129">
        <f>Freight_Total!AQ50</f>
        <v>1.1561824925897339</v>
      </c>
      <c r="U115" s="138">
        <f t="shared" si="8"/>
        <v>1975</v>
      </c>
      <c r="V115" s="129">
        <f>Freight_Total!AK35</f>
        <v>0.77353771579880937</v>
      </c>
      <c r="W115" s="129">
        <f>Freight_Total!AS35</f>
        <v>1.0148608205659135</v>
      </c>
      <c r="X115" s="129">
        <f>Freight_Total!AO35</f>
        <v>1.0134910514757969</v>
      </c>
      <c r="Y115" s="129">
        <f>Freight_Total!AQ35</f>
        <v>0.79562404323980118</v>
      </c>
    </row>
    <row r="116" spans="9:26" x14ac:dyDescent="0.2">
      <c r="O116">
        <f t="shared" si="7"/>
        <v>1991</v>
      </c>
      <c r="P116" s="129">
        <f>Freight_Total!AK51</f>
        <v>1.1205765976477655</v>
      </c>
      <c r="Q116" s="129">
        <f>Freight_Total!AS51</f>
        <v>1.072830378868596</v>
      </c>
      <c r="R116" s="129">
        <f>Freight_Total!AO51</f>
        <v>0.95220974347568466</v>
      </c>
      <c r="S116" s="129">
        <f>Freight_Total!AQ51</f>
        <v>1.1447357134657672</v>
      </c>
      <c r="U116" s="138">
        <f t="shared" si="8"/>
        <v>1976</v>
      </c>
      <c r="V116" s="129">
        <f>Freight_Total!AK36</f>
        <v>0.82269181987725681</v>
      </c>
      <c r="W116" s="129">
        <f>Freight_Total!AS36</f>
        <v>1.0296366008106235</v>
      </c>
      <c r="X116" s="129">
        <f>Freight_Total!AO36</f>
        <v>0.97557971532643428</v>
      </c>
      <c r="Y116" s="129">
        <f>Freight_Total!AQ36</f>
        <v>0.82638783026351281</v>
      </c>
    </row>
    <row r="117" spans="9:26" x14ac:dyDescent="0.2">
      <c r="O117">
        <f t="shared" si="7"/>
        <v>1992</v>
      </c>
      <c r="P117" s="129">
        <f>Freight_Total!AK52</f>
        <v>1.1455152185441313</v>
      </c>
      <c r="Q117" s="129">
        <f>Freight_Total!AS52</f>
        <v>1.0768587709133601</v>
      </c>
      <c r="R117" s="129">
        <f>Freight_Total!AO52</f>
        <v>0.94327015685300253</v>
      </c>
      <c r="S117" s="129">
        <f>Freight_Total!AQ52</f>
        <v>1.163578552193731</v>
      </c>
      <c r="U117" s="138">
        <f t="shared" si="8"/>
        <v>1977</v>
      </c>
      <c r="V117" s="129">
        <f>Freight_Total!AK37</f>
        <v>0.85676714385350083</v>
      </c>
      <c r="W117" s="129">
        <f>Freight_Total!AS37</f>
        <v>1.0481210919878972</v>
      </c>
      <c r="X117" s="129">
        <f>Freight_Total!AO37</f>
        <v>0.98013652057804246</v>
      </c>
      <c r="Y117" s="129">
        <f>Freight_Total!AQ37</f>
        <v>0.88015839500119042</v>
      </c>
    </row>
    <row r="118" spans="9:26" x14ac:dyDescent="0.2">
      <c r="O118">
        <f t="shared" si="7"/>
        <v>1993</v>
      </c>
      <c r="P118" s="129">
        <f>Freight_Total!AK53</f>
        <v>1.158355094199053</v>
      </c>
      <c r="Q118" s="129">
        <f>Freight_Total!AS53</f>
        <v>1.1112312380786342</v>
      </c>
      <c r="R118" s="129">
        <f>Freight_Total!AO53</f>
        <v>0.93262847092491707</v>
      </c>
      <c r="S118" s="129">
        <f>Freight_Total!AQ53</f>
        <v>1.2004797086143597</v>
      </c>
      <c r="U118" s="138">
        <f t="shared" si="8"/>
        <v>1978</v>
      </c>
      <c r="V118" s="129">
        <f>Freight_Total!AK38</f>
        <v>0.96968125455165743</v>
      </c>
      <c r="W118" s="129">
        <f>Freight_Total!AS38</f>
        <v>0.99990169107085347</v>
      </c>
      <c r="X118" s="129">
        <f>Freight_Total!AO38</f>
        <v>0.98650712386202355</v>
      </c>
      <c r="Y118" s="129">
        <f>Freight_Total!AQ38</f>
        <v>0.95650342341821759</v>
      </c>
    </row>
    <row r="119" spans="9:26" x14ac:dyDescent="0.2">
      <c r="O119">
        <f t="shared" si="7"/>
        <v>1994</v>
      </c>
      <c r="P119" s="129">
        <f>Freight_Total!AK54</f>
        <v>1.2289998264242239</v>
      </c>
      <c r="Q119" s="129">
        <f>Freight_Total!AS54</f>
        <v>1.1191536497610237</v>
      </c>
      <c r="R119" s="129">
        <f>Freight_Total!AO54</f>
        <v>0.92935321842630925</v>
      </c>
      <c r="S119" s="129">
        <f>Freight_Total!AQ54</f>
        <v>1.278269257391736</v>
      </c>
      <c r="U119" s="138">
        <f t="shared" si="8"/>
        <v>1979</v>
      </c>
      <c r="V119" s="129">
        <f>Freight_Total!AK39</f>
        <v>0.99515469791062616</v>
      </c>
      <c r="W119" s="129">
        <f>Freight_Total!AS39</f>
        <v>0.98685619841940297</v>
      </c>
      <c r="X119" s="129">
        <f>Freight_Total!AO39</f>
        <v>1.0118903227897342</v>
      </c>
      <c r="Y119" s="129">
        <f>Freight_Total!AQ39</f>
        <v>0.99375176580309288</v>
      </c>
    </row>
    <row r="120" spans="9:26" x14ac:dyDescent="0.2">
      <c r="O120">
        <f t="shared" si="7"/>
        <v>1995</v>
      </c>
      <c r="P120" s="129">
        <f>Freight_Total!AK55</f>
        <v>1.2852130872818535</v>
      </c>
      <c r="Q120" s="129">
        <f>Freight_Total!AS55</f>
        <v>1.1145828803247302</v>
      </c>
      <c r="R120" s="129">
        <f>Freight_Total!AO55</f>
        <v>0.92842025236398729</v>
      </c>
      <c r="S120" s="129">
        <f>Freight_Total!AQ55</f>
        <v>1.3299401979560217</v>
      </c>
      <c r="U120" s="138">
        <f t="shared" si="8"/>
        <v>1980</v>
      </c>
      <c r="V120" s="129">
        <f>Freight_Total!AK40</f>
        <v>1.0049316076259194</v>
      </c>
      <c r="W120" s="129">
        <f>Freight_Total!AS40</f>
        <v>0.93723677444023334</v>
      </c>
      <c r="X120" s="129">
        <f>Freight_Total!AO40</f>
        <v>1.0642401165256488</v>
      </c>
      <c r="Y120" s="129">
        <f>Freight_Total!AQ40</f>
        <v>1.00236398128282</v>
      </c>
    </row>
    <row r="121" spans="9:26" x14ac:dyDescent="0.2">
      <c r="O121">
        <f t="shared" si="7"/>
        <v>1996</v>
      </c>
      <c r="P121" s="129">
        <f>Freight_Total!AK56</f>
        <v>1.3019976792583083</v>
      </c>
      <c r="Q121" s="129">
        <f>Freight_Total!AS56</f>
        <v>1.1279676976095676</v>
      </c>
      <c r="R121" s="129">
        <f>Freight_Total!AO56</f>
        <v>0.92302670620667715</v>
      </c>
      <c r="S121" s="129">
        <f>Freight_Total!AQ56</f>
        <v>1.3555674736119754</v>
      </c>
      <c r="U121" s="138">
        <f t="shared" si="8"/>
        <v>1981</v>
      </c>
      <c r="V121" s="129">
        <f>Freight_Total!AK41</f>
        <v>0.99114098522495508</v>
      </c>
      <c r="W121" s="129">
        <f>Freight_Total!AS41</f>
        <v>0.92724325610874048</v>
      </c>
      <c r="X121" s="129">
        <f>Freight_Total!AO41</f>
        <v>1.1013753069747634</v>
      </c>
      <c r="Y121" s="129">
        <f>Freight_Total!AQ41</f>
        <v>1.0121956205540448</v>
      </c>
    </row>
    <row r="122" spans="9:26" x14ac:dyDescent="0.2">
      <c r="O122">
        <f t="shared" si="7"/>
        <v>1997</v>
      </c>
      <c r="P122" s="129">
        <f>Freight_Total!AK57</f>
        <v>1.3022405229269418</v>
      </c>
      <c r="Q122" s="129">
        <f>Freight_Total!AS57</f>
        <v>1.1693894803389011</v>
      </c>
      <c r="R122" s="129">
        <f>Freight_Total!AO57</f>
        <v>0.90612033080496157</v>
      </c>
      <c r="S122" s="129">
        <f>Freight_Total!AQ57</f>
        <v>1.3798639326766313</v>
      </c>
      <c r="U122" s="138">
        <f t="shared" si="8"/>
        <v>1982</v>
      </c>
      <c r="V122" s="129">
        <f>Freight_Total!AK42</f>
        <v>0.92918416252700275</v>
      </c>
      <c r="W122" s="129">
        <f>Freight_Total!AS42</f>
        <v>0.96522613066772189</v>
      </c>
      <c r="X122" s="129">
        <f>Freight_Total!AO42</f>
        <v>1.0928981040766685</v>
      </c>
      <c r="Y122" s="129">
        <f>Freight_Total!AQ42</f>
        <v>0.98019061973839927</v>
      </c>
    </row>
    <row r="123" spans="9:26" x14ac:dyDescent="0.2">
      <c r="O123">
        <f t="shared" si="7"/>
        <v>1998</v>
      </c>
      <c r="P123" s="129">
        <f>Freight_Total!AK58</f>
        <v>1.3104438595086971</v>
      </c>
      <c r="Q123" s="129">
        <f>Freight_Total!AS58</f>
        <v>1.1807602233084546</v>
      </c>
      <c r="R123" s="129">
        <f>Freight_Total!AO58</f>
        <v>0.91665501968409024</v>
      </c>
      <c r="S123" s="129">
        <f>Freight_Total!AQ58</f>
        <v>1.4183586305622304</v>
      </c>
      <c r="U123" s="138">
        <f t="shared" si="8"/>
        <v>1983</v>
      </c>
      <c r="V123" s="129">
        <f>Freight_Total!AK43</f>
        <v>0.97170558228720894</v>
      </c>
      <c r="W123" s="129">
        <f>Freight_Total!AS43</f>
        <v>0.97580618327606949</v>
      </c>
      <c r="X123" s="129">
        <f>Freight_Total!AO43</f>
        <v>1.025458348496173</v>
      </c>
      <c r="Y123" s="129">
        <f>Freight_Total!AQ43</f>
        <v>0.97233582776302074</v>
      </c>
    </row>
    <row r="124" spans="9:26" x14ac:dyDescent="0.2">
      <c r="O124">
        <f t="shared" si="7"/>
        <v>1999</v>
      </c>
      <c r="P124" s="129">
        <f>Freight_Total!AK59</f>
        <v>1.3404681818326265</v>
      </c>
      <c r="Q124" s="129">
        <f>Freight_Total!AS59</f>
        <v>1.1789870326280358</v>
      </c>
      <c r="R124" s="129">
        <f>Freight_Total!AO59</f>
        <v>0.92747390352672687</v>
      </c>
      <c r="S124" s="129">
        <f>Freight_Total!AQ59</f>
        <v>1.4657747525133444</v>
      </c>
      <c r="U124" s="138">
        <f t="shared" si="8"/>
        <v>1984</v>
      </c>
      <c r="V124" s="129">
        <f>Freight_Total!AK44</f>
        <v>1.0130146672735816</v>
      </c>
      <c r="W124" s="129">
        <f>Freight_Total!AS44</f>
        <v>0.98617124885676266</v>
      </c>
      <c r="X124" s="129">
        <f>Freight_Total!AO44</f>
        <v>1.0134658118772026</v>
      </c>
      <c r="Y124" s="129">
        <f>Freight_Total!AQ44</f>
        <v>1.0124583655813981</v>
      </c>
    </row>
    <row r="125" spans="9:26" x14ac:dyDescent="0.2">
      <c r="O125">
        <f t="shared" si="7"/>
        <v>2000</v>
      </c>
      <c r="P125" s="129">
        <f>Freight_Total!AK60</f>
        <v>1.3601754206796468</v>
      </c>
      <c r="Q125" s="129">
        <f>Freight_Total!AS60</f>
        <v>1.1892969989794111</v>
      </c>
      <c r="R125" s="129">
        <f>Freight_Total!AO60</f>
        <v>0.93825285980950979</v>
      </c>
      <c r="S125" s="129">
        <f>Freight_Total!AQ60</f>
        <v>1.517767127368681</v>
      </c>
      <c r="T125" s="697">
        <f>V125/V110</f>
        <v>1.3056827187537208</v>
      </c>
      <c r="U125" s="138">
        <f t="shared" si="8"/>
        <v>1985</v>
      </c>
      <c r="V125" s="129">
        <f>Freight_Total!AK45</f>
        <v>1</v>
      </c>
      <c r="W125" s="129">
        <f>Freight_Total!AS45</f>
        <v>1</v>
      </c>
      <c r="X125" s="129">
        <f>Freight_Total!AO45</f>
        <v>1</v>
      </c>
      <c r="Y125" s="129">
        <f>Freight_Total!AQ45</f>
        <v>1</v>
      </c>
      <c r="Z125" s="136">
        <f>Y125/Y110</f>
        <v>1.410586180019878</v>
      </c>
    </row>
    <row r="126" spans="9:26" x14ac:dyDescent="0.2">
      <c r="O126">
        <f t="shared" ref="O126:O131" si="9">O125+1</f>
        <v>2001</v>
      </c>
      <c r="P126" s="129">
        <f>Freight_Total!AK61</f>
        <v>1.3664154518664244</v>
      </c>
      <c r="Q126" s="129">
        <f>Freight_Total!AS61</f>
        <v>1.1925271496647518</v>
      </c>
      <c r="R126" s="129">
        <f>Freight_Total!AO61</f>
        <v>0.92378946671681728</v>
      </c>
      <c r="S126" s="129">
        <f>Freight_Total!AQ61</f>
        <v>1.5053034108843111</v>
      </c>
      <c r="U126" s="138">
        <f t="shared" si="8"/>
        <v>1986</v>
      </c>
      <c r="V126" s="129">
        <f>Freight_Total!AK46</f>
        <v>0.9950774200832454</v>
      </c>
      <c r="W126" s="129">
        <f>Freight_Total!AS46</f>
        <v>1.0201376884178959</v>
      </c>
      <c r="X126" s="129">
        <f>Freight_Total!AO46</f>
        <v>0.99707933305078211</v>
      </c>
      <c r="Y126" s="129">
        <f>Freight_Total!AQ46</f>
        <v>1.0121511634307252</v>
      </c>
    </row>
    <row r="127" spans="9:26" x14ac:dyDescent="0.2">
      <c r="O127">
        <f t="shared" si="9"/>
        <v>2002</v>
      </c>
      <c r="P127" s="129">
        <f>Freight_Total!AK62</f>
        <v>1.3873245849450919</v>
      </c>
      <c r="Q127" s="129">
        <f>Freight_Total!AS62</f>
        <v>1.2147251886647978</v>
      </c>
      <c r="R127" s="129">
        <f>Freight_Total!AO62</f>
        <v>0.93263899682568752</v>
      </c>
      <c r="S127" s="129">
        <f>Freight_Total!AQ62</f>
        <v>1.5717001351781548</v>
      </c>
      <c r="U127" s="138">
        <f t="shared" si="8"/>
        <v>1987</v>
      </c>
      <c r="V127" s="129">
        <f>Freight_Total!AK47</f>
        <v>1.0490174975236324</v>
      </c>
      <c r="W127" s="129">
        <f>Freight_Total!AS47</f>
        <v>1.0242116331946314</v>
      </c>
      <c r="X127" s="129">
        <f>Freight_Total!AO47</f>
        <v>0.97622588106667141</v>
      </c>
      <c r="Y127" s="129">
        <f>Freight_Total!AQ47</f>
        <v>1.0488726324181519</v>
      </c>
    </row>
    <row r="128" spans="9:26" x14ac:dyDescent="0.2">
      <c r="O128">
        <f t="shared" si="9"/>
        <v>2003</v>
      </c>
      <c r="P128" s="129">
        <f>Freight_Total!AK63</f>
        <v>1.4040209341191801</v>
      </c>
      <c r="Q128" s="129">
        <f>Freight_Total!AS63</f>
        <v>1.215788658881354</v>
      </c>
      <c r="R128" s="129">
        <f>Freight_Total!AO63</f>
        <v>0.8847358087418512</v>
      </c>
      <c r="S128" s="129">
        <f>Freight_Total!AQ63</f>
        <v>1.5102375921960804</v>
      </c>
      <c r="U128" s="138">
        <f t="shared" si="8"/>
        <v>1988</v>
      </c>
      <c r="V128" s="129">
        <f>Freight_Total!AK48</f>
        <v>1.08635165196587</v>
      </c>
      <c r="W128" s="129">
        <f>Freight_Total!AS48</f>
        <v>1.035311614727191</v>
      </c>
      <c r="X128" s="129">
        <f>Freight_Total!AO48</f>
        <v>0.96946066196849845</v>
      </c>
      <c r="Y128" s="129">
        <f>Freight_Total!AQ48</f>
        <v>1.0903645082530222</v>
      </c>
    </row>
    <row r="129" spans="15:25" x14ac:dyDescent="0.2">
      <c r="O129">
        <f t="shared" si="9"/>
        <v>2004</v>
      </c>
      <c r="P129" s="129">
        <f>Freight_Total!AK64</f>
        <v>1.4579786322696089</v>
      </c>
      <c r="Q129" s="129">
        <f>Freight_Total!AS64</f>
        <v>1.2015800563111487</v>
      </c>
      <c r="R129" s="129">
        <f>Freight_Total!AO64</f>
        <v>0.87642993164642391</v>
      </c>
      <c r="S129" s="129">
        <f>Freight_Total!AQ64</f>
        <v>1.5353983570402694</v>
      </c>
      <c r="U129" s="138">
        <f t="shared" si="8"/>
        <v>1989</v>
      </c>
      <c r="V129" s="129">
        <f>Freight_Total!AK49</f>
        <v>1.0812251749249242</v>
      </c>
      <c r="W129" s="129">
        <f>Freight_Total!AS49</f>
        <v>1.070911004930911</v>
      </c>
      <c r="X129" s="129">
        <f>Freight_Total!AO49</f>
        <v>0.96138228603499831</v>
      </c>
      <c r="Y129" s="129">
        <f>Freight_Total!AQ49</f>
        <v>1.1131806444759895</v>
      </c>
    </row>
    <row r="130" spans="15:25" x14ac:dyDescent="0.2">
      <c r="O130">
        <f t="shared" si="9"/>
        <v>2005</v>
      </c>
      <c r="P130" s="129">
        <f>Freight_Total!AK65</f>
        <v>1.4630590225311166</v>
      </c>
      <c r="Q130" s="129">
        <f>Freight_Total!AS65</f>
        <v>1.2061657621449682</v>
      </c>
      <c r="R130" s="129">
        <f>Freight_Total!AO65</f>
        <v>0.89139258422749901</v>
      </c>
      <c r="S130" s="129">
        <f>Freight_Total!AQ65</f>
        <v>1.5730330956963177</v>
      </c>
      <c r="U130" s="138">
        <f t="shared" si="8"/>
        <v>1990</v>
      </c>
      <c r="V130" s="129">
        <f>Freight_Total!AK50</f>
        <v>1.1028310617166657</v>
      </c>
      <c r="W130" s="129">
        <f>Freight_Total!AS50</f>
        <v>1.0692970351191116</v>
      </c>
      <c r="X130" s="129">
        <f>Freight_Total!AO50</f>
        <v>0.9804355191978964</v>
      </c>
      <c r="Y130" s="129">
        <f>Freight_Total!AQ50</f>
        <v>1.1561824925897339</v>
      </c>
    </row>
    <row r="131" spans="15:25" x14ac:dyDescent="0.2">
      <c r="O131">
        <f t="shared" si="9"/>
        <v>2006</v>
      </c>
      <c r="P131" s="129">
        <f>Freight_Total!AK66</f>
        <v>1.4743121546766038</v>
      </c>
      <c r="Q131" s="129">
        <f>Freight_Total!AS66</f>
        <v>1.1983669971409114</v>
      </c>
      <c r="R131" s="129">
        <f>Freight_Total!AO66</f>
        <v>0.90699703960999467</v>
      </c>
      <c r="S131" s="129">
        <f>Freight_Total!AQ66</f>
        <v>1.6024524655714165</v>
      </c>
      <c r="U131" s="138">
        <f t="shared" si="8"/>
        <v>1991</v>
      </c>
      <c r="V131" s="129">
        <f>Freight_Total!AK51</f>
        <v>1.1205765976477655</v>
      </c>
      <c r="W131" s="129">
        <f>Freight_Total!AS51</f>
        <v>1.072830378868596</v>
      </c>
      <c r="X131" s="129">
        <f>Freight_Total!AO51</f>
        <v>0.95220974347568466</v>
      </c>
      <c r="Y131" s="129">
        <f>Freight_Total!AQ51</f>
        <v>1.1447357134657672</v>
      </c>
    </row>
    <row r="132" spans="15:25" x14ac:dyDescent="0.2">
      <c r="O132">
        <f>O131+1</f>
        <v>2007</v>
      </c>
      <c r="P132" s="129">
        <f>Freight_Total!AK67</f>
        <v>1.4859199746920548</v>
      </c>
      <c r="Q132" s="129">
        <f>Freight_Total!AS67</f>
        <v>1.2091045424731937</v>
      </c>
      <c r="R132" s="129">
        <f>Freight_Total!AO67</f>
        <v>0.90297902181467271</v>
      </c>
      <c r="S132" s="129">
        <f>Freight_Total!AQ67</f>
        <v>1.6223215397186292</v>
      </c>
      <c r="U132" s="138">
        <f t="shared" si="8"/>
        <v>1992</v>
      </c>
      <c r="V132" s="129">
        <f>Freight_Total!AK52</f>
        <v>1.1455152185441313</v>
      </c>
      <c r="W132" s="129">
        <f>Freight_Total!AS52</f>
        <v>1.0768587709133601</v>
      </c>
      <c r="X132" s="129">
        <f>Freight_Total!AO52</f>
        <v>0.94327015685300253</v>
      </c>
      <c r="Y132" s="129">
        <f>Freight_Total!AQ52</f>
        <v>1.163578552193731</v>
      </c>
    </row>
    <row r="133" spans="15:25" x14ac:dyDescent="0.2">
      <c r="O133">
        <f>O132+1</f>
        <v>2008</v>
      </c>
      <c r="P133" s="129">
        <f>Freight_Total!AK68</f>
        <v>1.4824241111741892</v>
      </c>
      <c r="Q133" s="129">
        <f>Freight_Total!AS68</f>
        <v>1.2211467803498721</v>
      </c>
      <c r="R133" s="129">
        <f>Freight_Total!AO68</f>
        <v>0.89784752734590734</v>
      </c>
      <c r="S133" s="129">
        <f>Freight_Total!AQ68</f>
        <v>1.6253351578100841</v>
      </c>
      <c r="U133" s="138">
        <f t="shared" si="8"/>
        <v>1993</v>
      </c>
      <c r="V133" s="129">
        <f>Freight_Total!AK53</f>
        <v>1.158355094199053</v>
      </c>
      <c r="W133" s="129">
        <f>Freight_Total!AS53</f>
        <v>1.1112312380786342</v>
      </c>
      <c r="X133" s="129">
        <f>Freight_Total!AO53</f>
        <v>0.93262847092491707</v>
      </c>
      <c r="Y133" s="129">
        <f>Freight_Total!AQ53</f>
        <v>1.2004797086143597</v>
      </c>
    </row>
    <row r="134" spans="15:25" x14ac:dyDescent="0.2">
      <c r="O134">
        <f t="shared" ref="O134:O136" si="10">O133+1</f>
        <v>2009</v>
      </c>
      <c r="P134" s="129">
        <f>Freight_Total!AK69</f>
        <v>1.3342759325930826</v>
      </c>
      <c r="Q134" s="129">
        <f>Freight_Total!AS69</f>
        <v>1.2520234630503084</v>
      </c>
      <c r="R134" s="129">
        <f>Freight_Total!AO69</f>
        <v>0.89861332960903328</v>
      </c>
      <c r="S134" s="129">
        <f>Freight_Total!AQ69</f>
        <v>1.5011738014362876</v>
      </c>
      <c r="U134" s="138">
        <f t="shared" si="8"/>
        <v>1994</v>
      </c>
      <c r="V134" s="129">
        <f>Freight_Total!AK54</f>
        <v>1.2289998264242239</v>
      </c>
      <c r="W134" s="129">
        <f>Freight_Total!AS54</f>
        <v>1.1191536497610237</v>
      </c>
      <c r="X134" s="129">
        <f>Freight_Total!AO54</f>
        <v>0.92935321842630925</v>
      </c>
      <c r="Y134" s="129">
        <f>Freight_Total!AQ54</f>
        <v>1.278269257391736</v>
      </c>
    </row>
    <row r="135" spans="15:25" x14ac:dyDescent="0.2">
      <c r="O135">
        <f t="shared" si="10"/>
        <v>2010</v>
      </c>
      <c r="P135" s="129">
        <f>Freight_Total!AK70</f>
        <v>1.4136635770715085</v>
      </c>
      <c r="Q135" s="129">
        <f>Freight_Total!AS70</f>
        <v>1.2048095504021683</v>
      </c>
      <c r="R135" s="129">
        <f>Freight_Total!AO70</f>
        <v>0.90289090714267362</v>
      </c>
      <c r="S135" s="129">
        <f>Freight_Total!AQ70</f>
        <v>1.5377996205259881</v>
      </c>
      <c r="U135" s="138">
        <f t="shared" si="8"/>
        <v>1995</v>
      </c>
      <c r="V135" s="129">
        <f>Freight_Total!AK55</f>
        <v>1.2852130872818535</v>
      </c>
      <c r="W135" s="129">
        <f>Freight_Total!AS55</f>
        <v>1.1145828803247302</v>
      </c>
      <c r="X135" s="129">
        <f>Freight_Total!AO55</f>
        <v>0.92842025236398729</v>
      </c>
      <c r="Y135" s="129">
        <f>Freight_Total!AQ55</f>
        <v>1.3299401979560217</v>
      </c>
    </row>
    <row r="136" spans="15:25" x14ac:dyDescent="0.2">
      <c r="O136">
        <f t="shared" si="10"/>
        <v>2011</v>
      </c>
      <c r="P136" s="129">
        <f>Freight_Total!AK71</f>
        <v>1.390481081834521</v>
      </c>
      <c r="Q136" s="129">
        <f>Freight_Total!AS71</f>
        <v>1.1641487314755643</v>
      </c>
      <c r="R136" s="129">
        <f>Freight_Total!AO71</f>
        <v>0.91143678448002097</v>
      </c>
      <c r="S136" s="129">
        <f>Freight_Total!AQ71</f>
        <v>1.4753671382039293</v>
      </c>
      <c r="U136" s="138">
        <f t="shared" si="8"/>
        <v>1996</v>
      </c>
      <c r="V136" s="129">
        <f>Freight_Total!AK56</f>
        <v>1.3019976792583083</v>
      </c>
      <c r="W136" s="129">
        <f>Freight_Total!AS56</f>
        <v>1.1279676976095676</v>
      </c>
      <c r="X136" s="129">
        <f>Freight_Total!AO56</f>
        <v>0.92302670620667715</v>
      </c>
      <c r="Y136" s="129">
        <f>Freight_Total!AQ56</f>
        <v>1.3555674736119754</v>
      </c>
    </row>
    <row r="137" spans="15:25" x14ac:dyDescent="0.2">
      <c r="P137" s="129"/>
      <c r="Q137" s="129"/>
      <c r="R137" s="129"/>
      <c r="S137" s="129"/>
      <c r="U137" s="138">
        <f t="shared" si="8"/>
        <v>1997</v>
      </c>
      <c r="V137" s="129">
        <f>Freight_Total!AK57</f>
        <v>1.3022405229269418</v>
      </c>
      <c r="W137" s="129">
        <f>Freight_Total!AS57</f>
        <v>1.1693894803389011</v>
      </c>
      <c r="X137" s="129">
        <f>Freight_Total!AO57</f>
        <v>0.90612033080496157</v>
      </c>
      <c r="Y137" s="129">
        <f>Freight_Total!AQ57</f>
        <v>1.3798639326766313</v>
      </c>
    </row>
    <row r="138" spans="15:25" x14ac:dyDescent="0.2">
      <c r="P138" s="129"/>
      <c r="Q138" s="129"/>
      <c r="R138" s="129"/>
      <c r="S138" s="129"/>
      <c r="U138" s="138">
        <f t="shared" si="8"/>
        <v>1998</v>
      </c>
      <c r="V138" s="129">
        <f>Freight_Total!AK58</f>
        <v>1.3104438595086971</v>
      </c>
      <c r="W138" s="129">
        <f>Freight_Total!AS58</f>
        <v>1.1807602233084546</v>
      </c>
      <c r="X138" s="129">
        <f>Freight_Total!AO58</f>
        <v>0.91665501968409024</v>
      </c>
      <c r="Y138" s="129">
        <f>Freight_Total!AQ58</f>
        <v>1.4183586305622304</v>
      </c>
    </row>
    <row r="139" spans="15:25" x14ac:dyDescent="0.2">
      <c r="P139" s="129"/>
      <c r="Q139" s="129"/>
      <c r="R139" s="129"/>
      <c r="S139" s="129"/>
      <c r="U139" s="138">
        <f t="shared" si="8"/>
        <v>1999</v>
      </c>
      <c r="V139" s="129">
        <f>Freight_Total!AK59</f>
        <v>1.3404681818326265</v>
      </c>
      <c r="W139" s="129">
        <f>Freight_Total!AS59</f>
        <v>1.1789870326280358</v>
      </c>
      <c r="X139" s="129">
        <f>Freight_Total!AO59</f>
        <v>0.92747390352672687</v>
      </c>
      <c r="Y139" s="129">
        <f>Freight_Total!AQ59</f>
        <v>1.4657747525133444</v>
      </c>
    </row>
    <row r="140" spans="15:25" x14ac:dyDescent="0.2">
      <c r="P140" s="129"/>
      <c r="Q140" s="129"/>
      <c r="R140" s="129"/>
      <c r="S140" s="129"/>
      <c r="U140" s="138">
        <f t="shared" si="8"/>
        <v>2000</v>
      </c>
      <c r="V140" s="129">
        <f>Freight_Total!AK60</f>
        <v>1.3601754206796468</v>
      </c>
      <c r="W140" s="129">
        <f>Freight_Total!AS60</f>
        <v>1.1892969989794111</v>
      </c>
      <c r="X140" s="129">
        <f>Freight_Total!AO60</f>
        <v>0.93825285980950979</v>
      </c>
      <c r="Y140" s="129">
        <f>Freight_Total!AQ60</f>
        <v>1.517767127368681</v>
      </c>
    </row>
    <row r="141" spans="15:25" x14ac:dyDescent="0.2">
      <c r="P141" s="129"/>
      <c r="Q141" s="129"/>
      <c r="R141" s="129"/>
      <c r="S141" s="129"/>
      <c r="U141" s="138">
        <f t="shared" si="8"/>
        <v>2001</v>
      </c>
      <c r="V141" s="129">
        <f>Freight_Total!AK61</f>
        <v>1.3664154518664244</v>
      </c>
      <c r="W141" s="129">
        <f>Freight_Total!AS61</f>
        <v>1.1925271496647518</v>
      </c>
      <c r="X141" s="129">
        <f>Freight_Total!AO61</f>
        <v>0.92378946671681728</v>
      </c>
      <c r="Y141" s="129">
        <f>Freight_Total!AQ61</f>
        <v>1.5053034108843111</v>
      </c>
    </row>
    <row r="142" spans="15:25" x14ac:dyDescent="0.2">
      <c r="P142" s="129"/>
      <c r="Q142" s="129"/>
      <c r="R142" s="129"/>
      <c r="S142" s="129"/>
      <c r="U142" s="138">
        <f t="shared" si="8"/>
        <v>2002</v>
      </c>
      <c r="V142" s="129">
        <f>Freight_Total!AK62</f>
        <v>1.3873245849450919</v>
      </c>
      <c r="W142" s="129">
        <f>Freight_Total!AS62</f>
        <v>1.2147251886647978</v>
      </c>
      <c r="X142" s="129">
        <f>Freight_Total!AO62</f>
        <v>0.93263899682568752</v>
      </c>
      <c r="Y142" s="129">
        <f>Freight_Total!AQ62</f>
        <v>1.5717001351781548</v>
      </c>
    </row>
    <row r="143" spans="15:25" x14ac:dyDescent="0.2">
      <c r="P143" s="129"/>
      <c r="Q143" s="129"/>
      <c r="R143" s="129"/>
      <c r="S143" s="129"/>
      <c r="U143" s="138">
        <f t="shared" si="8"/>
        <v>2003</v>
      </c>
      <c r="V143" s="129">
        <f>Freight_Total!AK63</f>
        <v>1.4040209341191801</v>
      </c>
      <c r="W143" s="129">
        <f>Freight_Total!AS63</f>
        <v>1.215788658881354</v>
      </c>
      <c r="X143" s="129">
        <f>Freight_Total!AO63</f>
        <v>0.8847358087418512</v>
      </c>
      <c r="Y143" s="129">
        <f>Freight_Total!AQ63</f>
        <v>1.5102375921960804</v>
      </c>
    </row>
    <row r="144" spans="15:25" x14ac:dyDescent="0.2">
      <c r="P144" s="129"/>
      <c r="Q144" s="129"/>
      <c r="R144" s="129"/>
      <c r="S144" s="129"/>
      <c r="U144" s="138">
        <f t="shared" si="8"/>
        <v>2004</v>
      </c>
      <c r="V144" s="129">
        <f>Freight_Total!AK64</f>
        <v>1.4579786322696089</v>
      </c>
      <c r="W144" s="129">
        <f>Freight_Total!AS64</f>
        <v>1.2015800563111487</v>
      </c>
      <c r="X144" s="129">
        <f>Freight_Total!AO64</f>
        <v>0.87642993164642391</v>
      </c>
      <c r="Y144" s="129">
        <f>Freight_Total!AQ64</f>
        <v>1.5353983570402694</v>
      </c>
    </row>
    <row r="145" spans="15:25" x14ac:dyDescent="0.2">
      <c r="P145" s="129"/>
      <c r="Q145" s="129"/>
      <c r="R145" s="129"/>
      <c r="S145" s="129"/>
      <c r="U145" s="138">
        <f t="shared" si="8"/>
        <v>2005</v>
      </c>
      <c r="V145" s="129">
        <f>Freight_Total!AK65</f>
        <v>1.4630590225311166</v>
      </c>
      <c r="W145" s="129">
        <f>Freight_Total!AS65</f>
        <v>1.2061657621449682</v>
      </c>
      <c r="X145" s="129">
        <f>Freight_Total!AO65</f>
        <v>0.89139258422749901</v>
      </c>
      <c r="Y145" s="129">
        <f>Freight_Total!AQ65</f>
        <v>1.5730330956963177</v>
      </c>
    </row>
    <row r="146" spans="15:25" x14ac:dyDescent="0.2">
      <c r="P146" s="129"/>
      <c r="Q146" s="129"/>
      <c r="R146" s="129"/>
      <c r="S146" s="129"/>
      <c r="U146" s="138">
        <f t="shared" si="8"/>
        <v>2006</v>
      </c>
      <c r="V146" s="129">
        <f>Freight_Total!AK66</f>
        <v>1.4743121546766038</v>
      </c>
      <c r="W146" s="129">
        <f>Freight_Total!AS66</f>
        <v>1.1983669971409114</v>
      </c>
      <c r="X146" s="129">
        <f>Freight_Total!AO66</f>
        <v>0.90699703960999467</v>
      </c>
      <c r="Y146" s="129">
        <f>Freight_Total!AQ66</f>
        <v>1.6024524655714165</v>
      </c>
    </row>
    <row r="147" spans="15:25" x14ac:dyDescent="0.2">
      <c r="P147" s="129"/>
      <c r="Q147" s="129"/>
      <c r="R147" s="129"/>
      <c r="S147" s="129"/>
      <c r="U147" s="138">
        <f t="shared" si="8"/>
        <v>2007</v>
      </c>
      <c r="V147" s="129">
        <f>Freight_Total!AK67</f>
        <v>1.4859199746920548</v>
      </c>
      <c r="W147" s="129">
        <f>Freight_Total!AS67</f>
        <v>1.2091045424731937</v>
      </c>
      <c r="X147" s="129">
        <f>Freight_Total!AO67</f>
        <v>0.90297902181467271</v>
      </c>
      <c r="Y147" s="129">
        <f>Freight_Total!AQ67</f>
        <v>1.6223215397186292</v>
      </c>
    </row>
    <row r="148" spans="15:25" x14ac:dyDescent="0.2">
      <c r="P148" s="129"/>
      <c r="Q148" s="129"/>
      <c r="R148" s="129"/>
      <c r="S148" s="129"/>
      <c r="U148" s="138">
        <f t="shared" si="8"/>
        <v>2008</v>
      </c>
      <c r="V148" s="129">
        <f>Freight_Total!AK68</f>
        <v>1.4824241111741892</v>
      </c>
      <c r="W148" s="129">
        <f>Freight_Total!AS68</f>
        <v>1.2211467803498721</v>
      </c>
      <c r="X148" s="129">
        <f>Freight_Total!AO68</f>
        <v>0.89784752734590734</v>
      </c>
      <c r="Y148" s="129">
        <f>Freight_Total!AQ68</f>
        <v>1.6253351578100841</v>
      </c>
    </row>
    <row r="149" spans="15:25" x14ac:dyDescent="0.2">
      <c r="P149" s="129"/>
      <c r="Q149" s="129"/>
      <c r="R149" s="129"/>
      <c r="S149" s="129"/>
      <c r="U149" s="138">
        <f t="shared" si="8"/>
        <v>2009</v>
      </c>
      <c r="V149" s="129">
        <f>Freight_Total!AK69</f>
        <v>1.3342759325930826</v>
      </c>
      <c r="W149" s="129">
        <f>Freight_Total!AS69</f>
        <v>1.2520234630503084</v>
      </c>
      <c r="X149" s="129">
        <f>Freight_Total!AO69</f>
        <v>0.89861332960903328</v>
      </c>
      <c r="Y149" s="129">
        <f>Freight_Total!AQ69</f>
        <v>1.5011738014362876</v>
      </c>
    </row>
    <row r="150" spans="15:25" x14ac:dyDescent="0.2">
      <c r="P150" s="129"/>
      <c r="Q150" s="129"/>
      <c r="R150" s="129"/>
      <c r="S150" s="129">
        <f>W150*X150</f>
        <v>1.0878115878967705</v>
      </c>
      <c r="U150" s="138">
        <f t="shared" si="8"/>
        <v>2010</v>
      </c>
      <c r="V150" s="129">
        <f>Freight_Total!AK70</f>
        <v>1.4136635770715085</v>
      </c>
      <c r="W150" s="129">
        <f>Freight_Total!AS70</f>
        <v>1.2048095504021683</v>
      </c>
      <c r="X150" s="129">
        <f>Freight_Total!AO70</f>
        <v>0.90289090714267362</v>
      </c>
      <c r="Y150" s="129">
        <f>Freight_Total!AQ70</f>
        <v>1.5377996205259881</v>
      </c>
    </row>
    <row r="151" spans="15:25" x14ac:dyDescent="0.2">
      <c r="P151" s="129"/>
      <c r="Q151" s="129"/>
      <c r="R151" s="129"/>
      <c r="S151" s="129"/>
      <c r="U151" s="138">
        <f t="shared" si="8"/>
        <v>2011</v>
      </c>
      <c r="V151" s="129">
        <f>Freight_Total!AK71</f>
        <v>1.390481081834521</v>
      </c>
      <c r="W151" s="129">
        <f>Freight_Total!AS71</f>
        <v>1.1641487314755643</v>
      </c>
      <c r="X151" s="129">
        <f>Freight_Total!AO71</f>
        <v>0.91143678448002097</v>
      </c>
      <c r="Y151" s="129">
        <f>Freight_Total!AQ71</f>
        <v>1.4753671382039293</v>
      </c>
    </row>
    <row r="152" spans="15:25" x14ac:dyDescent="0.2">
      <c r="P152" s="129"/>
      <c r="Q152" s="129"/>
      <c r="R152" s="129"/>
      <c r="S152" s="129"/>
      <c r="U152" s="129"/>
    </row>
    <row r="153" spans="15:25" x14ac:dyDescent="0.2">
      <c r="P153" s="129"/>
      <c r="Q153" s="129"/>
      <c r="R153" s="129"/>
      <c r="S153" s="129"/>
      <c r="U153" s="129"/>
    </row>
    <row r="154" spans="15:25" x14ac:dyDescent="0.2">
      <c r="P154" s="129"/>
      <c r="Q154" s="129"/>
      <c r="R154" s="129"/>
      <c r="S154" s="129"/>
      <c r="U154" s="129"/>
    </row>
    <row r="155" spans="15:25" x14ac:dyDescent="0.2">
      <c r="P155" s="129"/>
      <c r="Q155" s="129"/>
      <c r="R155" s="129"/>
      <c r="S155" s="129"/>
      <c r="U155" s="129"/>
    </row>
    <row r="156" spans="15:25" x14ac:dyDescent="0.2">
      <c r="O156" t="s">
        <v>275</v>
      </c>
      <c r="U156" t="s">
        <v>275</v>
      </c>
    </row>
    <row r="157" spans="15:25" x14ac:dyDescent="0.2">
      <c r="P157" s="36"/>
      <c r="Q157" s="36"/>
      <c r="R157" s="36"/>
      <c r="S157" s="36"/>
      <c r="V157" s="36"/>
      <c r="W157" s="36"/>
      <c r="X157" s="36"/>
      <c r="Y157" s="36"/>
    </row>
    <row r="158" spans="15:25" ht="26.25" thickBot="1" x14ac:dyDescent="0.25">
      <c r="P158" s="157" t="s">
        <v>757</v>
      </c>
      <c r="Q158" s="157" t="s">
        <v>288</v>
      </c>
      <c r="R158" s="157" t="s">
        <v>775</v>
      </c>
      <c r="S158" s="157" t="s">
        <v>776</v>
      </c>
      <c r="V158" s="157" t="s">
        <v>757</v>
      </c>
      <c r="W158" s="157" t="s">
        <v>288</v>
      </c>
      <c r="X158" s="157" t="s">
        <v>775</v>
      </c>
      <c r="Y158" s="157" t="s">
        <v>776</v>
      </c>
    </row>
    <row r="159" spans="15:25" x14ac:dyDescent="0.2">
      <c r="O159">
        <v>1985</v>
      </c>
      <c r="P159" s="129">
        <f>'Passenger-Highway'!Z46</f>
        <v>1</v>
      </c>
      <c r="Q159" s="129">
        <f>'Passenger-Highway'!AH46</f>
        <v>1</v>
      </c>
      <c r="R159" s="129">
        <f>'Passenger-Highway'!AD46</f>
        <v>1</v>
      </c>
      <c r="S159" s="129">
        <f>'Passenger-Highway'!AF46</f>
        <v>1</v>
      </c>
      <c r="U159">
        <v>1970</v>
      </c>
      <c r="V159" s="129">
        <f>Freight_Total!AK77</f>
        <v>0</v>
      </c>
      <c r="W159" s="129">
        <f>Freight_Total!AS77</f>
        <v>0</v>
      </c>
      <c r="X159" s="129">
        <f>Freight_Total!AO77</f>
        <v>0</v>
      </c>
      <c r="Y159" s="129">
        <f>Freight_Total!AQ77</f>
        <v>0</v>
      </c>
    </row>
    <row r="160" spans="15:25" x14ac:dyDescent="0.2">
      <c r="O160">
        <f>O159+1</f>
        <v>1986</v>
      </c>
      <c r="P160" s="129">
        <f>'Passenger-Highway'!Z47</f>
        <v>1.0178684766153172</v>
      </c>
      <c r="Q160" s="129">
        <f>'Passenger-Highway'!AH47</f>
        <v>1.0020650646997462</v>
      </c>
      <c r="R160" s="129">
        <f>'Passenger-Highway'!AD47</f>
        <v>1.0136487805021515</v>
      </c>
      <c r="S160" s="129">
        <f>'Passenger-Highway'!AF47</f>
        <v>1.0338917935415504</v>
      </c>
      <c r="U160" s="138">
        <f>U159+1</f>
        <v>1971</v>
      </c>
      <c r="V160" s="129">
        <f>Freight_Total!AK78</f>
        <v>0</v>
      </c>
      <c r="W160" s="129">
        <f>Freight_Total!AS78</f>
        <v>0</v>
      </c>
      <c r="X160" s="129">
        <f>Freight_Total!AO78</f>
        <v>0</v>
      </c>
      <c r="Y160" s="129">
        <f>Freight_Total!AQ78</f>
        <v>0</v>
      </c>
    </row>
    <row r="161" spans="9:25" x14ac:dyDescent="0.2">
      <c r="O161">
        <f t="shared" ref="O161:O174" si="11">O160+1</f>
        <v>1987</v>
      </c>
      <c r="P161" s="129">
        <f>'Passenger-Highway'!Z48</f>
        <v>1.0471364384333093</v>
      </c>
      <c r="Q161" s="129">
        <f>'Passenger-Highway'!AH48</f>
        <v>1.0034745023052087</v>
      </c>
      <c r="R161" s="129">
        <f>'Passenger-Highway'!AD48</f>
        <v>1.0000649759569296</v>
      </c>
      <c r="S161" s="129">
        <f>'Passenger-Highway'!AF48</f>
        <v>1.0508429914952291</v>
      </c>
      <c r="U161" s="138">
        <f t="shared" ref="U161:U200" si="12">U160+1</f>
        <v>1972</v>
      </c>
      <c r="V161" s="129">
        <f>Freight_Total!AK79</f>
        <v>0</v>
      </c>
      <c r="W161" s="129">
        <f>Freight_Total!AS79</f>
        <v>0</v>
      </c>
      <c r="X161" s="129">
        <f>Freight_Total!AO79</f>
        <v>0</v>
      </c>
      <c r="Y161" s="129">
        <f>Freight_Total!AQ79</f>
        <v>0</v>
      </c>
    </row>
    <row r="162" spans="9:25" x14ac:dyDescent="0.2">
      <c r="O162">
        <f t="shared" si="11"/>
        <v>1988</v>
      </c>
      <c r="P162" s="129">
        <f>'Passenger-Highway'!Z49</f>
        <v>1.0875196800613489</v>
      </c>
      <c r="Q162" s="129">
        <f>'Passenger-Highway'!AH49</f>
        <v>1.0053606084168203</v>
      </c>
      <c r="R162" s="129">
        <f>'Passenger-Highway'!AD49</f>
        <v>0.98026176120370467</v>
      </c>
      <c r="S162" s="129">
        <f>'Passenger-Highway'!AF49</f>
        <v>1.0717686547348806</v>
      </c>
      <c r="U162" s="138">
        <f t="shared" si="12"/>
        <v>1973</v>
      </c>
      <c r="V162" s="129">
        <f>Freight_Total!AK80</f>
        <v>0</v>
      </c>
      <c r="W162" s="129">
        <f>Freight_Total!AS80</f>
        <v>0</v>
      </c>
      <c r="X162" s="129">
        <f>Freight_Total!AO80</f>
        <v>0</v>
      </c>
      <c r="Y162" s="129">
        <f>Freight_Total!AQ80</f>
        <v>0</v>
      </c>
    </row>
    <row r="163" spans="9:25" x14ac:dyDescent="0.2">
      <c r="O163">
        <f t="shared" si="11"/>
        <v>1989</v>
      </c>
      <c r="P163" s="129">
        <f>'Passenger-Highway'!Z50</f>
        <v>1.10724897689145</v>
      </c>
      <c r="Q163" s="129">
        <f>'Passenger-Highway'!AH50</f>
        <v>1.006189772443858</v>
      </c>
      <c r="R163" s="129">
        <f>'Passenger-Highway'!AD50</f>
        <v>0.97328879434947768</v>
      </c>
      <c r="S163" s="129">
        <f>'Passenger-Highway'!AF50</f>
        <v>1.0843435725369714</v>
      </c>
      <c r="U163" s="138">
        <f t="shared" si="12"/>
        <v>1974</v>
      </c>
      <c r="V163" s="129">
        <f>Freight_Total!AK81</f>
        <v>0</v>
      </c>
      <c r="W163" s="129">
        <f>Freight_Total!AS81</f>
        <v>0</v>
      </c>
      <c r="X163" s="129">
        <f>Freight_Total!AO81</f>
        <v>0</v>
      </c>
      <c r="Y163" s="129">
        <f>Freight_Total!AQ81</f>
        <v>0</v>
      </c>
    </row>
    <row r="164" spans="9:25" x14ac:dyDescent="0.2">
      <c r="O164">
        <f t="shared" si="11"/>
        <v>1990</v>
      </c>
      <c r="P164" s="129">
        <f>'Passenger-Highway'!Z51</f>
        <v>1.113669312930889</v>
      </c>
      <c r="Q164" s="129">
        <f>'Passenger-Highway'!AH51</f>
        <v>1.0082542331830604</v>
      </c>
      <c r="R164" s="129">
        <f>'Passenger-Highway'!AD51</f>
        <v>0.94780065117677559</v>
      </c>
      <c r="S164" s="129">
        <f>'Passenger-Highway'!AF51</f>
        <v>1.0642491443956497</v>
      </c>
      <c r="U164" s="138">
        <f t="shared" si="12"/>
        <v>1975</v>
      </c>
      <c r="V164" s="129">
        <f>Freight_Total!AK82</f>
        <v>0</v>
      </c>
      <c r="W164" s="129">
        <f>Freight_Total!AS82</f>
        <v>0</v>
      </c>
      <c r="X164" s="129">
        <f>Freight_Total!AO82</f>
        <v>0</v>
      </c>
      <c r="Y164" s="129">
        <f>Freight_Total!AQ82</f>
        <v>0</v>
      </c>
    </row>
    <row r="165" spans="9:25" x14ac:dyDescent="0.2">
      <c r="O165">
        <f t="shared" si="11"/>
        <v>1991</v>
      </c>
      <c r="P165" s="129">
        <f>'Passenger-Highway'!Z52</f>
        <v>1.1256938602069706</v>
      </c>
      <c r="Q165" s="129">
        <f>'Passenger-Highway'!AH52</f>
        <v>1.0134633539708449</v>
      </c>
      <c r="R165" s="129">
        <f>'Passenger-Highway'!AD52</f>
        <v>0.9098396405678334</v>
      </c>
      <c r="S165" s="129">
        <f>'Passenger-Highway'!AF52</f>
        <v>1.0379900763758503</v>
      </c>
      <c r="U165" s="138">
        <f t="shared" si="12"/>
        <v>1976</v>
      </c>
      <c r="V165" s="129">
        <f>Freight_Total!AK83</f>
        <v>0</v>
      </c>
      <c r="W165" s="129">
        <f>Freight_Total!AS83</f>
        <v>0</v>
      </c>
      <c r="X165" s="129">
        <f>Freight_Total!AO83</f>
        <v>0</v>
      </c>
      <c r="Y165" s="129">
        <f>Freight_Total!AQ83</f>
        <v>0</v>
      </c>
    </row>
    <row r="166" spans="9:25" x14ac:dyDescent="0.2">
      <c r="I166" s="6" t="s">
        <v>275</v>
      </c>
      <c r="O166">
        <f t="shared" si="11"/>
        <v>1992</v>
      </c>
      <c r="P166" s="129">
        <f>'Passenger-Highway'!Z53</f>
        <v>1.1610118084029748</v>
      </c>
      <c r="Q166" s="129">
        <f>'Passenger-Highway'!AH53</f>
        <v>1.0158360901378598</v>
      </c>
      <c r="R166" s="129">
        <f>'Passenger-Highway'!AD53</f>
        <v>0.91322639016668716</v>
      </c>
      <c r="S166" s="129">
        <f>'Passenger-Highway'!AF53</f>
        <v>1.0770571005364427</v>
      </c>
      <c r="U166" s="138">
        <f t="shared" si="12"/>
        <v>1977</v>
      </c>
      <c r="V166" s="129">
        <f>Freight_Total!AK84</f>
        <v>0</v>
      </c>
      <c r="W166" s="129">
        <f>Freight_Total!AS84</f>
        <v>0</v>
      </c>
      <c r="X166" s="129">
        <f>Freight_Total!AO84</f>
        <v>0</v>
      </c>
      <c r="Y166" s="129">
        <f>Freight_Total!AQ84</f>
        <v>0</v>
      </c>
    </row>
    <row r="167" spans="9:25" x14ac:dyDescent="0.2">
      <c r="I167" t="s">
        <v>250</v>
      </c>
      <c r="O167">
        <f t="shared" si="11"/>
        <v>1993</v>
      </c>
      <c r="P167" s="129">
        <f>'Passenger-Highway'!Z54</f>
        <v>1.1809564998790125</v>
      </c>
      <c r="Q167" s="129">
        <f>'Passenger-Highway'!AH54</f>
        <v>1.0164681404014484</v>
      </c>
      <c r="R167" s="129">
        <f>'Passenger-Highway'!AD54</f>
        <v>0.92656700407725912</v>
      </c>
      <c r="S167" s="129">
        <f>'Passenger-Highway'!AF54</f>
        <v>1.1122553470198882</v>
      </c>
      <c r="U167" s="138">
        <f t="shared" si="12"/>
        <v>1978</v>
      </c>
      <c r="V167" s="129">
        <f>Freight_Total!AK85</f>
        <v>0</v>
      </c>
      <c r="W167" s="129">
        <f>Freight_Total!AS85</f>
        <v>0</v>
      </c>
      <c r="X167" s="129">
        <f>Freight_Total!AO85</f>
        <v>0</v>
      </c>
      <c r="Y167" s="129">
        <f>Freight_Total!AQ85</f>
        <v>0</v>
      </c>
    </row>
    <row r="168" spans="9:25" x14ac:dyDescent="0.2">
      <c r="I168" s="275" t="s">
        <v>249</v>
      </c>
      <c r="O168">
        <f t="shared" si="11"/>
        <v>1994</v>
      </c>
      <c r="P168" s="129">
        <f>'Passenger-Highway'!Z55</f>
        <v>1.2048502663614975</v>
      </c>
      <c r="Q168" s="129">
        <f>'Passenger-Highway'!AH55</f>
        <v>1.0149851653435029</v>
      </c>
      <c r="R168" s="129">
        <f>'Passenger-Highway'!AD55</f>
        <v>0.92681008197110604</v>
      </c>
      <c r="S168" s="129">
        <f>'Passenger-Highway'!AF55</f>
        <v>1.133400819364432</v>
      </c>
      <c r="U168" s="138">
        <f t="shared" si="12"/>
        <v>1979</v>
      </c>
      <c r="V168" s="129">
        <f>Freight_Total!AK86</f>
        <v>0</v>
      </c>
      <c r="W168" s="129">
        <f>Freight_Total!AS86</f>
        <v>0</v>
      </c>
      <c r="X168" s="129">
        <f>Freight_Total!AO86</f>
        <v>0</v>
      </c>
      <c r="Y168" s="129">
        <f>Freight_Total!AQ86</f>
        <v>0</v>
      </c>
    </row>
    <row r="169" spans="9:25" x14ac:dyDescent="0.2">
      <c r="O169">
        <f t="shared" si="11"/>
        <v>1995</v>
      </c>
      <c r="P169" s="129">
        <f>'Passenger-Highway'!Z56</f>
        <v>1.2316106371355204</v>
      </c>
      <c r="Q169" s="129">
        <f>'Passenger-Highway'!AH56</f>
        <v>1.0145967689648157</v>
      </c>
      <c r="R169" s="129">
        <f>'Passenger-Highway'!AD56</f>
        <v>0.92016710888169639</v>
      </c>
      <c r="S169" s="129">
        <f>'Passenger-Highway'!AF56</f>
        <v>1.1498299364977458</v>
      </c>
      <c r="U169" s="138">
        <f t="shared" si="12"/>
        <v>1980</v>
      </c>
      <c r="V169" s="129">
        <f>Freight_Total!AK87</f>
        <v>0</v>
      </c>
      <c r="W169" s="129">
        <f>Freight_Total!AS87</f>
        <v>0</v>
      </c>
      <c r="X169" s="129">
        <f>Freight_Total!AO87</f>
        <v>0</v>
      </c>
      <c r="Y169" s="129">
        <f>Freight_Total!AQ87</f>
        <v>0</v>
      </c>
    </row>
    <row r="170" spans="9:25" x14ac:dyDescent="0.2">
      <c r="O170">
        <f t="shared" si="11"/>
        <v>1996</v>
      </c>
      <c r="P170" s="129">
        <f>'Passenger-Highway'!Z57</f>
        <v>1.2665476812084775</v>
      </c>
      <c r="Q170" s="129">
        <f>'Passenger-Highway'!AH57</f>
        <v>1.015919304876495</v>
      </c>
      <c r="R170" s="129">
        <f>'Passenger-Highway'!AD57</f>
        <v>0.91658183557458872</v>
      </c>
      <c r="S170" s="129">
        <f>'Passenger-Highway'!AF57</f>
        <v>1.1793752335275602</v>
      </c>
      <c r="U170" s="138">
        <f t="shared" si="12"/>
        <v>1981</v>
      </c>
      <c r="V170" s="129">
        <f>Freight_Total!AK88</f>
        <v>0</v>
      </c>
      <c r="W170" s="129">
        <f>Freight_Total!AS88</f>
        <v>0</v>
      </c>
      <c r="X170" s="129">
        <f>Freight_Total!AO88</f>
        <v>0</v>
      </c>
      <c r="Y170" s="129">
        <f>Freight_Total!AQ88</f>
        <v>0</v>
      </c>
    </row>
    <row r="171" spans="9:25" x14ac:dyDescent="0.2">
      <c r="O171">
        <f t="shared" si="11"/>
        <v>1997</v>
      </c>
      <c r="P171" s="129">
        <f>'Passenger-Highway'!Z58</f>
        <v>1.3053473178506443</v>
      </c>
      <c r="Q171" s="129">
        <f>'Passenger-Highway'!AH58</f>
        <v>1.0185733184027257</v>
      </c>
      <c r="R171" s="129">
        <f>'Passenger-Highway'!AD58</f>
        <v>0.9072286122586829</v>
      </c>
      <c r="S171" s="129">
        <f>'Passenger-Highway'!AF58</f>
        <v>1.2062438589532196</v>
      </c>
      <c r="U171" s="138">
        <f t="shared" si="12"/>
        <v>1982</v>
      </c>
      <c r="V171" s="129">
        <f>Freight_Total!AK89</f>
        <v>0</v>
      </c>
      <c r="W171" s="129">
        <f>Freight_Total!AS89</f>
        <v>0</v>
      </c>
      <c r="X171" s="129">
        <f>Freight_Total!AO89</f>
        <v>0</v>
      </c>
      <c r="Y171" s="129">
        <f>Freight_Total!AQ89</f>
        <v>0</v>
      </c>
    </row>
    <row r="172" spans="9:25" x14ac:dyDescent="0.2">
      <c r="O172">
        <f t="shared" si="11"/>
        <v>1998</v>
      </c>
      <c r="P172" s="129">
        <f>'Passenger-Highway'!Z59</f>
        <v>1.3441708478393095</v>
      </c>
      <c r="Q172" s="129">
        <f>'Passenger-Highway'!AH59</f>
        <v>1.0189440348684509</v>
      </c>
      <c r="R172" s="129">
        <f>'Passenger-Highway'!AD59</f>
        <v>0.90191458427803439</v>
      </c>
      <c r="S172" s="129">
        <f>'Passenger-Highway'!AF59</f>
        <v>1.2352936619084227</v>
      </c>
      <c r="U172" s="138">
        <f t="shared" si="12"/>
        <v>1983</v>
      </c>
      <c r="V172" s="129">
        <f>Freight_Total!AK90</f>
        <v>0</v>
      </c>
      <c r="W172" s="129">
        <f>Freight_Total!AS90</f>
        <v>0</v>
      </c>
      <c r="X172" s="129">
        <f>Freight_Total!AO90</f>
        <v>0</v>
      </c>
      <c r="Y172" s="129">
        <f>Freight_Total!AQ90</f>
        <v>0</v>
      </c>
    </row>
    <row r="173" spans="9:25" x14ac:dyDescent="0.2">
      <c r="O173">
        <f t="shared" si="11"/>
        <v>1999</v>
      </c>
      <c r="P173" s="129">
        <f>'Passenger-Highway'!Z60</f>
        <v>1.3772566085849376</v>
      </c>
      <c r="Q173" s="129">
        <f>'Passenger-Highway'!AH60</f>
        <v>1.0206945043160307</v>
      </c>
      <c r="R173" s="129">
        <f>'Passenger-Highway'!AD60</f>
        <v>0.90709451159588406</v>
      </c>
      <c r="S173" s="129">
        <f>'Passenger-Highway'!AF60</f>
        <v>1.2751555944896993</v>
      </c>
      <c r="U173" s="138">
        <f t="shared" si="12"/>
        <v>1984</v>
      </c>
      <c r="V173" s="129">
        <f>Freight_Total!AK91</f>
        <v>0</v>
      </c>
      <c r="W173" s="129">
        <f>Freight_Total!AS91</f>
        <v>0</v>
      </c>
      <c r="X173" s="129">
        <f>Freight_Total!AO91</f>
        <v>0</v>
      </c>
      <c r="Y173" s="129">
        <f>Freight_Total!AQ91</f>
        <v>0</v>
      </c>
    </row>
    <row r="174" spans="9:25" x14ac:dyDescent="0.2">
      <c r="I174" s="173" t="s">
        <v>263</v>
      </c>
      <c r="O174">
        <f t="shared" si="11"/>
        <v>2000</v>
      </c>
      <c r="P174" s="129">
        <f>'Passenger-Highway'!Z61</f>
        <v>1.4113740398486911</v>
      </c>
      <c r="Q174" s="129">
        <f>'Passenger-Highway'!AH61</f>
        <v>1.020898940784966</v>
      </c>
      <c r="R174" s="129">
        <f>'Passenger-Highway'!AD61</f>
        <v>0.88383983449271231</v>
      </c>
      <c r="S174" s="129">
        <f>'Passenger-Highway'!AF61</f>
        <v>1.2734985341858045</v>
      </c>
      <c r="U174" s="138">
        <f t="shared" si="12"/>
        <v>1985</v>
      </c>
      <c r="V174" s="129">
        <f>'Passenger-Highway'!Z46</f>
        <v>1</v>
      </c>
      <c r="W174" s="129">
        <f>'Passenger-Highway'!AH46</f>
        <v>1</v>
      </c>
      <c r="X174" s="129">
        <f>'Passenger-Highway'!AD46</f>
        <v>1</v>
      </c>
      <c r="Y174" s="129">
        <f>'Passenger-Highway'!AF46</f>
        <v>1</v>
      </c>
    </row>
    <row r="175" spans="9:25" x14ac:dyDescent="0.2">
      <c r="O175">
        <f t="shared" ref="O175:O181" si="13">O174+1</f>
        <v>2001</v>
      </c>
      <c r="P175" s="129">
        <f>'Passenger-Highway'!Z62</f>
        <v>1.4430462346114359</v>
      </c>
      <c r="Q175" s="129">
        <f>'Passenger-Highway'!AH62</f>
        <v>1.0210388581860754</v>
      </c>
      <c r="R175" s="129">
        <f>'Passenger-Highway'!AD62</f>
        <v>0.87127926691732516</v>
      </c>
      <c r="S175" s="129">
        <f>'Passenger-Highway'!AF62</f>
        <v>1.2837483432461125</v>
      </c>
      <c r="U175" s="138">
        <f t="shared" si="12"/>
        <v>1986</v>
      </c>
      <c r="V175" s="129">
        <f>'Passenger-Highway'!Z47</f>
        <v>1.0178684766153172</v>
      </c>
      <c r="W175" s="129">
        <f>'Passenger-Highway'!AH47</f>
        <v>1.0020650646997462</v>
      </c>
      <c r="X175" s="129">
        <f>'Passenger-Highway'!AD47</f>
        <v>1.0136487805021515</v>
      </c>
      <c r="Y175" s="129">
        <f>'Passenger-Highway'!AF47</f>
        <v>1.0338917935415504</v>
      </c>
    </row>
    <row r="176" spans="9:25" x14ac:dyDescent="0.2">
      <c r="O176">
        <f t="shared" si="13"/>
        <v>2002</v>
      </c>
      <c r="P176" s="129">
        <f>'Passenger-Highway'!Z63</f>
        <v>1.4778343515721879</v>
      </c>
      <c r="Q176" s="129">
        <f>'Passenger-Highway'!AH63</f>
        <v>1.0213736795122594</v>
      </c>
      <c r="R176" s="129">
        <f>'Passenger-Highway'!AD63</f>
        <v>0.8735353614820307</v>
      </c>
      <c r="S176" s="129">
        <f>'Passenger-Highway'!AF63</f>
        <v>1.3185327144064101</v>
      </c>
      <c r="U176" s="138">
        <f t="shared" si="12"/>
        <v>1987</v>
      </c>
      <c r="V176" s="129">
        <f>'Passenger-Highway'!Z48</f>
        <v>1.0471364384333093</v>
      </c>
      <c r="W176" s="129">
        <f>'Passenger-Highway'!AH48</f>
        <v>1.0034745023052087</v>
      </c>
      <c r="X176" s="129">
        <f>'Passenger-Highway'!AD48</f>
        <v>1.0000649759569296</v>
      </c>
      <c r="Y176" s="129">
        <f>'Passenger-Highway'!AF48</f>
        <v>1.0508429914952291</v>
      </c>
    </row>
    <row r="177" spans="15:25" x14ac:dyDescent="0.2">
      <c r="O177">
        <f t="shared" si="13"/>
        <v>2003</v>
      </c>
      <c r="P177" s="129">
        <f>'Passenger-Highway'!Z64</f>
        <v>1.502136830208568</v>
      </c>
      <c r="Q177" s="129">
        <f>'Passenger-Highway'!AH64</f>
        <v>1.0214568950292873</v>
      </c>
      <c r="R177" s="129">
        <f>'Passenger-Highway'!AD64</f>
        <v>0.89281711204838587</v>
      </c>
      <c r="S177" s="129">
        <f>'Passenger-Highway'!AF64</f>
        <v>1.3699100266624673</v>
      </c>
      <c r="U177" s="138">
        <f t="shared" si="12"/>
        <v>1988</v>
      </c>
      <c r="V177" s="129">
        <f>'Passenger-Highway'!Z49</f>
        <v>1.0875196800613489</v>
      </c>
      <c r="W177" s="129">
        <f>'Passenger-Highway'!AH49</f>
        <v>1.0053606084168203</v>
      </c>
      <c r="X177" s="129">
        <f>'Passenger-Highway'!AD49</f>
        <v>0.98026176120370467</v>
      </c>
      <c r="Y177" s="129">
        <f>'Passenger-Highway'!AF49</f>
        <v>1.0717686547348806</v>
      </c>
    </row>
    <row r="178" spans="15:25" x14ac:dyDescent="0.2">
      <c r="O178">
        <f t="shared" si="13"/>
        <v>2004</v>
      </c>
      <c r="P178" s="129">
        <f>'Passenger-Highway'!Z65</f>
        <v>1.5476952774038784</v>
      </c>
      <c r="Q178" s="129">
        <f>'Passenger-Highway'!AH65</f>
        <v>1.0236556800260559</v>
      </c>
      <c r="R178" s="129">
        <f>'Passenger-Highway'!AD65</f>
        <v>0.87900003690101625</v>
      </c>
      <c r="S178" s="129">
        <f>'Passenger-Highway'!AF65</f>
        <v>1.3926059656651806</v>
      </c>
      <c r="U178" s="138">
        <f t="shared" si="12"/>
        <v>1989</v>
      </c>
      <c r="V178" s="129">
        <f>'Passenger-Highway'!Z50</f>
        <v>1.10724897689145</v>
      </c>
      <c r="W178" s="129">
        <f>'Passenger-Highway'!AH50</f>
        <v>1.006189772443858</v>
      </c>
      <c r="X178" s="129">
        <f>'Passenger-Highway'!AD50</f>
        <v>0.97328879434947768</v>
      </c>
      <c r="Y178" s="129">
        <f>'Passenger-Highway'!AF50</f>
        <v>1.0843435725369714</v>
      </c>
    </row>
    <row r="179" spans="15:25" x14ac:dyDescent="0.2">
      <c r="O179">
        <f t="shared" si="13"/>
        <v>2005</v>
      </c>
      <c r="P179" s="129">
        <f>'Passenger-Highway'!Z66</f>
        <v>1.5660746266576999</v>
      </c>
      <c r="Q179" s="129">
        <f>'Passenger-Highway'!AH66</f>
        <v>1.0244864014382749</v>
      </c>
      <c r="R179" s="129">
        <f>'Passenger-Highway'!AD66</f>
        <v>0.85224378610814078</v>
      </c>
      <c r="S179" s="129">
        <f>'Passenger-Highway'!AF66</f>
        <v>1.367358815002254</v>
      </c>
      <c r="U179" s="138">
        <f t="shared" si="12"/>
        <v>1990</v>
      </c>
      <c r="V179" s="129">
        <f>'Passenger-Highway'!Z51</f>
        <v>1.113669312930889</v>
      </c>
      <c r="W179" s="129">
        <f>'Passenger-Highway'!AH51</f>
        <v>1.0082542331830604</v>
      </c>
      <c r="X179" s="129">
        <f>'Passenger-Highway'!AD51</f>
        <v>0.94780065117677559</v>
      </c>
      <c r="Y179" s="129">
        <f>'Passenger-Highway'!AF51</f>
        <v>1.0642491443956497</v>
      </c>
    </row>
    <row r="180" spans="15:25" x14ac:dyDescent="0.2">
      <c r="O180">
        <f t="shared" si="13"/>
        <v>2006</v>
      </c>
      <c r="P180" s="129">
        <f>'Passenger-Highway'!Z67</f>
        <v>1.5892214670805871</v>
      </c>
      <c r="Q180" s="129">
        <f>'Passenger-Highway'!AH67</f>
        <v>1.0252625089620229</v>
      </c>
      <c r="R180" s="129">
        <f>'Passenger-Highway'!AD67</f>
        <v>0.83931483826979836</v>
      </c>
      <c r="S180" s="129">
        <f>'Passenger-Highway'!AF67</f>
        <v>1.3675537370412705</v>
      </c>
      <c r="U180" s="138">
        <f t="shared" si="12"/>
        <v>1991</v>
      </c>
      <c r="V180" s="129">
        <f>'Passenger-Highway'!Z52</f>
        <v>1.1256938602069706</v>
      </c>
      <c r="W180" s="129">
        <f>'Passenger-Highway'!AH52</f>
        <v>1.0134633539708449</v>
      </c>
      <c r="X180" s="129">
        <f>'Passenger-Highway'!AD52</f>
        <v>0.9098396405678334</v>
      </c>
      <c r="Y180" s="129">
        <f>'Passenger-Highway'!AF52</f>
        <v>1.0379900763758503</v>
      </c>
    </row>
    <row r="181" spans="15:25" x14ac:dyDescent="0.2">
      <c r="O181">
        <f t="shared" si="13"/>
        <v>2007</v>
      </c>
      <c r="P181" s="129">
        <f>'Passenger-Highway'!Z68</f>
        <v>1.6062694086708935</v>
      </c>
      <c r="Q181" s="129">
        <f>'Passenger-Highway'!AH68</f>
        <v>1.0258895166592841</v>
      </c>
      <c r="R181" s="129">
        <f>'Passenger-Highway'!AD68</f>
        <v>0.83322831910544881</v>
      </c>
      <c r="S181" s="129">
        <f>'Passenger-Highway'!AF68</f>
        <v>1.3730394078566925</v>
      </c>
      <c r="U181" s="138">
        <f t="shared" si="12"/>
        <v>1992</v>
      </c>
      <c r="V181" s="129">
        <f>'Passenger-Highway'!Z53</f>
        <v>1.1610118084029748</v>
      </c>
      <c r="W181" s="129">
        <f>'Passenger-Highway'!AH53</f>
        <v>1.0158360901378598</v>
      </c>
      <c r="X181" s="129">
        <f>'Passenger-Highway'!AD53</f>
        <v>0.91322639016668716</v>
      </c>
      <c r="Y181" s="129">
        <f>'Passenger-Highway'!AF53</f>
        <v>1.0770571005364427</v>
      </c>
    </row>
    <row r="182" spans="15:25" x14ac:dyDescent="0.2">
      <c r="O182">
        <f>O181+1</f>
        <v>2008</v>
      </c>
      <c r="P182" s="129">
        <f>'Passenger-Highway'!Z69</f>
        <v>1.567468770550335</v>
      </c>
      <c r="Q182" s="129">
        <f>'Passenger-Highway'!AH69</f>
        <v>1.0272558183362079</v>
      </c>
      <c r="R182" s="129">
        <f>'Passenger-Highway'!AD69</f>
        <v>0.82826089830422345</v>
      </c>
      <c r="S182" s="129">
        <f>'Passenger-Highway'!AF69</f>
        <v>1.3336585875050808</v>
      </c>
      <c r="U182" s="138">
        <f t="shared" si="12"/>
        <v>1993</v>
      </c>
      <c r="V182" s="129">
        <f>'Passenger-Highway'!Z54</f>
        <v>1.1809564998790125</v>
      </c>
      <c r="W182" s="129">
        <f>'Passenger-Highway'!AH54</f>
        <v>1.0164681404014484</v>
      </c>
      <c r="X182" s="129">
        <f>'Passenger-Highway'!AD54</f>
        <v>0.92656700407725912</v>
      </c>
      <c r="Y182" s="129">
        <f>'Passenger-Highway'!AF54</f>
        <v>1.1122553470198882</v>
      </c>
    </row>
    <row r="183" spans="15:25" x14ac:dyDescent="0.2">
      <c r="O183">
        <f t="shared" ref="O183:O185" si="14">O182+1</f>
        <v>2009</v>
      </c>
      <c r="P183" s="129">
        <f>'Passenger-Highway'!Z70</f>
        <v>1.5743330383033354</v>
      </c>
      <c r="Q183" s="129">
        <f>'Passenger-Highway'!AH70</f>
        <v>1.0269385902540755</v>
      </c>
      <c r="R183" s="129">
        <f>'Passenger-Highway'!AD70</f>
        <v>0.82692451958818947</v>
      </c>
      <c r="S183" s="129">
        <f>'Passenger-Highway'!AF70</f>
        <v>1.3369247187781241</v>
      </c>
      <c r="U183" s="138">
        <f t="shared" si="12"/>
        <v>1994</v>
      </c>
      <c r="V183" s="129">
        <f>'Passenger-Highway'!Z55</f>
        <v>1.2048502663614975</v>
      </c>
      <c r="W183" s="129">
        <f>'Passenger-Highway'!AH55</f>
        <v>1.0149851653435029</v>
      </c>
      <c r="X183" s="129">
        <f>'Passenger-Highway'!AD55</f>
        <v>0.92681008197110604</v>
      </c>
      <c r="Y183" s="129">
        <f>'Passenger-Highway'!AF55</f>
        <v>1.133400819364432</v>
      </c>
    </row>
    <row r="184" spans="15:25" x14ac:dyDescent="0.2">
      <c r="O184">
        <f t="shared" si="14"/>
        <v>2010</v>
      </c>
      <c r="P184" s="129">
        <f>'Passenger-Highway'!Z71</f>
        <v>1.5811286607255883</v>
      </c>
      <c r="Q184" s="129">
        <f>'Passenger-Highway'!AH71</f>
        <v>1.0283723768593507</v>
      </c>
      <c r="R184" s="129">
        <f>'Passenger-Highway'!AD71</f>
        <v>0.83141473097475882</v>
      </c>
      <c r="S184" s="129">
        <f>'Passenger-Highway'!AF71</f>
        <v>1.3518712393871983</v>
      </c>
      <c r="U184" s="138">
        <f t="shared" si="12"/>
        <v>1995</v>
      </c>
      <c r="V184" s="129">
        <f>'Passenger-Highway'!Z56</f>
        <v>1.2316106371355204</v>
      </c>
      <c r="W184" s="129">
        <f>'Passenger-Highway'!AH56</f>
        <v>1.0145967689648157</v>
      </c>
      <c r="X184" s="129">
        <f>'Passenger-Highway'!AD56</f>
        <v>0.92016710888169639</v>
      </c>
      <c r="Y184" s="129">
        <f>'Passenger-Highway'!AF56</f>
        <v>1.1498299364977458</v>
      </c>
    </row>
    <row r="185" spans="15:25" x14ac:dyDescent="0.2">
      <c r="O185">
        <f t="shared" si="14"/>
        <v>2011</v>
      </c>
      <c r="P185" s="129">
        <f>'Passenger-Highway'!Z72</f>
        <v>1.5801694985154249</v>
      </c>
      <c r="Q185" s="129">
        <f>'Passenger-Highway'!AH72</f>
        <v>1.0287077161523166</v>
      </c>
      <c r="R185" s="129">
        <f>'Passenger-Highway'!AD72</f>
        <v>0.83902850477255397</v>
      </c>
      <c r="S185" s="129">
        <f>'Passenger-Highway'!AF72</f>
        <v>1.363868149878972</v>
      </c>
      <c r="U185" s="138">
        <f t="shared" si="12"/>
        <v>1996</v>
      </c>
      <c r="V185" s="129">
        <f>'Passenger-Highway'!Z57</f>
        <v>1.2665476812084775</v>
      </c>
      <c r="W185" s="129">
        <f>'Passenger-Highway'!AH57</f>
        <v>1.015919304876495</v>
      </c>
      <c r="X185" s="129">
        <f>'Passenger-Highway'!AD57</f>
        <v>0.91658183557458872</v>
      </c>
      <c r="Y185" s="129">
        <f>'Passenger-Highway'!AF57</f>
        <v>1.1793752335275602</v>
      </c>
    </row>
    <row r="186" spans="15:25" x14ac:dyDescent="0.2">
      <c r="U186" s="138">
        <f t="shared" si="12"/>
        <v>1997</v>
      </c>
      <c r="V186" s="129">
        <f>'Passenger-Highway'!Z58</f>
        <v>1.3053473178506443</v>
      </c>
      <c r="W186" s="129">
        <f>'Passenger-Highway'!AH58</f>
        <v>1.0185733184027257</v>
      </c>
      <c r="X186" s="129">
        <f>'Passenger-Highway'!AD58</f>
        <v>0.9072286122586829</v>
      </c>
      <c r="Y186" s="129">
        <f>'Passenger-Highway'!AF58</f>
        <v>1.2062438589532196</v>
      </c>
    </row>
    <row r="187" spans="15:25" x14ac:dyDescent="0.2">
      <c r="U187" s="138">
        <f t="shared" si="12"/>
        <v>1998</v>
      </c>
      <c r="V187" s="129">
        <f>'Passenger-Highway'!Z59</f>
        <v>1.3441708478393095</v>
      </c>
      <c r="W187" s="129">
        <f>'Passenger-Highway'!AH59</f>
        <v>1.0189440348684509</v>
      </c>
      <c r="X187" s="129">
        <f>'Passenger-Highway'!AD59</f>
        <v>0.90191458427803439</v>
      </c>
      <c r="Y187" s="129">
        <f>'Passenger-Highway'!AF59</f>
        <v>1.2352936619084227</v>
      </c>
    </row>
    <row r="188" spans="15:25" x14ac:dyDescent="0.2">
      <c r="U188" s="138">
        <f t="shared" si="12"/>
        <v>1999</v>
      </c>
      <c r="V188" s="129">
        <f>'Passenger-Highway'!Z60</f>
        <v>1.3772566085849376</v>
      </c>
      <c r="W188" s="129">
        <f>'Passenger-Highway'!AH60</f>
        <v>1.0206945043160307</v>
      </c>
      <c r="X188" s="129">
        <f>'Passenger-Highway'!AD60</f>
        <v>0.90709451159588406</v>
      </c>
      <c r="Y188" s="129">
        <f>'Passenger-Highway'!AF60</f>
        <v>1.2751555944896993</v>
      </c>
    </row>
    <row r="189" spans="15:25" x14ac:dyDescent="0.2">
      <c r="U189" s="138">
        <f t="shared" si="12"/>
        <v>2000</v>
      </c>
      <c r="V189" s="129">
        <f>'Passenger-Highway'!Z61</f>
        <v>1.4113740398486911</v>
      </c>
      <c r="W189" s="129">
        <f>'Passenger-Highway'!AH61</f>
        <v>1.020898940784966</v>
      </c>
      <c r="X189" s="129">
        <f>'Passenger-Highway'!AD61</f>
        <v>0.88383983449271231</v>
      </c>
      <c r="Y189" s="129">
        <f>'Passenger-Highway'!AF61</f>
        <v>1.2734985341858045</v>
      </c>
    </row>
    <row r="190" spans="15:25" x14ac:dyDescent="0.2">
      <c r="P190" s="129"/>
      <c r="Q190" s="129"/>
      <c r="R190" s="129"/>
      <c r="S190" s="129"/>
      <c r="U190" s="138">
        <f t="shared" si="12"/>
        <v>2001</v>
      </c>
      <c r="V190" s="129">
        <f>'Passenger-Highway'!Z62</f>
        <v>1.4430462346114359</v>
      </c>
      <c r="W190" s="129">
        <f>'Passenger-Highway'!AH62</f>
        <v>1.0210388581860754</v>
      </c>
      <c r="X190" s="129">
        <f>'Passenger-Highway'!AD62</f>
        <v>0.87127926691732516</v>
      </c>
      <c r="Y190" s="129">
        <f>'Passenger-Highway'!AF62</f>
        <v>1.2837483432461125</v>
      </c>
    </row>
    <row r="191" spans="15:25" x14ac:dyDescent="0.2">
      <c r="O191" t="s">
        <v>276</v>
      </c>
      <c r="U191" s="138">
        <f t="shared" si="12"/>
        <v>2002</v>
      </c>
      <c r="V191" s="129">
        <f>'Passenger-Highway'!Z63</f>
        <v>1.4778343515721879</v>
      </c>
      <c r="W191" s="129">
        <f>'Passenger-Highway'!AH63</f>
        <v>1.0213736795122594</v>
      </c>
      <c r="X191" s="129">
        <f>'Passenger-Highway'!AD63</f>
        <v>0.8735353614820307</v>
      </c>
      <c r="Y191" s="129">
        <f>'Passenger-Highway'!AF63</f>
        <v>1.3185327144064101</v>
      </c>
    </row>
    <row r="192" spans="15:25" x14ac:dyDescent="0.2">
      <c r="P192" s="36"/>
      <c r="Q192" s="36"/>
      <c r="R192" s="36"/>
      <c r="S192" s="36"/>
      <c r="U192" s="138">
        <f t="shared" si="12"/>
        <v>2003</v>
      </c>
      <c r="V192" s="129">
        <f>'Passenger-Highway'!Z64</f>
        <v>1.502136830208568</v>
      </c>
      <c r="W192" s="129">
        <f>'Passenger-Highway'!AH64</f>
        <v>1.0214568950292873</v>
      </c>
      <c r="X192" s="129">
        <f>'Passenger-Highway'!AD64</f>
        <v>0.89281711204838587</v>
      </c>
      <c r="Y192" s="129">
        <f>'Passenger-Highway'!AF64</f>
        <v>1.3699100266624673</v>
      </c>
    </row>
    <row r="193" spans="15:25" ht="26.25" thickBot="1" x14ac:dyDescent="0.25">
      <c r="P193" s="157" t="s">
        <v>757</v>
      </c>
      <c r="Q193" s="157" t="s">
        <v>288</v>
      </c>
      <c r="R193" s="157" t="s">
        <v>775</v>
      </c>
      <c r="S193" s="157" t="s">
        <v>776</v>
      </c>
      <c r="U193" s="138">
        <f t="shared" si="12"/>
        <v>2004</v>
      </c>
      <c r="V193" s="129">
        <f>'Passenger-Highway'!Z65</f>
        <v>1.5476952774038784</v>
      </c>
      <c r="W193" s="129">
        <f>'Passenger-Highway'!AH65</f>
        <v>1.0236556800260559</v>
      </c>
      <c r="X193" s="129">
        <f>'Passenger-Highway'!AD65</f>
        <v>0.87900003690101625</v>
      </c>
      <c r="Y193" s="129">
        <f>'Passenger-Highway'!AF65</f>
        <v>1.3926059656651806</v>
      </c>
    </row>
    <row r="194" spans="15:25" x14ac:dyDescent="0.2">
      <c r="O194">
        <v>1985</v>
      </c>
      <c r="P194" s="129">
        <f>Personal_vehicles!X46</f>
        <v>1</v>
      </c>
      <c r="Q194" s="129">
        <f>Personal_vehicles!Z46</f>
        <v>1</v>
      </c>
      <c r="R194" s="129">
        <f>Personal_vehicles!AA46</f>
        <v>1</v>
      </c>
      <c r="S194" s="129">
        <f>Personal_vehicles!AC46</f>
        <v>1</v>
      </c>
      <c r="U194" s="138">
        <f t="shared" si="12"/>
        <v>2005</v>
      </c>
      <c r="V194" s="129">
        <f>'Passenger-Highway'!Z66</f>
        <v>1.5660746266576999</v>
      </c>
      <c r="W194" s="129">
        <f>'Passenger-Highway'!AH66</f>
        <v>1.0244864014382749</v>
      </c>
      <c r="X194" s="129">
        <f>'Passenger-Highway'!AD66</f>
        <v>0.85224378610814078</v>
      </c>
      <c r="Y194" s="129">
        <f>'Passenger-Highway'!AF66</f>
        <v>1.367358815002254</v>
      </c>
    </row>
    <row r="195" spans="15:25" x14ac:dyDescent="0.2">
      <c r="O195">
        <f>O194+1</f>
        <v>1986</v>
      </c>
      <c r="P195" s="129">
        <f>Personal_vehicles!X47</f>
        <v>1.0184474338078791</v>
      </c>
      <c r="Q195" s="129">
        <f>Personal_vehicles!Z47</f>
        <v>1.0016178481177984</v>
      </c>
      <c r="R195" s="129">
        <f>Personal_vehicles!AA47</f>
        <v>1.0136428144485539</v>
      </c>
      <c r="S195" s="129">
        <f>Personal_vehicles!AC47</f>
        <v>1.0340120956102554</v>
      </c>
      <c r="U195" s="138">
        <f t="shared" si="12"/>
        <v>2006</v>
      </c>
      <c r="V195" s="129">
        <f>'Passenger-Highway'!Z67</f>
        <v>1.5892214670805871</v>
      </c>
      <c r="W195" s="129">
        <f>'Passenger-Highway'!AH67</f>
        <v>1.0252625089620229</v>
      </c>
      <c r="X195" s="129">
        <f>'Passenger-Highway'!AD67</f>
        <v>0.83931483826979836</v>
      </c>
      <c r="Y195" s="129">
        <f>'Passenger-Highway'!AF67</f>
        <v>1.3675537370412705</v>
      </c>
    </row>
    <row r="196" spans="15:25" x14ac:dyDescent="0.2">
      <c r="O196">
        <f t="shared" ref="O196:O209" si="15">O195+1</f>
        <v>1987</v>
      </c>
      <c r="P196" s="129">
        <f>Personal_vehicles!X48</f>
        <v>1.0486656795116653</v>
      </c>
      <c r="Q196" s="129">
        <f>Personal_vehicles!Z48</f>
        <v>1.0026126668938242</v>
      </c>
      <c r="R196" s="129">
        <f>Personal_vehicles!AA48</f>
        <v>0.99973156541894637</v>
      </c>
      <c r="S196" s="129">
        <f>Personal_vehicles!AC48</f>
        <v>1.0511232600220186</v>
      </c>
      <c r="U196" s="138">
        <f t="shared" si="12"/>
        <v>2007</v>
      </c>
      <c r="V196" s="129">
        <f>'Passenger-Highway'!Z68</f>
        <v>1.6062694086708935</v>
      </c>
      <c r="W196" s="129">
        <f>'Passenger-Highway'!AH68</f>
        <v>1.0258895166592841</v>
      </c>
      <c r="X196" s="129">
        <f>'Passenger-Highway'!AD68</f>
        <v>0.83322831910544881</v>
      </c>
      <c r="Y196" s="129">
        <f>'Passenger-Highway'!AF68</f>
        <v>1.3730394078566925</v>
      </c>
    </row>
    <row r="197" spans="15:25" x14ac:dyDescent="0.2">
      <c r="O197">
        <f t="shared" si="15"/>
        <v>1988</v>
      </c>
      <c r="P197" s="129">
        <f>Personal_vehicles!X49</f>
        <v>1.0898886623134927</v>
      </c>
      <c r="Q197" s="129">
        <f>Personal_vehicles!Z49</f>
        <v>1.0041072125763968</v>
      </c>
      <c r="R197" s="129">
        <f>Personal_vehicles!AA49</f>
        <v>0.97953745326370334</v>
      </c>
      <c r="S197" s="129">
        <f>Personal_vehicles!AC49</f>
        <v>1.0719715704095991</v>
      </c>
      <c r="U197" s="138">
        <f t="shared" si="12"/>
        <v>2008</v>
      </c>
      <c r="V197" s="129">
        <f>'Passenger-Highway'!Z69</f>
        <v>1.567468770550335</v>
      </c>
      <c r="W197" s="129">
        <f>'Passenger-Highway'!AH69</f>
        <v>1.0272558183362079</v>
      </c>
      <c r="X197" s="129">
        <f>'Passenger-Highway'!AD69</f>
        <v>0.82826089830422345</v>
      </c>
      <c r="Y197" s="129">
        <f>'Passenger-Highway'!AF69</f>
        <v>1.3336585875050808</v>
      </c>
    </row>
    <row r="198" spans="15:25" x14ac:dyDescent="0.2">
      <c r="O198">
        <f t="shared" si="15"/>
        <v>1989</v>
      </c>
      <c r="P198" s="129">
        <f>Personal_vehicles!X50</f>
        <v>1.1094001036436649</v>
      </c>
      <c r="Q198" s="129">
        <f>Personal_vehicles!Z50</f>
        <v>1.0052331328955293</v>
      </c>
      <c r="R198" s="129">
        <f>Personal_vehicles!AA50</f>
        <v>0.97253620386162964</v>
      </c>
      <c r="S198" s="129">
        <f>Personal_vehicles!AC50</f>
        <v>1.0845779586746516</v>
      </c>
      <c r="U198" s="138">
        <f t="shared" si="12"/>
        <v>2009</v>
      </c>
      <c r="V198" s="129">
        <f>'Passenger-Highway'!Z70</f>
        <v>1.5743330383033354</v>
      </c>
      <c r="W198" s="129">
        <f>'Passenger-Highway'!AH70</f>
        <v>1.0269385902540755</v>
      </c>
      <c r="X198" s="129">
        <f>'Passenger-Highway'!AD70</f>
        <v>0.82692451958818947</v>
      </c>
      <c r="Y198" s="129">
        <f>'Passenger-Highway'!AF70</f>
        <v>1.3369247187781241</v>
      </c>
    </row>
    <row r="199" spans="15:25" x14ac:dyDescent="0.2">
      <c r="O199">
        <f t="shared" si="15"/>
        <v>1990</v>
      </c>
      <c r="P199" s="129">
        <f>Personal_vehicles!X51</f>
        <v>1.1160811892773823</v>
      </c>
      <c r="Q199" s="129">
        <f>Personal_vehicles!Z51</f>
        <v>1.0071447797228947</v>
      </c>
      <c r="R199" s="129">
        <f>Personal_vehicles!AA51</f>
        <v>0.94662810889138227</v>
      </c>
      <c r="S199" s="129">
        <f>Personal_vehicles!AC51</f>
        <v>1.0640623841328183</v>
      </c>
      <c r="U199" s="138">
        <f t="shared" si="12"/>
        <v>2010</v>
      </c>
      <c r="V199" s="129">
        <f>'Passenger-Highway'!Z71</f>
        <v>1.5811286607255883</v>
      </c>
      <c r="W199" s="129">
        <f>'Passenger-Highway'!AH71</f>
        <v>1.0283723768593507</v>
      </c>
      <c r="X199" s="129">
        <f>'Passenger-Highway'!AD71</f>
        <v>0.83141473097475882</v>
      </c>
      <c r="Y199" s="129">
        <f>'Passenger-Highway'!AF71</f>
        <v>1.3518712393871983</v>
      </c>
    </row>
    <row r="200" spans="15:25" x14ac:dyDescent="0.2">
      <c r="O200">
        <f t="shared" si="15"/>
        <v>1991</v>
      </c>
      <c r="P200" s="129">
        <f>Personal_vehicles!X52</f>
        <v>1.1276758371349533</v>
      </c>
      <c r="Q200" s="129">
        <f>Personal_vehicles!Z52</f>
        <v>1.0127663777289808</v>
      </c>
      <c r="R200" s="129">
        <f>Personal_vehicles!AA52</f>
        <v>0.90805214166123016</v>
      </c>
      <c r="S200" s="129">
        <f>Personal_vehicles!AC52</f>
        <v>1.0370610824678532</v>
      </c>
      <c r="U200" s="138">
        <f t="shared" si="12"/>
        <v>2011</v>
      </c>
      <c r="V200" s="129">
        <f>'Passenger-Highway'!Z72</f>
        <v>1.5801694985154249</v>
      </c>
      <c r="W200" s="129">
        <f>'Passenger-Highway'!AH72</f>
        <v>1.0287077161523166</v>
      </c>
      <c r="X200" s="129">
        <f>'Passenger-Highway'!AD72</f>
        <v>0.83902850477255397</v>
      </c>
      <c r="Y200" s="129">
        <f>'Passenger-Highway'!AF72</f>
        <v>1.363868149878972</v>
      </c>
    </row>
    <row r="201" spans="15:25" x14ac:dyDescent="0.2">
      <c r="O201">
        <f t="shared" si="15"/>
        <v>1992</v>
      </c>
      <c r="P201" s="129">
        <f>Personal_vehicles!X53</f>
        <v>1.1635783730295937</v>
      </c>
      <c r="Q201" s="129">
        <f>Personal_vehicles!Z53</f>
        <v>1.0151612070298264</v>
      </c>
      <c r="R201" s="129">
        <f>Personal_vehicles!AA53</f>
        <v>0.91099210802094999</v>
      </c>
      <c r="S201" s="129">
        <f>Personal_vehicles!AC53</f>
        <v>1.0760817567961558</v>
      </c>
    </row>
    <row r="202" spans="15:25" x14ac:dyDescent="0.2">
      <c r="O202">
        <f t="shared" si="15"/>
        <v>1993</v>
      </c>
      <c r="P202" s="129">
        <f>Personal_vehicles!X54</f>
        <v>1.1825368286949705</v>
      </c>
      <c r="Q202" s="129">
        <f>Personal_vehicles!Z54</f>
        <v>1.0165168666657518</v>
      </c>
      <c r="R202" s="129">
        <f>Personal_vehicles!AA54</f>
        <v>0.92463469558891609</v>
      </c>
      <c r="S202" s="129">
        <f>Personal_vehicles!AC54</f>
        <v>1.1114743634615956</v>
      </c>
    </row>
    <row r="203" spans="15:25" x14ac:dyDescent="0.2">
      <c r="O203">
        <f t="shared" si="15"/>
        <v>1994</v>
      </c>
      <c r="P203" s="129">
        <f>Personal_vehicles!X55</f>
        <v>1.2053552028056349</v>
      </c>
      <c r="Q203" s="129">
        <f>Personal_vehicles!Z55</f>
        <v>1.0161376882443776</v>
      </c>
      <c r="R203" s="129">
        <f>Personal_vehicles!AA55</f>
        <v>0.92458965727099196</v>
      </c>
      <c r="S203" s="129">
        <f>Personal_vehicles!AC55</f>
        <v>1.1324437450102849</v>
      </c>
    </row>
    <row r="204" spans="15:25" x14ac:dyDescent="0.2">
      <c r="O204">
        <f t="shared" si="15"/>
        <v>1995</v>
      </c>
      <c r="P204" s="129">
        <f>Personal_vehicles!X56</f>
        <v>1.2317255811095871</v>
      </c>
      <c r="Q204" s="129">
        <f>Personal_vehicles!Z56</f>
        <v>1.0161186913056044</v>
      </c>
      <c r="R204" s="129">
        <f>Personal_vehicles!AA56</f>
        <v>0.91790113113892202</v>
      </c>
      <c r="S204" s="129">
        <f>Personal_vehicles!AC56</f>
        <v>1.1488261336832863</v>
      </c>
    </row>
    <row r="205" spans="15:25" x14ac:dyDescent="0.2">
      <c r="O205">
        <f t="shared" si="15"/>
        <v>1996</v>
      </c>
      <c r="P205" s="129">
        <f>Personal_vehicles!X57</f>
        <v>1.266802508526901</v>
      </c>
      <c r="Q205" s="129">
        <f>Personal_vehicles!Z57</f>
        <v>1.0174101549007095</v>
      </c>
      <c r="R205" s="129">
        <f>Personal_vehicles!AA57</f>
        <v>0.91423624988444629</v>
      </c>
      <c r="S205" s="129">
        <f>Personal_vehicles!AC57</f>
        <v>1.1783204635873694</v>
      </c>
    </row>
    <row r="206" spans="15:25" x14ac:dyDescent="0.2">
      <c r="O206">
        <f t="shared" si="15"/>
        <v>1997</v>
      </c>
      <c r="P206" s="129">
        <f>Personal_vehicles!X58</f>
        <v>1.3071821724765682</v>
      </c>
      <c r="Q206" s="129">
        <f>Personal_vehicles!Z58</f>
        <v>1.01903538049654</v>
      </c>
      <c r="R206" s="129">
        <f>Personal_vehicles!AA58</f>
        <v>0.90478101869325278</v>
      </c>
      <c r="S206" s="129">
        <f>Personal_vehicles!AC58</f>
        <v>1.2052270213610532</v>
      </c>
    </row>
    <row r="207" spans="15:25" x14ac:dyDescent="0.2">
      <c r="O207">
        <f t="shared" si="15"/>
        <v>1998</v>
      </c>
      <c r="P207" s="129">
        <f>Personal_vehicles!X59</f>
        <v>1.3462258749377414</v>
      </c>
      <c r="Q207" s="129">
        <f>Personal_vehicles!Z59</f>
        <v>1.0192687660636162</v>
      </c>
      <c r="R207" s="129">
        <f>Personal_vehicles!AA59</f>
        <v>0.89952277931114255</v>
      </c>
      <c r="S207" s="129">
        <f>Personal_vehicles!AC59</f>
        <v>1.2342945617543799</v>
      </c>
    </row>
    <row r="208" spans="15:25" x14ac:dyDescent="0.2">
      <c r="O208">
        <f t="shared" si="15"/>
        <v>1999</v>
      </c>
      <c r="P208" s="129">
        <f>Personal_vehicles!X60</f>
        <v>1.379224319159277</v>
      </c>
      <c r="Q208" s="129">
        <f>Personal_vehicles!Z60</f>
        <v>1.0209636344803736</v>
      </c>
      <c r="R208" s="129">
        <f>Personal_vehicles!AA60</f>
        <v>0.90496885243242275</v>
      </c>
      <c r="S208" s="129">
        <f>Personal_vehicles!AC60</f>
        <v>1.2743209155860009</v>
      </c>
    </row>
    <row r="209" spans="10:19" x14ac:dyDescent="0.2">
      <c r="O209">
        <f t="shared" si="15"/>
        <v>2000</v>
      </c>
      <c r="P209" s="129">
        <f>Personal_vehicles!X61</f>
        <v>1.4125054767583154</v>
      </c>
      <c r="Q209" s="129">
        <f>Personal_vehicles!Z61</f>
        <v>1.0217749395133924</v>
      </c>
      <c r="R209" s="129">
        <f>Personal_vehicles!AA61</f>
        <v>0.88132805377972812</v>
      </c>
      <c r="S209" s="129">
        <f>Personal_vehicles!AC61</f>
        <v>1.2719879047891358</v>
      </c>
    </row>
    <row r="210" spans="10:19" x14ac:dyDescent="0.2">
      <c r="J210" s="6" t="s">
        <v>276</v>
      </c>
      <c r="O210">
        <f t="shared" ref="O210:O216" si="16">O209+1</f>
        <v>2001</v>
      </c>
      <c r="P210" s="129">
        <f>Personal_vehicles!X62</f>
        <v>1.4428948916982587</v>
      </c>
      <c r="Q210" s="129">
        <f>Personal_vehicles!Z62</f>
        <v>1.0225752236438588</v>
      </c>
      <c r="R210" s="129">
        <f>Personal_vehicles!AA62</f>
        <v>0.8691623917805853</v>
      </c>
      <c r="S210" s="129">
        <f>Personal_vehicles!AC62</f>
        <v>1.2824217883195967</v>
      </c>
    </row>
    <row r="211" spans="10:19" x14ac:dyDescent="0.2">
      <c r="J211" t="s">
        <v>251</v>
      </c>
      <c r="O211">
        <f t="shared" si="16"/>
        <v>2002</v>
      </c>
      <c r="P211" s="129">
        <f>Personal_vehicles!X63</f>
        <v>1.4776730525364796</v>
      </c>
      <c r="Q211" s="129">
        <f>Personal_vehicles!Z63</f>
        <v>1.0230793504930513</v>
      </c>
      <c r="R211" s="129">
        <f>Personal_vehicles!AA63</f>
        <v>0.87153502008864736</v>
      </c>
      <c r="S211" s="129">
        <f>Personal_vehicles!AC63</f>
        <v>1.3175664122795261</v>
      </c>
    </row>
    <row r="212" spans="10:19" x14ac:dyDescent="0.2">
      <c r="J212" s="275" t="s">
        <v>252</v>
      </c>
      <c r="O212">
        <f t="shared" si="16"/>
        <v>2003</v>
      </c>
      <c r="P212" s="129">
        <f>Personal_vehicles!X64</f>
        <v>1.5009153503368553</v>
      </c>
      <c r="Q212" s="129">
        <f>Personal_vehicles!Z64</f>
        <v>1.0238833308331519</v>
      </c>
      <c r="R212" s="129">
        <f>Personal_vehicles!AA64</f>
        <v>0.8910447643428423</v>
      </c>
      <c r="S212" s="129">
        <f>Personal_vehicles!AC64</f>
        <v>1.3693239196578957</v>
      </c>
    </row>
    <row r="213" spans="10:19" x14ac:dyDescent="0.2">
      <c r="J213" s="275"/>
      <c r="O213">
        <f t="shared" si="16"/>
        <v>2004</v>
      </c>
      <c r="P213" s="129">
        <f>Personal_vehicles!X65</f>
        <v>1.547425983741517</v>
      </c>
      <c r="Q213" s="129">
        <f>Personal_vehicles!Z65</f>
        <v>1.025696614618715</v>
      </c>
      <c r="R213" s="129">
        <f>Personal_vehicles!AA65</f>
        <v>0.87695940786282367</v>
      </c>
      <c r="S213" s="129">
        <f>Personal_vehicles!AC65</f>
        <v>1.3919008455527326</v>
      </c>
    </row>
    <row r="214" spans="10:19" x14ac:dyDescent="0.2">
      <c r="J214" s="275"/>
      <c r="O214">
        <f t="shared" si="16"/>
        <v>2005</v>
      </c>
      <c r="P214" s="129">
        <f>Personal_vehicles!X66</f>
        <v>1.5659848727739614</v>
      </c>
      <c r="Q214" s="129">
        <f>Personal_vehicles!Z66</f>
        <v>1.02633573038978</v>
      </c>
      <c r="R214" s="129">
        <f>Personal_vehicles!AA66</f>
        <v>0.85005241351599603</v>
      </c>
      <c r="S214" s="129">
        <f>Personal_vehicles!AC66</f>
        <v>1.366226534328757</v>
      </c>
    </row>
    <row r="215" spans="10:19" x14ac:dyDescent="0.2">
      <c r="J215" s="275"/>
      <c r="O215">
        <f t="shared" si="16"/>
        <v>2006</v>
      </c>
      <c r="P215" s="129">
        <f>Personal_vehicles!X67</f>
        <v>1.5879140352161889</v>
      </c>
      <c r="Q215" s="129">
        <f>Personal_vehicles!Z67</f>
        <v>1.0276282848313549</v>
      </c>
      <c r="R215" s="129">
        <f>Personal_vehicles!AA67</f>
        <v>0.83695235733867546</v>
      </c>
      <c r="S215" s="129">
        <f>Personal_vehicles!AC67</f>
        <v>1.3657266175063787</v>
      </c>
    </row>
    <row r="216" spans="10:19" x14ac:dyDescent="0.2">
      <c r="O216">
        <f t="shared" si="16"/>
        <v>2007</v>
      </c>
      <c r="P216" s="129">
        <f>Personal_vehicles!X68</f>
        <v>1.6058434293417323</v>
      </c>
      <c r="Q216" s="129">
        <f>Personal_vehicles!Z68</f>
        <v>1.0278848886052099</v>
      </c>
      <c r="R216" s="129">
        <f>Personal_vehicles!AA68</f>
        <v>0.83067467556291907</v>
      </c>
      <c r="S216" s="129">
        <f>Personal_vehicles!AC68</f>
        <v>1.3711300558818884</v>
      </c>
    </row>
    <row r="217" spans="10:19" x14ac:dyDescent="0.2">
      <c r="O217">
        <f>O216+1</f>
        <v>2008</v>
      </c>
      <c r="P217" s="129">
        <f>Personal_vehicles!X69</f>
        <v>1.5673421966273693</v>
      </c>
      <c r="Q217" s="129">
        <f>Personal_vehicles!Z69</f>
        <v>1.0288310023347531</v>
      </c>
      <c r="R217" s="129">
        <f>Personal_vehicles!AA69</f>
        <v>0.82549280865774022</v>
      </c>
      <c r="S217" s="129">
        <f>Personal_vehicles!AC69</f>
        <v>1.3311321194697892</v>
      </c>
    </row>
    <row r="218" spans="10:19" x14ac:dyDescent="0.2">
      <c r="P218" s="129"/>
      <c r="Q218" s="129"/>
      <c r="R218" s="129"/>
      <c r="S218" s="129"/>
    </row>
    <row r="219" spans="10:19" x14ac:dyDescent="0.2">
      <c r="P219" s="129"/>
      <c r="Q219" s="129"/>
      <c r="R219" s="129"/>
      <c r="S219" s="129"/>
    </row>
    <row r="220" spans="10:19" x14ac:dyDescent="0.2">
      <c r="O220" t="s">
        <v>277</v>
      </c>
    </row>
    <row r="221" spans="10:19" x14ac:dyDescent="0.2">
      <c r="J221" s="173" t="s">
        <v>264</v>
      </c>
      <c r="P221" s="36"/>
      <c r="Q221" s="36"/>
      <c r="R221" s="36"/>
      <c r="S221" s="36"/>
    </row>
    <row r="222" spans="10:19" ht="26.25" thickBot="1" x14ac:dyDescent="0.25">
      <c r="J222" s="275"/>
      <c r="P222" s="157" t="s">
        <v>757</v>
      </c>
      <c r="Q222" s="157" t="s">
        <v>288</v>
      </c>
      <c r="R222" s="157" t="s">
        <v>775</v>
      </c>
      <c r="S222" s="157" t="s">
        <v>776</v>
      </c>
    </row>
    <row r="223" spans="10:19" x14ac:dyDescent="0.2">
      <c r="J223" s="275"/>
      <c r="O223">
        <v>1985</v>
      </c>
      <c r="P223" s="129">
        <f>Buses!X46</f>
        <v>1</v>
      </c>
      <c r="Q223" s="129">
        <f>Buses!AE46</f>
        <v>1</v>
      </c>
      <c r="R223" s="129">
        <f>Buses!AA46</f>
        <v>1</v>
      </c>
      <c r="S223" s="129">
        <f>Buses!AC46</f>
        <v>1</v>
      </c>
    </row>
    <row r="224" spans="10:19" x14ac:dyDescent="0.2">
      <c r="J224" s="275"/>
      <c r="O224">
        <f>O223+1</f>
        <v>1986</v>
      </c>
      <c r="P224" s="129">
        <f>Buses!X47</f>
        <v>1.0046241833628591</v>
      </c>
      <c r="Q224" s="129">
        <f>Buses!AE47</f>
        <v>1.0238784139208785</v>
      </c>
      <c r="R224" s="129">
        <f>Buses!AA47</f>
        <v>1.0217740779807187</v>
      </c>
      <c r="S224" s="129">
        <f>Buses!AC47</f>
        <v>1.0286130154481217</v>
      </c>
    </row>
    <row r="225" spans="10:19" x14ac:dyDescent="0.2">
      <c r="J225" s="275"/>
      <c r="O225">
        <f t="shared" ref="O225:O238" si="17">O224+1</f>
        <v>1987</v>
      </c>
      <c r="P225" s="129">
        <f>Buses!X48</f>
        <v>1.0112441294782488</v>
      </c>
      <c r="Q225" s="129">
        <f>Buses!AE48</f>
        <v>1.0238756848628034</v>
      </c>
      <c r="R225" s="129">
        <f>Buses!AA48</f>
        <v>1.0336870311477075</v>
      </c>
      <c r="S225" s="129">
        <f>Buses!AC48</f>
        <v>1.0353882756330315</v>
      </c>
    </row>
    <row r="226" spans="10:19" x14ac:dyDescent="0.2">
      <c r="O226">
        <f t="shared" si="17"/>
        <v>1988</v>
      </c>
      <c r="P226" s="129">
        <f>Buses!X49</f>
        <v>1.0322419463563686</v>
      </c>
      <c r="Q226" s="129">
        <f>Buses!AE49</f>
        <v>1.0260669817387136</v>
      </c>
      <c r="R226" s="129">
        <f>Buses!AA49</f>
        <v>1.0487746177515938</v>
      </c>
      <c r="S226" s="129">
        <f>Buses!AC49</f>
        <v>1.0591493783219743</v>
      </c>
    </row>
    <row r="227" spans="10:19" x14ac:dyDescent="0.2">
      <c r="O227">
        <f t="shared" si="17"/>
        <v>1989</v>
      </c>
      <c r="P227" s="129">
        <f>Buses!X50</f>
        <v>1.0571011529114769</v>
      </c>
      <c r="Q227" s="129">
        <f>Buses!AE50</f>
        <v>1.0127276375742591</v>
      </c>
      <c r="R227" s="129">
        <f>Buses!AA50</f>
        <v>1.0434749008300312</v>
      </c>
      <c r="S227" s="129">
        <f>Buses!AC50</f>
        <v>1.0705555532650659</v>
      </c>
    </row>
    <row r="228" spans="10:19" x14ac:dyDescent="0.2">
      <c r="O228">
        <f t="shared" si="17"/>
        <v>1990</v>
      </c>
      <c r="P228" s="129">
        <f>Buses!X51</f>
        <v>1.0572647165332154</v>
      </c>
      <c r="Q228" s="129">
        <f>Buses!AE51</f>
        <v>1.0286461579525521</v>
      </c>
      <c r="R228" s="129">
        <f>Buses!AA51</f>
        <v>1.057856209773719</v>
      </c>
      <c r="S228" s="129">
        <f>Buses!AC51</f>
        <v>1.0875512886006864</v>
      </c>
    </row>
    <row r="229" spans="10:19" x14ac:dyDescent="0.2">
      <c r="O229">
        <f t="shared" si="17"/>
        <v>1991</v>
      </c>
      <c r="P229" s="129">
        <f>Buses!X52</f>
        <v>1.0790428888953143</v>
      </c>
      <c r="Q229" s="129">
        <f>Buses!AE52</f>
        <v>1.035028994513711</v>
      </c>
      <c r="R229" s="129">
        <f>Buses!AA52</f>
        <v>1.0713077397989028</v>
      </c>
      <c r="S229" s="129">
        <f>Buses!AC52</f>
        <v>1.1168406763304872</v>
      </c>
    </row>
    <row r="230" spans="10:19" x14ac:dyDescent="0.2">
      <c r="O230">
        <f t="shared" si="17"/>
        <v>1992</v>
      </c>
      <c r="P230" s="129">
        <f>Buses!X53</f>
        <v>1.1002769403972146</v>
      </c>
      <c r="Q230" s="129">
        <f>Buses!AE53</f>
        <v>1.0570010237181464</v>
      </c>
      <c r="R230" s="129">
        <f>Buses!AA53</f>
        <v>1.1197264338773147</v>
      </c>
      <c r="S230" s="129">
        <f>Buses!AC53</f>
        <v>1.1629938523733259</v>
      </c>
    </row>
    <row r="231" spans="10:19" x14ac:dyDescent="0.2">
      <c r="J231" s="173" t="s">
        <v>265</v>
      </c>
      <c r="O231">
        <f t="shared" si="17"/>
        <v>1993</v>
      </c>
      <c r="P231" s="129">
        <f>Buses!X54</f>
        <v>1.1432089936995087</v>
      </c>
      <c r="Q231" s="129">
        <f>Buses!AE54</f>
        <v>1.0277276186229651</v>
      </c>
      <c r="R231" s="129">
        <f>Buses!AA54</f>
        <v>1.1027391525660994</v>
      </c>
      <c r="S231" s="129">
        <f>Buses!AC54</f>
        <v>1.1749074566831526</v>
      </c>
    </row>
    <row r="232" spans="10:19" x14ac:dyDescent="0.2">
      <c r="O232">
        <f t="shared" si="17"/>
        <v>1994</v>
      </c>
      <c r="P232" s="129">
        <f>Buses!X55</f>
        <v>1.1920653442240374</v>
      </c>
      <c r="Q232" s="129">
        <f>Buses!AE55</f>
        <v>1.0053251016851685</v>
      </c>
      <c r="R232" s="129">
        <f>Buses!AA55</f>
        <v>1.1186984572275311</v>
      </c>
      <c r="S232" s="129">
        <f>Buses!AC55</f>
        <v>1.1984132133973961</v>
      </c>
    </row>
    <row r="233" spans="10:19" x14ac:dyDescent="0.2">
      <c r="O233">
        <f t="shared" si="17"/>
        <v>1995</v>
      </c>
      <c r="P233" s="129">
        <f>Buses!X56</f>
        <v>1.2276302003155672</v>
      </c>
      <c r="Q233" s="129">
        <f>Buses!AE56</f>
        <v>0.99557923616155519</v>
      </c>
      <c r="R233" s="129">
        <f>Buses!AA56</f>
        <v>1.1213812385295843</v>
      </c>
      <c r="S233" s="129">
        <f>Buses!AC56</f>
        <v>1.2222031371190292</v>
      </c>
    </row>
    <row r="234" spans="10:19" x14ac:dyDescent="0.2">
      <c r="O234">
        <f t="shared" si="17"/>
        <v>1996</v>
      </c>
      <c r="P234" s="129">
        <f>Buses!X57</f>
        <v>1.2586232336369494</v>
      </c>
      <c r="Q234" s="129">
        <f>Buses!AE57</f>
        <v>0.99610807634736809</v>
      </c>
      <c r="R234" s="129">
        <f>Buses!AA57</f>
        <v>1.1260904098347251</v>
      </c>
      <c r="S234" s="129">
        <f>Buses!AC57</f>
        <v>1.2537247681042054</v>
      </c>
    </row>
    <row r="235" spans="10:19" x14ac:dyDescent="0.2">
      <c r="O235">
        <f t="shared" si="17"/>
        <v>1997</v>
      </c>
      <c r="P235" s="129">
        <f>Buses!X58</f>
        <v>1.2607837080576232</v>
      </c>
      <c r="Q235" s="129">
        <f>Buses!AE58</f>
        <v>1.0141110399927098</v>
      </c>
      <c r="R235" s="129">
        <f>Buses!AA58</f>
        <v>1.1332911474608496</v>
      </c>
      <c r="S235" s="129">
        <f>Buses!AC58</f>
        <v>1.2785746773841808</v>
      </c>
    </row>
    <row r="236" spans="10:19" x14ac:dyDescent="0.2">
      <c r="O236">
        <f t="shared" si="17"/>
        <v>1998</v>
      </c>
      <c r="P236" s="129">
        <f>Buses!X59</f>
        <v>1.2939607788057388</v>
      </c>
      <c r="Q236" s="129">
        <f>Buses!AE59</f>
        <v>1.0088002082218883</v>
      </c>
      <c r="R236" s="129">
        <f>Buses!AA59</f>
        <v>1.1191970201656576</v>
      </c>
      <c r="S236" s="129">
        <f>Buses!AC59</f>
        <v>1.3053479030901862</v>
      </c>
    </row>
    <row r="237" spans="10:19" x14ac:dyDescent="0.2">
      <c r="O237">
        <f t="shared" si="17"/>
        <v>1999</v>
      </c>
      <c r="P237" s="129">
        <f>Buses!X60</f>
        <v>1.3289845063373</v>
      </c>
      <c r="Q237" s="129">
        <f>Buses!AE60</f>
        <v>1.0019464519729253</v>
      </c>
      <c r="R237" s="129">
        <f>Buses!AA60</f>
        <v>1.1033189441849904</v>
      </c>
      <c r="S237" s="129">
        <f>Buses!AC60</f>
        <v>1.3315713108516474</v>
      </c>
    </row>
    <row r="238" spans="10:19" x14ac:dyDescent="0.2">
      <c r="O238">
        <f t="shared" si="17"/>
        <v>2000</v>
      </c>
      <c r="P238" s="129">
        <f>Buses!X61</f>
        <v>1.3826232128286393</v>
      </c>
      <c r="Q238" s="129">
        <f>Buses!AE61</f>
        <v>0.9997608012171828</v>
      </c>
      <c r="R238" s="129">
        <f>Buses!AA61</f>
        <v>1.1150969843033565</v>
      </c>
      <c r="S238" s="129">
        <f>Buses!AC61</f>
        <v>1.3822924910390362</v>
      </c>
    </row>
    <row r="239" spans="10:19" x14ac:dyDescent="0.2">
      <c r="O239">
        <f t="shared" ref="O239:O246" si="18">O238+1</f>
        <v>2001</v>
      </c>
      <c r="P239" s="129">
        <f>Buses!X62</f>
        <v>1.444386308614992</v>
      </c>
      <c r="Q239" s="129">
        <f>Buses!AE62</f>
        <v>0.95141099853401823</v>
      </c>
      <c r="R239" s="129">
        <f>Buses!AA62</f>
        <v>1.0631550471306854</v>
      </c>
      <c r="S239" s="129">
        <f>Buses!AC62</f>
        <v>1.3742050201482539</v>
      </c>
    </row>
    <row r="240" spans="10:19" x14ac:dyDescent="0.2">
      <c r="O240">
        <f t="shared" si="18"/>
        <v>2002</v>
      </c>
      <c r="P240" s="129">
        <f>Buses!X63</f>
        <v>1.4788999487141044</v>
      </c>
      <c r="Q240" s="129">
        <f>Buses!AE63</f>
        <v>0.9329381472092203</v>
      </c>
      <c r="R240" s="129">
        <f>Buses!AA63</f>
        <v>1.0532317375009919</v>
      </c>
      <c r="S240" s="129">
        <f>Buses!AC63</f>
        <v>1.3797221780611477</v>
      </c>
    </row>
    <row r="241" spans="10:19" x14ac:dyDescent="0.2">
      <c r="O241">
        <f t="shared" si="18"/>
        <v>2003</v>
      </c>
      <c r="P241" s="129">
        <f>Buses!X64</f>
        <v>1.5277948190952397</v>
      </c>
      <c r="Q241" s="129">
        <f>Buses!AE64</f>
        <v>0.91299996268342287</v>
      </c>
      <c r="R241" s="129">
        <f>Buses!AA64</f>
        <v>1.051558495630553</v>
      </c>
      <c r="S241" s="129">
        <f>Buses!AC64</f>
        <v>1.3948766128218808</v>
      </c>
    </row>
    <row r="242" spans="10:19" x14ac:dyDescent="0.2">
      <c r="O242">
        <f t="shared" si="18"/>
        <v>2004</v>
      </c>
      <c r="P242" s="129">
        <f>Buses!X65</f>
        <v>1.5504801303567153</v>
      </c>
      <c r="Q242" s="129">
        <f>Buses!AE65</f>
        <v>0.91898761771046711</v>
      </c>
      <c r="R242" s="129">
        <f>Buses!AA65</f>
        <v>1.061749943043121</v>
      </c>
      <c r="S242" s="129">
        <f>Buses!AC65</f>
        <v>1.4248720413039322</v>
      </c>
    </row>
    <row r="243" spans="10:19" x14ac:dyDescent="0.2">
      <c r="O243">
        <f t="shared" si="18"/>
        <v>2005</v>
      </c>
      <c r="P243" s="129">
        <f>Buses!X66</f>
        <v>1.5645630165422066</v>
      </c>
      <c r="Q243" s="129">
        <f>Buses!AE66</f>
        <v>0.91001594210053427</v>
      </c>
      <c r="R243" s="129">
        <f>Buses!AA66</f>
        <v>1.0472156689279046</v>
      </c>
      <c r="S243" s="129">
        <f>Buses!AC66</f>
        <v>1.42377728747431</v>
      </c>
    </row>
    <row r="244" spans="10:19" x14ac:dyDescent="0.2">
      <c r="O244">
        <f t="shared" si="18"/>
        <v>2006</v>
      </c>
      <c r="P244" s="129">
        <f>Buses!X67</f>
        <v>1.6128239062463854</v>
      </c>
      <c r="Q244" s="129">
        <f>Buses!AE67</f>
        <v>0.91349481794452136</v>
      </c>
      <c r="R244" s="129">
        <f>Buses!AA67</f>
        <v>1.0461777553740641</v>
      </c>
      <c r="S244" s="129">
        <f>Buses!AC67</f>
        <v>1.4733062806131139</v>
      </c>
    </row>
    <row r="245" spans="10:19" x14ac:dyDescent="0.2">
      <c r="O245">
        <f t="shared" si="18"/>
        <v>2007</v>
      </c>
      <c r="P245" s="129">
        <f>Buses!X68</f>
        <v>1.6100559840633244</v>
      </c>
      <c r="Q245" s="129">
        <f>Buses!AE68</f>
        <v>0.88437603086510286</v>
      </c>
      <c r="R245" s="129">
        <f>Buses!AA68</f>
        <v>1.043900956439672</v>
      </c>
      <c r="S245" s="129">
        <f>Buses!AC68</f>
        <v>1.4238949206565299</v>
      </c>
    </row>
    <row r="246" spans="10:19" x14ac:dyDescent="0.2">
      <c r="O246">
        <f t="shared" si="18"/>
        <v>2008</v>
      </c>
      <c r="P246" s="129">
        <f>Buses!X69</f>
        <v>1.5754969854045564</v>
      </c>
      <c r="Q246" s="129">
        <f>Buses!AE69</f>
        <v>0.90368407908064907</v>
      </c>
      <c r="R246" s="129">
        <f>Buses!AA69</f>
        <v>1.045261817570277</v>
      </c>
      <c r="S246" s="129">
        <f>Buses!AC69</f>
        <v>1.423751542349655</v>
      </c>
    </row>
    <row r="247" spans="10:19" x14ac:dyDescent="0.2">
      <c r="J247" s="6" t="s">
        <v>278</v>
      </c>
      <c r="P247" s="129"/>
      <c r="Q247" s="129"/>
      <c r="R247" s="129"/>
      <c r="S247" s="129"/>
    </row>
    <row r="248" spans="10:19" x14ac:dyDescent="0.2">
      <c r="J248" t="s">
        <v>253</v>
      </c>
      <c r="O248" t="s">
        <v>278</v>
      </c>
    </row>
    <row r="249" spans="10:19" x14ac:dyDescent="0.2">
      <c r="J249" s="275" t="s">
        <v>254</v>
      </c>
      <c r="P249" s="36"/>
      <c r="Q249" s="36"/>
      <c r="R249" s="36"/>
      <c r="S249" s="36"/>
    </row>
    <row r="250" spans="10:19" ht="26.25" thickBot="1" x14ac:dyDescent="0.25">
      <c r="P250" s="157" t="s">
        <v>757</v>
      </c>
      <c r="Q250" s="157" t="s">
        <v>288</v>
      </c>
      <c r="R250" s="157" t="s">
        <v>775</v>
      </c>
      <c r="S250" s="157" t="s">
        <v>776</v>
      </c>
    </row>
    <row r="251" spans="10:19" x14ac:dyDescent="0.2">
      <c r="O251">
        <v>1985</v>
      </c>
      <c r="P251" s="129">
        <f>'Passenger-Air'!T44</f>
        <v>1</v>
      </c>
      <c r="Q251" s="129">
        <f>'Passenger-Air'!V44</f>
        <v>1</v>
      </c>
      <c r="R251" s="129">
        <f>'Passenger-Air'!W44</f>
        <v>1</v>
      </c>
      <c r="S251" s="129">
        <f>'Passenger-Air'!Y44</f>
        <v>1</v>
      </c>
    </row>
    <row r="252" spans="10:19" x14ac:dyDescent="0.2">
      <c r="O252">
        <f>O251+1</f>
        <v>1986</v>
      </c>
      <c r="P252" s="129">
        <f>'Passenger-Air'!T45</f>
        <v>1.0769182080121529</v>
      </c>
      <c r="Q252" s="129">
        <f>'Passenger-Air'!V45</f>
        <v>0.99640254185741439</v>
      </c>
      <c r="R252" s="129">
        <f>'Passenger-Air'!W45</f>
        <v>0.99407334303161221</v>
      </c>
      <c r="S252" s="129">
        <f>'Passenger-Air'!Y45</f>
        <v>1.0666844758997602</v>
      </c>
    </row>
    <row r="253" spans="10:19" x14ac:dyDescent="0.2">
      <c r="O253">
        <f t="shared" ref="O253:O266" si="19">O252+1</f>
        <v>1987</v>
      </c>
      <c r="P253" s="129">
        <f>'Passenger-Air'!T46</f>
        <v>1.1831644068216405</v>
      </c>
      <c r="Q253" s="129">
        <f>'Passenger-Air'!V46</f>
        <v>0.99031902661153903</v>
      </c>
      <c r="R253" s="129">
        <f>'Passenger-Air'!W46</f>
        <v>0.94511885462951994</v>
      </c>
      <c r="S253" s="129">
        <f>'Passenger-Air'!Y46</f>
        <v>1.1074054245668901</v>
      </c>
    </row>
    <row r="254" spans="10:19" x14ac:dyDescent="0.2">
      <c r="O254">
        <f t="shared" si="19"/>
        <v>1988</v>
      </c>
      <c r="P254" s="129">
        <f>'Passenger-Air'!T47</f>
        <v>1.2390808893341001</v>
      </c>
      <c r="Q254" s="129">
        <f>'Passenger-Air'!V47</f>
        <v>0.99003532892232859</v>
      </c>
      <c r="R254" s="129">
        <f>'Passenger-Air'!W47</f>
        <v>0.94025769827025607</v>
      </c>
      <c r="S254" s="129">
        <f>'Passenger-Air'!Y47</f>
        <v>1.1534459516759743</v>
      </c>
    </row>
    <row r="255" spans="10:19" x14ac:dyDescent="0.2">
      <c r="J255" s="173" t="s">
        <v>266</v>
      </c>
      <c r="O255">
        <f t="shared" si="19"/>
        <v>1989</v>
      </c>
      <c r="P255" s="129">
        <f>'Passenger-Air'!T48</f>
        <v>1.2675141548766693</v>
      </c>
      <c r="Q255" s="129">
        <f>'Passenger-Air'!V48</f>
        <v>0.99079667277446715</v>
      </c>
      <c r="R255" s="129">
        <f>'Passenger-Air'!W48</f>
        <v>0.9159001323223086</v>
      </c>
      <c r="S255" s="129">
        <f>'Passenger-Air'!Y48</f>
        <v>1.1502320888253303</v>
      </c>
    </row>
    <row r="256" spans="10:19" x14ac:dyDescent="0.2">
      <c r="O256">
        <f t="shared" si="19"/>
        <v>1990</v>
      </c>
      <c r="P256" s="129">
        <f>'Passenger-Air'!T49</f>
        <v>1.335365167472542</v>
      </c>
      <c r="Q256" s="129">
        <f>'Passenger-Air'!V49</f>
        <v>0.98834002555159428</v>
      </c>
      <c r="R256" s="129">
        <f>'Passenger-Air'!W49</f>
        <v>0.92582484772430462</v>
      </c>
      <c r="S256" s="129">
        <f>'Passenger-Air'!Y49</f>
        <v>1.2218988602333902</v>
      </c>
    </row>
    <row r="257" spans="15:19" x14ac:dyDescent="0.2">
      <c r="O257">
        <f t="shared" si="19"/>
        <v>1991</v>
      </c>
      <c r="P257" s="129">
        <f>'Passenger-Air'!T50</f>
        <v>1.3082875750262126</v>
      </c>
      <c r="Q257" s="129">
        <f>'Passenger-Air'!V50</f>
        <v>0.98628526532559757</v>
      </c>
      <c r="R257" s="129">
        <f>'Passenger-Air'!W50</f>
        <v>0.857665098278375</v>
      </c>
      <c r="S257" s="129">
        <f>'Passenger-Air'!Y50</f>
        <v>1.106683663731866</v>
      </c>
    </row>
    <row r="258" spans="15:19" x14ac:dyDescent="0.2">
      <c r="O258">
        <f t="shared" si="19"/>
        <v>1992</v>
      </c>
      <c r="P258" s="129">
        <f>'Passenger-Air'!T51</f>
        <v>1.3884218144991509</v>
      </c>
      <c r="Q258" s="129">
        <f>'Passenger-Air'!V51</f>
        <v>0.97992900479339851</v>
      </c>
      <c r="R258" s="129">
        <f>'Passenger-Air'!W51</f>
        <v>0.85866195411665303</v>
      </c>
      <c r="S258" s="129">
        <f>'Passenger-Air'!Y51</f>
        <v>1.1682566491889523</v>
      </c>
    </row>
    <row r="259" spans="15:19" x14ac:dyDescent="0.2">
      <c r="O259">
        <f t="shared" si="19"/>
        <v>1993</v>
      </c>
      <c r="P259" s="129">
        <f>'Passenger-Air'!T52</f>
        <v>1.4197422483233482</v>
      </c>
      <c r="Q259" s="129">
        <f>'Passenger-Air'!V52</f>
        <v>0.97653153587021357</v>
      </c>
      <c r="R259" s="129">
        <f>'Passenger-Air'!W52</f>
        <v>0.83835345182320609</v>
      </c>
      <c r="S259" s="129">
        <f>'Passenger-Air'!Y52</f>
        <v>1.1623125733759927</v>
      </c>
    </row>
    <row r="260" spans="15:19" x14ac:dyDescent="0.2">
      <c r="O260">
        <f t="shared" si="19"/>
        <v>1994</v>
      </c>
      <c r="P260" s="129">
        <f>'Passenger-Air'!T53</f>
        <v>1.5061833928222517</v>
      </c>
      <c r="Q260" s="129">
        <f>'Passenger-Air'!V53</f>
        <v>0.97448442028519833</v>
      </c>
      <c r="R260" s="129">
        <f>'Passenger-Air'!W53</f>
        <v>0.81667205903795048</v>
      </c>
      <c r="S260" s="129">
        <f>'Passenger-Air'!Y53</f>
        <v>1.1986722524897808</v>
      </c>
    </row>
    <row r="261" spans="15:19" x14ac:dyDescent="0.2">
      <c r="O261">
        <f t="shared" si="19"/>
        <v>1995</v>
      </c>
      <c r="P261" s="129">
        <f>'Passenger-Air'!T54</f>
        <v>1.5674170920789381</v>
      </c>
      <c r="Q261" s="129">
        <f>'Passenger-Air'!V54</f>
        <v>0.97632668912417275</v>
      </c>
      <c r="R261" s="129">
        <f>'Passenger-Air'!W54</f>
        <v>0.80904557226993279</v>
      </c>
      <c r="S261" s="129">
        <f>'Passenger-Air'!Y54</f>
        <v>1.2380914520010817</v>
      </c>
    </row>
    <row r="262" spans="15:19" x14ac:dyDescent="0.2">
      <c r="O262">
        <f t="shared" si="19"/>
        <v>1996</v>
      </c>
      <c r="P262" s="129">
        <f>'Passenger-Air'!T55</f>
        <v>1.6736623166828577</v>
      </c>
      <c r="Q262" s="129">
        <f>'Passenger-Air'!V55</f>
        <v>0.97772420829675999</v>
      </c>
      <c r="R262" s="129">
        <f>'Passenger-Air'!W55</f>
        <v>0.78091525091781311</v>
      </c>
      <c r="S262" s="129">
        <f>'Passenger-Air'!Y55</f>
        <v>1.2778742260037634</v>
      </c>
    </row>
    <row r="263" spans="15:19" x14ac:dyDescent="0.2">
      <c r="O263">
        <f t="shared" si="19"/>
        <v>1997</v>
      </c>
      <c r="P263" s="129">
        <f>'Passenger-Air'!T56</f>
        <v>1.7405491932532138</v>
      </c>
      <c r="Q263" s="129">
        <f>'Passenger-Air'!V56</f>
        <v>0.97778262866378018</v>
      </c>
      <c r="R263" s="129">
        <f>'Passenger-Air'!W56</f>
        <v>0.77501688028434335</v>
      </c>
      <c r="S263" s="129">
        <f>'Passenger-Air'!Y56</f>
        <v>1.3189847714582352</v>
      </c>
    </row>
    <row r="264" spans="15:19" x14ac:dyDescent="0.2">
      <c r="O264">
        <f t="shared" si="19"/>
        <v>1998</v>
      </c>
      <c r="P264" s="129">
        <f>'Passenger-Air'!T57</f>
        <v>1.7849906157034232</v>
      </c>
      <c r="Q264" s="129">
        <f>'Passenger-Air'!V57</f>
        <v>0.97865751822465352</v>
      </c>
      <c r="R264" s="129">
        <f>'Passenger-Air'!W57</f>
        <v>0.78221028416155247</v>
      </c>
      <c r="S264" s="129">
        <f>'Passenger-Air'!Y57</f>
        <v>1.3664388323088648</v>
      </c>
    </row>
    <row r="265" spans="15:19" x14ac:dyDescent="0.2">
      <c r="O265">
        <f t="shared" si="19"/>
        <v>1999</v>
      </c>
      <c r="P265" s="129">
        <f>'Passenger-Air'!T58</f>
        <v>1.878857262372273</v>
      </c>
      <c r="Q265" s="129">
        <f>'Passenger-Air'!V58</f>
        <v>0.97972758063345067</v>
      </c>
      <c r="R265" s="129">
        <f>'Passenger-Air'!W58</f>
        <v>0.79139971403495779</v>
      </c>
      <c r="S265" s="129">
        <f>'Passenger-Air'!Y58</f>
        <v>1.4567834904121129</v>
      </c>
    </row>
    <row r="266" spans="15:19" x14ac:dyDescent="0.2">
      <c r="O266">
        <f t="shared" si="19"/>
        <v>2000</v>
      </c>
      <c r="P266" s="129">
        <f>'Passenger-Air'!T59</f>
        <v>1.9927905430508046</v>
      </c>
      <c r="Q266" s="129">
        <f>'Passenger-Air'!V59</f>
        <v>0.98055550943575021</v>
      </c>
      <c r="R266" s="129">
        <f>'Passenger-Air'!W59</f>
        <v>0.75515237010901137</v>
      </c>
      <c r="S266" s="129">
        <f>'Passenger-Air'!Y59</f>
        <v>1.4755992558895168</v>
      </c>
    </row>
    <row r="267" spans="15:19" x14ac:dyDescent="0.2">
      <c r="O267">
        <f t="shared" ref="O267:O274" si="20">O266+1</f>
        <v>2001</v>
      </c>
      <c r="P267" s="129">
        <f>'Passenger-Air'!T60</f>
        <v>1.8734168939354328</v>
      </c>
      <c r="Q267" s="129">
        <f>'Passenger-Air'!V60</f>
        <v>0.98586783577191517</v>
      </c>
      <c r="R267" s="129">
        <f>'Passenger-Air'!W60</f>
        <v>0.75881410051645315</v>
      </c>
      <c r="S267" s="129">
        <f>'Passenger-Air'!Y60</f>
        <v>1.4014852217071871</v>
      </c>
    </row>
    <row r="268" spans="15:19" x14ac:dyDescent="0.2">
      <c r="O268">
        <f t="shared" si="20"/>
        <v>2002</v>
      </c>
      <c r="P268" s="129">
        <f>'Passenger-Air'!T61</f>
        <v>1.8406486132077364</v>
      </c>
      <c r="Q268" s="129">
        <f>'Passenger-Air'!V61</f>
        <v>0.97933890996104445</v>
      </c>
      <c r="R268" s="129">
        <f>'Passenger-Air'!W61</f>
        <v>0.70391159674592485</v>
      </c>
      <c r="S268" s="129">
        <f>'Passenger-Air'!Y61</f>
        <v>1.2688842823936917</v>
      </c>
    </row>
    <row r="269" spans="15:19" x14ac:dyDescent="0.2">
      <c r="O269">
        <f t="shared" si="20"/>
        <v>2003</v>
      </c>
      <c r="P269" s="129">
        <f>'Passenger-Air'!T62</f>
        <v>1.8921303549408448</v>
      </c>
      <c r="Q269" s="129">
        <f>'Passenger-Air'!V62</f>
        <v>0.97799009350899124</v>
      </c>
      <c r="R269" s="129">
        <f>'Passenger-Air'!W62</f>
        <v>0.68001835287390866</v>
      </c>
      <c r="S269" s="129">
        <f>'Passenger-Air'!Y62</f>
        <v>1.258363586789816</v>
      </c>
    </row>
    <row r="270" spans="15:19" x14ac:dyDescent="0.2">
      <c r="O270">
        <f t="shared" si="20"/>
        <v>2004</v>
      </c>
      <c r="P270" s="129">
        <f>'Passenger-Air'!T63</f>
        <v>2.1169512053639026</v>
      </c>
      <c r="Q270" s="129">
        <f>'Passenger-Air'!V63</f>
        <v>0.98366832263038451</v>
      </c>
      <c r="R270" s="129">
        <f>'Passenger-Air'!W63</f>
        <v>0.63296858618712526</v>
      </c>
      <c r="S270" s="129">
        <f>'Passenger-Air'!Y63</f>
        <v>1.3180797580965005</v>
      </c>
    </row>
    <row r="271" spans="15:19" x14ac:dyDescent="0.2">
      <c r="O271">
        <f t="shared" si="20"/>
        <v>2005</v>
      </c>
      <c r="P271" s="129">
        <f>'Passenger-Air'!T64</f>
        <v>2.2523981877882289</v>
      </c>
      <c r="Q271" s="129">
        <f>'Passenger-Air'!V64</f>
        <v>1.0012507727805269</v>
      </c>
      <c r="R271" s="129">
        <f>'Passenger-Air'!W64</f>
        <v>0.62619638945518163</v>
      </c>
      <c r="S271" s="129">
        <f>'Passenger-Air'!Y64</f>
        <v>1.4122077572877516</v>
      </c>
    </row>
    <row r="272" spans="15:19" x14ac:dyDescent="0.2">
      <c r="O272">
        <f t="shared" si="20"/>
        <v>2006</v>
      </c>
      <c r="P272" s="129">
        <f>'Passenger-Air'!T65</f>
        <v>2.2972841903470775</v>
      </c>
      <c r="Q272" s="129">
        <f>'Passenger-Air'!V65</f>
        <v>1.004104905466541</v>
      </c>
      <c r="R272" s="129">
        <f>'Passenger-Air'!W65</f>
        <v>0.62836053707916373</v>
      </c>
      <c r="S272" s="129">
        <f>'Passenger-Air'!Y65</f>
        <v>1.4494482520058498</v>
      </c>
    </row>
    <row r="273" spans="10:19" x14ac:dyDescent="0.2">
      <c r="O273">
        <f t="shared" si="20"/>
        <v>2007</v>
      </c>
      <c r="P273" s="129">
        <f>'Passenger-Air'!T66</f>
        <v>2.3814757019510457</v>
      </c>
      <c r="Q273" s="129">
        <f>'Passenger-Air'!V66</f>
        <v>0.99700919968536628</v>
      </c>
      <c r="R273" s="129">
        <f>'Passenger-Air'!W66</f>
        <v>0.61566513358278774</v>
      </c>
      <c r="S273" s="129">
        <f>'Passenger-Air'!Y66</f>
        <v>1.4618064699983595</v>
      </c>
    </row>
    <row r="274" spans="10:19" x14ac:dyDescent="0.2">
      <c r="O274">
        <f t="shared" si="20"/>
        <v>2008</v>
      </c>
      <c r="P274" s="129">
        <f>'Passenger-Air'!T67</f>
        <v>2.3372176009658756</v>
      </c>
      <c r="Q274" s="129">
        <f>'Passenger-Air'!V67</f>
        <v>1.0055477469438912</v>
      </c>
      <c r="R274" s="129">
        <f>'Passenger-Air'!W67</f>
        <v>0.60781482563949729</v>
      </c>
      <c r="S274" s="129">
        <f>'Passenger-Air'!Y67</f>
        <v>1.4284766130040492</v>
      </c>
    </row>
    <row r="275" spans="10:19" x14ac:dyDescent="0.2">
      <c r="P275" s="129"/>
      <c r="Q275" s="129"/>
      <c r="R275" s="129"/>
      <c r="S275" s="129"/>
    </row>
    <row r="276" spans="10:19" x14ac:dyDescent="0.2">
      <c r="J276" s="6" t="s">
        <v>279</v>
      </c>
      <c r="O276" t="s">
        <v>279</v>
      </c>
    </row>
    <row r="277" spans="10:19" x14ac:dyDescent="0.2">
      <c r="J277" t="s">
        <v>255</v>
      </c>
      <c r="P277" s="36"/>
      <c r="Q277" s="36"/>
      <c r="R277" s="36"/>
      <c r="S277" s="36"/>
    </row>
    <row r="278" spans="10:19" ht="26.25" thickBot="1" x14ac:dyDescent="0.25">
      <c r="J278" s="275" t="s">
        <v>256</v>
      </c>
      <c r="P278" s="157" t="s">
        <v>757</v>
      </c>
      <c r="Q278" s="157" t="s">
        <v>288</v>
      </c>
      <c r="R278" s="157" t="s">
        <v>775</v>
      </c>
      <c r="S278" s="157" t="s">
        <v>776</v>
      </c>
    </row>
    <row r="279" spans="10:19" x14ac:dyDescent="0.2">
      <c r="O279">
        <v>1985</v>
      </c>
      <c r="P279" s="129">
        <f>'Passenger-Rail'!V46</f>
        <v>1</v>
      </c>
      <c r="Q279" s="129">
        <f>'Passenger-Rail'!AD46</f>
        <v>1</v>
      </c>
      <c r="R279" s="129">
        <f>'Passenger-Rail'!Z46</f>
        <v>1</v>
      </c>
      <c r="S279" s="129">
        <f>'Passenger-Rail'!AB46</f>
        <v>1</v>
      </c>
    </row>
    <row r="280" spans="10:19" x14ac:dyDescent="0.2">
      <c r="O280">
        <f>O279+1</f>
        <v>1986</v>
      </c>
      <c r="P280" s="129">
        <f>'Passenger-Rail'!V47</f>
        <v>1.0293265749456915</v>
      </c>
      <c r="Q280" s="129">
        <f>'Passenger-Rail'!AD47</f>
        <v>0.99909824757275167</v>
      </c>
      <c r="R280" s="129">
        <f>'Passenger-Rail'!Z47</f>
        <v>1.0376563543176578</v>
      </c>
      <c r="S280" s="129">
        <f>'Passenger-Rail'!AB47</f>
        <v>1.067124110880163</v>
      </c>
    </row>
    <row r="281" spans="10:19" x14ac:dyDescent="0.2">
      <c r="O281">
        <f t="shared" ref="O281:O294" si="21">O280+1</f>
        <v>1987</v>
      </c>
      <c r="P281" s="129">
        <f>'Passenger-Rail'!V48</f>
        <v>1.0763034033309196</v>
      </c>
      <c r="Q281" s="129">
        <f>'Passenger-Rail'!AD48</f>
        <v>0.9986070698016043</v>
      </c>
      <c r="R281" s="129">
        <f>'Passenger-Rail'!Z48</f>
        <v>1.0207125019750947</v>
      </c>
      <c r="S281" s="129">
        <f>'Passenger-Rail'!AB48</f>
        <v>1.0970660716807996</v>
      </c>
    </row>
    <row r="282" spans="10:19" x14ac:dyDescent="0.2">
      <c r="O282">
        <f t="shared" si="21"/>
        <v>1988</v>
      </c>
      <c r="P282" s="129">
        <f>'Passenger-Rail'!V49</f>
        <v>1.105494207096307</v>
      </c>
      <c r="Q282" s="129">
        <f>'Passenger-Rail'!AD49</f>
        <v>0.99807668283916973</v>
      </c>
      <c r="R282" s="129">
        <f>'Passenger-Rail'!Z49</f>
        <v>1.0227718760638318</v>
      </c>
      <c r="S282" s="129">
        <f>'Passenger-Rail'!AB49</f>
        <v>1.1284937502631072</v>
      </c>
    </row>
    <row r="283" spans="10:19" x14ac:dyDescent="0.2">
      <c r="O283">
        <f t="shared" si="21"/>
        <v>1989</v>
      </c>
      <c r="P283" s="129">
        <f>'Passenger-Rail'!V50</f>
        <v>1.1589880521361333</v>
      </c>
      <c r="Q283" s="129">
        <f>'Passenger-Rail'!AD50</f>
        <v>0.99958595738647849</v>
      </c>
      <c r="R283" s="129">
        <f>'Passenger-Rail'!Z50</f>
        <v>1.0139931361892791</v>
      </c>
      <c r="S283" s="129">
        <f>'Passenger-Rail'!AB50</f>
        <v>1.1747193444568249</v>
      </c>
    </row>
    <row r="284" spans="10:19" x14ac:dyDescent="0.2">
      <c r="J284" s="173" t="s">
        <v>267</v>
      </c>
      <c r="O284">
        <f t="shared" si="21"/>
        <v>1990</v>
      </c>
      <c r="P284" s="129">
        <f>'Passenger-Rail'!V51</f>
        <v>1.1397990586531499</v>
      </c>
      <c r="Q284" s="129">
        <f>'Passenger-Rail'!AD51</f>
        <v>0.99821283046355214</v>
      </c>
      <c r="R284" s="129">
        <f>'Passenger-Rail'!Z51</f>
        <v>1.0206009552120987</v>
      </c>
      <c r="S284" s="129">
        <f>'Passenger-Rail'!AB51</f>
        <v>1.1612010294185799</v>
      </c>
    </row>
    <row r="285" spans="10:19" x14ac:dyDescent="0.2">
      <c r="O285">
        <f t="shared" si="21"/>
        <v>1991</v>
      </c>
      <c r="P285" s="129">
        <f>'Passenger-Rail'!V52</f>
        <v>1.1226918899348299</v>
      </c>
      <c r="Q285" s="129">
        <f>'Passenger-Rail'!AD52</f>
        <v>0.99410192731461533</v>
      </c>
      <c r="R285" s="129">
        <f>'Passenger-Rail'!Z52</f>
        <v>1.0457089213290149</v>
      </c>
      <c r="S285" s="129">
        <f>'Passenger-Rail'!AB52</f>
        <v>1.1670845352344144</v>
      </c>
    </row>
    <row r="286" spans="10:19" x14ac:dyDescent="0.2">
      <c r="O286">
        <f t="shared" si="21"/>
        <v>1992</v>
      </c>
      <c r="P286" s="129">
        <f>'Passenger-Rail'!V53</f>
        <v>1.1245926864590876</v>
      </c>
      <c r="Q286" s="129">
        <f>'Passenger-Rail'!AD53</f>
        <v>0.99789410546181645</v>
      </c>
      <c r="R286" s="129">
        <f>'Passenger-Rail'!Z53</f>
        <v>1.0210925418249774</v>
      </c>
      <c r="S286" s="129">
        <f>'Passenger-Rail'!AB53</f>
        <v>1.1458949782283168</v>
      </c>
    </row>
    <row r="287" spans="10:19" x14ac:dyDescent="0.2">
      <c r="O287">
        <f t="shared" si="21"/>
        <v>1993</v>
      </c>
      <c r="P287" s="129">
        <f>'Passenger-Rail'!V54</f>
        <v>1.0895637219406227</v>
      </c>
      <c r="Q287" s="129">
        <f>'Passenger-Rail'!AD54</f>
        <v>0.99462556295778382</v>
      </c>
      <c r="R287" s="129">
        <f>'Passenger-Rail'!Z54</f>
        <v>1.0982531114741041</v>
      </c>
      <c r="S287" s="129">
        <f>'Passenger-Rail'!AB54</f>
        <v>1.1901856063960408</v>
      </c>
    </row>
    <row r="288" spans="10:19" x14ac:dyDescent="0.2">
      <c r="O288">
        <f t="shared" si="21"/>
        <v>1994</v>
      </c>
      <c r="P288" s="129">
        <f>'Passenger-Rail'!V55</f>
        <v>1.1503439536567706</v>
      </c>
      <c r="Q288" s="129">
        <f>'Passenger-Rail'!AD55</f>
        <v>1.0000412975581305</v>
      </c>
      <c r="R288" s="129">
        <f>'Passenger-Rail'!Z55</f>
        <v>1.0680077488102793</v>
      </c>
      <c r="S288" s="129">
        <f>'Passenger-Rail'!AB55</f>
        <v>1.2286269935018475</v>
      </c>
    </row>
    <row r="289" spans="10:19" x14ac:dyDescent="0.2">
      <c r="O289">
        <f t="shared" si="21"/>
        <v>1995</v>
      </c>
      <c r="P289" s="129">
        <f>'Passenger-Rail'!V56</f>
        <v>1.1408399710354815</v>
      </c>
      <c r="Q289" s="129">
        <f>'Passenger-Rail'!AD56</f>
        <v>1.0016191634287914</v>
      </c>
      <c r="R289" s="129">
        <f>'Passenger-Rail'!Z56</f>
        <v>1.0769151199785658</v>
      </c>
      <c r="S289" s="129">
        <f>'Passenger-Rail'!AB56</f>
        <v>1.2305770987419675</v>
      </c>
    </row>
    <row r="290" spans="10:19" x14ac:dyDescent="0.2">
      <c r="O290">
        <f t="shared" si="21"/>
        <v>1996</v>
      </c>
      <c r="P290" s="129">
        <f>'Passenger-Rail'!V57</f>
        <v>1.171614771904417</v>
      </c>
      <c r="Q290" s="129">
        <f>'Passenger-Rail'!AD57</f>
        <v>1.0079517228255215</v>
      </c>
      <c r="R290" s="129">
        <f>'Passenger-Rail'!Z57</f>
        <v>1.0364458180739773</v>
      </c>
      <c r="S290" s="129">
        <f>'Passenger-Rail'!AB57</f>
        <v>1.2239711288716368</v>
      </c>
    </row>
    <row r="291" spans="10:19" x14ac:dyDescent="0.2">
      <c r="O291">
        <f t="shared" si="21"/>
        <v>1997</v>
      </c>
      <c r="P291" s="129">
        <f>'Passenger-Rail'!V58</f>
        <v>1.1900343953656771</v>
      </c>
      <c r="Q291" s="129">
        <f>'Passenger-Rail'!AD58</f>
        <v>1.0098722322288334</v>
      </c>
      <c r="R291" s="129">
        <f>'Passenger-Rail'!Z58</f>
        <v>1.0299977859957918</v>
      </c>
      <c r="S291" s="129">
        <f>'Passenger-Rail'!AB58</f>
        <v>1.2378335112634029</v>
      </c>
    </row>
    <row r="292" spans="10:19" x14ac:dyDescent="0.2">
      <c r="O292">
        <f t="shared" si="21"/>
        <v>1998</v>
      </c>
      <c r="P292" s="129">
        <f>'Passenger-Rail'!V59</f>
        <v>1.2409485879797248</v>
      </c>
      <c r="Q292" s="129">
        <f>'Passenger-Rail'!AD59</f>
        <v>1.009948954698543</v>
      </c>
      <c r="R292" s="129">
        <f>'Passenger-Rail'!Z59</f>
        <v>1.0135114108265637</v>
      </c>
      <c r="S292" s="129">
        <f>'Passenger-Rail'!AB59</f>
        <v>1.2702285092386203</v>
      </c>
    </row>
    <row r="293" spans="10:19" x14ac:dyDescent="0.2">
      <c r="O293">
        <f t="shared" si="21"/>
        <v>1999</v>
      </c>
      <c r="P293" s="129">
        <f>'Passenger-Rail'!V60</f>
        <v>1.2764301230992035</v>
      </c>
      <c r="Q293" s="129">
        <f>'Passenger-Rail'!AD60</f>
        <v>1.0103566456548518</v>
      </c>
      <c r="R293" s="129">
        <f>'Passenger-Rail'!Z60</f>
        <v>1.023201992746283</v>
      </c>
      <c r="S293" s="129">
        <f>'Passenger-Rail'!AB60</f>
        <v>1.3195720995879097</v>
      </c>
    </row>
    <row r="294" spans="10:19" x14ac:dyDescent="0.2">
      <c r="O294">
        <f t="shared" si="21"/>
        <v>2000</v>
      </c>
      <c r="P294" s="129">
        <f>'Passenger-Rail'!V61</f>
        <v>1.3622375090514121</v>
      </c>
      <c r="Q294" s="129">
        <f>'Passenger-Rail'!AD61</f>
        <v>1.0100989737015424</v>
      </c>
      <c r="R294" s="129">
        <f>'Passenger-Rail'!Z61</f>
        <v>1.018042635911629</v>
      </c>
      <c r="S294" s="129">
        <f>'Passenger-Rail'!AB61</f>
        <v>1.400821281396379</v>
      </c>
    </row>
    <row r="295" spans="10:19" x14ac:dyDescent="0.2">
      <c r="O295">
        <f t="shared" ref="O295:O302" si="22">O294+1</f>
        <v>2001</v>
      </c>
      <c r="P295" s="129">
        <f>'Passenger-Rail'!V62</f>
        <v>1.3903874004344678</v>
      </c>
      <c r="Q295" s="129">
        <f>'Passenger-Rail'!AD62</f>
        <v>1.0103255662690263</v>
      </c>
      <c r="R295" s="129">
        <f>'Passenger-Rail'!Z62</f>
        <v>1.0137926883190804</v>
      </c>
      <c r="S295" s="129">
        <f>'Passenger-Rail'!AB62</f>
        <v>1.4241191329777754</v>
      </c>
    </row>
    <row r="296" spans="10:19" x14ac:dyDescent="0.2">
      <c r="O296">
        <f t="shared" si="22"/>
        <v>2002</v>
      </c>
      <c r="P296" s="129">
        <f>'Passenger-Rail'!V63</f>
        <v>1.3607440260680665</v>
      </c>
      <c r="Q296" s="129">
        <f>'Passenger-Rail'!AD63</f>
        <v>1.0103514963339817</v>
      </c>
      <c r="R296" s="129">
        <f>'Passenger-Rail'!Z63</f>
        <v>1.028873587867754</v>
      </c>
      <c r="S296" s="129">
        <f>'Passenger-Rail'!AB63</f>
        <v>1.4145260308266963</v>
      </c>
    </row>
    <row r="297" spans="10:19" x14ac:dyDescent="0.2">
      <c r="O297">
        <f t="shared" si="22"/>
        <v>2003</v>
      </c>
      <c r="P297" s="129">
        <f>'Passenger-Rail'!V64</f>
        <v>1.372239319333816</v>
      </c>
      <c r="Q297" s="129">
        <f>'Passenger-Rail'!AD64</f>
        <v>1.0111140640230416</v>
      </c>
      <c r="R297" s="129">
        <f>'Passenger-Rail'!Z64</f>
        <v>1.0037421122061623</v>
      </c>
      <c r="S297" s="129">
        <f>'Passenger-Rail'!AB64</f>
        <v>1.3926826200261997</v>
      </c>
    </row>
    <row r="298" spans="10:19" x14ac:dyDescent="0.2">
      <c r="O298">
        <f t="shared" si="22"/>
        <v>2004</v>
      </c>
      <c r="P298" s="129">
        <f>'Passenger-Rail'!V65</f>
        <v>1.4102099927588705</v>
      </c>
      <c r="Q298" s="129">
        <f>'Passenger-Rail'!AD65</f>
        <v>1.0116417683355348</v>
      </c>
      <c r="R298" s="129">
        <f>'Passenger-Rail'!Z65</f>
        <v>0.98736013125002398</v>
      </c>
      <c r="S298" s="129">
        <f>'Passenger-Rail'!AB65</f>
        <v>1.4085949485825984</v>
      </c>
    </row>
    <row r="299" spans="10:19" x14ac:dyDescent="0.2">
      <c r="O299">
        <f t="shared" si="22"/>
        <v>2005</v>
      </c>
      <c r="P299" s="129">
        <f>'Passenger-Rail'!V66</f>
        <v>1.4017016654598118</v>
      </c>
      <c r="Q299" s="129">
        <f>'Passenger-Rail'!AD66</f>
        <v>1.0130228295767503</v>
      </c>
      <c r="R299" s="129">
        <f>'Passenger-Rail'!Z66</f>
        <v>1.0093272148425747</v>
      </c>
      <c r="S299" s="129">
        <f>'Passenger-Rail'!AB66</f>
        <v>1.4332000200622681</v>
      </c>
    </row>
    <row r="300" spans="10:19" x14ac:dyDescent="0.2">
      <c r="O300">
        <f t="shared" si="22"/>
        <v>2006</v>
      </c>
      <c r="P300" s="129">
        <f>'Passenger-Rail'!V67</f>
        <v>1.4644279507603186</v>
      </c>
      <c r="Q300" s="129">
        <f>'Passenger-Rail'!AD67</f>
        <v>1.0137249150869447</v>
      </c>
      <c r="R300" s="129">
        <f>'Passenger-Rail'!Z67</f>
        <v>0.96534896033203632</v>
      </c>
      <c r="S300" s="129">
        <f>'Passenger-Rail'!AB67</f>
        <v>1.4330866926039576</v>
      </c>
    </row>
    <row r="301" spans="10:19" x14ac:dyDescent="0.2">
      <c r="O301">
        <f t="shared" si="22"/>
        <v>2007</v>
      </c>
      <c r="P301" s="129">
        <f>'Passenger-Rail'!V68</f>
        <v>1.5843139029688631</v>
      </c>
      <c r="Q301" s="129">
        <f>'Passenger-Rail'!AD68</f>
        <v>1.0126162254106019</v>
      </c>
      <c r="R301" s="129">
        <f>'Passenger-Rail'!Z68</f>
        <v>0.9467954234202659</v>
      </c>
      <c r="S301" s="129">
        <f>'Passenger-Rail'!AB68</f>
        <v>1.5189457575737917</v>
      </c>
    </row>
    <row r="302" spans="10:19" x14ac:dyDescent="0.2">
      <c r="O302">
        <f t="shared" si="22"/>
        <v>2008</v>
      </c>
      <c r="P302" s="129">
        <f>'Passenger-Rail'!V69</f>
        <v>1.6369026068066619</v>
      </c>
      <c r="Q302" s="129">
        <f>'Passenger-Rail'!AD69</f>
        <v>1.0127880151930295</v>
      </c>
      <c r="R302" s="129">
        <f>'Passenger-Rail'!Z69</f>
        <v>0.93004725117256304</v>
      </c>
      <c r="S302" s="129">
        <f>'Passenger-Rail'!AB69</f>
        <v>1.5418652029210114</v>
      </c>
    </row>
    <row r="303" spans="10:19" x14ac:dyDescent="0.2">
      <c r="P303" s="129"/>
      <c r="Q303" s="129"/>
      <c r="R303" s="129"/>
      <c r="S303" s="129"/>
    </row>
    <row r="304" spans="10:19" x14ac:dyDescent="0.2">
      <c r="J304" s="6" t="s">
        <v>283</v>
      </c>
      <c r="O304" t="s">
        <v>283</v>
      </c>
    </row>
    <row r="305" spans="10:19" x14ac:dyDescent="0.2">
      <c r="J305" t="s">
        <v>257</v>
      </c>
      <c r="P305" s="36"/>
      <c r="Q305" s="36"/>
      <c r="R305" s="36"/>
      <c r="S305" s="36"/>
    </row>
    <row r="306" spans="10:19" ht="26.25" thickBot="1" x14ac:dyDescent="0.25">
      <c r="J306" s="275" t="s">
        <v>258</v>
      </c>
      <c r="P306" s="157" t="s">
        <v>757</v>
      </c>
      <c r="Q306" s="157" t="s">
        <v>288</v>
      </c>
      <c r="R306" s="157" t="s">
        <v>775</v>
      </c>
      <c r="S306" s="157" t="s">
        <v>776</v>
      </c>
    </row>
    <row r="307" spans="10:19" x14ac:dyDescent="0.2">
      <c r="O307">
        <v>1985</v>
      </c>
      <c r="P307" s="129">
        <f>Urban_Rail!X46</f>
        <v>1</v>
      </c>
      <c r="Q307" s="129">
        <f>Urban_Rail!AE46</f>
        <v>1</v>
      </c>
      <c r="R307" s="129">
        <f>Urban_Rail!AA46</f>
        <v>1</v>
      </c>
      <c r="S307" s="129">
        <f>Urban_Rail!AC46</f>
        <v>1</v>
      </c>
    </row>
    <row r="308" spans="10:19" x14ac:dyDescent="0.2">
      <c r="O308">
        <f>O307+1</f>
        <v>1986</v>
      </c>
      <c r="P308" s="129">
        <f>Urban_Rail!X47</f>
        <v>1.0243775633989949</v>
      </c>
      <c r="Q308" s="129">
        <f>Urban_Rail!AE47</f>
        <v>1.0647869157153425</v>
      </c>
      <c r="R308" s="129">
        <f>Urban_Rail!AA47</f>
        <v>1.0646637915287738</v>
      </c>
      <c r="S308" s="129">
        <f>Urban_Rail!AC47</f>
        <v>1.0907438262596132</v>
      </c>
    </row>
    <row r="309" spans="10:19" x14ac:dyDescent="0.2">
      <c r="O309">
        <f t="shared" ref="O309:O322" si="23">O308+1</f>
        <v>1987</v>
      </c>
      <c r="P309" s="129">
        <f>Urban_Rail!X48</f>
        <v>1.0641210790826643</v>
      </c>
      <c r="Q309" s="129">
        <f>Urban_Rail!AE48</f>
        <v>1.0480577247597893</v>
      </c>
      <c r="R309" s="129">
        <f>Urban_Rail!AA48</f>
        <v>1.0464704899419734</v>
      </c>
      <c r="S309" s="129">
        <f>Urban_Rail!AC48</f>
        <v>1.1152603170123085</v>
      </c>
    </row>
    <row r="310" spans="10:19" x14ac:dyDescent="0.2">
      <c r="O310">
        <f t="shared" si="23"/>
        <v>1988</v>
      </c>
      <c r="P310" s="129">
        <f>Urban_Rail!X49</f>
        <v>1.0826064352146034</v>
      </c>
      <c r="Q310" s="129">
        <f>Urban_Rail!AE49</f>
        <v>1.0592784526171957</v>
      </c>
      <c r="R310" s="129">
        <f>Urban_Rail!AA49</f>
        <v>1.0551685145443912</v>
      </c>
      <c r="S310" s="129">
        <f>Urban_Rail!AC49</f>
        <v>1.1467816694875437</v>
      </c>
    </row>
    <row r="311" spans="10:19" x14ac:dyDescent="0.2">
      <c r="O311">
        <f t="shared" si="23"/>
        <v>1989</v>
      </c>
      <c r="P311" s="129">
        <f>Urban_Rail!X50</f>
        <v>1.1408930737681242</v>
      </c>
      <c r="Q311" s="129">
        <f>Urban_Rail!AE50</f>
        <v>1.0274342066994797</v>
      </c>
      <c r="R311" s="129">
        <f>Urban_Rail!AA50</f>
        <v>1.0230839165787895</v>
      </c>
      <c r="S311" s="129">
        <f>Urban_Rail!AC50</f>
        <v>1.1721925701758837</v>
      </c>
    </row>
    <row r="312" spans="10:19" x14ac:dyDescent="0.2">
      <c r="O312">
        <f t="shared" si="23"/>
        <v>1990</v>
      </c>
      <c r="P312" s="129">
        <f>Urban_Rail!X51</f>
        <v>1.1049621627866675</v>
      </c>
      <c r="Q312" s="129">
        <f>Urban_Rail!AE51</f>
        <v>1.0474457647759632</v>
      </c>
      <c r="R312" s="129">
        <f>Urban_Rail!AA51</f>
        <v>1.0405994378677381</v>
      </c>
      <c r="S312" s="129">
        <f>Urban_Rail!AC51</f>
        <v>1.1573879376485832</v>
      </c>
    </row>
    <row r="313" spans="10:19" x14ac:dyDescent="0.2">
      <c r="J313" s="173" t="s">
        <v>268</v>
      </c>
      <c r="O313">
        <f t="shared" si="23"/>
        <v>1991</v>
      </c>
      <c r="P313" s="129">
        <f>Urban_Rail!X52</f>
        <v>1.0706487204667552</v>
      </c>
      <c r="Q313" s="129">
        <f>Urban_Rail!AE52</f>
        <v>1.0877366841643374</v>
      </c>
      <c r="R313" s="129">
        <f>Urban_Rail!AA52</f>
        <v>1.0806207730142166</v>
      </c>
      <c r="S313" s="129">
        <f>Urban_Rail!AC52</f>
        <v>1.1645838891052986</v>
      </c>
    </row>
    <row r="314" spans="10:19" x14ac:dyDescent="0.2">
      <c r="O314">
        <f t="shared" si="23"/>
        <v>1992</v>
      </c>
      <c r="P314" s="129">
        <f>Urban_Rail!X53</f>
        <v>1.0835884697591127</v>
      </c>
      <c r="Q314" s="129">
        <f>Urban_Rail!AE53</f>
        <v>1.0476385499256584</v>
      </c>
      <c r="R314" s="129">
        <f>Urban_Rail!AA53</f>
        <v>1.0391980135258452</v>
      </c>
      <c r="S314" s="129">
        <f>Urban_Rail!AC53</f>
        <v>1.1352090531745997</v>
      </c>
    </row>
    <row r="315" spans="10:19" x14ac:dyDescent="0.2">
      <c r="O315">
        <f t="shared" si="23"/>
        <v>1993</v>
      </c>
      <c r="P315" s="129">
        <f>Urban_Rail!X54</f>
        <v>1.0326382069204552</v>
      </c>
      <c r="Q315" s="129">
        <f>Urban_Rail!AE54</f>
        <v>1.1434144806024753</v>
      </c>
      <c r="R315" s="129">
        <f>Urban_Rail!AA54</f>
        <v>1.1331066714330396</v>
      </c>
      <c r="S315" s="129">
        <f>Urban_Rail!AC54</f>
        <v>1.1807334790162236</v>
      </c>
    </row>
    <row r="316" spans="10:19" x14ac:dyDescent="0.2">
      <c r="O316">
        <f t="shared" si="23"/>
        <v>1994</v>
      </c>
      <c r="P316" s="129">
        <f>Urban_Rail!X55</f>
        <v>1.1262780890763098</v>
      </c>
      <c r="Q316" s="129">
        <f>Urban_Rail!AE55</f>
        <v>1.0900949566959748</v>
      </c>
      <c r="R316" s="129">
        <f>Urban_Rail!AA55</f>
        <v>1.0834838623881875</v>
      </c>
      <c r="S316" s="129">
        <f>Urban_Rail!AC55</f>
        <v>1.227750064739265</v>
      </c>
    </row>
    <row r="317" spans="10:19" x14ac:dyDescent="0.2">
      <c r="O317">
        <f t="shared" si="23"/>
        <v>1995</v>
      </c>
      <c r="P317" s="129">
        <f>Urban_Rail!X56</f>
        <v>1.1358673675697533</v>
      </c>
      <c r="Q317" s="129">
        <f>Urban_Rail!AE56</f>
        <v>1.0810070216246399</v>
      </c>
      <c r="R317" s="129">
        <f>Urban_Rail!AA56</f>
        <v>1.0765552368022189</v>
      </c>
      <c r="S317" s="129">
        <f>Urban_Rail!AC56</f>
        <v>1.2278805999771989</v>
      </c>
    </row>
    <row r="318" spans="10:19" x14ac:dyDescent="0.2">
      <c r="O318">
        <f t="shared" si="23"/>
        <v>1996</v>
      </c>
      <c r="P318" s="129">
        <f>Urban_Rail!X57</f>
        <v>1.2037432846167178</v>
      </c>
      <c r="Q318" s="129">
        <f>Urban_Rail!AE57</f>
        <v>1.011279547722673</v>
      </c>
      <c r="R318" s="129">
        <f>Urban_Rail!AA57</f>
        <v>1.0034204997948497</v>
      </c>
      <c r="S318" s="129">
        <f>Urban_Rail!AC57</f>
        <v>1.2173209644413991</v>
      </c>
    </row>
    <row r="319" spans="10:19" x14ac:dyDescent="0.2">
      <c r="O319">
        <f t="shared" si="23"/>
        <v>1997</v>
      </c>
      <c r="P319" s="129">
        <f>Urban_Rail!X58</f>
        <v>1.2205534053492</v>
      </c>
      <c r="Q319" s="129">
        <f>Urban_Rail!AE58</f>
        <v>0.99622776518313472</v>
      </c>
      <c r="R319" s="129">
        <f>Urban_Rail!AA58</f>
        <v>0.98611748149600087</v>
      </c>
      <c r="S319" s="129">
        <f>Urban_Rail!AC58</f>
        <v>1.2159491912976985</v>
      </c>
    </row>
    <row r="320" spans="10:19" x14ac:dyDescent="0.2">
      <c r="O320">
        <f t="shared" si="23"/>
        <v>1998</v>
      </c>
      <c r="P320" s="129">
        <f>Urban_Rail!X59</f>
        <v>1.27756917566865</v>
      </c>
      <c r="Q320" s="129">
        <f>Urban_Rail!AE59</f>
        <v>0.97759844335266877</v>
      </c>
      <c r="R320" s="129">
        <f>Urban_Rail!AA59</f>
        <v>0.96755052014619491</v>
      </c>
      <c r="S320" s="129">
        <f>Urban_Rail!AC59</f>
        <v>1.2489496374090248</v>
      </c>
    </row>
    <row r="321" spans="10:19" x14ac:dyDescent="0.2">
      <c r="O321">
        <f t="shared" si="23"/>
        <v>1999</v>
      </c>
      <c r="P321" s="129">
        <f>Urban_Rail!X60</f>
        <v>1.3213563630061811</v>
      </c>
      <c r="Q321" s="129">
        <f>Urban_Rail!AE60</f>
        <v>0.9797278733111785</v>
      </c>
      <c r="R321" s="129">
        <f>Urban_Rail!AA60</f>
        <v>0.96896993984728974</v>
      </c>
      <c r="S321" s="129">
        <f>Urban_Rail!AC60</f>
        <v>1.2945696594142397</v>
      </c>
    </row>
    <row r="322" spans="10:19" x14ac:dyDescent="0.2">
      <c r="O322">
        <f t="shared" si="23"/>
        <v>2000</v>
      </c>
      <c r="P322" s="129">
        <f>Urban_Rail!X61</f>
        <v>1.4211772861186529</v>
      </c>
      <c r="Q322" s="129">
        <f>Urban_Rail!AE61</f>
        <v>0.9451954761537571</v>
      </c>
      <c r="R322" s="129">
        <f>Urban_Rail!AA61</f>
        <v>0.9340822792952973</v>
      </c>
      <c r="S322" s="129">
        <f>Urban_Rail!AC61</f>
        <v>1.3432903416518247</v>
      </c>
    </row>
    <row r="323" spans="10:19" x14ac:dyDescent="0.2">
      <c r="O323">
        <f t="shared" ref="O323:O330" si="24">O322+1</f>
        <v>2001</v>
      </c>
      <c r="P323" s="129">
        <f>Urban_Rail!X62</f>
        <v>1.4535844260874589</v>
      </c>
      <c r="Q323" s="129">
        <f>Urban_Rail!AE62</f>
        <v>0.942160405043444</v>
      </c>
      <c r="R323" s="129">
        <f>Urban_Rail!AA62</f>
        <v>0.93036594047559285</v>
      </c>
      <c r="S323" s="129">
        <f>Urban_Rail!AC62</f>
        <v>1.369509691647403</v>
      </c>
    </row>
    <row r="324" spans="10:19" x14ac:dyDescent="0.2">
      <c r="O324">
        <f t="shared" si="24"/>
        <v>2002</v>
      </c>
      <c r="P324" s="129">
        <f>Urban_Rail!X63</f>
        <v>1.4210039859049159</v>
      </c>
      <c r="Q324" s="129">
        <f>Urban_Rail!AE63</f>
        <v>0.97102141239037076</v>
      </c>
      <c r="R324" s="129">
        <f>Urban_Rail!AA63</f>
        <v>0.95903348028447011</v>
      </c>
      <c r="S324" s="129">
        <f>Urban_Rail!AC63</f>
        <v>1.3798252974057383</v>
      </c>
    </row>
    <row r="325" spans="10:19" x14ac:dyDescent="0.2">
      <c r="O325">
        <f t="shared" si="24"/>
        <v>2003</v>
      </c>
      <c r="P325" s="129">
        <f>Urban_Rail!X64</f>
        <v>1.4234301888972329</v>
      </c>
      <c r="Q325" s="129">
        <f>Urban_Rail!AE64</f>
        <v>0.96745553231831216</v>
      </c>
      <c r="R325" s="129">
        <f>Urban_Rail!AA64</f>
        <v>0.95514855193507708</v>
      </c>
      <c r="S325" s="129">
        <f>Urban_Rail!AC64</f>
        <v>1.3771054111175289</v>
      </c>
    </row>
    <row r="326" spans="10:19" x14ac:dyDescent="0.2">
      <c r="O326">
        <f t="shared" si="24"/>
        <v>2004</v>
      </c>
      <c r="P326" s="129">
        <f>Urban_Rail!X65</f>
        <v>1.4816590607128415</v>
      </c>
      <c r="Q326" s="129">
        <f>Urban_Rail!AE65</f>
        <v>0.95226384638530714</v>
      </c>
      <c r="R326" s="129">
        <f>Urban_Rail!AA65</f>
        <v>0.93920771097480371</v>
      </c>
      <c r="S326" s="129">
        <f>Urban_Rail!AC65</f>
        <v>1.4109303561860527</v>
      </c>
    </row>
    <row r="327" spans="10:19" x14ac:dyDescent="0.2">
      <c r="O327">
        <f t="shared" si="24"/>
        <v>2005</v>
      </c>
      <c r="P327" s="129">
        <f>Urban_Rail!X66</f>
        <v>1.4783085899139277</v>
      </c>
      <c r="Q327" s="129">
        <f>Urban_Rail!AE66</f>
        <v>0.98344597260397604</v>
      </c>
      <c r="R327" s="129">
        <f>Urban_Rail!AA66</f>
        <v>0.96834582376990352</v>
      </c>
      <c r="S327" s="129">
        <f>Urban_Rail!AC66</f>
        <v>1.453836629016716</v>
      </c>
    </row>
    <row r="328" spans="10:19" x14ac:dyDescent="0.2">
      <c r="O328">
        <f t="shared" si="24"/>
        <v>2006</v>
      </c>
      <c r="P328" s="129">
        <f>Urban_Rail!X67</f>
        <v>1.5566980532609322</v>
      </c>
      <c r="Q328" s="129">
        <f>Urban_Rail!AE67</f>
        <v>0.93696245363194242</v>
      </c>
      <c r="R328" s="129">
        <f>Urban_Rail!AA67</f>
        <v>0.92186961966948611</v>
      </c>
      <c r="S328" s="129">
        <f>Urban_Rail!AC67</f>
        <v>1.458567627547432</v>
      </c>
    </row>
    <row r="329" spans="10:19" x14ac:dyDescent="0.2">
      <c r="O329">
        <f t="shared" si="24"/>
        <v>2007</v>
      </c>
      <c r="P329" s="129">
        <f>Urban_Rail!X68</f>
        <v>1.6881173820114379</v>
      </c>
      <c r="Q329" s="129">
        <f>Urban_Rail!AE68</f>
        <v>0.92365863016129923</v>
      </c>
      <c r="R329" s="129">
        <f>Urban_Rail!AA68</f>
        <v>0.91000101041496229</v>
      </c>
      <c r="S329" s="129">
        <f>Urban_Rail!AC68</f>
        <v>1.5592441886201645</v>
      </c>
    </row>
    <row r="330" spans="10:19" x14ac:dyDescent="0.2">
      <c r="O330">
        <f t="shared" si="24"/>
        <v>2008</v>
      </c>
      <c r="P330" s="129">
        <f>Urban_Rail!X69</f>
        <v>1.7324244699901796</v>
      </c>
      <c r="Q330" s="129">
        <f>Urban_Rail!AE69</f>
        <v>0.91307262819941937</v>
      </c>
      <c r="R330" s="129">
        <f>Urban_Rail!AA69</f>
        <v>0.89908529929085268</v>
      </c>
      <c r="S330" s="129">
        <f>Urban_Rail!AC69</f>
        <v>1.5818293639709209</v>
      </c>
    </row>
    <row r="331" spans="10:19" x14ac:dyDescent="0.2">
      <c r="P331" s="129"/>
      <c r="Q331" s="129"/>
      <c r="R331" s="129"/>
      <c r="S331" s="129"/>
    </row>
    <row r="332" spans="10:19" x14ac:dyDescent="0.2">
      <c r="P332" s="129"/>
      <c r="Q332" s="129"/>
      <c r="R332" s="129"/>
      <c r="S332" s="129"/>
    </row>
    <row r="333" spans="10:19" x14ac:dyDescent="0.2">
      <c r="J333" s="6" t="s">
        <v>284</v>
      </c>
      <c r="O333" t="s">
        <v>284</v>
      </c>
    </row>
    <row r="334" spans="10:19" x14ac:dyDescent="0.2">
      <c r="J334" t="s">
        <v>259</v>
      </c>
      <c r="P334" s="36"/>
      <c r="Q334" s="36"/>
      <c r="R334" s="36"/>
      <c r="S334" s="36"/>
    </row>
    <row r="335" spans="10:19" ht="26.25" thickBot="1" x14ac:dyDescent="0.25">
      <c r="J335" s="275" t="s">
        <v>260</v>
      </c>
      <c r="P335" s="157" t="s">
        <v>757</v>
      </c>
      <c r="Q335" s="157" t="s">
        <v>288</v>
      </c>
      <c r="R335" s="157" t="s">
        <v>775</v>
      </c>
      <c r="S335" s="157" t="s">
        <v>776</v>
      </c>
    </row>
    <row r="336" spans="10:19" x14ac:dyDescent="0.2">
      <c r="O336">
        <v>1985</v>
      </c>
      <c r="P336" s="129">
        <f>'Freight-Trucks'!T46</f>
        <v>1</v>
      </c>
      <c r="Q336" s="129">
        <f>'Freight-Trucks'!V46</f>
        <v>1</v>
      </c>
      <c r="R336" s="129">
        <f>'Freight-Trucks'!W46</f>
        <v>1</v>
      </c>
      <c r="S336" s="129">
        <f>'Freight-Trucks'!Y46</f>
        <v>1</v>
      </c>
    </row>
    <row r="337" spans="10:19" x14ac:dyDescent="0.2">
      <c r="O337">
        <f>O336+1</f>
        <v>1986</v>
      </c>
      <c r="P337" s="129">
        <f>'Freight-Trucks'!T47</f>
        <v>1.0290655154584982</v>
      </c>
      <c r="Q337" s="129">
        <f>'Freight-Trucks'!V47</f>
        <v>0.99313999119984575</v>
      </c>
      <c r="R337" s="129">
        <f>'Freight-Trucks'!W47</f>
        <v>0.99593533776503185</v>
      </c>
      <c r="S337" s="129">
        <f>'Freight-Trucks'!Y47</f>
        <v>1.0178520072989776</v>
      </c>
    </row>
    <row r="338" spans="10:19" x14ac:dyDescent="0.2">
      <c r="O338">
        <f t="shared" ref="O338:O351" si="25">O337+1</f>
        <v>1987</v>
      </c>
      <c r="P338" s="129">
        <f>'Freight-Trucks'!T48</f>
        <v>1.0802524643390676</v>
      </c>
      <c r="Q338" s="129">
        <f>'Freight-Trucks'!V48</f>
        <v>0.99379921000321103</v>
      </c>
      <c r="R338" s="129">
        <f>'Freight-Trucks'!W48</f>
        <v>0.97522693411106076</v>
      </c>
      <c r="S338" s="129">
        <f>'Freight-Trucks'!Y48</f>
        <v>1.0469588205556108</v>
      </c>
    </row>
    <row r="339" spans="10:19" x14ac:dyDescent="0.2">
      <c r="O339">
        <f t="shared" si="25"/>
        <v>1988</v>
      </c>
      <c r="P339" s="129">
        <f>'Freight-Trucks'!T49</f>
        <v>1.1343864966650128</v>
      </c>
      <c r="Q339" s="129">
        <f>'Freight-Trucks'!V49</f>
        <v>0.98832682530549842</v>
      </c>
      <c r="R339" s="129">
        <f>'Freight-Trucks'!W49</f>
        <v>0.95223370625609904</v>
      </c>
      <c r="S339" s="129">
        <f>'Freight-Trucks'!Y49</f>
        <v>1.0675916823904386</v>
      </c>
    </row>
    <row r="340" spans="10:19" x14ac:dyDescent="0.2">
      <c r="J340" s="173" t="s">
        <v>269</v>
      </c>
      <c r="O340">
        <f t="shared" si="25"/>
        <v>1989</v>
      </c>
      <c r="P340" s="129">
        <f>'Freight-Trucks'!T50</f>
        <v>1.1618002872649023</v>
      </c>
      <c r="Q340" s="129">
        <f>'Freight-Trucks'!V50</f>
        <v>0.9896269464354529</v>
      </c>
      <c r="R340" s="129">
        <f>'Freight-Trucks'!W50</f>
        <v>0.95080777849981069</v>
      </c>
      <c r="S340" s="129">
        <f>'Freight-Trucks'!Y50</f>
        <v>1.0931901695390034</v>
      </c>
    </row>
    <row r="341" spans="10:19" x14ac:dyDescent="0.2">
      <c r="O341">
        <f t="shared" si="25"/>
        <v>1990</v>
      </c>
      <c r="P341" s="129">
        <f>'Freight-Trucks'!T51</f>
        <v>1.1910830193059121</v>
      </c>
      <c r="Q341" s="129">
        <f>'Freight-Trucks'!V51</f>
        <v>0.98828970936446359</v>
      </c>
      <c r="R341" s="129">
        <f>'Freight-Trucks'!W51</f>
        <v>0.97190293635708291</v>
      </c>
      <c r="S341" s="129">
        <f>'Freight-Trucks'!Y51</f>
        <v>1.1440610514112461</v>
      </c>
    </row>
    <row r="342" spans="10:19" x14ac:dyDescent="0.2">
      <c r="O342">
        <f t="shared" si="25"/>
        <v>1991</v>
      </c>
      <c r="P342" s="129">
        <f>'Freight-Trucks'!T52</f>
        <v>1.2179172724230229</v>
      </c>
      <c r="Q342" s="129">
        <f>'Freight-Trucks'!V52</f>
        <v>0.98739587309818033</v>
      </c>
      <c r="R342" s="129">
        <f>'Freight-Trucks'!W52</f>
        <v>0.96511375278514988</v>
      </c>
      <c r="S342" s="129">
        <f>'Freight-Trucks'!Y52</f>
        <v>1.1606134567530959</v>
      </c>
    </row>
    <row r="343" spans="10:19" x14ac:dyDescent="0.2">
      <c r="O343">
        <f t="shared" si="25"/>
        <v>1992</v>
      </c>
      <c r="P343" s="129">
        <f>'Freight-Trucks'!T53</f>
        <v>1.2468493711461419</v>
      </c>
      <c r="Q343" s="129">
        <f>'Freight-Trucks'!V53</f>
        <v>0.98602836072047884</v>
      </c>
      <c r="R343" s="129">
        <f>'Freight-Trucks'!W53</f>
        <v>0.96073392506628852</v>
      </c>
      <c r="S343" s="129">
        <f>'Freight-Trucks'!Y53</f>
        <v>1.1811539964807196</v>
      </c>
    </row>
    <row r="344" spans="10:19" x14ac:dyDescent="0.2">
      <c r="O344">
        <f t="shared" si="25"/>
        <v>1993</v>
      </c>
      <c r="P344" s="129">
        <f>'Freight-Trucks'!T54</f>
        <v>1.3049036607602793</v>
      </c>
      <c r="Q344" s="129">
        <f>'Freight-Trucks'!V54</f>
        <v>0.98782293555431089</v>
      </c>
      <c r="R344" s="129">
        <f>'Freight-Trucks'!W54</f>
        <v>0.94447939951928916</v>
      </c>
      <c r="S344" s="129">
        <f>'Freight-Trucks'!Y54</f>
        <v>1.2174469465388666</v>
      </c>
    </row>
    <row r="345" spans="10:19" x14ac:dyDescent="0.2">
      <c r="O345">
        <f t="shared" si="25"/>
        <v>1994</v>
      </c>
      <c r="P345" s="129">
        <f>'Freight-Trucks'!T55</f>
        <v>1.3927855976789256</v>
      </c>
      <c r="Q345" s="129">
        <f>'Freight-Trucks'!V55</f>
        <v>0.99077533881458202</v>
      </c>
      <c r="R345" s="129">
        <f>'Freight-Trucks'!W55</f>
        <v>0.93279905855468037</v>
      </c>
      <c r="S345" s="129">
        <f>'Freight-Trucks'!Y55</f>
        <v>1.2872045150728653</v>
      </c>
    </row>
    <row r="346" spans="10:19" x14ac:dyDescent="0.2">
      <c r="O346">
        <f t="shared" si="25"/>
        <v>1995</v>
      </c>
      <c r="P346" s="129">
        <f>'Freight-Trucks'!T56</f>
        <v>1.4502830633451118</v>
      </c>
      <c r="Q346" s="129">
        <f>'Freight-Trucks'!V56</f>
        <v>0.98626533841462505</v>
      </c>
      <c r="R346" s="129">
        <f>'Freight-Trucks'!W56</f>
        <v>0.93967783758902723</v>
      </c>
      <c r="S346" s="129">
        <f>'Freight-Trucks'!Y56</f>
        <v>1.3440812718032091</v>
      </c>
    </row>
    <row r="347" spans="10:19" x14ac:dyDescent="0.2">
      <c r="O347">
        <f t="shared" si="25"/>
        <v>1996</v>
      </c>
      <c r="P347" s="129">
        <f>'Freight-Trucks'!T57</f>
        <v>1.4888014544472341</v>
      </c>
      <c r="Q347" s="129">
        <f>'Freight-Trucks'!V57</f>
        <v>0.98508018603419034</v>
      </c>
      <c r="R347" s="129">
        <f>'Freight-Trucks'!W57</f>
        <v>0.93644380694642282</v>
      </c>
      <c r="S347" s="129">
        <f>'Freight-Trucks'!Y57</f>
        <v>1.3733780119401773</v>
      </c>
    </row>
    <row r="348" spans="10:19" x14ac:dyDescent="0.2">
      <c r="O348">
        <f t="shared" si="25"/>
        <v>1997</v>
      </c>
      <c r="P348" s="129">
        <f>'Freight-Trucks'!T58</f>
        <v>1.5552810871974152</v>
      </c>
      <c r="Q348" s="129">
        <f>'Freight-Trucks'!V58</f>
        <v>0.9849273929025506</v>
      </c>
      <c r="R348" s="129">
        <f>'Freight-Trucks'!W58</f>
        <v>0.90661017972899871</v>
      </c>
      <c r="S348" s="129">
        <f>'Freight-Trucks'!Y58</f>
        <v>1.3887807825514709</v>
      </c>
    </row>
    <row r="349" spans="10:19" x14ac:dyDescent="0.2">
      <c r="O349">
        <f t="shared" si="25"/>
        <v>1998</v>
      </c>
      <c r="P349" s="129">
        <f>'Freight-Trucks'!T59</f>
        <v>1.5937495294924189</v>
      </c>
      <c r="Q349" s="129">
        <f>'Freight-Trucks'!V59</f>
        <v>0.98302541032210966</v>
      </c>
      <c r="R349" s="129">
        <f>'Freight-Trucks'!W59</f>
        <v>0.94332609671961265</v>
      </c>
      <c r="S349" s="129">
        <f>'Freight-Trucks'!Y59</f>
        <v>1.4779054914439245</v>
      </c>
    </row>
    <row r="350" spans="10:19" x14ac:dyDescent="0.2">
      <c r="O350">
        <f t="shared" si="25"/>
        <v>1999</v>
      </c>
      <c r="P350" s="129">
        <f>'Freight-Trucks'!T60</f>
        <v>1.6455205363666647</v>
      </c>
      <c r="Q350" s="129">
        <f>'Freight-Trucks'!V60</f>
        <v>0.98325100656885123</v>
      </c>
      <c r="R350" s="129">
        <f>'Freight-Trucks'!W60</f>
        <v>0.9564907976601319</v>
      </c>
      <c r="S350" s="129">
        <f>'Freight-Trucks'!Y60</f>
        <v>1.5475635867154871</v>
      </c>
    </row>
    <row r="351" spans="10:19" x14ac:dyDescent="0.2">
      <c r="O351">
        <f t="shared" si="25"/>
        <v>2000</v>
      </c>
      <c r="P351" s="129">
        <f>'Freight-Trucks'!T61</f>
        <v>1.6651691221104059</v>
      </c>
      <c r="Q351" s="129">
        <f>'Freight-Trucks'!V61</f>
        <v>0.98149564066981343</v>
      </c>
      <c r="R351" s="129">
        <f>'Freight-Trucks'!W61</f>
        <v>0.98207812574622932</v>
      </c>
      <c r="S351" s="129">
        <f>'Freight-Trucks'!Y61</f>
        <v>1.6050655074118283</v>
      </c>
    </row>
    <row r="352" spans="10:19" x14ac:dyDescent="0.2">
      <c r="O352">
        <f t="shared" ref="O352:O358" si="26">O351+1</f>
        <v>2001</v>
      </c>
      <c r="P352" s="129">
        <f>'Freight-Trucks'!T62</f>
        <v>1.6977170444019685</v>
      </c>
      <c r="Q352" s="129">
        <f>'Freight-Trucks'!V62</f>
        <v>0.9830134006042669</v>
      </c>
      <c r="R352" s="129">
        <f>'Freight-Trucks'!W62</f>
        <v>0.96202043786610603</v>
      </c>
      <c r="S352" s="129">
        <f>'Freight-Trucks'!Y62</f>
        <v>1.6054953264057903</v>
      </c>
    </row>
    <row r="353" spans="10:19" x14ac:dyDescent="0.2">
      <c r="O353">
        <f t="shared" si="26"/>
        <v>2002</v>
      </c>
      <c r="P353" s="129">
        <f>'Freight-Trucks'!T63</f>
        <v>1.7483953549264097</v>
      </c>
      <c r="Q353" s="129">
        <f>'Freight-Trucks'!V63</f>
        <v>0.98629313510440364</v>
      </c>
      <c r="R353" s="129">
        <f>'Freight-Trucks'!W63</f>
        <v>0.97670175147992533</v>
      </c>
      <c r="S353" s="129">
        <f>'Freight-Trucks'!Y63</f>
        <v>1.6842541294883753</v>
      </c>
    </row>
    <row r="354" spans="10:19" x14ac:dyDescent="0.2">
      <c r="O354">
        <f t="shared" si="26"/>
        <v>2003</v>
      </c>
      <c r="P354" s="129">
        <f>'Freight-Trucks'!T64</f>
        <v>1.7674683735393102</v>
      </c>
      <c r="Q354" s="129">
        <f>'Freight-Trucks'!V64</f>
        <v>0.98868999154889092</v>
      </c>
      <c r="R354" s="129">
        <f>'Freight-Trucks'!W64</f>
        <v>0.92409286234289068</v>
      </c>
      <c r="S354" s="129">
        <f>'Freight-Trucks'!Y64</f>
        <v>1.6148322160871831</v>
      </c>
    </row>
    <row r="355" spans="10:19" x14ac:dyDescent="0.2">
      <c r="O355">
        <f t="shared" si="26"/>
        <v>2004</v>
      </c>
      <c r="P355" s="129">
        <f>'Freight-Trucks'!T65</f>
        <v>1.7927075089822131</v>
      </c>
      <c r="Q355" s="129">
        <f>'Freight-Trucks'!V65</f>
        <v>0.98788534933200944</v>
      </c>
      <c r="R355" s="129">
        <f>'Freight-Trucks'!W65</f>
        <v>0.92528732605739505</v>
      </c>
      <c r="S355" s="129">
        <f>'Freight-Trucks'!Y65</f>
        <v>1.6386741239049929</v>
      </c>
    </row>
    <row r="356" spans="10:19" x14ac:dyDescent="0.2">
      <c r="O356">
        <f t="shared" si="26"/>
        <v>2005</v>
      </c>
      <c r="P356" s="129">
        <f>'Freight-Trucks'!T66</f>
        <v>1.8094198191245459</v>
      </c>
      <c r="Q356" s="129">
        <f>'Freight-Trucks'!V66</f>
        <v>0.98655294650068237</v>
      </c>
      <c r="R356" s="129">
        <f>'Freight-Trucks'!W66</f>
        <v>0.94290859615042211</v>
      </c>
      <c r="S356" s="129">
        <f>'Freight-Trucks'!Y66</f>
        <v>1.6831752481787186</v>
      </c>
    </row>
    <row r="357" spans="10:19" x14ac:dyDescent="0.2">
      <c r="O357">
        <f t="shared" si="26"/>
        <v>2006</v>
      </c>
      <c r="P357" s="129">
        <f>'Freight-Trucks'!T67</f>
        <v>1.799946279520275</v>
      </c>
      <c r="Q357" s="129">
        <f>'Freight-Trucks'!V67</f>
        <v>0.99120435558139275</v>
      </c>
      <c r="R357" s="129">
        <f>'Freight-Trucks'!W67</f>
        <v>0.96468762564489896</v>
      </c>
      <c r="S357" s="129">
        <f>'Freight-Trucks'!Y67</f>
        <v>1.72111326970534</v>
      </c>
    </row>
    <row r="358" spans="10:19" x14ac:dyDescent="0.2">
      <c r="O358">
        <f t="shared" si="26"/>
        <v>2007</v>
      </c>
      <c r="P358" s="129">
        <f>'Freight-Trucks'!T68</f>
        <v>1.8280698069995618</v>
      </c>
      <c r="Q358" s="129">
        <f>'Freight-Trucks'!V68</f>
        <v>0.99120435558139275</v>
      </c>
      <c r="R358" s="129">
        <f>'Freight-Trucks'!W68</f>
        <v>0.96445179365914169</v>
      </c>
      <c r="S358" s="129">
        <f>'Freight-Trucks'!Y68</f>
        <v>1.7475777337581644</v>
      </c>
    </row>
    <row r="359" spans="10:19" x14ac:dyDescent="0.2">
      <c r="O359">
        <v>2008</v>
      </c>
      <c r="P359" s="129">
        <f>'Freight-Trucks'!T69</f>
        <v>1.8478576411499736</v>
      </c>
      <c r="Q359" s="129">
        <f>'Freight-Trucks'!V69</f>
        <v>0.99872689763087308</v>
      </c>
      <c r="R359" s="129">
        <f>'Freight-Trucks'!W69</f>
        <v>0.95670393095399653</v>
      </c>
      <c r="S359" s="129">
        <f>'Freight-Trucks'!Y69</f>
        <v>1.7656020117102216</v>
      </c>
    </row>
    <row r="363" spans="10:19" x14ac:dyDescent="0.2">
      <c r="J363" s="6" t="s">
        <v>285</v>
      </c>
      <c r="O363" t="s">
        <v>285</v>
      </c>
    </row>
    <row r="364" spans="10:19" x14ac:dyDescent="0.2">
      <c r="J364" t="s">
        <v>261</v>
      </c>
      <c r="P364" s="36"/>
      <c r="Q364" s="36"/>
      <c r="R364" s="36"/>
      <c r="S364" s="36"/>
    </row>
    <row r="365" spans="10:19" ht="26.25" thickBot="1" x14ac:dyDescent="0.25">
      <c r="J365" s="275" t="s">
        <v>262</v>
      </c>
      <c r="P365" s="157" t="s">
        <v>757</v>
      </c>
      <c r="Q365" s="157" t="s">
        <v>288</v>
      </c>
      <c r="R365" s="157" t="s">
        <v>775</v>
      </c>
      <c r="S365" s="157" t="s">
        <v>776</v>
      </c>
    </row>
    <row r="366" spans="10:19" x14ac:dyDescent="0.2">
      <c r="O366">
        <v>1985</v>
      </c>
      <c r="P366" s="129">
        <f>Pipelines!T46</f>
        <v>1</v>
      </c>
      <c r="Q366" s="129">
        <f>Pipelines!V46</f>
        <v>1</v>
      </c>
      <c r="R366" s="129">
        <f>Pipelines!W46</f>
        <v>1</v>
      </c>
      <c r="S366" s="129">
        <f>Pipelines!Y46</f>
        <v>1</v>
      </c>
    </row>
    <row r="367" spans="10:19" x14ac:dyDescent="0.2">
      <c r="O367">
        <f>O366+1</f>
        <v>1986</v>
      </c>
      <c r="P367" s="129">
        <f>Pipelines!T47</f>
        <v>0.93691814377931948</v>
      </c>
      <c r="Q367" s="129">
        <f>Pipelines!V47</f>
        <v>0.99999975905942962</v>
      </c>
      <c r="R367" s="129">
        <f>Pipelines!W47</f>
        <v>1.0276566882046292</v>
      </c>
      <c r="S367" s="129">
        <f>Pipelines!Y47</f>
        <v>0.96282996477022753</v>
      </c>
    </row>
    <row r="368" spans="10:19" x14ac:dyDescent="0.2">
      <c r="O368">
        <f t="shared" ref="O368:O383" si="27">O367+1</f>
        <v>1987</v>
      </c>
      <c r="P368" s="129">
        <f>Pipelines!T48</f>
        <v>0.98299478577570754</v>
      </c>
      <c r="Q368" s="129">
        <f>Pipelines!V48</f>
        <v>0.99999984903912131</v>
      </c>
      <c r="R368" s="129">
        <f>Pipelines!W48</f>
        <v>1.0484062167449615</v>
      </c>
      <c r="S368" s="129">
        <f>Pipelines!Y48</f>
        <v>1.0305776888581972</v>
      </c>
    </row>
    <row r="369" spans="10:19" x14ac:dyDescent="0.2">
      <c r="K369" s="173"/>
      <c r="O369">
        <f t="shared" si="27"/>
        <v>1988</v>
      </c>
      <c r="P369" s="129">
        <f>Pipelines!T49</f>
        <v>1.0321710945382276</v>
      </c>
      <c r="Q369" s="129">
        <f>Pipelines!V49</f>
        <v>0.99999991682538569</v>
      </c>
      <c r="R369" s="129">
        <f>Pipelines!W49</f>
        <v>1.1806620746017531</v>
      </c>
      <c r="S369" s="129">
        <f>Pipelines!Y49</f>
        <v>1.2186451644611169</v>
      </c>
    </row>
    <row r="370" spans="10:19" x14ac:dyDescent="0.2">
      <c r="J370" s="173" t="s">
        <v>270</v>
      </c>
      <c r="O370">
        <f t="shared" si="27"/>
        <v>1989</v>
      </c>
      <c r="P370" s="129">
        <f>Pipelines!T50</f>
        <v>1.1017418936971584</v>
      </c>
      <c r="Q370" s="129">
        <f>Pipelines!V50</f>
        <v>1.0000001545079382</v>
      </c>
      <c r="R370" s="129">
        <f>Pipelines!W50</f>
        <v>1.1338470353091292</v>
      </c>
      <c r="S370" s="129">
        <f>Pipelines!Y50</f>
        <v>1.2492069728567532</v>
      </c>
    </row>
    <row r="371" spans="10:19" x14ac:dyDescent="0.2">
      <c r="O371">
        <f t="shared" si="27"/>
        <v>1990</v>
      </c>
      <c r="P371" s="129">
        <f>Pipelines!T51</f>
        <v>1.0927331363175603</v>
      </c>
      <c r="Q371" s="129">
        <f>Pipelines!V51</f>
        <v>1.000000134609113</v>
      </c>
      <c r="R371" s="129">
        <f>Pipelines!W51</f>
        <v>1.1986153032863973</v>
      </c>
      <c r="S371" s="129">
        <f>Pipelines!Y51</f>
        <v>1.3097668359048975</v>
      </c>
    </row>
    <row r="372" spans="10:19" x14ac:dyDescent="0.2">
      <c r="O372">
        <f t="shared" si="27"/>
        <v>1991</v>
      </c>
      <c r="P372" s="129">
        <f>Pipelines!T52</f>
        <v>1.1277808663829945</v>
      </c>
      <c r="Q372" s="129">
        <f>Pipelines!V52</f>
        <v>1.000000230422865</v>
      </c>
      <c r="R372" s="129">
        <f>Pipelines!W52</f>
        <v>1.0583788190722463</v>
      </c>
      <c r="S372" s="129">
        <f>Pipelines!Y52</f>
        <v>1.1936196565719066</v>
      </c>
    </row>
    <row r="373" spans="10:19" x14ac:dyDescent="0.2">
      <c r="O373">
        <f t="shared" si="27"/>
        <v>1992</v>
      </c>
      <c r="P373" s="129">
        <f>Pipelines!T53</f>
        <v>1.1681449694313195</v>
      </c>
      <c r="Q373" s="129">
        <f>Pipelines!V53</f>
        <v>1.0000002722190211</v>
      </c>
      <c r="R373" s="129">
        <f>Pipelines!W53</f>
        <v>0.99870532653284494</v>
      </c>
      <c r="S373" s="129">
        <f>Pipelines!Y53</f>
        <v>1.166632920713192</v>
      </c>
    </row>
    <row r="374" spans="10:19" x14ac:dyDescent="0.2">
      <c r="O374">
        <f t="shared" si="27"/>
        <v>1993</v>
      </c>
      <c r="P374" s="129">
        <f>Pipelines!T54</f>
        <v>1.2012795994144474</v>
      </c>
      <c r="Q374" s="129">
        <f>Pipelines!V54</f>
        <v>1.0000003203830845</v>
      </c>
      <c r="R374" s="129">
        <f>Pipelines!W54</f>
        <v>1.0316343783526623</v>
      </c>
      <c r="S374" s="129">
        <f>Pipelines!Y54</f>
        <v>1.239281729814435</v>
      </c>
    </row>
    <row r="375" spans="10:19" x14ac:dyDescent="0.2">
      <c r="O375">
        <f t="shared" si="27"/>
        <v>1994</v>
      </c>
      <c r="P375" s="129">
        <f>Pipelines!T55</f>
        <v>1.2293876925246348</v>
      </c>
      <c r="Q375" s="129">
        <f>Pipelines!V55</f>
        <v>1.0000003791810947</v>
      </c>
      <c r="R375" s="129">
        <f>Pipelines!W55</f>
        <v>1.106629243289017</v>
      </c>
      <c r="S375" s="129">
        <f>Pipelines!Y55</f>
        <v>1.3604768877542879</v>
      </c>
    </row>
    <row r="376" spans="10:19" x14ac:dyDescent="0.2">
      <c r="O376">
        <f t="shared" si="27"/>
        <v>1995</v>
      </c>
      <c r="P376" s="129">
        <f>Pipelines!T56</f>
        <v>1.2830441067531702</v>
      </c>
      <c r="Q376" s="129">
        <f>Pipelines!V56</f>
        <v>1.0000004352325724</v>
      </c>
      <c r="R376" s="129">
        <f>Pipelines!W56</f>
        <v>1.0835156860625974</v>
      </c>
      <c r="S376" s="129">
        <f>Pipelines!Y56</f>
        <v>1.3901990206368666</v>
      </c>
    </row>
    <row r="377" spans="10:19" x14ac:dyDescent="0.2">
      <c r="O377">
        <f t="shared" si="27"/>
        <v>1996</v>
      </c>
      <c r="P377" s="129">
        <f>Pipelines!T57</f>
        <v>1.3059132111018839</v>
      </c>
      <c r="Q377" s="129">
        <f>Pipelines!V57</f>
        <v>1.0000004091249579</v>
      </c>
      <c r="R377" s="129">
        <f>Pipelines!W57</f>
        <v>1.0814304549501863</v>
      </c>
      <c r="S377" s="129">
        <f>Pipelines!Y57</f>
        <v>1.4122548957958578</v>
      </c>
    </row>
    <row r="378" spans="10:19" x14ac:dyDescent="0.2">
      <c r="O378">
        <f t="shared" si="27"/>
        <v>1997</v>
      </c>
      <c r="P378" s="129">
        <f>Pipelines!T58</f>
        <v>1.3144338835292992</v>
      </c>
      <c r="Q378" s="129">
        <f>Pipelines!V58</f>
        <v>1.0000004324736422</v>
      </c>
      <c r="R378" s="129">
        <f>Pipelines!W58</f>
        <v>1.134864107657396</v>
      </c>
      <c r="S378" s="129">
        <f>Pipelines!Y58</f>
        <v>1.4917044814287155</v>
      </c>
    </row>
    <row r="379" spans="10:19" x14ac:dyDescent="0.2">
      <c r="O379">
        <f t="shared" si="27"/>
        <v>1998</v>
      </c>
      <c r="P379" s="129">
        <f>Pipelines!T59</f>
        <v>1.2926205231761601</v>
      </c>
      <c r="Q379" s="129">
        <f>Pipelines!V59</f>
        <v>1.0000003848102217</v>
      </c>
      <c r="R379" s="129">
        <f>Pipelines!W59</f>
        <v>0.97588753216562818</v>
      </c>
      <c r="S379" s="129">
        <f>Pipelines!Y59</f>
        <v>1.2614527378087474</v>
      </c>
    </row>
    <row r="380" spans="10:19" x14ac:dyDescent="0.2">
      <c r="O380">
        <f t="shared" si="27"/>
        <v>1999</v>
      </c>
      <c r="P380" s="129">
        <f>Pipelines!T60</f>
        <v>1.3079921142242175</v>
      </c>
      <c r="Q380" s="129">
        <f>Pipelines!V60</f>
        <v>1.0000004177775941</v>
      </c>
      <c r="R380" s="129">
        <f>Pipelines!W60</f>
        <v>0.97935533184253831</v>
      </c>
      <c r="S380" s="129">
        <f>Pipelines!Y60</f>
        <v>1.2809895862420062</v>
      </c>
    </row>
    <row r="381" spans="10:19" x14ac:dyDescent="0.2">
      <c r="O381">
        <f t="shared" si="27"/>
        <v>2000</v>
      </c>
      <c r="P381" s="129">
        <f>Pipelines!T61</f>
        <v>1.3623283244283992</v>
      </c>
      <c r="Q381" s="129">
        <f>Pipelines!V61</f>
        <v>1.0000006385626756</v>
      </c>
      <c r="R381" s="129">
        <f>Pipelines!W61</f>
        <v>0.93576359907054529</v>
      </c>
      <c r="S381" s="129">
        <f>Pipelines!Y61</f>
        <v>1.2748180700335829</v>
      </c>
    </row>
    <row r="382" spans="10:19" x14ac:dyDescent="0.2">
      <c r="O382">
        <f t="shared" si="27"/>
        <v>2001</v>
      </c>
      <c r="P382" s="129">
        <f>Pipelines!T62</f>
        <v>1.296244913430024</v>
      </c>
      <c r="Q382" s="129">
        <f>Pipelines!V62</f>
        <v>1.0000005444142397</v>
      </c>
      <c r="R382" s="129">
        <f>Pipelines!W62</f>
        <v>0.95705929753561447</v>
      </c>
      <c r="S382" s="129">
        <f>Pipelines!Y62</f>
        <v>1.2405839216726375</v>
      </c>
    </row>
    <row r="383" spans="10:19" x14ac:dyDescent="0.2">
      <c r="O383">
        <f t="shared" si="27"/>
        <v>2002</v>
      </c>
      <c r="P383" s="129">
        <f>Pipelines!T63</f>
        <v>1.342535459842733</v>
      </c>
      <c r="Q383" s="129">
        <f>Pipelines!V63</f>
        <v>1.00000057993397</v>
      </c>
      <c r="R383" s="129">
        <f>Pipelines!W63</f>
        <v>0.98609526011787019</v>
      </c>
      <c r="S383" s="129">
        <f>Pipelines!Y63</f>
        <v>1.3238686212470252</v>
      </c>
    </row>
    <row r="384" spans="10:19" x14ac:dyDescent="0.2">
      <c r="O384">
        <f t="shared" ref="O384:O389" si="28">O383+1</f>
        <v>2003</v>
      </c>
      <c r="P384" s="129">
        <f>Pipelines!T64</f>
        <v>1.3005215743502181</v>
      </c>
      <c r="Q384" s="129">
        <f>Pipelines!V64</f>
        <v>1.0000005017051239</v>
      </c>
      <c r="R384" s="129">
        <f>Pipelines!W64</f>
        <v>0.90282222813553814</v>
      </c>
      <c r="S384" s="129">
        <f>Pipelines!Y64</f>
        <v>1.1741403745651489</v>
      </c>
    </row>
    <row r="385" spans="10:19" x14ac:dyDescent="0.2">
      <c r="O385">
        <f t="shared" si="28"/>
        <v>2004</v>
      </c>
      <c r="P385" s="129">
        <f>Pipelines!T65</f>
        <v>1.3107774675345432</v>
      </c>
      <c r="Q385" s="129">
        <f>Pipelines!V65</f>
        <v>1.0000004852210231</v>
      </c>
      <c r="R385" s="129">
        <f>Pipelines!W65</f>
        <v>0.85743629407324051</v>
      </c>
      <c r="S385" s="129">
        <f>Pipelines!Y65</f>
        <v>1.1239087194614008</v>
      </c>
    </row>
    <row r="386" spans="10:19" x14ac:dyDescent="0.2">
      <c r="O386">
        <f t="shared" si="28"/>
        <v>2005</v>
      </c>
      <c r="P386" s="129">
        <f>Pipelines!T66</f>
        <v>1.2848572848425135</v>
      </c>
      <c r="Q386" s="129">
        <f>Pipelines!V66</f>
        <v>1.0000004152113084</v>
      </c>
      <c r="R386" s="129">
        <f>Pipelines!W66</f>
        <v>0.90229439018279256</v>
      </c>
      <c r="S386" s="129">
        <f>Pipelines!Y66</f>
        <v>1.15932000166147</v>
      </c>
    </row>
    <row r="387" spans="10:19" x14ac:dyDescent="0.2">
      <c r="O387">
        <f t="shared" si="28"/>
        <v>2006</v>
      </c>
      <c r="P387" s="129">
        <f>Pipelines!T67</f>
        <v>1.2623033009838875</v>
      </c>
      <c r="Q387" s="129">
        <f>Pipelines!V67</f>
        <v>1.0000004712490571</v>
      </c>
      <c r="R387" s="129">
        <f>Pipelines!W67</f>
        <v>0.91870999489313165</v>
      </c>
      <c r="S387" s="129">
        <f>Pipelines!Y67</f>
        <v>1.1596912057036211</v>
      </c>
    </row>
    <row r="388" spans="10:19" x14ac:dyDescent="0.2">
      <c r="O388">
        <f t="shared" si="28"/>
        <v>2007</v>
      </c>
      <c r="P388" s="129">
        <f>Pipelines!T68</f>
        <v>1.3439504687594459</v>
      </c>
      <c r="Q388" s="129">
        <f>Pipelines!V68</f>
        <v>1.0000006785804247</v>
      </c>
      <c r="R388" s="129">
        <f>Pipelines!W68</f>
        <v>0.91776961898658915</v>
      </c>
      <c r="S388" s="129">
        <f>Pipelines!Y68</f>
        <v>1.2334377466363478</v>
      </c>
    </row>
    <row r="389" spans="10:19" x14ac:dyDescent="0.2">
      <c r="O389">
        <f t="shared" si="28"/>
        <v>2008</v>
      </c>
      <c r="P389" s="129">
        <f>Pipelines!T69</f>
        <v>1.3535013401417979</v>
      </c>
      <c r="Q389" s="129">
        <f>Pipelines!V69</f>
        <v>1.000000530443927</v>
      </c>
      <c r="R389" s="129">
        <f>Pipelines!W69</f>
        <v>0.95029346406482584</v>
      </c>
      <c r="S389" s="129">
        <f>Pipelines!Y69</f>
        <v>1.2862241594091666</v>
      </c>
    </row>
    <row r="391" spans="10:19" x14ac:dyDescent="0.2">
      <c r="O391" t="s">
        <v>287</v>
      </c>
    </row>
    <row r="392" spans="10:19" x14ac:dyDescent="0.2">
      <c r="P392" s="36"/>
      <c r="Q392" s="36"/>
      <c r="R392" s="36"/>
    </row>
    <row r="393" spans="10:19" ht="26.25" thickBot="1" x14ac:dyDescent="0.25">
      <c r="J393" s="6" t="s">
        <v>242</v>
      </c>
      <c r="P393" s="157" t="s">
        <v>288</v>
      </c>
      <c r="Q393" s="157" t="s">
        <v>286</v>
      </c>
      <c r="R393" s="157" t="s">
        <v>734</v>
      </c>
    </row>
    <row r="394" spans="10:19" x14ac:dyDescent="0.2">
      <c r="J394" t="s">
        <v>240</v>
      </c>
      <c r="O394" s="105">
        <f>Passenger_Total!B41</f>
        <v>1980</v>
      </c>
      <c r="P394" s="129">
        <f>Passenger_Total!AC41</f>
        <v>0.998115730545862</v>
      </c>
      <c r="Q394" s="129">
        <f>Passenger_Total!AD41</f>
        <v>0.99470478957186526</v>
      </c>
      <c r="R394" s="129">
        <f>Passenger_Total!AI41</f>
        <v>0.99283049772099019</v>
      </c>
    </row>
    <row r="395" spans="10:19" x14ac:dyDescent="0.2">
      <c r="J395" t="s">
        <v>241</v>
      </c>
      <c r="O395" s="105">
        <f>Passenger_Total!B42</f>
        <v>1981</v>
      </c>
      <c r="P395" s="129">
        <f>Passenger_Total!AC42</f>
        <v>0.99767007523120244</v>
      </c>
      <c r="Q395" s="129">
        <f>Passenger_Total!AD42</f>
        <v>0.99546779661405005</v>
      </c>
      <c r="R395" s="129">
        <f>Passenger_Total!AI42</f>
        <v>0.99314843153817867</v>
      </c>
    </row>
    <row r="396" spans="10:19" x14ac:dyDescent="0.2">
      <c r="J396" t="s">
        <v>295</v>
      </c>
      <c r="O396" s="105">
        <f>Passenger_Total!B43</f>
        <v>1982</v>
      </c>
      <c r="P396" s="129">
        <f>Passenger_Total!AC43</f>
        <v>0.99811538035779224</v>
      </c>
      <c r="Q396" s="129">
        <f>Passenger_Total!AD43</f>
        <v>0.99554675675419246</v>
      </c>
      <c r="R396" s="129">
        <f>Passenger_Total!AI43</f>
        <v>0.99367052978167725</v>
      </c>
    </row>
    <row r="397" spans="10:19" x14ac:dyDescent="0.2">
      <c r="O397" s="105">
        <f>Passenger_Total!B44</f>
        <v>1983</v>
      </c>
      <c r="P397" s="129">
        <f>Passenger_Total!AC44</f>
        <v>0.99864216286143537</v>
      </c>
      <c r="Q397" s="129">
        <f>Passenger_Total!AD44</f>
        <v>0.9960087500536835</v>
      </c>
      <c r="R397" s="129">
        <f>Passenger_Total!AI44</f>
        <v>0.99465633238252527</v>
      </c>
    </row>
    <row r="398" spans="10:19" x14ac:dyDescent="0.2">
      <c r="O398" s="105">
        <f>Passenger_Total!B45</f>
        <v>1984</v>
      </c>
      <c r="P398" s="129">
        <f>Passenger_Total!AC45</f>
        <v>0.99925326418454496</v>
      </c>
      <c r="Q398" s="129">
        <f>Passenger_Total!AD45</f>
        <v>0.99881024808186381</v>
      </c>
      <c r="R398" s="129">
        <f>Passenger_Total!AI45</f>
        <v>0.9980644006967776</v>
      </c>
    </row>
    <row r="399" spans="10:19" x14ac:dyDescent="0.2">
      <c r="O399" s="105">
        <f>Passenger_Total!B46</f>
        <v>1985</v>
      </c>
      <c r="P399" s="129">
        <f>Passenger_Total!AC46</f>
        <v>1</v>
      </c>
      <c r="Q399" s="129">
        <f>Passenger_Total!AD46</f>
        <v>1</v>
      </c>
      <c r="R399" s="129">
        <f>Passenger_Total!AI46</f>
        <v>1</v>
      </c>
    </row>
    <row r="400" spans="10:19" x14ac:dyDescent="0.2">
      <c r="O400" s="105">
        <f>Passenger_Total!B47</f>
        <v>1986</v>
      </c>
      <c r="P400" s="129">
        <f>Passenger_Total!AC47</f>
        <v>1.0004473806098828</v>
      </c>
      <c r="Q400" s="129">
        <f>Passenger_Total!AD47</f>
        <v>1.0013852038057085</v>
      </c>
      <c r="R400" s="129">
        <f>Passenger_Total!AI47</f>
        <v>1.0018332041289146</v>
      </c>
    </row>
    <row r="401" spans="15:18" x14ac:dyDescent="0.2">
      <c r="O401" s="105">
        <f>Passenger_Total!B48</f>
        <v>1987</v>
      </c>
      <c r="P401" s="129">
        <f>Passenger_Total!AC48</f>
        <v>1.0007426070450776</v>
      </c>
      <c r="Q401" s="129">
        <f>Passenger_Total!AD48</f>
        <v>1.0018776940226601</v>
      </c>
      <c r="R401" s="129">
        <f>Passenger_Total!AI48</f>
        <v>1.0026216954565474</v>
      </c>
    </row>
    <row r="402" spans="15:18" x14ac:dyDescent="0.2">
      <c r="O402" s="105">
        <f>Passenger_Total!B49</f>
        <v>1988</v>
      </c>
      <c r="P402" s="129">
        <f>Passenger_Total!AC49</f>
        <v>1.0007955691342769</v>
      </c>
      <c r="Q402" s="129">
        <f>Passenger_Total!AD49</f>
        <v>1.0034841291173771</v>
      </c>
      <c r="R402" s="129">
        <f>Passenger_Total!AI49</f>
        <v>1.0042824701172397</v>
      </c>
    </row>
    <row r="403" spans="15:18" x14ac:dyDescent="0.2">
      <c r="O403" s="105">
        <f>Passenger_Total!B50</f>
        <v>1989</v>
      </c>
      <c r="P403" s="129">
        <f>Passenger_Total!AC50</f>
        <v>1.0007475606828271</v>
      </c>
      <c r="Q403" s="129">
        <f>Passenger_Total!AD50</f>
        <v>1.0043079311991976</v>
      </c>
      <c r="R403" s="129">
        <f>Passenger_Total!AI50</f>
        <v>1.0050587123220136</v>
      </c>
    </row>
    <row r="404" spans="15:18" x14ac:dyDescent="0.2">
      <c r="O404" s="105">
        <f>Passenger_Total!B51</f>
        <v>1990</v>
      </c>
      <c r="P404" s="129">
        <f>Passenger_Total!AC51</f>
        <v>1.0009776493889424</v>
      </c>
      <c r="Q404" s="129">
        <f>Passenger_Total!AD51</f>
        <v>1.0057766721692718</v>
      </c>
      <c r="R404" s="129">
        <f>Passenger_Total!AI51</f>
        <v>1.0067599691182305</v>
      </c>
    </row>
    <row r="405" spans="15:18" x14ac:dyDescent="0.2">
      <c r="O405" s="105">
        <f>Passenger_Total!B52</f>
        <v>1991</v>
      </c>
      <c r="P405" s="129">
        <f>Passenger_Total!AC52</f>
        <v>1.0009194271917103</v>
      </c>
      <c r="Q405" s="129">
        <f>Passenger_Total!AD52</f>
        <v>1.010004056279064</v>
      </c>
      <c r="R405" s="129">
        <f>Passenger_Total!AI52</f>
        <v>1.0109326814721447</v>
      </c>
    </row>
    <row r="406" spans="15:18" x14ac:dyDescent="0.2">
      <c r="O406" s="105">
        <f>Passenger_Total!B53</f>
        <v>1992</v>
      </c>
      <c r="P406" s="129">
        <f>Passenger_Total!AC53</f>
        <v>1.0009803641229056</v>
      </c>
      <c r="Q406" s="129">
        <f>Passenger_Total!AD53</f>
        <v>1.0112748356797412</v>
      </c>
      <c r="R406" s="129">
        <f>Passenger_Total!AI53</f>
        <v>1.0122662532470388</v>
      </c>
    </row>
    <row r="407" spans="15:18" x14ac:dyDescent="0.2">
      <c r="O407" s="105">
        <f>Passenger_Total!B54</f>
        <v>1993</v>
      </c>
      <c r="P407" s="129">
        <f>Passenger_Total!AC54</f>
        <v>1.0010431034100542</v>
      </c>
      <c r="Q407" s="129">
        <f>Passenger_Total!AD54</f>
        <v>1.0113791190007067</v>
      </c>
      <c r="R407" s="129">
        <f>Passenger_Total!AI54</f>
        <v>1.0124340920085939</v>
      </c>
    </row>
    <row r="408" spans="15:18" x14ac:dyDescent="0.2">
      <c r="O408" s="105">
        <f>Passenger_Total!B55</f>
        <v>1994</v>
      </c>
      <c r="P408" s="129">
        <f>Passenger_Total!AC55</f>
        <v>1.0007444137324166</v>
      </c>
      <c r="Q408" s="129">
        <f>Passenger_Total!AD55</f>
        <v>1.0098566397492827</v>
      </c>
      <c r="R408" s="129">
        <f>Passenger_Total!AI55</f>
        <v>1.0106083908996841</v>
      </c>
    </row>
    <row r="409" spans="15:18" x14ac:dyDescent="0.2">
      <c r="O409" s="105">
        <f>Passenger_Total!B56</f>
        <v>1995</v>
      </c>
      <c r="P409" s="129">
        <f>Passenger_Total!AC56</f>
        <v>1.0006460582392023</v>
      </c>
      <c r="Q409" s="129">
        <f>Passenger_Total!AD56</f>
        <v>1.0097605035707673</v>
      </c>
      <c r="R409" s="129">
        <f>Passenger_Total!AI56</f>
        <v>1.0104128676637203</v>
      </c>
    </row>
    <row r="410" spans="15:18" x14ac:dyDescent="0.2">
      <c r="O410" s="105">
        <f>Passenger_Total!B57</f>
        <v>1996</v>
      </c>
      <c r="P410" s="129">
        <f>Passenger_Total!AC57</f>
        <v>1.0002779136194437</v>
      </c>
      <c r="Q410" s="129">
        <f>Passenger_Total!AD57</f>
        <v>1.0111148455576338</v>
      </c>
      <c r="R410" s="129">
        <f>Passenger_Total!AI57</f>
        <v>1.0113958481440359</v>
      </c>
    </row>
    <row r="411" spans="15:18" x14ac:dyDescent="0.2">
      <c r="O411" s="105">
        <f>Passenger_Total!B58</f>
        <v>1997</v>
      </c>
      <c r="P411" s="129">
        <f>Passenger_Total!AC58</f>
        <v>1.0001937906583624</v>
      </c>
      <c r="Q411" s="129">
        <f>Passenger_Total!AD58</f>
        <v>1.0134305219324116</v>
      </c>
      <c r="R411" s="129">
        <f>Passenger_Total!AI58</f>
        <v>1.0136269153004613</v>
      </c>
    </row>
    <row r="412" spans="15:18" x14ac:dyDescent="0.2">
      <c r="O412" s="105">
        <f>Passenger_Total!B59</f>
        <v>1998</v>
      </c>
      <c r="P412" s="129">
        <f>Passenger_Total!AC59</f>
        <v>1.0002195543724861</v>
      </c>
      <c r="Q412" s="129">
        <f>Passenger_Total!AD59</f>
        <v>1.013865910459965</v>
      </c>
      <c r="R412" s="129">
        <f>Passenger_Total!AI59</f>
        <v>1.0140885091537211</v>
      </c>
    </row>
    <row r="413" spans="15:18" x14ac:dyDescent="0.2">
      <c r="O413" s="105">
        <f>Passenger_Total!B60</f>
        <v>1999</v>
      </c>
      <c r="P413" s="129">
        <f>Passenger_Total!AC60</f>
        <v>0.99995013200119665</v>
      </c>
      <c r="Q413" s="129">
        <f>Passenger_Total!AD60</f>
        <v>1.0155206143966238</v>
      </c>
      <c r="R413" s="129">
        <f>Passenger_Total!AI60</f>
        <v>1.0154699724158402</v>
      </c>
    </row>
    <row r="414" spans="15:18" x14ac:dyDescent="0.2">
      <c r="O414" s="105">
        <f>Passenger_Total!B61</f>
        <v>2000</v>
      </c>
      <c r="P414" s="129">
        <f>Passenger_Total!AC61</f>
        <v>0.99951593447932263</v>
      </c>
      <c r="Q414" s="129">
        <f>Passenger_Total!AD61</f>
        <v>1.0158077806789707</v>
      </c>
      <c r="R414" s="129">
        <f>Passenger_Total!AI61</f>
        <v>1.0153160631567082</v>
      </c>
    </row>
    <row r="415" spans="15:18" x14ac:dyDescent="0.2">
      <c r="O415" s="105">
        <f>Passenger_Total!B62</f>
        <v>2001</v>
      </c>
      <c r="P415" s="129">
        <f>Passenger_Total!AC62</f>
        <v>1.0003958384203344</v>
      </c>
      <c r="Q415" s="129">
        <f>Passenger_Total!AD62</f>
        <v>1.0166350825698722</v>
      </c>
      <c r="R415" s="129">
        <f>Passenger_Total!AI62</f>
        <v>1.0170375057950132</v>
      </c>
    </row>
    <row r="416" spans="15:18" x14ac:dyDescent="0.2">
      <c r="O416" s="105">
        <f>Passenger_Total!B63</f>
        <v>2002</v>
      </c>
      <c r="P416" s="129">
        <f>Passenger_Total!AC63</f>
        <v>1.0010023764065337</v>
      </c>
      <c r="Q416" s="129">
        <f>Passenger_Total!AD63</f>
        <v>1.0161271586132619</v>
      </c>
      <c r="R416" s="129">
        <f>Passenger_Total!AI63</f>
        <v>1.0171457005030939</v>
      </c>
    </row>
    <row r="417" spans="15:21" x14ac:dyDescent="0.2">
      <c r="O417" s="105">
        <f>Passenger_Total!B64</f>
        <v>2003</v>
      </c>
      <c r="P417" s="129">
        <f>Passenger_Total!AC64</f>
        <v>1.0007858550760909</v>
      </c>
      <c r="Q417" s="129">
        <f>Passenger_Total!AD64</f>
        <v>1.0160501668641928</v>
      </c>
      <c r="R417" s="129">
        <f>Passenger_Total!AI64</f>
        <v>1.016848635045386</v>
      </c>
    </row>
    <row r="418" spans="15:21" x14ac:dyDescent="0.2">
      <c r="O418" s="105">
        <f>Passenger_Total!B65</f>
        <v>2004</v>
      </c>
      <c r="P418" s="129">
        <f>Passenger_Total!AC65</f>
        <v>0.99861750214117573</v>
      </c>
      <c r="Q418" s="129">
        <f>Passenger_Total!AD65</f>
        <v>1.0186340045176621</v>
      </c>
      <c r="R418" s="129">
        <f>Passenger_Total!AI65</f>
        <v>1.0172257451874909</v>
      </c>
    </row>
    <row r="419" spans="15:21" x14ac:dyDescent="0.2">
      <c r="O419" s="105">
        <f>Passenger_Total!B66</f>
        <v>2005</v>
      </c>
      <c r="P419" s="129">
        <f>Passenger_Total!AC66</f>
        <v>0.99721377213400075</v>
      </c>
      <c r="Q419" s="129">
        <f>Passenger_Total!AD66</f>
        <v>1.0214433170931456</v>
      </c>
      <c r="R419" s="129">
        <f>Passenger_Total!AI66</f>
        <v>1.0185973432595219</v>
      </c>
    </row>
    <row r="420" spans="15:21" x14ac:dyDescent="0.2">
      <c r="O420" s="105">
        <f>Passenger_Total!B67</f>
        <v>2006</v>
      </c>
      <c r="P420" s="129">
        <f>Passenger_Total!AC67</f>
        <v>0.99704594055080342</v>
      </c>
      <c r="Q420" s="129">
        <f>Passenger_Total!AD67</f>
        <v>1.022474493006623</v>
      </c>
      <c r="R420" s="129">
        <f>Passenger_Total!AI67</f>
        <v>1.0194540425689942</v>
      </c>
    </row>
    <row r="421" spans="15:21" x14ac:dyDescent="0.2">
      <c r="O421" s="105">
        <f>Passenger_Total!B68</f>
        <v>2007</v>
      </c>
      <c r="P421" s="129">
        <f>Passenger_Total!AC68</f>
        <v>0.99628632620909019</v>
      </c>
      <c r="Q421" s="129">
        <f>Passenger_Total!AD68</f>
        <v>1.0221291004641111</v>
      </c>
      <c r="R421" s="129">
        <f>Passenger_Total!AI68</f>
        <v>1.0183332464127912</v>
      </c>
    </row>
    <row r="422" spans="15:21" x14ac:dyDescent="0.2">
      <c r="O422" s="105">
        <f>Passenger_Total!B69</f>
        <v>2008</v>
      </c>
      <c r="P422" s="129">
        <f>Passenger_Total!AC69</f>
        <v>0.99604105359433759</v>
      </c>
      <c r="Q422" s="129">
        <f>Passenger_Total!AD69</f>
        <v>1.0243895361715245</v>
      </c>
      <c r="R422" s="129">
        <f>Passenger_Total!AI69</f>
        <v>1.0203340328993</v>
      </c>
    </row>
    <row r="423" spans="15:21" x14ac:dyDescent="0.2">
      <c r="R423" s="129">
        <f>P422*Q422</f>
        <v>1.0203340328993</v>
      </c>
    </row>
    <row r="426" spans="15:21" x14ac:dyDescent="0.2">
      <c r="O426" s="7" t="s">
        <v>784</v>
      </c>
    </row>
    <row r="427" spans="15:21" x14ac:dyDescent="0.2">
      <c r="P427" s="36"/>
      <c r="Q427" s="36"/>
      <c r="R427" s="36"/>
      <c r="S427" s="36"/>
    </row>
    <row r="428" spans="15:21" ht="26.25" thickBot="1" x14ac:dyDescent="0.25">
      <c r="P428" s="157" t="s">
        <v>757</v>
      </c>
      <c r="Q428" s="157" t="s">
        <v>775</v>
      </c>
      <c r="R428" s="157" t="s">
        <v>776</v>
      </c>
      <c r="T428" s="424" t="s">
        <v>787</v>
      </c>
      <c r="U428" s="424" t="s">
        <v>790</v>
      </c>
    </row>
    <row r="429" spans="15:21" x14ac:dyDescent="0.2">
      <c r="O429">
        <v>1985</v>
      </c>
      <c r="P429" s="129">
        <f>T429/T$429</f>
        <v>1</v>
      </c>
      <c r="Q429" s="129">
        <f>Freight_Total!Z45</f>
        <v>1</v>
      </c>
      <c r="R429" s="129">
        <f>U429/U$429</f>
        <v>1</v>
      </c>
      <c r="T429" s="138">
        <f>Freight_Total!K45</f>
        <v>909203.42630225839</v>
      </c>
      <c r="U429">
        <f>Freight_Total!E45</f>
        <v>436.099153</v>
      </c>
    </row>
    <row r="430" spans="15:21" x14ac:dyDescent="0.2">
      <c r="O430">
        <f>O429+1</f>
        <v>1986</v>
      </c>
      <c r="P430" s="129">
        <f t="shared" ref="P430:P452" si="29">T430/T$429</f>
        <v>1.0290655154584982</v>
      </c>
      <c r="Q430" s="129">
        <f>Freight_Total!Z46</f>
        <v>0.97688364766630265</v>
      </c>
      <c r="R430" s="129">
        <f t="shared" ref="R430:R452" si="30">U430/U$429</f>
        <v>0.96656658789704186</v>
      </c>
      <c r="T430" s="138">
        <f>Freight_Total!K46</f>
        <v>935629.8925443663</v>
      </c>
      <c r="U430">
        <f>Freight_Total!E46</f>
        <v>421.5188703</v>
      </c>
    </row>
    <row r="431" spans="15:21" x14ac:dyDescent="0.2">
      <c r="O431">
        <f t="shared" ref="O431:O452" si="31">O430+1</f>
        <v>1987</v>
      </c>
      <c r="P431" s="129">
        <f t="shared" si="29"/>
        <v>1.0802524643390676</v>
      </c>
      <c r="Q431" s="129">
        <f>Freight_Total!Z47</f>
        <v>0.91685546333217693</v>
      </c>
      <c r="R431" s="129">
        <f t="shared" si="30"/>
        <v>0.9866537963672678</v>
      </c>
      <c r="T431" s="138">
        <f>Freight_Total!K47</f>
        <v>982169.2418485384</v>
      </c>
      <c r="U431">
        <f>Freight_Total!E47</f>
        <v>430.27888489999998</v>
      </c>
    </row>
    <row r="432" spans="15:21" x14ac:dyDescent="0.2">
      <c r="O432">
        <f t="shared" si="31"/>
        <v>1988</v>
      </c>
      <c r="P432" s="129">
        <f t="shared" si="29"/>
        <v>1.1343864966650128</v>
      </c>
      <c r="Q432" s="129">
        <f>Freight_Total!Z48</f>
        <v>0.89100637821397577</v>
      </c>
      <c r="R432" s="129">
        <f t="shared" si="30"/>
        <v>1.0121102732341238</v>
      </c>
      <c r="T432" s="138">
        <f>Freight_Total!K48</f>
        <v>1031388.0895188451</v>
      </c>
      <c r="U432">
        <f>Freight_Total!E48</f>
        <v>441.38043289999996</v>
      </c>
    </row>
    <row r="433" spans="15:21" x14ac:dyDescent="0.2">
      <c r="O433">
        <f t="shared" si="31"/>
        <v>1989</v>
      </c>
      <c r="P433" s="129">
        <f t="shared" si="29"/>
        <v>1.1618002872649023</v>
      </c>
      <c r="Q433" s="129">
        <f>Freight_Total!Z49</f>
        <v>0.87783857800364085</v>
      </c>
      <c r="R433" s="129">
        <f t="shared" si="30"/>
        <v>1.0148289384547371</v>
      </c>
      <c r="T433" s="138">
        <f>Freight_Total!K49</f>
        <v>1056312.8018601972</v>
      </c>
      <c r="U433">
        <f>Freight_Total!E49</f>
        <v>442.56604049999999</v>
      </c>
    </row>
    <row r="434" spans="15:21" x14ac:dyDescent="0.2">
      <c r="O434">
        <f t="shared" si="31"/>
        <v>1990</v>
      </c>
      <c r="P434" s="129">
        <f t="shared" si="29"/>
        <v>1.1910830193059121</v>
      </c>
      <c r="Q434" s="129">
        <f>Freight_Total!Z50</f>
        <v>0.84542359011971402</v>
      </c>
      <c r="R434" s="129">
        <f t="shared" si="30"/>
        <v>0.99675910170823001</v>
      </c>
      <c r="T434" s="138">
        <f>Freight_Total!K50</f>
        <v>1082936.7621633743</v>
      </c>
      <c r="U434">
        <f>Freight_Total!E50</f>
        <v>434.68579999999997</v>
      </c>
    </row>
    <row r="435" spans="15:21" x14ac:dyDescent="0.2">
      <c r="O435">
        <f t="shared" si="31"/>
        <v>1991</v>
      </c>
      <c r="P435" s="129">
        <f t="shared" si="29"/>
        <v>1.2179172724230229</v>
      </c>
      <c r="Q435" s="129">
        <f>Freight_Total!Z51</f>
        <v>0.78558632403894257</v>
      </c>
      <c r="R435" s="129">
        <f t="shared" si="30"/>
        <v>0.93060533873589069</v>
      </c>
      <c r="T435" s="138">
        <f>Freight_Total!K51</f>
        <v>1107334.5570397135</v>
      </c>
      <c r="U435">
        <f>Freight_Total!E51</f>
        <v>405.83620000000002</v>
      </c>
    </row>
    <row r="436" spans="15:21" x14ac:dyDescent="0.2">
      <c r="O436">
        <f t="shared" si="31"/>
        <v>1992</v>
      </c>
      <c r="P436" s="129">
        <f t="shared" si="29"/>
        <v>1.2468493711461419</v>
      </c>
      <c r="Q436" s="129">
        <f>Freight_Total!Z52</f>
        <v>0.7901364118939731</v>
      </c>
      <c r="R436" s="129">
        <f t="shared" si="30"/>
        <v>0.96113784472312425</v>
      </c>
      <c r="T436" s="138">
        <f>Freight_Total!K52</f>
        <v>1133639.7203288884</v>
      </c>
      <c r="U436">
        <f>Freight_Total!E52</f>
        <v>419.15140000000002</v>
      </c>
    </row>
    <row r="437" spans="15:21" x14ac:dyDescent="0.2">
      <c r="O437">
        <f t="shared" si="31"/>
        <v>1993</v>
      </c>
      <c r="P437" s="129">
        <f t="shared" si="29"/>
        <v>1.3049036607602793</v>
      </c>
      <c r="Q437" s="129">
        <f>Freight_Total!Z53</f>
        <v>0.78247404320658476</v>
      </c>
      <c r="R437" s="129">
        <f t="shared" si="30"/>
        <v>0.98976206908615583</v>
      </c>
      <c r="T437" s="138">
        <f>Freight_Total!K53</f>
        <v>1186422.8793576057</v>
      </c>
      <c r="U437">
        <f>Freight_Total!E53</f>
        <v>431.63440000000003</v>
      </c>
    </row>
    <row r="438" spans="15:21" x14ac:dyDescent="0.2">
      <c r="O438">
        <f t="shared" si="31"/>
        <v>1994</v>
      </c>
      <c r="P438" s="129">
        <f t="shared" si="29"/>
        <v>1.3927855976789256</v>
      </c>
      <c r="Q438" s="129">
        <f>Freight_Total!Z54</f>
        <v>0.77959665626455121</v>
      </c>
      <c r="R438" s="129">
        <f t="shared" si="30"/>
        <v>1.0673655218037077</v>
      </c>
      <c r="T438" s="138">
        <f>Freight_Total!K54</f>
        <v>1266325.4375141179</v>
      </c>
      <c r="U438">
        <f>Freight_Total!E54</f>
        <v>465.47719999999998</v>
      </c>
    </row>
    <row r="439" spans="15:21" x14ac:dyDescent="0.2">
      <c r="O439">
        <f t="shared" si="31"/>
        <v>1995</v>
      </c>
      <c r="P439" s="129">
        <f t="shared" si="29"/>
        <v>1.4502830633451118</v>
      </c>
      <c r="Q439" s="129">
        <f>Freight_Total!Z55</f>
        <v>0.74831355564692692</v>
      </c>
      <c r="R439" s="129">
        <f t="shared" si="30"/>
        <v>1.1141184215966593</v>
      </c>
      <c r="T439" s="138">
        <f>Freight_Total!K55</f>
        <v>1318602.3303015109</v>
      </c>
      <c r="U439">
        <f>Freight_Total!E55</f>
        <v>485.86610000000002</v>
      </c>
    </row>
    <row r="440" spans="15:21" x14ac:dyDescent="0.2">
      <c r="O440">
        <f t="shared" si="31"/>
        <v>1996</v>
      </c>
      <c r="P440" s="129">
        <f t="shared" si="29"/>
        <v>1.4888014544472341</v>
      </c>
      <c r="Q440" s="129">
        <f>Freight_Total!Z56</f>
        <v>0.74072043601605675</v>
      </c>
      <c r="R440" s="129">
        <f t="shared" si="30"/>
        <v>1.1452870214586268</v>
      </c>
      <c r="T440" s="138">
        <f>Freight_Total!K56</f>
        <v>1353623.3834672109</v>
      </c>
      <c r="U440">
        <f>Freight_Total!E56</f>
        <v>499.45870000000002</v>
      </c>
    </row>
    <row r="441" spans="15:21" x14ac:dyDescent="0.2">
      <c r="O441">
        <f t="shared" si="31"/>
        <v>1997</v>
      </c>
      <c r="P441" s="129">
        <f t="shared" si="29"/>
        <v>1.5552810871974152</v>
      </c>
      <c r="Q441" s="129">
        <f>Freight_Total!Z57</f>
        <v>0.74500472033122067</v>
      </c>
      <c r="R441" s="129">
        <f t="shared" si="30"/>
        <v>1.1459231153333609</v>
      </c>
      <c r="T441" s="138">
        <f>Freight_Total!K57</f>
        <v>1414066.8933429914</v>
      </c>
      <c r="U441">
        <f>Freight_Total!E57</f>
        <v>499.73610000000002</v>
      </c>
    </row>
    <row r="442" spans="15:21" x14ac:dyDescent="0.2">
      <c r="O442">
        <f t="shared" si="31"/>
        <v>1998</v>
      </c>
      <c r="P442" s="129">
        <f t="shared" si="29"/>
        <v>1.5937495294924189</v>
      </c>
      <c r="Q442" s="129">
        <f>Freight_Total!Z58</f>
        <v>0.73316206003668671</v>
      </c>
      <c r="R442" s="129">
        <f t="shared" si="30"/>
        <v>1.1510118663312332</v>
      </c>
      <c r="T442" s="138">
        <f>Freight_Total!K58</f>
        <v>1449042.5328821195</v>
      </c>
      <c r="U442">
        <f>Freight_Total!E58</f>
        <v>501.95530000000002</v>
      </c>
    </row>
    <row r="443" spans="15:21" x14ac:dyDescent="0.2">
      <c r="O443">
        <f t="shared" si="31"/>
        <v>1999</v>
      </c>
      <c r="P443" s="129">
        <f t="shared" si="29"/>
        <v>1.6455205363666647</v>
      </c>
      <c r="Q443" s="129">
        <f>Freight_Total!Z59</f>
        <v>0.72947841648584388</v>
      </c>
      <c r="R443" s="129">
        <f t="shared" si="30"/>
        <v>1.1923579681889453</v>
      </c>
      <c r="T443" s="138">
        <f>Freight_Total!K59</f>
        <v>1496112.9097153016</v>
      </c>
      <c r="U443">
        <f>Freight_Total!E59</f>
        <v>519.98630000000003</v>
      </c>
    </row>
    <row r="444" spans="15:21" x14ac:dyDescent="0.2">
      <c r="O444">
        <f t="shared" si="31"/>
        <v>2000</v>
      </c>
      <c r="P444" s="129">
        <f t="shared" si="29"/>
        <v>1.6651691221104059</v>
      </c>
      <c r="Q444" s="129">
        <f>Freight_Total!Z60</f>
        <v>0.70780786133146179</v>
      </c>
      <c r="R444" s="129">
        <f t="shared" si="30"/>
        <v>1.1831664116990386</v>
      </c>
      <c r="T444" s="138">
        <f>Freight_Total!K60</f>
        <v>1513977.4711955048</v>
      </c>
      <c r="U444">
        <f>Freight_Total!E60</f>
        <v>515.97787000000005</v>
      </c>
    </row>
    <row r="445" spans="15:21" x14ac:dyDescent="0.2">
      <c r="O445">
        <f t="shared" si="31"/>
        <v>2001</v>
      </c>
      <c r="P445" s="129">
        <f t="shared" si="29"/>
        <v>1.6977170444019685</v>
      </c>
      <c r="Q445" s="129">
        <f>Freight_Total!Z61</f>
        <v>0.69568627225594093</v>
      </c>
      <c r="R445" s="129">
        <f t="shared" si="30"/>
        <v>1.186315076378972</v>
      </c>
      <c r="T445" s="138">
        <f>Freight_Total!K61</f>
        <v>1543570.1536620131</v>
      </c>
      <c r="U445">
        <f>Freight_Total!E61</f>
        <v>517.351</v>
      </c>
    </row>
    <row r="446" spans="15:21" x14ac:dyDescent="0.2">
      <c r="O446">
        <f t="shared" si="31"/>
        <v>2002</v>
      </c>
      <c r="P446" s="129">
        <f t="shared" si="29"/>
        <v>1.7483953549264097</v>
      </c>
      <c r="Q446" s="129">
        <f>Freight_Total!Z62</f>
        <v>0.69432026266230418</v>
      </c>
      <c r="R446" s="129">
        <f t="shared" si="30"/>
        <v>1.193121280838626</v>
      </c>
      <c r="T446" s="138">
        <f>Freight_Total!K62</f>
        <v>1589647.0472300448</v>
      </c>
      <c r="U446">
        <f>Freight_Total!E62</f>
        <v>520.31917999999996</v>
      </c>
    </row>
    <row r="447" spans="15:21" x14ac:dyDescent="0.2">
      <c r="O447">
        <f t="shared" si="31"/>
        <v>2003</v>
      </c>
      <c r="P447" s="129">
        <f t="shared" si="29"/>
        <v>1.7674683735393102</v>
      </c>
      <c r="Q447" s="129">
        <f>Freight_Total!Z63</f>
        <v>0.69202046895929181</v>
      </c>
      <c r="R447" s="129">
        <f t="shared" si="30"/>
        <v>1.2242262713131205</v>
      </c>
      <c r="T447" s="138">
        <f>Freight_Total!K63</f>
        <v>1606988.3011028208</v>
      </c>
      <c r="U447">
        <f>Freight_Total!E63</f>
        <v>533.88404000000003</v>
      </c>
    </row>
    <row r="448" spans="15:21" x14ac:dyDescent="0.2">
      <c r="O448">
        <f t="shared" si="31"/>
        <v>2004</v>
      </c>
      <c r="P448" s="129">
        <f t="shared" si="29"/>
        <v>1.7927075089822131</v>
      </c>
      <c r="Q448" s="129">
        <f>Freight_Total!Z64</f>
        <v>0.68484125198682833</v>
      </c>
      <c r="R448" s="129">
        <f t="shared" si="30"/>
        <v>1.2983312077196352</v>
      </c>
      <c r="T448" s="138">
        <f>Freight_Total!K64</f>
        <v>1629935.8095244148</v>
      </c>
      <c r="U448">
        <f>Freight_Total!E64</f>
        <v>566.20114000000001</v>
      </c>
    </row>
    <row r="449" spans="15:21" x14ac:dyDescent="0.2">
      <c r="O449">
        <f t="shared" si="31"/>
        <v>2005</v>
      </c>
      <c r="P449" s="129">
        <f t="shared" si="29"/>
        <v>1.8094198191245459</v>
      </c>
      <c r="Q449" s="129">
        <f>Freight_Total!Z65</f>
        <v>0.67738394453651407</v>
      </c>
      <c r="R449" s="129">
        <f t="shared" si="30"/>
        <v>1.3103215772583716</v>
      </c>
      <c r="T449" s="138">
        <f>Freight_Total!K65</f>
        <v>1645130.6991672497</v>
      </c>
      <c r="U449">
        <f>Freight_Total!E65</f>
        <v>571.43012999999996</v>
      </c>
    </row>
    <row r="450" spans="15:21" x14ac:dyDescent="0.2">
      <c r="O450">
        <f t="shared" si="31"/>
        <v>2006</v>
      </c>
      <c r="P450" s="129">
        <f t="shared" si="29"/>
        <v>1.799946279520275</v>
      </c>
      <c r="Q450" s="129">
        <f>Freight_Total!Z66</f>
        <v>0.66340718124591003</v>
      </c>
      <c r="R450" s="129">
        <f t="shared" si="30"/>
        <v>1.3403770128395549</v>
      </c>
      <c r="T450" s="138">
        <f>Freight_Total!K66</f>
        <v>1636517.3244998364</v>
      </c>
      <c r="U450">
        <f>Freight_Total!E66</f>
        <v>584.53728000000001</v>
      </c>
    </row>
    <row r="451" spans="15:21" x14ac:dyDescent="0.2">
      <c r="O451">
        <f t="shared" si="31"/>
        <v>2007</v>
      </c>
      <c r="P451" s="129">
        <f t="shared" si="29"/>
        <v>1.8280698069995618</v>
      </c>
      <c r="Q451" s="129">
        <f>Freight_Total!Z67</f>
        <v>0.64390687085753817</v>
      </c>
      <c r="R451" s="129">
        <f t="shared" si="30"/>
        <v>1.2999850517939437</v>
      </c>
      <c r="T451" s="138">
        <f>Freight_Total!K67</f>
        <v>1662087.3320437097</v>
      </c>
      <c r="U451">
        <f>Freight_Total!E67</f>
        <v>566.92237999999998</v>
      </c>
    </row>
    <row r="452" spans="15:21" x14ac:dyDescent="0.2">
      <c r="O452">
        <f t="shared" si="31"/>
        <v>2008</v>
      </c>
      <c r="P452" s="129">
        <f t="shared" si="29"/>
        <v>1.8478576411499736</v>
      </c>
      <c r="Q452" s="129">
        <f>Freight_Total!Z68</f>
        <v>0.61382957637089153</v>
      </c>
      <c r="R452" s="129">
        <f t="shared" si="30"/>
        <v>1.2439451814298754</v>
      </c>
      <c r="T452" s="138">
        <f>Freight_Total!K68</f>
        <v>1680078.4986523651</v>
      </c>
      <c r="U452">
        <f>Freight_Total!E68</f>
        <v>542.48343999999997</v>
      </c>
    </row>
    <row r="458" spans="15:21" x14ac:dyDescent="0.2">
      <c r="O458" s="7" t="s">
        <v>783</v>
      </c>
    </row>
    <row r="459" spans="15:21" x14ac:dyDescent="0.2">
      <c r="P459" s="36"/>
      <c r="Q459" s="36"/>
      <c r="R459" s="36"/>
    </row>
    <row r="460" spans="15:21" ht="26.25" thickBot="1" x14ac:dyDescent="0.25">
      <c r="P460" s="157" t="s">
        <v>757</v>
      </c>
      <c r="Q460" s="157" t="s">
        <v>775</v>
      </c>
      <c r="R460" s="157" t="s">
        <v>776</v>
      </c>
      <c r="T460" s="424" t="s">
        <v>787</v>
      </c>
      <c r="U460" s="424" t="s">
        <v>790</v>
      </c>
    </row>
    <row r="461" spans="15:21" x14ac:dyDescent="0.2">
      <c r="O461">
        <v>1985</v>
      </c>
      <c r="P461" s="129">
        <f>T461/T$461</f>
        <v>1</v>
      </c>
      <c r="Q461" s="129">
        <f>Freight_Total!AA45</f>
        <v>1</v>
      </c>
      <c r="R461" s="129">
        <f>U461/U$461</f>
        <v>1</v>
      </c>
      <c r="T461" s="138">
        <f>Freight_Total!M45</f>
        <v>9047.7990000000009</v>
      </c>
      <c r="U461" s="129">
        <f>Freight_Total!F45</f>
        <v>194.21375717266014</v>
      </c>
    </row>
    <row r="462" spans="15:21" x14ac:dyDescent="0.2">
      <c r="O462">
        <f>O461+1</f>
        <v>1986</v>
      </c>
      <c r="P462" s="129">
        <f t="shared" ref="P462:P484" si="32">T462/T$461</f>
        <v>1.214385178096905</v>
      </c>
      <c r="Q462" s="129">
        <f>Freight_Total!AA46</f>
        <v>0.99168936986328837</v>
      </c>
      <c r="R462" s="129">
        <f t="shared" ref="R462:R484" si="33">U462/U$461</f>
        <v>1.2042928720382371</v>
      </c>
      <c r="T462" s="138">
        <f>Freight_Total!M46</f>
        <v>10987.513000000001</v>
      </c>
      <c r="U462" s="129">
        <f>Freight_Total!F46</f>
        <v>233.89024341479964</v>
      </c>
    </row>
    <row r="463" spans="15:21" x14ac:dyDescent="0.2">
      <c r="O463">
        <f t="shared" ref="O463:O484" si="34">O462+1</f>
        <v>1987</v>
      </c>
      <c r="P463" s="129">
        <f t="shared" si="32"/>
        <v>1.451952347747778</v>
      </c>
      <c r="Q463" s="129">
        <f>Freight_Total!AA47</f>
        <v>0.94175396036011549</v>
      </c>
      <c r="R463" s="129">
        <f t="shared" si="33"/>
        <v>1.3673818737456376</v>
      </c>
      <c r="T463" s="138">
        <f>Freight_Total!M47</f>
        <v>13136.973</v>
      </c>
      <c r="U463" s="129">
        <f>Freight_Total!F47</f>
        <v>265.56437118993227</v>
      </c>
    </row>
    <row r="464" spans="15:21" x14ac:dyDescent="0.2">
      <c r="O464">
        <f t="shared" si="34"/>
        <v>1988</v>
      </c>
      <c r="P464" s="129">
        <f t="shared" si="32"/>
        <v>1.6172230395480711</v>
      </c>
      <c r="Q464" s="129">
        <f>Freight_Total!AA48</f>
        <v>0.9345425111869794</v>
      </c>
      <c r="R464" s="129">
        <f t="shared" si="33"/>
        <v>1.5113636805286939</v>
      </c>
      <c r="T464" s="138">
        <f>Freight_Total!M48</f>
        <v>14632.308999999999</v>
      </c>
      <c r="U464" s="129">
        <f>Freight_Total!F48</f>
        <v>293.52761884977764</v>
      </c>
    </row>
    <row r="465" spans="15:21" x14ac:dyDescent="0.2">
      <c r="O465">
        <f t="shared" si="34"/>
        <v>1989</v>
      </c>
      <c r="P465" s="129">
        <f t="shared" si="32"/>
        <v>1.8067702432381618</v>
      </c>
      <c r="Q465" s="129">
        <f>Freight_Total!AA49</f>
        <v>0.91877661673821298</v>
      </c>
      <c r="R465" s="129">
        <f t="shared" si="33"/>
        <v>1.6600182513056363</v>
      </c>
      <c r="T465" s="138">
        <f>Freight_Total!M49</f>
        <v>16347.294</v>
      </c>
      <c r="U465" s="129">
        <f>Freight_Total!F49</f>
        <v>322.39838156125677</v>
      </c>
    </row>
    <row r="466" spans="15:21" x14ac:dyDescent="0.2">
      <c r="O466">
        <f t="shared" si="34"/>
        <v>1990</v>
      </c>
      <c r="P466" s="129">
        <f t="shared" si="32"/>
        <v>1.8129850143664774</v>
      </c>
      <c r="Q466" s="129">
        <f>Freight_Total!AA50</f>
        <v>0.93003867364269621</v>
      </c>
      <c r="R466" s="129">
        <f t="shared" si="33"/>
        <v>1.6861461780954832</v>
      </c>
      <c r="T466" s="138">
        <f>Freight_Total!M50</f>
        <v>16403.524000000001</v>
      </c>
      <c r="U466" s="129">
        <f>Freight_Total!F50</f>
        <v>327.47278439024512</v>
      </c>
    </row>
    <row r="467" spans="15:21" x14ac:dyDescent="0.2">
      <c r="O467">
        <f t="shared" si="34"/>
        <v>1991</v>
      </c>
      <c r="P467" s="129">
        <f t="shared" si="32"/>
        <v>1.7849322249532731</v>
      </c>
      <c r="Q467" s="129">
        <f>Freight_Total!AA51</f>
        <v>0.85811851680397466</v>
      </c>
      <c r="R467" s="129">
        <f t="shared" si="33"/>
        <v>1.5316833934725211</v>
      </c>
      <c r="T467" s="138">
        <f>Freight_Total!M51</f>
        <v>16149.708000000001</v>
      </c>
      <c r="U467" s="129">
        <f>Freight_Total!F51</f>
        <v>297.47398664526827</v>
      </c>
    </row>
    <row r="468" spans="15:21" x14ac:dyDescent="0.2">
      <c r="O468">
        <f t="shared" si="34"/>
        <v>1992</v>
      </c>
      <c r="P468" s="129">
        <f t="shared" si="32"/>
        <v>1.9127987922808627</v>
      </c>
      <c r="Q468" s="129">
        <f>Freight_Total!AA52</f>
        <v>0.86076686272450087</v>
      </c>
      <c r="R468" s="129">
        <f t="shared" si="33"/>
        <v>1.6464738154548126</v>
      </c>
      <c r="T468" s="138">
        <f>Freight_Total!M52</f>
        <v>17306.618999999999</v>
      </c>
      <c r="U468" s="129">
        <f>Freight_Total!F52</f>
        <v>319.76786578588423</v>
      </c>
    </row>
    <row r="469" spans="15:21" x14ac:dyDescent="0.2">
      <c r="O469">
        <f t="shared" si="34"/>
        <v>1993</v>
      </c>
      <c r="P469" s="129">
        <f t="shared" si="32"/>
        <v>2.1091252137674585</v>
      </c>
      <c r="Q469" s="129">
        <f>Freight_Total!AA53</f>
        <v>0.84036023993764919</v>
      </c>
      <c r="R469" s="129">
        <f t="shared" si="33"/>
        <v>1.7724249707001669</v>
      </c>
      <c r="T469" s="138">
        <f>Freight_Total!M53</f>
        <v>19082.940999999999</v>
      </c>
      <c r="U469" s="129">
        <f>Freight_Total!F53</f>
        <v>344.22931286632149</v>
      </c>
    </row>
    <row r="470" spans="15:21" x14ac:dyDescent="0.2">
      <c r="O470">
        <f t="shared" si="34"/>
        <v>1994</v>
      </c>
      <c r="P470" s="129">
        <f t="shared" si="32"/>
        <v>2.406437963531241</v>
      </c>
      <c r="Q470" s="129">
        <f>Freight_Total!AA54</f>
        <v>0.81665702253121875</v>
      </c>
      <c r="R470" s="129">
        <f t="shared" si="33"/>
        <v>1.9652344622035129</v>
      </c>
      <c r="T470" s="138">
        <f>Freight_Total!M54</f>
        <v>21772.967000000001</v>
      </c>
      <c r="U470" s="129">
        <f>Freight_Total!F54</f>
        <v>381.6755686297364</v>
      </c>
    </row>
    <row r="471" spans="15:21" x14ac:dyDescent="0.2">
      <c r="O471">
        <f t="shared" si="34"/>
        <v>1995</v>
      </c>
      <c r="P471" s="129">
        <f t="shared" si="32"/>
        <v>2.5834655478089199</v>
      </c>
      <c r="Q471" s="129">
        <f>Freight_Total!AA55</f>
        <v>0.80627488818260895</v>
      </c>
      <c r="R471" s="129">
        <f t="shared" si="33"/>
        <v>2.0829833956832595</v>
      </c>
      <c r="T471" s="138">
        <f>Freight_Total!M55</f>
        <v>23374.677</v>
      </c>
      <c r="U471" s="129">
        <f>Freight_Total!F55</f>
        <v>404.54403140391162</v>
      </c>
    </row>
    <row r="472" spans="15:21" x14ac:dyDescent="0.2">
      <c r="O472">
        <f t="shared" si="34"/>
        <v>1996</v>
      </c>
      <c r="P472" s="129">
        <f t="shared" si="32"/>
        <v>2.7512192744334834</v>
      </c>
      <c r="Q472" s="129">
        <f>Freight_Total!AA56</f>
        <v>0.77872305217112092</v>
      </c>
      <c r="R472" s="129">
        <f t="shared" si="33"/>
        <v>2.1424378705788589</v>
      </c>
      <c r="T472" s="138">
        <f>Freight_Total!M56</f>
        <v>24892.478999999999</v>
      </c>
      <c r="U472" s="129">
        <f>Freight_Total!F56</f>
        <v>416.09090835411354</v>
      </c>
    </row>
    <row r="473" spans="15:21" x14ac:dyDescent="0.2">
      <c r="O473">
        <f t="shared" si="34"/>
        <v>1997</v>
      </c>
      <c r="P473" s="129">
        <f t="shared" si="32"/>
        <v>3.051581605647959</v>
      </c>
      <c r="Q473" s="129">
        <f>Freight_Total!AA57</f>
        <v>0.77260034205905204</v>
      </c>
      <c r="R473" s="129">
        <f t="shared" si="33"/>
        <v>2.357652992344724</v>
      </c>
      <c r="T473" s="138">
        <f>Freight_Total!M57</f>
        <v>27610.097000000002</v>
      </c>
      <c r="U473" s="129">
        <f>Freight_Total!F57</f>
        <v>457.88864575263381</v>
      </c>
    </row>
    <row r="474" spans="15:21" x14ac:dyDescent="0.2">
      <c r="O474">
        <f t="shared" si="34"/>
        <v>1998</v>
      </c>
      <c r="P474" s="129">
        <f t="shared" si="32"/>
        <v>3.0963409996176967</v>
      </c>
      <c r="Q474" s="129">
        <f>Freight_Total!AA58</f>
        <v>0.77288543128858667</v>
      </c>
      <c r="R474" s="129">
        <f t="shared" si="33"/>
        <v>2.3931168489060575</v>
      </c>
      <c r="T474" s="138">
        <f>Freight_Total!M58</f>
        <v>28015.071</v>
      </c>
      <c r="U474" s="129">
        <f>Freight_Total!F58</f>
        <v>464.77621457924266</v>
      </c>
    </row>
    <row r="475" spans="15:21" x14ac:dyDescent="0.2">
      <c r="O475">
        <f t="shared" si="34"/>
        <v>1999</v>
      </c>
      <c r="P475" s="129">
        <f t="shared" si="32"/>
        <v>2.7794432657047308</v>
      </c>
      <c r="Q475" s="129">
        <f>Freight_Total!AA59</f>
        <v>0.77797657523387176</v>
      </c>
      <c r="R475" s="129">
        <f t="shared" si="33"/>
        <v>2.1623417529098146</v>
      </c>
      <c r="T475" s="138">
        <f>Freight_Total!M59</f>
        <v>25147.844000000001</v>
      </c>
      <c r="U475" s="129">
        <f>Freight_Total!F59</f>
        <v>419.95651612393101</v>
      </c>
    </row>
    <row r="476" spans="15:21" x14ac:dyDescent="0.2">
      <c r="O476">
        <f t="shared" si="34"/>
        <v>2000</v>
      </c>
      <c r="P476" s="129">
        <f t="shared" si="32"/>
        <v>3.3401782024556463</v>
      </c>
      <c r="Q476" s="129">
        <f>Freight_Total!AA60</f>
        <v>0.74295167152494901</v>
      </c>
      <c r="R476" s="129">
        <f t="shared" si="33"/>
        <v>2.4815909787056221</v>
      </c>
      <c r="T476" s="138">
        <f>Freight_Total!M60</f>
        <v>30221.260999999999</v>
      </c>
      <c r="U476" s="129">
        <f>Freight_Total!F60</f>
        <v>481.95910774019768</v>
      </c>
    </row>
    <row r="477" spans="15:21" x14ac:dyDescent="0.2">
      <c r="O477">
        <f t="shared" si="34"/>
        <v>2001</v>
      </c>
      <c r="P477" s="129">
        <f t="shared" si="32"/>
        <v>3.0816334447748006</v>
      </c>
      <c r="Q477" s="129">
        <f>Freight_Total!AA61</f>
        <v>0.75286005844814119</v>
      </c>
      <c r="R477" s="129">
        <f t="shared" si="33"/>
        <v>2.3200387353489034</v>
      </c>
      <c r="T477" s="138">
        <f>Freight_Total!M61</f>
        <v>27882</v>
      </c>
      <c r="U477" s="129">
        <f>Freight_Total!F61</f>
        <v>450.58343957821745</v>
      </c>
    </row>
    <row r="478" spans="15:21" x14ac:dyDescent="0.2">
      <c r="O478">
        <f t="shared" si="34"/>
        <v>2002</v>
      </c>
      <c r="P478" s="129">
        <f t="shared" si="32"/>
        <v>3.3717592532725358</v>
      </c>
      <c r="Q478" s="129">
        <f>Freight_Total!AA62</f>
        <v>0.69448563813250408</v>
      </c>
      <c r="R478" s="129">
        <f t="shared" si="33"/>
        <v>2.3416383766381528</v>
      </c>
      <c r="T478" s="138">
        <f>Freight_Total!M62</f>
        <v>30507</v>
      </c>
      <c r="U478" s="129">
        <f>Freight_Total!F62</f>
        <v>454.77838706658429</v>
      </c>
    </row>
    <row r="479" spans="15:21" x14ac:dyDescent="0.2">
      <c r="O479">
        <f t="shared" si="34"/>
        <v>2003</v>
      </c>
      <c r="P479" s="129">
        <f t="shared" si="32"/>
        <v>3.5860655171495295</v>
      </c>
      <c r="Q479" s="129">
        <f>Freight_Total!AA63</f>
        <v>0.66922924467163469</v>
      </c>
      <c r="R479" s="129">
        <f t="shared" si="33"/>
        <v>2.3998999173849742</v>
      </c>
      <c r="T479" s="138">
        <f>Freight_Total!M63</f>
        <v>32446</v>
      </c>
      <c r="U479" s="129">
        <f>Freight_Total!F63</f>
        <v>466.09357979369253</v>
      </c>
    </row>
    <row r="480" spans="15:21" x14ac:dyDescent="0.2">
      <c r="O480">
        <f t="shared" si="34"/>
        <v>2004</v>
      </c>
      <c r="P480" s="129">
        <f t="shared" si="32"/>
        <v>4.1952744529360118</v>
      </c>
      <c r="Q480" s="129">
        <f>Freight_Total!AA64</f>
        <v>0.61935221139864527</v>
      </c>
      <c r="R480" s="129">
        <f t="shared" si="33"/>
        <v>2.5983525098501605</v>
      </c>
      <c r="T480" s="138">
        <f>Freight_Total!M64</f>
        <v>37958</v>
      </c>
      <c r="U480" s="129">
        <f>Freight_Total!F64</f>
        <v>504.6358033970111</v>
      </c>
    </row>
    <row r="481" spans="15:21" x14ac:dyDescent="0.2">
      <c r="O481">
        <f t="shared" si="34"/>
        <v>2005</v>
      </c>
      <c r="P481" s="129">
        <f t="shared" si="32"/>
        <v>4.3427136257116228</v>
      </c>
      <c r="Q481" s="129">
        <f>Freight_Total!AA65</f>
        <v>0.61205852522681736</v>
      </c>
      <c r="R481" s="129">
        <f t="shared" si="33"/>
        <v>2.6579948972354606</v>
      </c>
      <c r="T481" s="138">
        <f>Freight_Total!M65</f>
        <v>39292</v>
      </c>
      <c r="U481" s="129">
        <f>Freight_Total!F65</f>
        <v>516.2191755378575</v>
      </c>
    </row>
    <row r="482" spans="15:21" x14ac:dyDescent="0.2">
      <c r="O482">
        <f t="shared" si="34"/>
        <v>2006</v>
      </c>
      <c r="P482" s="129">
        <f t="shared" si="32"/>
        <v>4.3937757680072247</v>
      </c>
      <c r="Q482" s="129">
        <f>Freight_Total!AA66</f>
        <v>0.61442384681807594</v>
      </c>
      <c r="R482" s="129">
        <f t="shared" si="33"/>
        <v>2.6996406094350442</v>
      </c>
      <c r="T482" s="138">
        <f>Freight_Total!M66</f>
        <v>39754</v>
      </c>
      <c r="U482" s="129">
        <f>Freight_Total!F66</f>
        <v>524.30734577426995</v>
      </c>
    </row>
    <row r="483" spans="15:21" x14ac:dyDescent="0.2">
      <c r="O483">
        <f t="shared" si="34"/>
        <v>2007</v>
      </c>
      <c r="P483" s="129">
        <f t="shared" si="32"/>
        <v>4.4035018903492436</v>
      </c>
      <c r="Q483" s="129">
        <f>Freight_Total!AA67</f>
        <v>0.60058900877973431</v>
      </c>
      <c r="R483" s="129">
        <f t="shared" si="33"/>
        <v>2.6446948354845383</v>
      </c>
      <c r="T483" s="138">
        <f>Freight_Total!M67</f>
        <v>39842</v>
      </c>
      <c r="U483" s="129">
        <f>Freight_Total!F67</f>
        <v>513.63612057458249</v>
      </c>
    </row>
    <row r="484" spans="15:21" x14ac:dyDescent="0.2">
      <c r="O484">
        <f t="shared" si="34"/>
        <v>2008</v>
      </c>
      <c r="P484" s="129">
        <f t="shared" si="32"/>
        <v>3.9268113714727746</v>
      </c>
      <c r="Q484" s="129">
        <f>Freight_Total!AA68</f>
        <v>0.59202674639407959</v>
      </c>
      <c r="R484" s="129">
        <f t="shared" si="33"/>
        <v>2.3247773599563</v>
      </c>
      <c r="T484" s="138">
        <f>Freight_Total!M68</f>
        <v>35529</v>
      </c>
      <c r="U484" s="129">
        <f>Freight_Total!F68</f>
        <v>451.50374566705074</v>
      </c>
    </row>
    <row r="489" spans="15:21" x14ac:dyDescent="0.2">
      <c r="O489" s="7" t="s">
        <v>785</v>
      </c>
    </row>
    <row r="490" spans="15:21" x14ac:dyDescent="0.2">
      <c r="P490" s="36"/>
      <c r="Q490" s="36"/>
      <c r="R490" s="36"/>
    </row>
    <row r="491" spans="15:21" ht="26.25" thickBot="1" x14ac:dyDescent="0.25">
      <c r="P491" s="157" t="s">
        <v>757</v>
      </c>
      <c r="Q491" s="157" t="s">
        <v>775</v>
      </c>
      <c r="R491" s="157" t="s">
        <v>776</v>
      </c>
      <c r="T491" s="424" t="s">
        <v>787</v>
      </c>
      <c r="U491" s="424" t="s">
        <v>790</v>
      </c>
    </row>
    <row r="492" spans="15:21" x14ac:dyDescent="0.2">
      <c r="O492">
        <v>1985</v>
      </c>
      <c r="P492" s="129">
        <f>T492/T$492</f>
        <v>1</v>
      </c>
      <c r="Q492" s="129">
        <f>Freight_Total!AB45</f>
        <v>1</v>
      </c>
      <c r="R492" s="129">
        <f>U492/U$492</f>
        <v>1</v>
      </c>
      <c r="T492">
        <f>Freight_Total!N45</f>
        <v>892970</v>
      </c>
      <c r="U492" s="129">
        <f>Freight_Total!G45</f>
        <v>267.97616653826503</v>
      </c>
    </row>
    <row r="493" spans="15:21" x14ac:dyDescent="0.2">
      <c r="O493">
        <f>O492+1</f>
        <v>1986</v>
      </c>
      <c r="P493" s="129">
        <f t="shared" ref="P493:P515" si="35">T493/T$492</f>
        <v>0.97808548999406475</v>
      </c>
      <c r="Q493" s="129">
        <f>Freight_Total!AB46</f>
        <v>0.99</v>
      </c>
      <c r="R493" s="129">
        <f t="shared" ref="R493:R515" si="36">U493/U$492</f>
        <v>0.96830463509412401</v>
      </c>
      <c r="T493">
        <f>Freight_Total!N46</f>
        <v>873401</v>
      </c>
      <c r="U493" s="129">
        <f>Freight_Total!G46</f>
        <v>259.48256415375693</v>
      </c>
    </row>
    <row r="494" spans="15:21" x14ac:dyDescent="0.2">
      <c r="O494">
        <f t="shared" ref="O494:O515" si="37">O493+1</f>
        <v>1987</v>
      </c>
      <c r="P494" s="129">
        <f t="shared" si="35"/>
        <v>1.0027386138392107</v>
      </c>
      <c r="Q494" s="129">
        <f>Freight_Total!AB47</f>
        <v>0.98009999999999964</v>
      </c>
      <c r="R494" s="129">
        <f t="shared" si="36"/>
        <v>0.98278411542381017</v>
      </c>
      <c r="T494">
        <f>Freight_Total!N47</f>
        <v>895415.5</v>
      </c>
      <c r="U494" s="129">
        <f>Freight_Total!G47</f>
        <v>263.36271978597244</v>
      </c>
    </row>
    <row r="495" spans="15:21" x14ac:dyDescent="0.2">
      <c r="O495">
        <f t="shared" si="37"/>
        <v>1988</v>
      </c>
      <c r="P495" s="129">
        <f t="shared" si="35"/>
        <v>0.99670582438379796</v>
      </c>
      <c r="Q495" s="129">
        <f>Freight_Total!AB48</f>
        <v>0.97029899999999969</v>
      </c>
      <c r="R495" s="129">
        <f t="shared" si="36"/>
        <v>0.96710266469377448</v>
      </c>
      <c r="T495">
        <f>Freight_Total!N48</f>
        <v>890028.4</v>
      </c>
      <c r="U495" s="129">
        <f>Freight_Total!G48</f>
        <v>259.16046473357881</v>
      </c>
    </row>
    <row r="496" spans="15:21" x14ac:dyDescent="0.2">
      <c r="O496">
        <f t="shared" si="37"/>
        <v>1989</v>
      </c>
      <c r="P496" s="129">
        <f t="shared" si="35"/>
        <v>0.91330044682352152</v>
      </c>
      <c r="Q496" s="129">
        <f>Freight_Total!AB49</f>
        <v>0.96059600999999972</v>
      </c>
      <c r="R496" s="129">
        <f t="shared" si="36"/>
        <v>0.87731276514989176</v>
      </c>
      <c r="T496">
        <f>Freight_Total!N49</f>
        <v>815549.9</v>
      </c>
      <c r="U496" s="129">
        <f>Freight_Total!G49</f>
        <v>235.09891165995319</v>
      </c>
    </row>
    <row r="497" spans="15:21" x14ac:dyDescent="0.2">
      <c r="O497">
        <f t="shared" si="37"/>
        <v>1990</v>
      </c>
      <c r="P497" s="129">
        <f t="shared" si="35"/>
        <v>0.93345106778503206</v>
      </c>
      <c r="Q497" s="129">
        <f>Freight_Total!AB50</f>
        <v>0.95099004989999958</v>
      </c>
      <c r="R497" s="129">
        <f t="shared" si="36"/>
        <v>0.88770267753209564</v>
      </c>
      <c r="T497">
        <f>Freight_Total!N50</f>
        <v>833543.8</v>
      </c>
      <c r="U497" s="129">
        <f>Freight_Total!G50</f>
        <v>237.88316055080463</v>
      </c>
    </row>
    <row r="498" spans="15:21" x14ac:dyDescent="0.2">
      <c r="O498">
        <f t="shared" si="37"/>
        <v>1991</v>
      </c>
      <c r="P498" s="129">
        <f t="shared" si="35"/>
        <v>0.95008678902986665</v>
      </c>
      <c r="Q498" s="129">
        <f>Freight_Total!AB51</f>
        <v>0.94148014940099967</v>
      </c>
      <c r="R498" s="129">
        <f t="shared" si="36"/>
        <v>0.8944878520797549</v>
      </c>
      <c r="T498">
        <f>Freight_Total!N51</f>
        <v>848399</v>
      </c>
      <c r="U498" s="129">
        <f>Freight_Total!G51</f>
        <v>239.70142561537938</v>
      </c>
    </row>
    <row r="499" spans="15:21" x14ac:dyDescent="0.2">
      <c r="O499">
        <f t="shared" si="37"/>
        <v>1992</v>
      </c>
      <c r="P499" s="129">
        <f t="shared" si="35"/>
        <v>0.95936548820229117</v>
      </c>
      <c r="Q499" s="129">
        <f>Freight_Total!AB52</f>
        <v>0.93206534790698947</v>
      </c>
      <c r="R499" s="129">
        <f t="shared" si="36"/>
        <v>0.89419132753122754</v>
      </c>
      <c r="T499">
        <f>Freight_Total!N52</f>
        <v>856684.6</v>
      </c>
      <c r="U499" s="129">
        <f>Freight_Total!G52</f>
        <v>239.62196410358052</v>
      </c>
    </row>
    <row r="500" spans="15:21" x14ac:dyDescent="0.2">
      <c r="O500">
        <f t="shared" si="37"/>
        <v>1993</v>
      </c>
      <c r="P500" s="129">
        <f t="shared" si="35"/>
        <v>0.8843050718389196</v>
      </c>
      <c r="Q500" s="129">
        <f>Freight_Total!AB53</f>
        <v>0.92274469442791973</v>
      </c>
      <c r="R500" s="129">
        <f t="shared" si="36"/>
        <v>0.81598781329506342</v>
      </c>
      <c r="T500">
        <f>Freight_Total!N53</f>
        <v>789657.9</v>
      </c>
      <c r="U500" s="129">
        <f>Freight_Total!G53</f>
        <v>218.66528614875264</v>
      </c>
    </row>
    <row r="501" spans="15:21" x14ac:dyDescent="0.2">
      <c r="O501">
        <f t="shared" si="37"/>
        <v>1994</v>
      </c>
      <c r="P501" s="129">
        <f t="shared" si="35"/>
        <v>0.9125941520991746</v>
      </c>
      <c r="Q501" s="129">
        <f>Freight_Total!AB54</f>
        <v>0.91351724748364016</v>
      </c>
      <c r="R501" s="129">
        <f t="shared" si="36"/>
        <v>0.83367049789530467</v>
      </c>
      <c r="T501">
        <f>Freight_Total!N54</f>
        <v>814919.2</v>
      </c>
      <c r="U501" s="129">
        <f>Freight_Total!G54</f>
        <v>223.40382418203049</v>
      </c>
    </row>
    <row r="502" spans="15:21" x14ac:dyDescent="0.2">
      <c r="O502">
        <f t="shared" si="37"/>
        <v>1995</v>
      </c>
      <c r="P502" s="129">
        <f t="shared" si="35"/>
        <v>0.90454069005677673</v>
      </c>
      <c r="Q502" s="129">
        <f>Freight_Total!AB55</f>
        <v>0.90438207500880408</v>
      </c>
      <c r="R502" s="129">
        <f t="shared" si="36"/>
        <v>0.81805038620344328</v>
      </c>
      <c r="T502">
        <f>Freight_Total!N55</f>
        <v>807727.7</v>
      </c>
      <c r="U502" s="129">
        <f>Freight_Total!G55</f>
        <v>219.21800652994594</v>
      </c>
    </row>
    <row r="503" spans="15:21" x14ac:dyDescent="0.2">
      <c r="O503">
        <f t="shared" si="37"/>
        <v>1996</v>
      </c>
      <c r="P503" s="129">
        <f t="shared" si="35"/>
        <v>0.85634063854328812</v>
      </c>
      <c r="Q503" s="129">
        <f>Freight_Total!AB56</f>
        <v>0.89533825425871594</v>
      </c>
      <c r="R503" s="129">
        <f t="shared" si="36"/>
        <v>0.76671453236414167</v>
      </c>
      <c r="T503">
        <f>Freight_Total!N56</f>
        <v>764686.5</v>
      </c>
      <c r="U503" s="129">
        <f>Freight_Total!G56</f>
        <v>205.46122121212122</v>
      </c>
    </row>
    <row r="504" spans="15:21" x14ac:dyDescent="0.2">
      <c r="O504">
        <f t="shared" si="37"/>
        <v>1997</v>
      </c>
      <c r="P504" s="129">
        <f t="shared" si="35"/>
        <v>0.79219895405220786</v>
      </c>
      <c r="Q504" s="129">
        <f>Freight_Total!AB57</f>
        <v>0.88638487171612867</v>
      </c>
      <c r="R504" s="129">
        <f t="shared" si="36"/>
        <v>0.70219316826121758</v>
      </c>
      <c r="T504">
        <f>Freight_Total!N57</f>
        <v>707409.9</v>
      </c>
      <c r="U504" s="129">
        <f>Freight_Total!G57</f>
        <v>188.1710334</v>
      </c>
    </row>
    <row r="505" spans="15:21" x14ac:dyDescent="0.2">
      <c r="O505">
        <f t="shared" si="37"/>
        <v>1998</v>
      </c>
      <c r="P505" s="129">
        <f t="shared" si="35"/>
        <v>0.75343550175257856</v>
      </c>
      <c r="Q505" s="129">
        <f>Freight_Total!AB58</f>
        <v>0.85306213217792837</v>
      </c>
      <c r="R505" s="129">
        <f t="shared" si="36"/>
        <v>0.64272729558360187</v>
      </c>
      <c r="T505">
        <f>Freight_Total!N58</f>
        <v>672795.3</v>
      </c>
      <c r="U505" s="129">
        <f>Freight_Total!G58</f>
        <v>172.2355968</v>
      </c>
    </row>
    <row r="506" spans="15:21" x14ac:dyDescent="0.2">
      <c r="O506">
        <f t="shared" si="37"/>
        <v>1999</v>
      </c>
      <c r="P506" s="129">
        <f t="shared" si="35"/>
        <v>0.7344720427337984</v>
      </c>
      <c r="Q506" s="129">
        <f>Freight_Total!AB59</f>
        <v>0.88638487171612867</v>
      </c>
      <c r="R506" s="129">
        <f t="shared" si="36"/>
        <v>0.65102490737768093</v>
      </c>
      <c r="T506">
        <f>Freight_Total!N59</f>
        <v>655861.5</v>
      </c>
      <c r="U506" s="129">
        <f>Freight_Total!G59</f>
        <v>174.459159</v>
      </c>
    </row>
    <row r="507" spans="15:21" x14ac:dyDescent="0.2">
      <c r="O507">
        <f t="shared" si="37"/>
        <v>2000</v>
      </c>
      <c r="P507" s="129">
        <f t="shared" si="35"/>
        <v>0.72320380303929588</v>
      </c>
      <c r="Q507" s="129">
        <f>Freight_Total!AB60</f>
        <v>0.89971396753140864</v>
      </c>
      <c r="R507" s="129">
        <f t="shared" si="36"/>
        <v>0.6506765629662884</v>
      </c>
      <c r="T507">
        <f>Freight_Total!N60</f>
        <v>645799.30000000005</v>
      </c>
      <c r="U507" s="129">
        <f>Freight_Total!G60</f>
        <v>174.36581099999998</v>
      </c>
    </row>
    <row r="508" spans="15:21" x14ac:dyDescent="0.2">
      <c r="O508">
        <f t="shared" si="37"/>
        <v>2001</v>
      </c>
      <c r="P508" s="129">
        <f t="shared" si="35"/>
        <v>0.69620032027951662</v>
      </c>
      <c r="Q508" s="129">
        <f>Freight_Total!AB61</f>
        <v>0.84306531031646814</v>
      </c>
      <c r="R508" s="129">
        <f t="shared" si="36"/>
        <v>0.58694233905887527</v>
      </c>
      <c r="T508">
        <f>Freight_Total!N61</f>
        <v>621686</v>
      </c>
      <c r="U508" s="129">
        <f>Freight_Total!G61</f>
        <v>157.28655799999999</v>
      </c>
    </row>
    <row r="509" spans="15:21" x14ac:dyDescent="0.2">
      <c r="O509">
        <f t="shared" si="37"/>
        <v>2002</v>
      </c>
      <c r="P509" s="129">
        <f t="shared" si="35"/>
        <v>0.68544407986830469</v>
      </c>
      <c r="Q509" s="129">
        <f>Freight_Total!AB62</f>
        <v>0.84306531031646836</v>
      </c>
      <c r="R509" s="129">
        <f t="shared" si="36"/>
        <v>0.57787412589875831</v>
      </c>
      <c r="T509">
        <f>Freight_Total!N62</f>
        <v>612081</v>
      </c>
      <c r="U509" s="129">
        <f>Freight_Total!G62</f>
        <v>154.856493</v>
      </c>
    </row>
    <row r="510" spans="15:21" x14ac:dyDescent="0.2">
      <c r="O510">
        <f t="shared" si="37"/>
        <v>2003</v>
      </c>
      <c r="P510" s="129">
        <f t="shared" si="35"/>
        <v>0.67879771996819604</v>
      </c>
      <c r="Q510" s="129">
        <f>Freight_Total!AB63</f>
        <v>0.8364007624088281</v>
      </c>
      <c r="R510" s="129">
        <f t="shared" si="36"/>
        <v>0.56774693050277336</v>
      </c>
      <c r="T510">
        <f>Freight_Total!N63</f>
        <v>606146</v>
      </c>
      <c r="U510" s="129">
        <f>Freight_Total!G63</f>
        <v>152.14264599999998</v>
      </c>
    </row>
    <row r="511" spans="15:21" x14ac:dyDescent="0.2">
      <c r="O511">
        <f t="shared" si="37"/>
        <v>2004</v>
      </c>
      <c r="P511" s="129">
        <f t="shared" si="35"/>
        <v>0.69562247331937244</v>
      </c>
      <c r="Q511" s="129">
        <f>Freight_Total!AB64</f>
        <v>0.80307802287062779</v>
      </c>
      <c r="R511" s="129">
        <f t="shared" si="36"/>
        <v>0.55863912053769771</v>
      </c>
      <c r="T511">
        <f>Freight_Total!N64</f>
        <v>621170</v>
      </c>
      <c r="U511" s="129">
        <f>Freight_Total!G64</f>
        <v>149.70196999999999</v>
      </c>
    </row>
    <row r="512" spans="15:21" x14ac:dyDescent="0.2">
      <c r="O512">
        <f t="shared" si="37"/>
        <v>2005</v>
      </c>
      <c r="P512" s="129">
        <f t="shared" si="35"/>
        <v>0.66214654467675282</v>
      </c>
      <c r="Q512" s="129">
        <f>Freight_Total!AB65</f>
        <v>0.80307802287062791</v>
      </c>
      <c r="R512" s="129">
        <f t="shared" si="36"/>
        <v>0.5317553379496246</v>
      </c>
      <c r="T512">
        <f>Freight_Total!N65</f>
        <v>591277</v>
      </c>
      <c r="U512" s="129">
        <f>Freight_Total!G65</f>
        <v>142.49775700000001</v>
      </c>
    </row>
    <row r="513" spans="15:21" x14ac:dyDescent="0.2">
      <c r="O513">
        <f t="shared" si="37"/>
        <v>2006</v>
      </c>
      <c r="P513" s="129">
        <f t="shared" si="35"/>
        <v>0.62894498135435684</v>
      </c>
      <c r="Q513" s="129">
        <f>Freight_Total!AB66</f>
        <v>0.78308437914770757</v>
      </c>
      <c r="R513" s="129">
        <f t="shared" si="36"/>
        <v>0.49251699024194306</v>
      </c>
      <c r="T513">
        <f>Freight_Total!N66</f>
        <v>561629</v>
      </c>
      <c r="U513" s="129">
        <f>Freight_Total!G66</f>
        <v>131.98281499999999</v>
      </c>
    </row>
    <row r="514" spans="15:21" x14ac:dyDescent="0.2">
      <c r="O514">
        <f t="shared" si="37"/>
        <v>2007</v>
      </c>
      <c r="P514" s="129">
        <f t="shared" si="35"/>
        <v>0.61945082141617303</v>
      </c>
      <c r="Q514" s="129">
        <f>Freight_Total!AB67</f>
        <v>0.74976163960950737</v>
      </c>
      <c r="R514" s="129">
        <f t="shared" si="36"/>
        <v>0.464440463522446</v>
      </c>
      <c r="T514">
        <f>Freight_Total!N67</f>
        <v>553151</v>
      </c>
      <c r="U514" s="129">
        <f>Freight_Total!G67</f>
        <v>124.458975</v>
      </c>
    </row>
    <row r="515" spans="15:21" x14ac:dyDescent="0.2">
      <c r="O515">
        <f t="shared" si="37"/>
        <v>2008</v>
      </c>
      <c r="P515" s="129">
        <f t="shared" si="35"/>
        <v>0.58290872033774932</v>
      </c>
      <c r="Q515" s="129">
        <f>Freight_Total!AB68</f>
        <v>0.83973303636264829</v>
      </c>
      <c r="R515" s="129">
        <f t="shared" si="36"/>
        <v>0.48948770965148403</v>
      </c>
      <c r="T515">
        <f>Freight_Total!N68</f>
        <v>520520</v>
      </c>
      <c r="U515" s="129">
        <f>Freight_Total!G68</f>
        <v>131.17104</v>
      </c>
    </row>
    <row r="520" spans="15:21" x14ac:dyDescent="0.2">
      <c r="O520" s="7" t="s">
        <v>786</v>
      </c>
    </row>
    <row r="521" spans="15:21" x14ac:dyDescent="0.2">
      <c r="P521" s="36"/>
      <c r="Q521" s="36"/>
      <c r="R521" s="36"/>
    </row>
    <row r="522" spans="15:21" ht="26.25" thickBot="1" x14ac:dyDescent="0.25">
      <c r="P522" s="157" t="s">
        <v>757</v>
      </c>
      <c r="Q522" s="157" t="s">
        <v>775</v>
      </c>
      <c r="R522" s="157" t="s">
        <v>776</v>
      </c>
      <c r="T522" s="424" t="s">
        <v>787</v>
      </c>
      <c r="U522" s="424" t="s">
        <v>790</v>
      </c>
    </row>
    <row r="523" spans="15:21" x14ac:dyDescent="0.2">
      <c r="O523">
        <v>1985</v>
      </c>
      <c r="P523" s="129">
        <f>T523/T$523</f>
        <v>1</v>
      </c>
      <c r="Q523" s="129">
        <f>'Passenger-Rail'!Q46</f>
        <v>1</v>
      </c>
      <c r="R523" s="129">
        <f>U523/U$523</f>
        <v>1</v>
      </c>
      <c r="T523">
        <f>'Passenger-Rail'!I46</f>
        <v>4785</v>
      </c>
      <c r="U523">
        <f>'Passenger-Rail'!E46</f>
        <v>10.871698113207547</v>
      </c>
    </row>
    <row r="524" spans="15:21" x14ac:dyDescent="0.2">
      <c r="O524">
        <f>O523+1</f>
        <v>1986</v>
      </c>
      <c r="P524" s="129">
        <f t="shared" ref="P524:P546" si="38">T524/T$523</f>
        <v>1.0472309299895506</v>
      </c>
      <c r="Q524" s="129">
        <f>'Passenger-Rail'!Q47</f>
        <v>0.91788762397144918</v>
      </c>
      <c r="R524" s="129">
        <f t="shared" ref="R524:R546" si="39">U524/U$523</f>
        <v>0.96124031007751942</v>
      </c>
      <c r="T524">
        <f>'Passenger-Rail'!I47</f>
        <v>5011</v>
      </c>
      <c r="U524">
        <f>'Passenger-Rail'!E47</f>
        <v>10.450314465408805</v>
      </c>
    </row>
    <row r="525" spans="15:21" x14ac:dyDescent="0.2">
      <c r="O525">
        <f t="shared" ref="O525:O546" si="40">O524+1</f>
        <v>1987</v>
      </c>
      <c r="P525" s="129">
        <f t="shared" si="38"/>
        <v>1.1203761755485893</v>
      </c>
      <c r="Q525" s="129">
        <f>'Passenger-Rail'!Q48</f>
        <v>0.90639545728625781</v>
      </c>
      <c r="R525" s="129">
        <f t="shared" si="39"/>
        <v>1.0155038759689923</v>
      </c>
      <c r="T525">
        <f>'Passenger-Rail'!I48</f>
        <v>5361</v>
      </c>
      <c r="U525">
        <f>'Passenger-Rail'!E48</f>
        <v>11.040251572327044</v>
      </c>
    </row>
    <row r="526" spans="15:21" x14ac:dyDescent="0.2">
      <c r="O526">
        <f t="shared" si="40"/>
        <v>1988</v>
      </c>
      <c r="P526" s="129">
        <f t="shared" si="38"/>
        <v>1.1882967607105539</v>
      </c>
      <c r="Q526" s="129">
        <f>'Passenger-Rail'!Q49</f>
        <v>0.88068205056892102</v>
      </c>
      <c r="R526" s="129">
        <f t="shared" si="39"/>
        <v>1.0465116279069768</v>
      </c>
      <c r="T526">
        <f>'Passenger-Rail'!I49</f>
        <v>5686</v>
      </c>
      <c r="U526">
        <f>'Passenger-Rail'!E49</f>
        <v>11.377358490566039</v>
      </c>
    </row>
    <row r="527" spans="15:21" x14ac:dyDescent="0.2">
      <c r="O527">
        <f t="shared" si="40"/>
        <v>1989</v>
      </c>
      <c r="P527" s="129">
        <f t="shared" si="38"/>
        <v>1.2244514106583073</v>
      </c>
      <c r="Q527" s="129">
        <f>'Passenger-Rail'!Q50</f>
        <v>0.96863501589683176</v>
      </c>
      <c r="R527" s="129">
        <f t="shared" si="39"/>
        <v>1.1860465116279071</v>
      </c>
      <c r="T527">
        <f>'Passenger-Rail'!I50</f>
        <v>5859</v>
      </c>
      <c r="U527">
        <f>'Passenger-Rail'!E50</f>
        <v>12.89433962264151</v>
      </c>
    </row>
    <row r="528" spans="15:21" x14ac:dyDescent="0.2">
      <c r="O528">
        <f t="shared" si="40"/>
        <v>1990</v>
      </c>
      <c r="P528" s="129">
        <f t="shared" si="38"/>
        <v>1.2658307210031348</v>
      </c>
      <c r="Q528" s="129">
        <f>'Passenger-Rail'!Q51</f>
        <v>0.93084687714771697</v>
      </c>
      <c r="R528" s="129">
        <f t="shared" si="39"/>
        <v>1.1782945736434107</v>
      </c>
      <c r="T528">
        <f>'Passenger-Rail'!I51</f>
        <v>6057</v>
      </c>
      <c r="U528">
        <f>'Passenger-Rail'!E51</f>
        <v>12.81006289308176</v>
      </c>
    </row>
    <row r="529" spans="15:21" x14ac:dyDescent="0.2">
      <c r="O529">
        <f t="shared" si="40"/>
        <v>1991</v>
      </c>
      <c r="P529" s="129">
        <f t="shared" si="38"/>
        <v>1.3109717868338557</v>
      </c>
      <c r="Q529" s="129">
        <f>'Passenger-Rail'!Q52</f>
        <v>0.89879476086142529</v>
      </c>
      <c r="R529" s="129">
        <f t="shared" si="39"/>
        <v>1.1782945736434107</v>
      </c>
      <c r="T529">
        <f>'Passenger-Rail'!I52</f>
        <v>6273</v>
      </c>
      <c r="U529">
        <f>'Passenger-Rail'!E52</f>
        <v>12.81006289308176</v>
      </c>
    </row>
    <row r="530" spans="15:21" x14ac:dyDescent="0.2">
      <c r="O530">
        <f t="shared" si="40"/>
        <v>1992</v>
      </c>
      <c r="P530" s="129">
        <f t="shared" si="38"/>
        <v>1.2729362591431557</v>
      </c>
      <c r="Q530" s="129">
        <f>'Passenger-Rail'!Q53</f>
        <v>0.9378305009678789</v>
      </c>
      <c r="R530" s="129">
        <f t="shared" si="39"/>
        <v>1.1937984496124032</v>
      </c>
      <c r="T530">
        <f>'Passenger-Rail'!I53</f>
        <v>6091</v>
      </c>
      <c r="U530">
        <f>'Passenger-Rail'!E53</f>
        <v>12.978616352201259</v>
      </c>
    </row>
    <row r="531" spans="15:21" x14ac:dyDescent="0.2">
      <c r="O531">
        <f t="shared" si="40"/>
        <v>1993</v>
      </c>
      <c r="P531" s="129">
        <f t="shared" si="38"/>
        <v>1.2955067920585162</v>
      </c>
      <c r="Q531" s="129">
        <f>'Passenger-Rail'!Q54</f>
        <v>0.95141001736964348</v>
      </c>
      <c r="R531" s="129">
        <f t="shared" si="39"/>
        <v>1.2325581395348837</v>
      </c>
      <c r="T531">
        <f>'Passenger-Rail'!I54</f>
        <v>6199</v>
      </c>
      <c r="U531">
        <f>'Passenger-Rail'!E54</f>
        <v>13.4</v>
      </c>
    </row>
    <row r="532" spans="15:21" x14ac:dyDescent="0.2">
      <c r="O532">
        <f t="shared" si="40"/>
        <v>1994</v>
      </c>
      <c r="P532" s="129">
        <f t="shared" si="38"/>
        <v>1.2374085684430511</v>
      </c>
      <c r="Q532" s="129">
        <f>'Passenger-Rail'!Q55</f>
        <v>0.99608017187542963</v>
      </c>
      <c r="R532" s="129">
        <f t="shared" si="39"/>
        <v>1.2325581395348837</v>
      </c>
      <c r="T532">
        <f>'Passenger-Rail'!I55</f>
        <v>5921</v>
      </c>
      <c r="U532">
        <f>'Passenger-Rail'!E55</f>
        <v>13.4</v>
      </c>
    </row>
    <row r="533" spans="15:21" x14ac:dyDescent="0.2">
      <c r="O533">
        <f t="shared" si="40"/>
        <v>1995</v>
      </c>
      <c r="P533" s="129">
        <f t="shared" si="38"/>
        <v>1.1588296760710555</v>
      </c>
      <c r="Q533" s="129">
        <f>'Passenger-Rail'!Q56</f>
        <v>1.0723449201579112</v>
      </c>
      <c r="R533" s="129">
        <f t="shared" si="39"/>
        <v>1.2426651164630336</v>
      </c>
      <c r="T533">
        <f>'Passenger-Rail'!I56</f>
        <v>5545</v>
      </c>
      <c r="U533">
        <f>'Passenger-Rail'!E56</f>
        <v>13.509880001999999</v>
      </c>
    </row>
    <row r="534" spans="15:21" x14ac:dyDescent="0.2">
      <c r="O534">
        <f t="shared" si="40"/>
        <v>1996</v>
      </c>
      <c r="P534" s="129">
        <f t="shared" si="38"/>
        <v>1.0553814002089865</v>
      </c>
      <c r="Q534" s="129">
        <f>'Passenger-Rail'!Q57</f>
        <v>1.1879902973532825</v>
      </c>
      <c r="R534" s="129">
        <f t="shared" si="39"/>
        <v>1.2537828634553976</v>
      </c>
      <c r="T534">
        <f>'Passenger-Rail'!I57</f>
        <v>5050</v>
      </c>
      <c r="U534">
        <f>'Passenger-Rail'!E57</f>
        <v>13.630748791</v>
      </c>
    </row>
    <row r="535" spans="15:21" x14ac:dyDescent="0.2">
      <c r="O535">
        <f t="shared" si="40"/>
        <v>1997</v>
      </c>
      <c r="P535" s="129">
        <f t="shared" si="38"/>
        <v>1.0796238244514107</v>
      </c>
      <c r="Q535" s="129">
        <f>'Passenger-Rail'!Q58</f>
        <v>1.2374104319898807</v>
      </c>
      <c r="R535" s="129">
        <f t="shared" si="39"/>
        <v>1.3359377830009869</v>
      </c>
      <c r="T535">
        <f>'Passenger-Rail'!I58</f>
        <v>5166</v>
      </c>
      <c r="U535">
        <f>'Passenger-Rail'!E58</f>
        <v>14.523912274814501</v>
      </c>
    </row>
    <row r="536" spans="15:21" x14ac:dyDescent="0.2">
      <c r="O536">
        <f t="shared" si="40"/>
        <v>1998</v>
      </c>
      <c r="P536" s="129">
        <f t="shared" si="38"/>
        <v>1.1084639498432602</v>
      </c>
      <c r="Q536" s="129">
        <f>'Passenger-Rail'!Q59</f>
        <v>1.2319919325282329</v>
      </c>
      <c r="R536" s="129">
        <f t="shared" si="39"/>
        <v>1.3656186437052762</v>
      </c>
      <c r="T536">
        <f>'Passenger-Rail'!I59</f>
        <v>5304</v>
      </c>
      <c r="U536">
        <f>'Passenger-Rail'!E59</f>
        <v>14.8465936321317</v>
      </c>
    </row>
    <row r="537" spans="15:21" x14ac:dyDescent="0.2">
      <c r="O537">
        <f t="shared" si="40"/>
        <v>1999</v>
      </c>
      <c r="P537" s="129">
        <f t="shared" si="38"/>
        <v>1.1138975966562172</v>
      </c>
      <c r="Q537" s="129">
        <f>'Passenger-Rail'!Q60</f>
        <v>1.285265774773015</v>
      </c>
      <c r="R537" s="129">
        <f t="shared" si="39"/>
        <v>1.4316544575841523</v>
      </c>
      <c r="T537">
        <f>'Passenger-Rail'!I60</f>
        <v>5330</v>
      </c>
      <c r="U537">
        <f>'Passenger-Rail'!E60</f>
        <v>15.564515065282801</v>
      </c>
    </row>
    <row r="538" spans="15:21" x14ac:dyDescent="0.2">
      <c r="O538">
        <f t="shared" si="40"/>
        <v>2000</v>
      </c>
      <c r="P538" s="129">
        <f t="shared" si="38"/>
        <v>1.1490073145245558</v>
      </c>
      <c r="Q538" s="129">
        <f>'Passenger-Rail'!Q61</f>
        <v>1.4436150428984844</v>
      </c>
      <c r="R538" s="129">
        <f t="shared" si="39"/>
        <v>1.6587242436480389</v>
      </c>
      <c r="T538">
        <f>'Passenger-Rail'!I61</f>
        <v>5498</v>
      </c>
      <c r="U538">
        <f>'Passenger-Rail'!E61</f>
        <v>18.033149229999999</v>
      </c>
    </row>
    <row r="539" spans="15:21" x14ac:dyDescent="0.2">
      <c r="O539">
        <f t="shared" si="40"/>
        <v>2001</v>
      </c>
      <c r="P539" s="129">
        <f t="shared" si="38"/>
        <v>1.1617554858934169</v>
      </c>
      <c r="Q539" s="129">
        <f>'Passenger-Rail'!Q62</f>
        <v>1.436554814307704</v>
      </c>
      <c r="R539" s="129">
        <f t="shared" si="39"/>
        <v>1.6689254363085737</v>
      </c>
      <c r="T539">
        <f>'Passenger-Rail'!I62</f>
        <v>5559</v>
      </c>
      <c r="U539">
        <f>'Passenger-Rail'!E62</f>
        <v>18.144053517000003</v>
      </c>
    </row>
    <row r="540" spans="15:21" x14ac:dyDescent="0.2">
      <c r="O540">
        <f t="shared" si="40"/>
        <v>2002</v>
      </c>
      <c r="P540" s="129">
        <f t="shared" si="38"/>
        <v>1.1427377220480668</v>
      </c>
      <c r="Q540" s="129">
        <f>'Passenger-Rail'!Q63</f>
        <v>1.3739674625174187</v>
      </c>
      <c r="R540" s="129">
        <f t="shared" si="39"/>
        <v>1.5700844482853176</v>
      </c>
      <c r="T540">
        <f>'Passenger-Rail'!I63</f>
        <v>5468</v>
      </c>
      <c r="U540">
        <f>'Passenger-Rail'!E63</f>
        <v>17.069484134</v>
      </c>
    </row>
    <row r="541" spans="15:21" x14ac:dyDescent="0.2">
      <c r="O541">
        <f t="shared" si="40"/>
        <v>2003</v>
      </c>
      <c r="P541" s="129">
        <f t="shared" si="38"/>
        <v>1.1870428422152559</v>
      </c>
      <c r="Q541" s="129">
        <f>'Passenger-Rail'!Q64</f>
        <v>1.2320642223699716</v>
      </c>
      <c r="R541" s="129">
        <f t="shared" si="39"/>
        <v>1.4625130163137801</v>
      </c>
      <c r="T541">
        <f>'Passenger-Rail'!I64</f>
        <v>5680</v>
      </c>
      <c r="U541">
        <f>'Passenger-Rail'!E64</f>
        <v>15.9</v>
      </c>
    </row>
    <row r="542" spans="15:21" x14ac:dyDescent="0.2">
      <c r="O542">
        <f t="shared" si="40"/>
        <v>2004</v>
      </c>
      <c r="P542" s="129">
        <f t="shared" si="38"/>
        <v>1.1517241379310346</v>
      </c>
      <c r="Q542" s="129">
        <f>'Passenger-Rail'!Q65</f>
        <v>1.2139414333429637</v>
      </c>
      <c r="R542" s="129">
        <f t="shared" si="39"/>
        <v>1.398125650815689</v>
      </c>
      <c r="T542">
        <f>'Passenger-Rail'!I65</f>
        <v>5511</v>
      </c>
      <c r="U542">
        <f>'Passenger-Rail'!E65</f>
        <v>15.2</v>
      </c>
    </row>
    <row r="543" spans="15:21" x14ac:dyDescent="0.2">
      <c r="O543">
        <f t="shared" si="40"/>
        <v>2005</v>
      </c>
      <c r="P543" s="129">
        <f t="shared" si="38"/>
        <v>1.1245559038662487</v>
      </c>
      <c r="Q543" s="129">
        <f>'Passenger-Rail'!Q66</f>
        <v>1.19219422836967</v>
      </c>
      <c r="R543" s="129">
        <f t="shared" si="39"/>
        <v>1.340689058068379</v>
      </c>
      <c r="T543">
        <f>'Passenger-Rail'!I66</f>
        <v>5381</v>
      </c>
      <c r="U543">
        <f>'Passenger-Rail'!E66</f>
        <v>14.575566703</v>
      </c>
    </row>
    <row r="544" spans="15:21" x14ac:dyDescent="0.2">
      <c r="O544">
        <f t="shared" si="40"/>
        <v>2006</v>
      </c>
      <c r="P544" s="129">
        <f t="shared" si="38"/>
        <v>1.1306165099268548</v>
      </c>
      <c r="Q544" s="129">
        <f>'Passenger-Rail'!Q67</f>
        <v>1.166495712307168</v>
      </c>
      <c r="R544" s="129">
        <f t="shared" si="39"/>
        <v>1.3188593110933704</v>
      </c>
      <c r="T544">
        <f>'Passenger-Rail'!I67</f>
        <v>5410</v>
      </c>
      <c r="U544">
        <f>'Passenger-Rail'!E67</f>
        <v>14.338240283999999</v>
      </c>
    </row>
    <row r="545" spans="15:21" x14ac:dyDescent="0.2">
      <c r="O545">
        <f t="shared" si="40"/>
        <v>2007</v>
      </c>
      <c r="P545" s="129">
        <f t="shared" si="38"/>
        <v>1.2087774294670846</v>
      </c>
      <c r="Q545" s="129">
        <f>'Passenger-Rail'!Q68</f>
        <v>1.1071464695151452</v>
      </c>
      <c r="R545" s="129">
        <f t="shared" si="39"/>
        <v>1.338293663464075</v>
      </c>
      <c r="T545">
        <f>'Passenger-Rail'!I68</f>
        <v>5784</v>
      </c>
      <c r="U545">
        <f>'Passenger-Rail'!E68</f>
        <v>14.549524695999999</v>
      </c>
    </row>
    <row r="546" spans="15:21" x14ac:dyDescent="0.2">
      <c r="O546">
        <f t="shared" si="40"/>
        <v>2008</v>
      </c>
      <c r="P546" s="129">
        <f t="shared" si="38"/>
        <v>1.2913270637408569</v>
      </c>
      <c r="Q546" s="129">
        <f>'Passenger-Rail'!Q69</f>
        <v>1.0552799763814935</v>
      </c>
      <c r="R546" s="129">
        <f t="shared" si="39"/>
        <v>1.3627115933252345</v>
      </c>
      <c r="T546">
        <f>'Passenger-Rail'!I69</f>
        <v>6179</v>
      </c>
      <c r="U546">
        <f>'Passenger-Rail'!E69</f>
        <v>14.814989058000002</v>
      </c>
    </row>
    <row r="551" spans="15:21" x14ac:dyDescent="0.2">
      <c r="O551" s="7" t="s">
        <v>788</v>
      </c>
    </row>
    <row r="552" spans="15:21" x14ac:dyDescent="0.2">
      <c r="P552" s="36"/>
      <c r="Q552" s="36"/>
      <c r="R552" s="36"/>
    </row>
    <row r="553" spans="15:21" ht="26.25" thickBot="1" x14ac:dyDescent="0.25">
      <c r="P553" s="157" t="s">
        <v>757</v>
      </c>
      <c r="Q553" s="157" t="s">
        <v>775</v>
      </c>
      <c r="R553" s="157" t="s">
        <v>776</v>
      </c>
      <c r="T553" s="424" t="s">
        <v>787</v>
      </c>
      <c r="U553" s="424" t="s">
        <v>790</v>
      </c>
    </row>
    <row r="554" spans="15:21" x14ac:dyDescent="0.2">
      <c r="O554">
        <v>1985</v>
      </c>
      <c r="P554" s="129">
        <f>T554/T$554</f>
        <v>1</v>
      </c>
      <c r="Q554" s="129">
        <f>'Passenger-Air'!P44</f>
        <v>1</v>
      </c>
      <c r="R554" s="129">
        <f>U554/U$554</f>
        <v>1</v>
      </c>
      <c r="T554">
        <f>'Passenger-Air'!H44</f>
        <v>351073</v>
      </c>
      <c r="U554">
        <f>'Passenger-Air'!D44</f>
        <v>1507.1777428273399</v>
      </c>
    </row>
    <row r="555" spans="15:21" x14ac:dyDescent="0.2">
      <c r="O555">
        <f>O554+1</f>
        <v>1986</v>
      </c>
      <c r="P555" s="129">
        <f t="shared" ref="P555:P577" si="41">T555/T$554</f>
        <v>1.079328230880757</v>
      </c>
      <c r="Q555" s="129">
        <f>'Passenger-Air'!P45</f>
        <v>0.99168936986328848</v>
      </c>
      <c r="R555" s="129">
        <f t="shared" ref="R555:R577" si="42">U555/U$554</f>
        <v>1.0703583331577957</v>
      </c>
      <c r="T555">
        <f>'Passenger-Air'!H45</f>
        <v>378923</v>
      </c>
      <c r="U555">
        <f>'Passenger-Air'!D45</f>
        <v>1613.2202565852003</v>
      </c>
    </row>
    <row r="556" spans="15:21" x14ac:dyDescent="0.2">
      <c r="O556">
        <f t="shared" ref="O556:O577" si="43">O555+1</f>
        <v>1987</v>
      </c>
      <c r="P556" s="129">
        <f t="shared" si="41"/>
        <v>1.1901513360469189</v>
      </c>
      <c r="Q556" s="129">
        <f>'Passenger-Air'!P46</f>
        <v>0.94175396036011549</v>
      </c>
      <c r="R556" s="129">
        <f t="shared" si="42"/>
        <v>1.1208297341500684</v>
      </c>
      <c r="T556">
        <f>'Passenger-Air'!H46</f>
        <v>417830</v>
      </c>
      <c r="U556">
        <f>'Passenger-Air'!D46</f>
        <v>1689.2896288100676</v>
      </c>
    </row>
    <row r="557" spans="15:21" x14ac:dyDescent="0.2">
      <c r="O557">
        <f t="shared" si="43"/>
        <v>1988</v>
      </c>
      <c r="P557" s="129">
        <f t="shared" si="41"/>
        <v>1.2466026723786789</v>
      </c>
      <c r="Q557" s="129">
        <f>'Passenger-Air'!P47</f>
        <v>0.93454251118697917</v>
      </c>
      <c r="R557" s="129">
        <f t="shared" si="42"/>
        <v>1.1650031918971697</v>
      </c>
      <c r="T557">
        <f>'Passenger-Air'!H47</f>
        <v>437648.54</v>
      </c>
      <c r="U557">
        <f>'Passenger-Air'!D47</f>
        <v>1755.8668811502225</v>
      </c>
    </row>
    <row r="558" spans="15:21" x14ac:dyDescent="0.2">
      <c r="O558">
        <f t="shared" si="43"/>
        <v>1989</v>
      </c>
      <c r="P558" s="129">
        <f t="shared" si="41"/>
        <v>1.2746079049086656</v>
      </c>
      <c r="Q558" s="129">
        <f>'Passenger-Air'!P48</f>
        <v>0.91877661673821276</v>
      </c>
      <c r="R558" s="129">
        <f t="shared" si="42"/>
        <v>1.1710799385397654</v>
      </c>
      <c r="T558">
        <f>'Passenger-Air'!H48</f>
        <v>447480.42099999997</v>
      </c>
      <c r="U558">
        <f>'Passenger-Air'!D48</f>
        <v>1765.0256184387435</v>
      </c>
    </row>
    <row r="559" spans="15:21" x14ac:dyDescent="0.2">
      <c r="O559">
        <f t="shared" si="43"/>
        <v>1990</v>
      </c>
      <c r="P559" s="129">
        <f t="shared" si="41"/>
        <v>1.3451209492042966</v>
      </c>
      <c r="Q559" s="129">
        <f>'Passenger-Air'!P49</f>
        <v>0.93003867364269632</v>
      </c>
      <c r="R559" s="129">
        <f t="shared" si="42"/>
        <v>1.2510145034869686</v>
      </c>
      <c r="T559">
        <f>'Passenger-Air'!H49</f>
        <v>472235.647</v>
      </c>
      <c r="U559">
        <f>'Passenger-Air'!D49</f>
        <v>1885.5012156097546</v>
      </c>
    </row>
    <row r="560" spans="15:21" x14ac:dyDescent="0.2">
      <c r="O560">
        <f t="shared" si="43"/>
        <v>1991</v>
      </c>
      <c r="P560" s="129">
        <f t="shared" si="41"/>
        <v>1.3196582505632732</v>
      </c>
      <c r="Q560" s="129">
        <f>'Passenger-Air'!P50</f>
        <v>0.85811851680397466</v>
      </c>
      <c r="R560" s="129">
        <f t="shared" si="42"/>
        <v>1.1324231806614837</v>
      </c>
      <c r="T560">
        <f>'Passenger-Air'!H50</f>
        <v>463296.38099999999</v>
      </c>
      <c r="U560">
        <f>'Passenger-Air'!D50</f>
        <v>1706.763013354732</v>
      </c>
    </row>
    <row r="561" spans="15:21" x14ac:dyDescent="0.2">
      <c r="O561">
        <f t="shared" si="43"/>
        <v>1992</v>
      </c>
      <c r="P561" s="129">
        <f t="shared" si="41"/>
        <v>1.4063029626317034</v>
      </c>
      <c r="Q561" s="129">
        <f>'Passenger-Air'!P51</f>
        <v>0.86076686272450098</v>
      </c>
      <c r="R561" s="129">
        <f t="shared" si="42"/>
        <v>1.2104989891846623</v>
      </c>
      <c r="T561">
        <f>'Passenger-Air'!H51</f>
        <v>493715</v>
      </c>
      <c r="U561">
        <f>'Passenger-Air'!D51</f>
        <v>1824.4371342141158</v>
      </c>
    </row>
    <row r="562" spans="15:21" x14ac:dyDescent="0.2">
      <c r="O562">
        <f t="shared" si="43"/>
        <v>1993</v>
      </c>
      <c r="P562" s="129">
        <f t="shared" si="41"/>
        <v>1.4412842913012394</v>
      </c>
      <c r="Q562" s="129">
        <f>'Passenger-Air'!P52</f>
        <v>0.84036023993764919</v>
      </c>
      <c r="R562" s="129">
        <f t="shared" si="42"/>
        <v>1.211198012856274</v>
      </c>
      <c r="T562">
        <f>'Passenger-Air'!H52</f>
        <v>505996</v>
      </c>
      <c r="U562">
        <f>'Passenger-Air'!D52</f>
        <v>1825.4906871336784</v>
      </c>
    </row>
    <row r="563" spans="15:21" x14ac:dyDescent="0.2">
      <c r="O563">
        <f t="shared" si="43"/>
        <v>1994</v>
      </c>
      <c r="P563" s="129">
        <f t="shared" si="41"/>
        <v>1.5310387811082027</v>
      </c>
      <c r="Q563" s="129">
        <f>'Passenger-Air'!P53</f>
        <v>0.81665702253121897</v>
      </c>
      <c r="R563" s="129">
        <f t="shared" si="42"/>
        <v>1.2503335723596514</v>
      </c>
      <c r="T563">
        <f>'Passenger-Air'!H53</f>
        <v>537506.37800000003</v>
      </c>
      <c r="U563">
        <f>'Passenger-Air'!D53</f>
        <v>1884.4749313702637</v>
      </c>
    </row>
    <row r="564" spans="15:21" x14ac:dyDescent="0.2">
      <c r="O564">
        <f t="shared" si="43"/>
        <v>1995</v>
      </c>
      <c r="P564" s="129">
        <f t="shared" si="41"/>
        <v>1.5915694200351493</v>
      </c>
      <c r="Q564" s="129">
        <f>'Passenger-Air'!P54</f>
        <v>0.80627488818260895</v>
      </c>
      <c r="R564" s="129">
        <f t="shared" si="42"/>
        <v>1.2832424561736995</v>
      </c>
      <c r="T564">
        <f>'Passenger-Air'!H54</f>
        <v>558757.05099999998</v>
      </c>
      <c r="U564">
        <f>'Passenger-Air'!D54</f>
        <v>1934.0744685960881</v>
      </c>
    </row>
    <row r="565" spans="15:21" x14ac:dyDescent="0.2">
      <c r="O565">
        <f t="shared" si="43"/>
        <v>1996</v>
      </c>
      <c r="P565" s="129">
        <f t="shared" si="41"/>
        <v>1.6981189011971871</v>
      </c>
      <c r="Q565" s="129">
        <f>'Passenger-Air'!P55</f>
        <v>0.77872305217112092</v>
      </c>
      <c r="R565" s="129">
        <f t="shared" si="42"/>
        <v>1.3223643336897435</v>
      </c>
      <c r="T565">
        <f>'Passenger-Air'!H55</f>
        <v>596163.69700000004</v>
      </c>
      <c r="U565">
        <f>'Passenger-Air'!D55</f>
        <v>1993.0380916458869</v>
      </c>
    </row>
    <row r="566" spans="15:21" x14ac:dyDescent="0.2">
      <c r="O566">
        <f t="shared" si="43"/>
        <v>1997</v>
      </c>
      <c r="P566" s="129">
        <f t="shared" si="41"/>
        <v>1.7659249842625324</v>
      </c>
      <c r="Q566" s="129">
        <f>'Passenger-Air'!P56</f>
        <v>0.77260034205905181</v>
      </c>
      <c r="R566" s="129">
        <f t="shared" si="42"/>
        <v>1.3643542468918581</v>
      </c>
      <c r="T566">
        <f>'Passenger-Air'!H56</f>
        <v>619968.58200000005</v>
      </c>
      <c r="U566">
        <f>'Passenger-Air'!D56</f>
        <v>2056.324354247366</v>
      </c>
    </row>
    <row r="567" spans="15:21" x14ac:dyDescent="0.2">
      <c r="O567">
        <f t="shared" si="43"/>
        <v>1998</v>
      </c>
      <c r="P567" s="129">
        <f t="shared" si="41"/>
        <v>1.8102143856121091</v>
      </c>
      <c r="Q567" s="129">
        <f>'Passenger-Air'!P57</f>
        <v>0.772885431288587</v>
      </c>
      <c r="R567" s="129">
        <f t="shared" si="42"/>
        <v>1.3990883261486196</v>
      </c>
      <c r="T567">
        <f>'Passenger-Air'!H57</f>
        <v>635517.39500000002</v>
      </c>
      <c r="U567">
        <f>'Passenger-Air'!D57</f>
        <v>2108.6747854207574</v>
      </c>
    </row>
    <row r="568" spans="15:21" x14ac:dyDescent="0.2">
      <c r="O568">
        <f t="shared" si="43"/>
        <v>1999</v>
      </c>
      <c r="P568" s="129">
        <f t="shared" si="41"/>
        <v>1.9045212818986366</v>
      </c>
      <c r="Q568" s="129">
        <f>'Passenger-Air'!P58</f>
        <v>0.77797657523387165</v>
      </c>
      <c r="R568" s="129">
        <f t="shared" si="42"/>
        <v>1.4816729443515242</v>
      </c>
      <c r="T568">
        <f>'Passenger-Air'!H58</f>
        <v>668626</v>
      </c>
      <c r="U568">
        <f>'Passenger-Air'!D58</f>
        <v>2233.144483876069</v>
      </c>
    </row>
    <row r="569" spans="15:21" x14ac:dyDescent="0.2">
      <c r="O569">
        <f t="shared" si="43"/>
        <v>2000</v>
      </c>
      <c r="P569" s="129">
        <f t="shared" si="41"/>
        <v>2.0193130146721625</v>
      </c>
      <c r="Q569" s="129">
        <f>'Passenger-Air'!P59</f>
        <v>0.7429516715249489</v>
      </c>
      <c r="R569" s="129">
        <f t="shared" si="42"/>
        <v>1.5002519795827665</v>
      </c>
      <c r="T569">
        <f>'Passenger-Air'!H59</f>
        <v>708926.27800000005</v>
      </c>
      <c r="U569">
        <f>'Passenger-Air'!D59</f>
        <v>2261.1463922598023</v>
      </c>
    </row>
    <row r="570" spans="15:21" x14ac:dyDescent="0.2">
      <c r="O570">
        <f t="shared" si="43"/>
        <v>2001</v>
      </c>
      <c r="P570" s="129">
        <f t="shared" si="41"/>
        <v>1.8937631689135876</v>
      </c>
      <c r="Q570" s="129">
        <f>'Passenger-Air'!P60</f>
        <v>0.7528600584481413</v>
      </c>
      <c r="R570" s="129">
        <f t="shared" si="42"/>
        <v>1.4257386500352207</v>
      </c>
      <c r="T570">
        <f>'Passenger-Air'!H60</f>
        <v>664849.11699999997</v>
      </c>
      <c r="U570">
        <f>'Passenger-Air'!D60</f>
        <v>2148.8415604217826</v>
      </c>
    </row>
    <row r="571" spans="15:21" x14ac:dyDescent="0.2">
      <c r="O571">
        <f t="shared" si="43"/>
        <v>2002</v>
      </c>
      <c r="P571" s="129">
        <f t="shared" si="41"/>
        <v>1.8663182358085071</v>
      </c>
      <c r="Q571" s="129">
        <f>'Passenger-Air'!P61</f>
        <v>0.69448563813250419</v>
      </c>
      <c r="R571" s="129">
        <f t="shared" si="42"/>
        <v>1.2961312109538006</v>
      </c>
      <c r="T571">
        <f>'Passenger-Air'!H61</f>
        <v>655213.94200000004</v>
      </c>
      <c r="U571">
        <f>'Passenger-Air'!D61</f>
        <v>1953.5001129334157</v>
      </c>
    </row>
    <row r="572" spans="15:21" x14ac:dyDescent="0.2">
      <c r="O572">
        <f t="shared" si="43"/>
        <v>2003</v>
      </c>
      <c r="P572" s="129">
        <f t="shared" si="41"/>
        <v>1.9196315552605869</v>
      </c>
      <c r="Q572" s="129">
        <f>'Passenger-Air'!P62</f>
        <v>0.66922924467163458</v>
      </c>
      <c r="R572" s="129">
        <f t="shared" si="42"/>
        <v>1.2846735757748775</v>
      </c>
      <c r="T572">
        <f>'Passenger-Air'!H62</f>
        <v>673930.80900000001</v>
      </c>
      <c r="U572">
        <f>'Passenger-Air'!D62</f>
        <v>1936.2314202063073</v>
      </c>
    </row>
    <row r="573" spans="15:21" x14ac:dyDescent="0.2">
      <c r="O573">
        <f t="shared" si="43"/>
        <v>2004</v>
      </c>
      <c r="P573" s="129">
        <f t="shared" si="41"/>
        <v>2.1428588042942636</v>
      </c>
      <c r="Q573" s="129">
        <f>'Passenger-Air'!P63</f>
        <v>0.61935221139864527</v>
      </c>
      <c r="R573" s="129">
        <f t="shared" si="42"/>
        <v>1.3271843391547089</v>
      </c>
      <c r="T573">
        <f>'Passenger-Air'!H63</f>
        <v>752299.86900000006</v>
      </c>
      <c r="U573">
        <f>'Passenger-Air'!D63</f>
        <v>2000.3026966029888</v>
      </c>
    </row>
    <row r="574" spans="15:21" x14ac:dyDescent="0.2">
      <c r="O574">
        <f t="shared" si="43"/>
        <v>2005</v>
      </c>
      <c r="P574" s="129">
        <f t="shared" si="41"/>
        <v>2.2648204732349111</v>
      </c>
      <c r="Q574" s="129">
        <f>'Passenger-Air'!P64</f>
        <v>0.61205852522681736</v>
      </c>
      <c r="R574" s="129">
        <f t="shared" si="42"/>
        <v>1.3862026787516621</v>
      </c>
      <c r="T574">
        <f>'Passenger-Air'!H64</f>
        <v>795117.31799999997</v>
      </c>
      <c r="U574">
        <f>'Passenger-Air'!D64</f>
        <v>2089.2538244621423</v>
      </c>
    </row>
    <row r="575" spans="15:21" x14ac:dyDescent="0.2">
      <c r="O575">
        <f t="shared" si="43"/>
        <v>2006</v>
      </c>
      <c r="P575" s="129">
        <f t="shared" si="41"/>
        <v>2.3074585684458788</v>
      </c>
      <c r="Q575" s="129">
        <f>'Passenger-Air'!P65</f>
        <v>0.61442384681807605</v>
      </c>
      <c r="R575" s="129">
        <f t="shared" si="42"/>
        <v>1.4177575699978475</v>
      </c>
      <c r="T575">
        <f>'Passenger-Air'!H65</f>
        <v>810086.402</v>
      </c>
      <c r="U575">
        <f>'Passenger-Air'!D65</f>
        <v>2136.8126542257301</v>
      </c>
    </row>
    <row r="576" spans="15:21" x14ac:dyDescent="0.2">
      <c r="O576">
        <f t="shared" si="43"/>
        <v>2007</v>
      </c>
      <c r="P576" s="129">
        <f t="shared" si="41"/>
        <v>2.3983808467184886</v>
      </c>
      <c r="Q576" s="129">
        <f>'Passenger-Air'!P66</f>
        <v>0.60058900877973431</v>
      </c>
      <c r="R576" s="129">
        <f t="shared" si="42"/>
        <v>1.4404411754069566</v>
      </c>
      <c r="T576">
        <f>'Passenger-Air'!H66</f>
        <v>842006.75899999996</v>
      </c>
      <c r="U576">
        <f>'Passenger-Air'!D66</f>
        <v>2171.0008794254172</v>
      </c>
    </row>
    <row r="577" spans="15:21" x14ac:dyDescent="0.2">
      <c r="O577">
        <f t="shared" si="43"/>
        <v>2008</v>
      </c>
      <c r="P577" s="129">
        <f t="shared" si="41"/>
        <v>2.3464718249480878</v>
      </c>
      <c r="Q577" s="129">
        <f>'Passenger-Air'!P67</f>
        <v>0.59202674639407948</v>
      </c>
      <c r="R577" s="129">
        <f t="shared" si="42"/>
        <v>1.3891740800293941</v>
      </c>
      <c r="T577">
        <f>'Passenger-Air'!H67</f>
        <v>823782.90300000005</v>
      </c>
      <c r="U577">
        <f>'Passenger-Air'!D67</f>
        <v>2093.7322543329487</v>
      </c>
    </row>
    <row r="583" spans="15:21" x14ac:dyDescent="0.2">
      <c r="O583" s="7" t="s">
        <v>789</v>
      </c>
    </row>
    <row r="584" spans="15:21" x14ac:dyDescent="0.2">
      <c r="P584" s="36"/>
      <c r="Q584" s="36"/>
      <c r="R584" s="36"/>
    </row>
    <row r="585" spans="15:21" ht="26.25" thickBot="1" x14ac:dyDescent="0.25">
      <c r="P585" s="157" t="s">
        <v>757</v>
      </c>
      <c r="Q585" s="157" t="s">
        <v>775</v>
      </c>
      <c r="R585" s="157" t="s">
        <v>776</v>
      </c>
      <c r="T585" s="424" t="s">
        <v>787</v>
      </c>
      <c r="U585" s="424" t="s">
        <v>790</v>
      </c>
    </row>
    <row r="586" spans="15:21" x14ac:dyDescent="0.2">
      <c r="O586">
        <v>1985</v>
      </c>
      <c r="P586" s="129">
        <f>T586/T$586</f>
        <v>1</v>
      </c>
      <c r="Q586" s="129">
        <f>'Passenger-Air'!Q44</f>
        <v>1</v>
      </c>
      <c r="R586" s="129">
        <f>U586/U$586</f>
        <v>1</v>
      </c>
      <c r="T586">
        <f>'Passenger-Air'!I44</f>
        <v>12300</v>
      </c>
      <c r="U586">
        <f>'Passenger-Air'!E44</f>
        <v>143.88919999999999</v>
      </c>
    </row>
    <row r="587" spans="15:21" x14ac:dyDescent="0.2">
      <c r="O587">
        <f>O586+1</f>
        <v>1986</v>
      </c>
      <c r="P587" s="129">
        <f t="shared" ref="P587:P609" si="44">T587/T$586</f>
        <v>1.0081300813008129</v>
      </c>
      <c r="Q587" s="129">
        <f>'Passenger-Air'!Q45</f>
        <v>1.0199104398249801</v>
      </c>
      <c r="R587" s="129">
        <f t="shared" ref="R587:R609" si="45">U587/U$586</f>
        <v>1.0282023946203052</v>
      </c>
      <c r="T587">
        <f>'Passenger-Air'!I45</f>
        <v>12400</v>
      </c>
      <c r="U587">
        <f>'Passenger-Air'!E45</f>
        <v>147.94721999999999</v>
      </c>
    </row>
    <row r="588" spans="15:21" x14ac:dyDescent="0.2">
      <c r="O588">
        <f t="shared" ref="O588:O609" si="46">O587+1</f>
        <v>1987</v>
      </c>
      <c r="P588" s="129">
        <f t="shared" si="44"/>
        <v>0.98373983739837401</v>
      </c>
      <c r="Q588" s="129">
        <f>'Passenger-Air'!Q46</f>
        <v>0.98277155657166237</v>
      </c>
      <c r="R588" s="129">
        <f t="shared" si="45"/>
        <v>0.96679153126155415</v>
      </c>
      <c r="T588">
        <f>'Passenger-Air'!I46</f>
        <v>12100</v>
      </c>
      <c r="U588">
        <f>'Passenger-Air'!E46</f>
        <v>139.11086</v>
      </c>
    </row>
    <row r="589" spans="15:21" x14ac:dyDescent="0.2">
      <c r="O589">
        <f t="shared" si="46"/>
        <v>1988</v>
      </c>
      <c r="P589" s="129">
        <f t="shared" si="44"/>
        <v>1.024390243902439</v>
      </c>
      <c r="Q589" s="129">
        <f>'Passenger-Air'!Q47</f>
        <v>1.0078081243199959</v>
      </c>
      <c r="R589" s="129">
        <f t="shared" si="45"/>
        <v>1.0323888102790204</v>
      </c>
      <c r="T589">
        <f>'Passenger-Air'!I47</f>
        <v>12600</v>
      </c>
      <c r="U589">
        <f>'Passenger-Air'!E47</f>
        <v>148.5496</v>
      </c>
    </row>
    <row r="590" spans="15:21" x14ac:dyDescent="0.2">
      <c r="O590">
        <f t="shared" si="46"/>
        <v>1989</v>
      </c>
      <c r="P590" s="129">
        <f t="shared" si="44"/>
        <v>1.065040650406504</v>
      </c>
      <c r="Q590" s="129">
        <f>'Passenger-Air'!Q48</f>
        <v>0.87495232389688815</v>
      </c>
      <c r="R590" s="129">
        <f t="shared" si="45"/>
        <v>0.9318597921178241</v>
      </c>
      <c r="T590">
        <f>'Passenger-Air'!I48</f>
        <v>13100</v>
      </c>
      <c r="U590">
        <f>'Passenger-Air'!E48</f>
        <v>134.08456000000001</v>
      </c>
    </row>
    <row r="591" spans="15:21" x14ac:dyDescent="0.2">
      <c r="O591">
        <f t="shared" si="46"/>
        <v>1990</v>
      </c>
      <c r="P591" s="129">
        <f t="shared" si="44"/>
        <v>1.056910569105691</v>
      </c>
      <c r="Q591" s="129">
        <f>'Passenger-Air'!Q49</f>
        <v>0.8675520844136696</v>
      </c>
      <c r="R591" s="129">
        <f t="shared" si="45"/>
        <v>0.9169249672664801</v>
      </c>
      <c r="T591">
        <f>'Passenger-Air'!I49</f>
        <v>13000</v>
      </c>
      <c r="U591">
        <f>'Passenger-Air'!E49</f>
        <v>131.93559999999999</v>
      </c>
    </row>
    <row r="592" spans="15:21" x14ac:dyDescent="0.2">
      <c r="O592">
        <f t="shared" si="46"/>
        <v>1991</v>
      </c>
      <c r="P592" s="129">
        <f t="shared" si="44"/>
        <v>0.98373983739837401</v>
      </c>
      <c r="Q592" s="129">
        <f>'Passenger-Air'!Q50</f>
        <v>0.85090916948194528</v>
      </c>
      <c r="R592" s="129">
        <f t="shared" si="45"/>
        <v>0.83707324802695415</v>
      </c>
      <c r="T592">
        <f>'Passenger-Air'!I50</f>
        <v>12100</v>
      </c>
      <c r="U592">
        <f>'Passenger-Air'!E50</f>
        <v>120.44580000000001</v>
      </c>
    </row>
    <row r="593" spans="15:21" x14ac:dyDescent="0.2">
      <c r="O593">
        <f t="shared" si="46"/>
        <v>1992</v>
      </c>
      <c r="P593" s="129">
        <f t="shared" si="44"/>
        <v>0.87804878048780488</v>
      </c>
      <c r="Q593" s="129">
        <f>'Passenger-Air'!Q51</f>
        <v>0.82658987301031306</v>
      </c>
      <c r="R593" s="129">
        <f t="shared" si="45"/>
        <v>0.72578622996027509</v>
      </c>
      <c r="T593">
        <f>'Passenger-Air'!I51</f>
        <v>10800</v>
      </c>
      <c r="U593">
        <f>'Passenger-Air'!E51</f>
        <v>104.4328</v>
      </c>
    </row>
    <row r="594" spans="15:21" x14ac:dyDescent="0.2">
      <c r="O594">
        <f t="shared" si="46"/>
        <v>1993</v>
      </c>
      <c r="P594" s="129">
        <f t="shared" si="44"/>
        <v>0.80487804878048785</v>
      </c>
      <c r="Q594" s="129">
        <f>'Passenger-Air'!Q52</f>
        <v>0.80789696432246383</v>
      </c>
      <c r="R594" s="129">
        <f t="shared" si="45"/>
        <v>0.65025853225954422</v>
      </c>
      <c r="T594">
        <f>'Passenger-Air'!I52</f>
        <v>9900</v>
      </c>
      <c r="U594">
        <f>'Passenger-Air'!E52</f>
        <v>93.565179999999998</v>
      </c>
    </row>
    <row r="595" spans="15:21" x14ac:dyDescent="0.2">
      <c r="O595">
        <f t="shared" si="46"/>
        <v>1994</v>
      </c>
      <c r="P595" s="129">
        <f t="shared" si="44"/>
        <v>0.7967479674796748</v>
      </c>
      <c r="Q595" s="129">
        <f>'Passenger-Air'!Q53</f>
        <v>0.82528237288249073</v>
      </c>
      <c r="R595" s="129">
        <f t="shared" si="45"/>
        <v>0.65754205319092751</v>
      </c>
      <c r="T595">
        <f>'Passenger-Air'!I53</f>
        <v>9800</v>
      </c>
      <c r="U595">
        <f>'Passenger-Air'!E53</f>
        <v>94.613200000000006</v>
      </c>
    </row>
    <row r="596" spans="15:21" x14ac:dyDescent="0.2">
      <c r="O596">
        <f t="shared" si="46"/>
        <v>1995</v>
      </c>
      <c r="P596" s="129">
        <f t="shared" si="44"/>
        <v>0.87804878048780488</v>
      </c>
      <c r="Q596" s="129">
        <f>'Passenger-Air'!Q54</f>
        <v>0.87142541313424193</v>
      </c>
      <c r="R596" s="129">
        <f t="shared" si="45"/>
        <v>0.76515402128860266</v>
      </c>
      <c r="T596">
        <f>'Passenger-Air'!I54</f>
        <v>10800</v>
      </c>
      <c r="U596">
        <f>'Passenger-Air'!E54</f>
        <v>110.09739999999999</v>
      </c>
    </row>
    <row r="597" spans="15:21" x14ac:dyDescent="0.2">
      <c r="O597">
        <f t="shared" si="46"/>
        <v>1996</v>
      </c>
      <c r="P597" s="129">
        <f t="shared" si="44"/>
        <v>0.97560975609756095</v>
      </c>
      <c r="Q597" s="129">
        <f>'Passenger-Air'!Q55</f>
        <v>0.83215588800271334</v>
      </c>
      <c r="R597" s="129">
        <f t="shared" si="45"/>
        <v>0.81185940292947645</v>
      </c>
      <c r="T597">
        <f>'Passenger-Air'!I55</f>
        <v>12000</v>
      </c>
      <c r="U597">
        <f>'Passenger-Air'!E55</f>
        <v>116.81780000000001</v>
      </c>
    </row>
    <row r="598" spans="15:21" x14ac:dyDescent="0.2">
      <c r="O598">
        <f t="shared" si="46"/>
        <v>1997</v>
      </c>
      <c r="P598" s="129">
        <f t="shared" si="44"/>
        <v>1.0162601626016261</v>
      </c>
      <c r="Q598" s="129">
        <f>'Passenger-Air'!Q56</f>
        <v>0.83025880469138758</v>
      </c>
      <c r="R598" s="129">
        <f t="shared" si="45"/>
        <v>0.84375894785710115</v>
      </c>
      <c r="T598">
        <f>'Passenger-Air'!I56</f>
        <v>12500</v>
      </c>
      <c r="U598">
        <f>'Passenger-Air'!E56</f>
        <v>121.40779999999999</v>
      </c>
    </row>
    <row r="599" spans="15:21" x14ac:dyDescent="0.2">
      <c r="O599">
        <f t="shared" si="46"/>
        <v>1998</v>
      </c>
      <c r="P599" s="129">
        <f t="shared" si="44"/>
        <v>1.065040650406504</v>
      </c>
      <c r="Q599" s="129">
        <f>'Passenger-Air'!Q57</f>
        <v>0.96188757452113338</v>
      </c>
      <c r="R599" s="129">
        <f t="shared" si="45"/>
        <v>1.0244493679859226</v>
      </c>
      <c r="T599">
        <f>'Passenger-Air'!I57</f>
        <v>13100</v>
      </c>
      <c r="U599">
        <f>'Passenger-Air'!E57</f>
        <v>147.40719999999999</v>
      </c>
    </row>
    <row r="600" spans="15:21" x14ac:dyDescent="0.2">
      <c r="O600">
        <f t="shared" si="46"/>
        <v>1999</v>
      </c>
      <c r="P600" s="129">
        <f t="shared" si="44"/>
        <v>1.1463414634146341</v>
      </c>
      <c r="Q600" s="129">
        <f>'Passenger-Air'!Q58</f>
        <v>1.0433864242232245</v>
      </c>
      <c r="R600" s="129">
        <f t="shared" si="45"/>
        <v>1.1960771204510137</v>
      </c>
      <c r="T600">
        <f>'Passenger-Air'!I58</f>
        <v>14100</v>
      </c>
      <c r="U600">
        <f>'Passenger-Air'!E58</f>
        <v>172.10257999999999</v>
      </c>
    </row>
    <row r="601" spans="15:21" x14ac:dyDescent="0.2">
      <c r="O601">
        <f t="shared" si="46"/>
        <v>2000</v>
      </c>
      <c r="P601" s="129">
        <f t="shared" si="44"/>
        <v>1.2357723577235773</v>
      </c>
      <c r="Q601" s="129">
        <f>'Passenger-Air'!Q59</f>
        <v>0.98511066885236409</v>
      </c>
      <c r="R601" s="129">
        <f t="shared" si="45"/>
        <v>1.2173725338663361</v>
      </c>
      <c r="T601">
        <f>'Passenger-Air'!I59</f>
        <v>15200</v>
      </c>
      <c r="U601">
        <f>'Passenger-Air'!E59</f>
        <v>175.16676000000001</v>
      </c>
    </row>
    <row r="602" spans="15:21" x14ac:dyDescent="0.2">
      <c r="O602">
        <f t="shared" si="46"/>
        <v>2001</v>
      </c>
      <c r="P602" s="129">
        <f t="shared" si="44"/>
        <v>1.2926829268292683</v>
      </c>
      <c r="Q602" s="129">
        <f>'Passenger-Air'!Q60</f>
        <v>0.88764299721394657</v>
      </c>
      <c r="R602" s="129">
        <f t="shared" si="45"/>
        <v>1.1474409476180285</v>
      </c>
      <c r="T602">
        <f>'Passenger-Air'!I60</f>
        <v>15900</v>
      </c>
      <c r="U602">
        <f>'Passenger-Air'!E60</f>
        <v>165.10436000000001</v>
      </c>
    </row>
    <row r="603" spans="15:21" x14ac:dyDescent="0.2">
      <c r="O603">
        <f t="shared" si="46"/>
        <v>2002</v>
      </c>
      <c r="P603" s="129">
        <f t="shared" si="44"/>
        <v>1.1079728883849362</v>
      </c>
      <c r="Q603" s="129">
        <f>'Passenger-Air'!Q61</f>
        <v>0.88764299721394657</v>
      </c>
      <c r="R603" s="129">
        <f t="shared" si="45"/>
        <v>0.98348437547779821</v>
      </c>
      <c r="T603">
        <f>'Passenger-Air'!I61</f>
        <v>13628.066527134715</v>
      </c>
      <c r="U603">
        <f>'Passenger-Air'!E61</f>
        <v>141.51277999999999</v>
      </c>
    </row>
    <row r="604" spans="15:21" x14ac:dyDescent="0.2">
      <c r="O604">
        <f t="shared" si="46"/>
        <v>2003</v>
      </c>
      <c r="P604" s="129">
        <f t="shared" si="44"/>
        <v>1.1071767858471233</v>
      </c>
      <c r="Q604" s="129">
        <f>'Passenger-Air'!Q62</f>
        <v>0.88764299721394657</v>
      </c>
      <c r="R604" s="129">
        <f t="shared" si="45"/>
        <v>0.98277772063504432</v>
      </c>
      <c r="T604">
        <f>'Passenger-Air'!I62</f>
        <v>13618.274465919616</v>
      </c>
      <c r="U604">
        <f>'Passenger-Air'!E62</f>
        <v>141.4111</v>
      </c>
    </row>
    <row r="605" spans="15:21" x14ac:dyDescent="0.2">
      <c r="O605">
        <f t="shared" si="46"/>
        <v>2004</v>
      </c>
      <c r="P605" s="129">
        <f t="shared" si="44"/>
        <v>1.3774830363168555</v>
      </c>
      <c r="Q605" s="129">
        <f>'Passenger-Air'!Q63</f>
        <v>0.88764299721394657</v>
      </c>
      <c r="R605" s="129">
        <f t="shared" si="45"/>
        <v>1.2227131709676613</v>
      </c>
      <c r="T605">
        <f>'Passenger-Air'!I63</f>
        <v>16943.041346697322</v>
      </c>
      <c r="U605">
        <f>'Passenger-Air'!E63</f>
        <v>175.93521999999999</v>
      </c>
    </row>
    <row r="606" spans="15:21" x14ac:dyDescent="0.2">
      <c r="O606">
        <f t="shared" si="46"/>
        <v>2005</v>
      </c>
      <c r="P606" s="129">
        <f t="shared" si="44"/>
        <v>1.8978348529408173</v>
      </c>
      <c r="Q606" s="129">
        <f>'Passenger-Air'!Q64</f>
        <v>0.88764299721394657</v>
      </c>
      <c r="R606" s="129">
        <f t="shared" si="45"/>
        <v>1.6845998170814769</v>
      </c>
      <c r="T606">
        <f>'Passenger-Air'!I64</f>
        <v>23343.368691172054</v>
      </c>
      <c r="U606">
        <f>'Passenger-Air'!E64</f>
        <v>242.39572000000001</v>
      </c>
    </row>
    <row r="607" spans="15:21" x14ac:dyDescent="0.2">
      <c r="O607">
        <f t="shared" si="46"/>
        <v>2006</v>
      </c>
      <c r="P607" s="129">
        <f t="shared" si="44"/>
        <v>2.0068817966657351</v>
      </c>
      <c r="Q607" s="129">
        <f>'Passenger-Air'!Q65</f>
        <v>0.88764299721394657</v>
      </c>
      <c r="R607" s="129">
        <f t="shared" si="45"/>
        <v>1.7813945730464831</v>
      </c>
      <c r="T607">
        <f>'Passenger-Air'!I65</f>
        <v>24684.646098988542</v>
      </c>
      <c r="U607">
        <f>'Passenger-Air'!E65</f>
        <v>256.32344000000001</v>
      </c>
    </row>
    <row r="608" spans="15:21" x14ac:dyDescent="0.2">
      <c r="O608">
        <f t="shared" si="46"/>
        <v>2007</v>
      </c>
      <c r="P608" s="129">
        <f t="shared" si="44"/>
        <v>1.8989602638258021</v>
      </c>
      <c r="Q608" s="129">
        <f>'Passenger-Air'!Q66</f>
        <v>0.88764299721394657</v>
      </c>
      <c r="R608" s="129">
        <f t="shared" si="45"/>
        <v>1.6855987801725216</v>
      </c>
      <c r="T608">
        <f>'Passenger-Air'!I66</f>
        <v>23357.211245057366</v>
      </c>
      <c r="U608">
        <f>'Passenger-Air'!E66</f>
        <v>242.53945999999999</v>
      </c>
    </row>
    <row r="609" spans="15:21" x14ac:dyDescent="0.2">
      <c r="O609">
        <f t="shared" si="46"/>
        <v>2008</v>
      </c>
      <c r="P609" s="129">
        <f t="shared" si="44"/>
        <v>2.0730787248596032</v>
      </c>
      <c r="Q609" s="129">
        <f>'Passenger-Air'!Q67</f>
        <v>0.88764299721394668</v>
      </c>
      <c r="R609" s="129">
        <f t="shared" si="45"/>
        <v>1.8401538127948449</v>
      </c>
      <c r="T609">
        <f>'Passenger-Air'!I67</f>
        <v>25498.868315773121</v>
      </c>
      <c r="U609">
        <f>'Passenger-Air'!E67</f>
        <v>264.77825999999999</v>
      </c>
    </row>
  </sheetData>
  <phoneticPr fontId="0"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O50"/>
  <sheetViews>
    <sheetView topLeftCell="V13" workbookViewId="0">
      <selection activeCell="AB24" sqref="AB24"/>
    </sheetView>
  </sheetViews>
  <sheetFormatPr defaultRowHeight="12.75" x14ac:dyDescent="0.2"/>
  <cols>
    <col min="2" max="2" width="14.28515625" customWidth="1"/>
    <col min="3" max="3" width="16" customWidth="1"/>
    <col min="4" max="4" width="14.5703125" customWidth="1"/>
    <col min="6" max="6" width="15" customWidth="1"/>
    <col min="8" max="8" width="14.5703125" customWidth="1"/>
    <col min="11" max="11" width="16" customWidth="1"/>
    <col min="12" max="12" width="14.5703125" customWidth="1"/>
    <col min="14" max="14" width="15" customWidth="1"/>
    <col min="16" max="16" width="14.5703125" customWidth="1"/>
    <col min="19" max="19" width="16" customWidth="1"/>
    <col min="20" max="20" width="14.5703125" customWidth="1"/>
    <col min="22" max="22" width="15" customWidth="1"/>
    <col min="24" max="24" width="14.5703125" customWidth="1"/>
    <col min="27" max="27" width="16" customWidth="1"/>
    <col min="28" max="28" width="14.5703125" customWidth="1"/>
    <col min="30" max="30" width="15" customWidth="1"/>
    <col min="32" max="32" width="14.5703125" customWidth="1"/>
    <col min="35" max="35" width="16" customWidth="1"/>
    <col min="36" max="36" width="14.5703125" customWidth="1"/>
    <col min="38" max="38" width="15" customWidth="1"/>
    <col min="40" max="40" width="14.5703125" customWidth="1"/>
  </cols>
  <sheetData>
    <row r="1" spans="3:41" x14ac:dyDescent="0.2">
      <c r="C1" s="6" t="s">
        <v>660</v>
      </c>
      <c r="S1" s="556" t="s">
        <v>958</v>
      </c>
      <c r="AI1" s="6" t="s">
        <v>1251</v>
      </c>
    </row>
    <row r="3" spans="3:41" x14ac:dyDescent="0.2">
      <c r="C3" s="8" t="s">
        <v>776</v>
      </c>
      <c r="K3" s="8" t="s">
        <v>957</v>
      </c>
      <c r="S3" s="8" t="s">
        <v>957</v>
      </c>
      <c r="AI3" s="664" t="s">
        <v>957</v>
      </c>
      <c r="AJ3" s="519"/>
      <c r="AK3" s="519"/>
      <c r="AL3" s="519"/>
      <c r="AM3" s="519"/>
      <c r="AN3" s="519"/>
      <c r="AO3" s="519"/>
    </row>
    <row r="4" spans="3:41" x14ac:dyDescent="0.2">
      <c r="D4" s="797">
        <v>1970</v>
      </c>
      <c r="E4" s="798"/>
      <c r="F4" s="799">
        <v>1985</v>
      </c>
      <c r="G4" s="798"/>
      <c r="H4" s="800">
        <v>2011</v>
      </c>
      <c r="I4" s="800"/>
      <c r="L4" s="797">
        <v>1970</v>
      </c>
      <c r="M4" s="798"/>
      <c r="N4" s="799">
        <v>1985</v>
      </c>
      <c r="O4" s="798"/>
      <c r="P4" s="800">
        <v>2011</v>
      </c>
      <c r="Q4" s="800"/>
      <c r="T4" s="797">
        <v>1970</v>
      </c>
      <c r="U4" s="798"/>
      <c r="V4" s="799">
        <v>1985</v>
      </c>
      <c r="W4" s="798"/>
      <c r="X4" s="799">
        <v>2011</v>
      </c>
      <c r="Y4" s="797"/>
      <c r="AA4" s="556" t="s">
        <v>1041</v>
      </c>
      <c r="AI4" s="519"/>
      <c r="AJ4" s="793">
        <v>1970</v>
      </c>
      <c r="AK4" s="794"/>
      <c r="AL4" s="795">
        <v>1985</v>
      </c>
      <c r="AM4" s="794"/>
      <c r="AN4" s="795">
        <v>2011</v>
      </c>
      <c r="AO4" s="793"/>
    </row>
    <row r="5" spans="3:41" ht="13.5" thickBot="1" x14ac:dyDescent="0.25">
      <c r="D5" s="130" t="s">
        <v>762</v>
      </c>
      <c r="E5" s="550" t="s">
        <v>947</v>
      </c>
      <c r="F5" s="553" t="s">
        <v>762</v>
      </c>
      <c r="G5" s="550" t="s">
        <v>947</v>
      </c>
      <c r="H5" s="130" t="s">
        <v>762</v>
      </c>
      <c r="I5" s="130" t="s">
        <v>947</v>
      </c>
      <c r="L5" s="539" t="s">
        <v>762</v>
      </c>
      <c r="M5" s="558" t="s">
        <v>947</v>
      </c>
      <c r="N5" s="559" t="s">
        <v>762</v>
      </c>
      <c r="O5" s="558" t="s">
        <v>947</v>
      </c>
      <c r="P5" s="539" t="s">
        <v>762</v>
      </c>
      <c r="Q5" s="539" t="s">
        <v>947</v>
      </c>
      <c r="T5" s="539" t="s">
        <v>762</v>
      </c>
      <c r="U5" s="558" t="s">
        <v>947</v>
      </c>
      <c r="V5" s="559" t="s">
        <v>762</v>
      </c>
      <c r="W5" s="558" t="s">
        <v>947</v>
      </c>
      <c r="X5" s="539" t="s">
        <v>762</v>
      </c>
      <c r="Y5" s="539" t="s">
        <v>947</v>
      </c>
      <c r="AI5" s="519"/>
      <c r="AJ5" s="665" t="s">
        <v>762</v>
      </c>
      <c r="AK5" s="666" t="s">
        <v>947</v>
      </c>
      <c r="AL5" s="667" t="s">
        <v>762</v>
      </c>
      <c r="AM5" s="666" t="s">
        <v>947</v>
      </c>
      <c r="AN5" s="665" t="s">
        <v>762</v>
      </c>
      <c r="AO5" s="665" t="s">
        <v>947</v>
      </c>
    </row>
    <row r="6" spans="3:41" x14ac:dyDescent="0.2">
      <c r="C6" t="s">
        <v>946</v>
      </c>
      <c r="D6" s="544">
        <f>Freight_Total!$D$30</f>
        <v>1980.1247563938759</v>
      </c>
      <c r="E6" s="545">
        <f>D6/D$11</f>
        <v>0.54327055842535177</v>
      </c>
      <c r="F6" s="547">
        <f>Freight_Total!$D$45</f>
        <v>3700.0594574380202</v>
      </c>
      <c r="G6" s="545">
        <f>F6/F$11</f>
        <v>0.71966883254972036</v>
      </c>
      <c r="H6" s="540">
        <f>Freight_Total!$D$71</f>
        <v>5803.0669048</v>
      </c>
      <c r="I6" s="542">
        <f>H6/H$11</f>
        <v>0.76503528023697953</v>
      </c>
      <c r="K6" t="s">
        <v>946</v>
      </c>
      <c r="L6" s="561">
        <f>Freight_Total!$D$30</f>
        <v>1980.1247563938759</v>
      </c>
      <c r="M6" s="545">
        <f>L6/L$11</f>
        <v>0.54327055842535177</v>
      </c>
      <c r="N6" s="561">
        <f>Freight_Total!$D$45</f>
        <v>3700.0594574380202</v>
      </c>
      <c r="O6" s="545">
        <f>N6/N$11</f>
        <v>0.71966883254972036</v>
      </c>
      <c r="P6" s="561">
        <f>Freight_Total!$D$71</f>
        <v>5803.0669048</v>
      </c>
      <c r="Q6" s="542">
        <f>P6/P$11</f>
        <v>0.76503528023697953</v>
      </c>
      <c r="S6" t="s">
        <v>946</v>
      </c>
      <c r="T6" s="561">
        <v>1980.1247563938759</v>
      </c>
      <c r="U6" s="545">
        <v>0.54327055842535177</v>
      </c>
      <c r="V6" s="561">
        <v>3700.0594574380202</v>
      </c>
      <c r="W6" s="545">
        <v>0.71966883254972036</v>
      </c>
      <c r="X6" s="561">
        <v>5803.0669048</v>
      </c>
      <c r="Y6" s="542">
        <v>0.76503528023697953</v>
      </c>
      <c r="AA6">
        <f>T11</f>
        <v>3644.8225026829896</v>
      </c>
      <c r="AB6">
        <f>V11</f>
        <v>5141.3362509100898</v>
      </c>
      <c r="AC6">
        <f>X11</f>
        <v>7585.3585510493385</v>
      </c>
      <c r="AE6" s="136"/>
      <c r="AI6" s="519" t="s">
        <v>946</v>
      </c>
      <c r="AJ6" s="687">
        <v>1980.1247563938759</v>
      </c>
      <c r="AK6" s="670">
        <v>0.54327055842535177</v>
      </c>
      <c r="AL6" s="688">
        <v>3700.0594574380202</v>
      </c>
      <c r="AM6" s="670">
        <v>0.71966883254972036</v>
      </c>
      <c r="AN6" s="687">
        <v>5803.0669048</v>
      </c>
      <c r="AO6" s="671">
        <v>0.76503528023697953</v>
      </c>
    </row>
    <row r="7" spans="3:41" x14ac:dyDescent="0.2">
      <c r="C7" s="7" t="s">
        <v>316</v>
      </c>
      <c r="D7" s="544">
        <f>Freight_Total!$E$30</f>
        <v>528.12285810000003</v>
      </c>
      <c r="E7" s="545">
        <f t="shared" ref="E7:G10" si="0">D7/D$11</f>
        <v>0.14489672891100833</v>
      </c>
      <c r="F7" s="547">
        <f>Freight_Total!$E$45</f>
        <v>436.099153</v>
      </c>
      <c r="G7" s="545">
        <f t="shared" si="0"/>
        <v>8.4822141894104711E-2</v>
      </c>
      <c r="H7" s="540">
        <f>Freight_Total!$E$71</f>
        <v>514.64634999999998</v>
      </c>
      <c r="I7" s="542">
        <f t="shared" ref="I7" si="1">H7/H$11</f>
        <v>6.7847333324646222E-2</v>
      </c>
      <c r="K7" s="7" t="s">
        <v>316</v>
      </c>
      <c r="L7" s="561">
        <f>Freight_Total!$E$30</f>
        <v>528.12285810000003</v>
      </c>
      <c r="M7" s="545">
        <f t="shared" ref="M7:M10" si="2">L7/L$11</f>
        <v>0.14489672891100833</v>
      </c>
      <c r="N7" s="561">
        <f>Freight_Total!$E$45</f>
        <v>436.099153</v>
      </c>
      <c r="O7" s="545">
        <f t="shared" ref="O7:O10" si="3">N7/N$11</f>
        <v>8.4822141894104711E-2</v>
      </c>
      <c r="P7" s="561">
        <f>Freight_Total!$E$71</f>
        <v>514.64634999999998</v>
      </c>
      <c r="Q7" s="542">
        <f t="shared" ref="Q7:Q10" si="4">P7/P$11</f>
        <v>6.7847333324646222E-2</v>
      </c>
      <c r="S7" s="7" t="s">
        <v>316</v>
      </c>
      <c r="T7" s="561">
        <v>528.12285810000003</v>
      </c>
      <c r="U7" s="545">
        <v>0.14489672891100833</v>
      </c>
      <c r="V7" s="561">
        <v>436.099153</v>
      </c>
      <c r="W7" s="545">
        <v>8.4822141894104711E-2</v>
      </c>
      <c r="X7" s="561">
        <v>514.64634999999998</v>
      </c>
      <c r="Y7" s="542">
        <v>6.7847333324646222E-2</v>
      </c>
      <c r="AA7">
        <f>T36</f>
        <v>11489.263533431138</v>
      </c>
      <c r="AB7">
        <f>V36</f>
        <v>14240.914019945387</v>
      </c>
      <c r="AC7">
        <f>X36</f>
        <v>19364.254803685013</v>
      </c>
      <c r="AI7" s="676" t="s">
        <v>316</v>
      </c>
      <c r="AJ7" s="687">
        <v>528.12285810000003</v>
      </c>
      <c r="AK7" s="670">
        <v>0.14489672891100833</v>
      </c>
      <c r="AL7" s="688">
        <v>436.099153</v>
      </c>
      <c r="AM7" s="670">
        <v>8.4822141894104711E-2</v>
      </c>
      <c r="AN7" s="687">
        <v>514.64634999999998</v>
      </c>
      <c r="AO7" s="671">
        <v>6.7847333324646222E-2</v>
      </c>
    </row>
    <row r="8" spans="3:41" x14ac:dyDescent="0.2">
      <c r="C8" s="7" t="s">
        <v>328</v>
      </c>
      <c r="D8" s="544">
        <f>Freight_Total!$G$30</f>
        <v>208.02714624461305</v>
      </c>
      <c r="E8" s="545">
        <f t="shared" si="0"/>
        <v>5.7074698724418602E-2</v>
      </c>
      <c r="F8" s="547">
        <f>Freight_Total!$G$45</f>
        <v>267.97616653826503</v>
      </c>
      <c r="G8" s="545">
        <f t="shared" si="0"/>
        <v>5.2121890780987029E-2</v>
      </c>
      <c r="H8" s="540">
        <f>Freight_Total!$G$71</f>
        <v>108.44531599999999</v>
      </c>
      <c r="I8" s="542">
        <f t="shared" ref="I8" si="5">H8/H$11</f>
        <v>1.429666313993792E-2</v>
      </c>
      <c r="K8" s="7" t="s">
        <v>328</v>
      </c>
      <c r="L8" s="561">
        <f>Freight_Total!$G$30</f>
        <v>208.02714624461305</v>
      </c>
      <c r="M8" s="545">
        <f t="shared" si="2"/>
        <v>5.7074698724418602E-2</v>
      </c>
      <c r="N8" s="561">
        <f>Freight_Total!$G$45</f>
        <v>267.97616653826503</v>
      </c>
      <c r="O8" s="545">
        <f t="shared" si="3"/>
        <v>5.2121890780987029E-2</v>
      </c>
      <c r="P8" s="561">
        <f>Freight_Total!$G$71</f>
        <v>108.44531599999999</v>
      </c>
      <c r="Q8" s="542">
        <f t="shared" si="4"/>
        <v>1.429666313993792E-2</v>
      </c>
      <c r="S8" s="7" t="s">
        <v>328</v>
      </c>
      <c r="T8" s="561">
        <v>208.02714624461305</v>
      </c>
      <c r="U8" s="545">
        <v>5.7074698724418602E-2</v>
      </c>
      <c r="V8" s="561">
        <v>267.97616653826503</v>
      </c>
      <c r="W8" s="545">
        <v>5.2121890780987029E-2</v>
      </c>
      <c r="X8" s="561">
        <v>108.44531599999999</v>
      </c>
      <c r="Y8" s="542">
        <v>1.429666313993792E-2</v>
      </c>
      <c r="AA8">
        <f>SUM(AA6:AA7)</f>
        <v>15134.086036114128</v>
      </c>
      <c r="AB8">
        <f t="shared" ref="AB8:AC8" si="6">SUM(AB6:AB7)</f>
        <v>19382.250270855475</v>
      </c>
      <c r="AC8">
        <f t="shared" si="6"/>
        <v>26949.613354734352</v>
      </c>
      <c r="AI8" s="676" t="s">
        <v>328</v>
      </c>
      <c r="AJ8" s="687">
        <v>208.02714624461305</v>
      </c>
      <c r="AK8" s="670">
        <v>5.7074698724418602E-2</v>
      </c>
      <c r="AL8" s="688">
        <v>267.97616653826503</v>
      </c>
      <c r="AM8" s="670">
        <v>5.2121890780987029E-2</v>
      </c>
      <c r="AN8" s="687">
        <v>108.44531599999999</v>
      </c>
      <c r="AO8" s="671">
        <v>1.429666313993792E-2</v>
      </c>
    </row>
    <row r="9" spans="3:41" x14ac:dyDescent="0.2">
      <c r="C9" s="7" t="s">
        <v>318</v>
      </c>
      <c r="D9" s="544">
        <f>Freight_Total!$F$30</f>
        <v>150.15605359643743</v>
      </c>
      <c r="E9" s="545">
        <f t="shared" si="0"/>
        <v>4.1197082570113112E-2</v>
      </c>
      <c r="F9" s="547">
        <f>Freight_Total!$F$45</f>
        <v>194.21375717266014</v>
      </c>
      <c r="G9" s="545">
        <f t="shared" si="0"/>
        <v>3.7774957266854807E-2</v>
      </c>
      <c r="H9" s="540">
        <f>Freight_Total!$F$71</f>
        <v>422.25297180334917</v>
      </c>
      <c r="I9" s="542">
        <f t="shared" ref="I9" si="7">H9/H$11</f>
        <v>5.566684408674865E-2</v>
      </c>
      <c r="K9" s="7" t="s">
        <v>318</v>
      </c>
      <c r="L9" s="561">
        <f>Freight_Total!$F$30</f>
        <v>150.15605359643743</v>
      </c>
      <c r="M9" s="545">
        <f t="shared" si="2"/>
        <v>4.1197082570113112E-2</v>
      </c>
      <c r="N9" s="561">
        <f>Freight_Total!$F$45</f>
        <v>194.21375717266014</v>
      </c>
      <c r="O9" s="545">
        <f t="shared" si="3"/>
        <v>3.7774957266854807E-2</v>
      </c>
      <c r="P9" s="561">
        <f>Freight_Total!$F$71</f>
        <v>422.25297180334917</v>
      </c>
      <c r="Q9" s="542">
        <f t="shared" si="4"/>
        <v>5.566684408674865E-2</v>
      </c>
      <c r="S9" s="7" t="s">
        <v>318</v>
      </c>
      <c r="T9" s="561">
        <v>150.15605359643743</v>
      </c>
      <c r="U9" s="545">
        <v>4.1197082570113112E-2</v>
      </c>
      <c r="V9" s="561">
        <v>194.21375717266014</v>
      </c>
      <c r="W9" s="545">
        <v>3.7774957266854807E-2</v>
      </c>
      <c r="X9" s="561">
        <v>422.25297180334917</v>
      </c>
      <c r="Y9" s="542">
        <v>5.566684408674865E-2</v>
      </c>
      <c r="AI9" s="676" t="s">
        <v>318</v>
      </c>
      <c r="AJ9" s="687">
        <v>150.15605359643743</v>
      </c>
      <c r="AK9" s="670">
        <v>4.1197082570113112E-2</v>
      </c>
      <c r="AL9" s="688">
        <v>194.21375717266014</v>
      </c>
      <c r="AM9" s="670">
        <v>3.7774957266854807E-2</v>
      </c>
      <c r="AN9" s="687">
        <v>422.25297180334917</v>
      </c>
      <c r="AO9" s="671">
        <v>5.566684408674865E-2</v>
      </c>
    </row>
    <row r="10" spans="3:41" x14ac:dyDescent="0.2">
      <c r="C10" s="7" t="s">
        <v>948</v>
      </c>
      <c r="D10" s="541">
        <f>Freight_Total!$H$30</f>
        <v>778.39168834806321</v>
      </c>
      <c r="E10" s="546">
        <f t="shared" si="0"/>
        <v>0.21356093136910823</v>
      </c>
      <c r="F10" s="548">
        <f>Freight_Total!$H$45</f>
        <v>542.98771676114472</v>
      </c>
      <c r="G10" s="546">
        <f t="shared" si="0"/>
        <v>0.1056121775083332</v>
      </c>
      <c r="H10" s="541">
        <f>Freight_Total!$H$71</f>
        <v>736.94700844598913</v>
      </c>
      <c r="I10" s="543">
        <f t="shared" ref="I10" si="8">H10/H$11</f>
        <v>9.7153879211687597E-2</v>
      </c>
      <c r="K10" s="7" t="s">
        <v>948</v>
      </c>
      <c r="L10" s="562">
        <f>Freight_Total!$H$30</f>
        <v>778.39168834806321</v>
      </c>
      <c r="M10" s="546">
        <f t="shared" si="2"/>
        <v>0.21356093136910823</v>
      </c>
      <c r="N10" s="562">
        <f>Freight_Total!$H$45</f>
        <v>542.98771676114472</v>
      </c>
      <c r="O10" s="546">
        <f t="shared" si="3"/>
        <v>0.1056121775083332</v>
      </c>
      <c r="P10" s="562">
        <f>Freight_Total!$H$71</f>
        <v>736.94700844598913</v>
      </c>
      <c r="Q10" s="543">
        <f t="shared" si="4"/>
        <v>9.7153879211687597E-2</v>
      </c>
      <c r="S10" s="7" t="s">
        <v>948</v>
      </c>
      <c r="T10" s="562">
        <v>778.39168834806321</v>
      </c>
      <c r="U10" s="546">
        <v>0.21356093136910823</v>
      </c>
      <c r="V10" s="562">
        <v>542.98771676114472</v>
      </c>
      <c r="W10" s="546">
        <v>0.1056121775083332</v>
      </c>
      <c r="X10" s="562">
        <v>736.94700844598913</v>
      </c>
      <c r="Y10" s="543">
        <v>9.7153879211687597E-2</v>
      </c>
      <c r="AA10" s="136">
        <f>AA6/AA$8</f>
        <v>0.24083532325542698</v>
      </c>
      <c r="AB10" s="136">
        <f t="shared" ref="AB10:AC11" si="9">AB6/AB$8</f>
        <v>0.26526002807016519</v>
      </c>
      <c r="AC10" s="136">
        <f t="shared" si="9"/>
        <v>0.28146446671439118</v>
      </c>
      <c r="AI10" s="676" t="s">
        <v>948</v>
      </c>
      <c r="AJ10" s="689">
        <v>778.39168834806321</v>
      </c>
      <c r="AK10" s="674">
        <v>0.21356093136910823</v>
      </c>
      <c r="AL10" s="690">
        <v>542.98771676114472</v>
      </c>
      <c r="AM10" s="674">
        <v>0.1056121775083332</v>
      </c>
      <c r="AN10" s="689">
        <v>736.94700844598913</v>
      </c>
      <c r="AO10" s="675">
        <v>9.7153879211687597E-2</v>
      </c>
    </row>
    <row r="11" spans="3:41" ht="15.75" customHeight="1" x14ac:dyDescent="0.2">
      <c r="C11" s="7" t="s">
        <v>949</v>
      </c>
      <c r="D11" s="551">
        <f>SUM(D6:D10)</f>
        <v>3644.8225026829896</v>
      </c>
      <c r="E11" s="552"/>
      <c r="F11" s="554">
        <f>SUM(F6:F10)</f>
        <v>5141.3362509100898</v>
      </c>
      <c r="G11" s="552"/>
      <c r="H11" s="538">
        <f>SUM(H6:H10)</f>
        <v>7585.3585510493385</v>
      </c>
      <c r="K11" s="7" t="s">
        <v>949</v>
      </c>
      <c r="L11" s="563">
        <f>SUM(L6:L10)</f>
        <v>3644.8225026829896</v>
      </c>
      <c r="M11" s="552"/>
      <c r="N11" s="563">
        <f>SUM(N6:N10)</f>
        <v>5141.3362509100898</v>
      </c>
      <c r="O11" s="552"/>
      <c r="P11" s="563">
        <f>SUM(P6:P10)</f>
        <v>7585.3585510493385</v>
      </c>
      <c r="S11" s="7" t="s">
        <v>949</v>
      </c>
      <c r="T11" s="563">
        <v>3644.8225026829896</v>
      </c>
      <c r="U11" s="552"/>
      <c r="V11" s="563">
        <v>5141.3362509100898</v>
      </c>
      <c r="W11" s="552"/>
      <c r="X11" s="563">
        <v>7585.3585510493385</v>
      </c>
      <c r="AA11" s="136">
        <f>AA7/AA$8</f>
        <v>0.759164676744573</v>
      </c>
      <c r="AB11" s="136">
        <f t="shared" si="9"/>
        <v>0.73473997192983487</v>
      </c>
      <c r="AC11" s="136">
        <f t="shared" si="9"/>
        <v>0.71853553328560882</v>
      </c>
      <c r="AI11" s="676" t="s">
        <v>949</v>
      </c>
      <c r="AJ11" s="691">
        <v>3644.8225026829896</v>
      </c>
      <c r="AK11" s="678"/>
      <c r="AL11" s="692">
        <v>5141.3362509100898</v>
      </c>
      <c r="AM11" s="678"/>
      <c r="AN11" s="691">
        <v>7585.3585510493385</v>
      </c>
      <c r="AO11" s="519"/>
    </row>
    <row r="12" spans="3:41" x14ac:dyDescent="0.2">
      <c r="AI12" s="519"/>
      <c r="AJ12" s="519"/>
      <c r="AK12" s="519"/>
      <c r="AL12" s="519"/>
      <c r="AM12" s="519"/>
      <c r="AN12" s="519"/>
      <c r="AO12" s="519"/>
    </row>
    <row r="13" spans="3:41" x14ac:dyDescent="0.2">
      <c r="C13" s="8" t="s">
        <v>665</v>
      </c>
      <c r="K13" s="8" t="s">
        <v>955</v>
      </c>
      <c r="S13" s="8" t="s">
        <v>955</v>
      </c>
      <c r="AA13" s="556" t="s">
        <v>1042</v>
      </c>
      <c r="AI13" s="664" t="s">
        <v>955</v>
      </c>
      <c r="AJ13" s="519"/>
      <c r="AK13" s="519"/>
      <c r="AL13" s="519"/>
      <c r="AM13" s="519"/>
      <c r="AN13" s="519"/>
      <c r="AO13" s="519"/>
    </row>
    <row r="14" spans="3:41" x14ac:dyDescent="0.2">
      <c r="D14" s="797">
        <v>1970</v>
      </c>
      <c r="E14" s="798"/>
      <c r="F14" s="797">
        <v>1985</v>
      </c>
      <c r="G14" s="798"/>
      <c r="H14" s="797">
        <v>2011</v>
      </c>
      <c r="I14" s="798"/>
      <c r="L14" s="797">
        <v>1970</v>
      </c>
      <c r="M14" s="798"/>
      <c r="N14" s="797">
        <v>1985</v>
      </c>
      <c r="O14" s="797"/>
      <c r="P14" s="797">
        <v>2011</v>
      </c>
      <c r="Q14" s="797"/>
      <c r="T14" s="797">
        <v>1970</v>
      </c>
      <c r="U14" s="798"/>
      <c r="V14" s="799">
        <v>1985</v>
      </c>
      <c r="W14" s="797"/>
      <c r="X14" s="797">
        <v>2011</v>
      </c>
      <c r="Y14" s="797"/>
      <c r="AI14" s="519"/>
      <c r="AJ14" s="793">
        <v>1970</v>
      </c>
      <c r="AK14" s="794"/>
      <c r="AL14" s="795">
        <v>1985</v>
      </c>
      <c r="AM14" s="793"/>
      <c r="AN14" s="793">
        <v>2011</v>
      </c>
      <c r="AO14" s="793"/>
    </row>
    <row r="15" spans="3:41" ht="13.5" thickBot="1" x14ac:dyDescent="0.25">
      <c r="D15" s="549" t="s">
        <v>950</v>
      </c>
      <c r="E15" s="550" t="s">
        <v>947</v>
      </c>
      <c r="F15" s="549" t="s">
        <v>950</v>
      </c>
      <c r="G15" s="550" t="s">
        <v>947</v>
      </c>
      <c r="H15" s="535" t="s">
        <v>950</v>
      </c>
      <c r="I15" s="130" t="s">
        <v>947</v>
      </c>
      <c r="L15" s="535" t="s">
        <v>950</v>
      </c>
      <c r="M15" s="564" t="s">
        <v>947</v>
      </c>
      <c r="N15" s="566" t="s">
        <v>950</v>
      </c>
      <c r="O15" s="564" t="s">
        <v>947</v>
      </c>
      <c r="P15" s="566" t="s">
        <v>950</v>
      </c>
      <c r="Q15" s="565" t="s">
        <v>947</v>
      </c>
      <c r="T15" s="535" t="s">
        <v>950</v>
      </c>
      <c r="U15" s="564" t="s">
        <v>947</v>
      </c>
      <c r="V15" s="566" t="s">
        <v>950</v>
      </c>
      <c r="W15" s="564" t="s">
        <v>947</v>
      </c>
      <c r="X15" s="566" t="s">
        <v>950</v>
      </c>
      <c r="Y15" s="565" t="s">
        <v>947</v>
      </c>
      <c r="AI15" s="519"/>
      <c r="AJ15" s="693" t="s">
        <v>950</v>
      </c>
      <c r="AK15" s="694" t="s">
        <v>947</v>
      </c>
      <c r="AL15" s="695" t="s">
        <v>950</v>
      </c>
      <c r="AM15" s="694" t="s">
        <v>947</v>
      </c>
      <c r="AN15" s="695" t="s">
        <v>950</v>
      </c>
      <c r="AO15" s="696" t="s">
        <v>947</v>
      </c>
    </row>
    <row r="16" spans="3:41" x14ac:dyDescent="0.2">
      <c r="C16" t="s">
        <v>946</v>
      </c>
      <c r="D16" s="544">
        <f>Freight_Total!$K$30</f>
        <v>598159.81009547773</v>
      </c>
      <c r="E16" s="545">
        <f>D16/D$21</f>
        <v>0.26859569890194007</v>
      </c>
      <c r="F16" s="547">
        <f>Freight_Total!$K$45</f>
        <v>909203.42630225839</v>
      </c>
      <c r="G16" s="545">
        <f>F16/F$21</f>
        <v>0.312683692371516</v>
      </c>
      <c r="H16" s="540">
        <f>Freight_Total!$K$71</f>
        <v>1467726.0495871254</v>
      </c>
      <c r="I16" s="542">
        <f>H16/H$21</f>
        <v>0.36301459474024733</v>
      </c>
      <c r="K16" t="s">
        <v>946</v>
      </c>
      <c r="L16" s="544">
        <f>ROUND(D16,-1)</f>
        <v>598160</v>
      </c>
      <c r="M16" s="545">
        <f>L16/L$21</f>
        <v>0.26859572786586378</v>
      </c>
      <c r="N16" s="544">
        <f>ROUND(F16,-1)</f>
        <v>909200</v>
      </c>
      <c r="O16" s="545">
        <f>N16/N$21</f>
        <v>0.31268270202975507</v>
      </c>
      <c r="P16" s="544">
        <f>ROUND(H16,-1)</f>
        <v>1467730</v>
      </c>
      <c r="Q16" s="542">
        <f>P16/P$21</f>
        <v>0.36301466423623047</v>
      </c>
      <c r="S16" t="s">
        <v>946</v>
      </c>
      <c r="T16" s="544">
        <v>598160</v>
      </c>
      <c r="U16" s="545">
        <v>0.26859572786586378</v>
      </c>
      <c r="V16" s="544">
        <v>909200</v>
      </c>
      <c r="W16" s="545">
        <v>0.31268270202975507</v>
      </c>
      <c r="X16" s="544">
        <v>1467730</v>
      </c>
      <c r="Y16" s="542">
        <v>0.36301466423623047</v>
      </c>
      <c r="AA16">
        <f>T6/T16*1000000</f>
        <v>3310.3596970607796</v>
      </c>
      <c r="AB16">
        <f>V6/V16*1000000</f>
        <v>4069.5770539353498</v>
      </c>
      <c r="AC16">
        <f>X6/X16*1000000</f>
        <v>3953.7700427190284</v>
      </c>
      <c r="AI16" s="519" t="s">
        <v>946</v>
      </c>
      <c r="AJ16" s="669">
        <v>598160</v>
      </c>
      <c r="AK16" s="670">
        <v>0.26859572786586378</v>
      </c>
      <c r="AL16" s="669">
        <v>909200</v>
      </c>
      <c r="AM16" s="670">
        <v>0.31268270202975507</v>
      </c>
      <c r="AN16" s="669">
        <v>1467730</v>
      </c>
      <c r="AO16" s="671">
        <v>0.36301466423623047</v>
      </c>
    </row>
    <row r="17" spans="3:41" x14ac:dyDescent="0.2">
      <c r="C17" s="7" t="s">
        <v>316</v>
      </c>
      <c r="D17" s="544">
        <f>Freight_Total!$L$30</f>
        <v>764809</v>
      </c>
      <c r="E17" s="545">
        <f>D17/D$21</f>
        <v>0.34342729888305978</v>
      </c>
      <c r="F17" s="547">
        <f>Freight_Total!$L$45</f>
        <v>876984</v>
      </c>
      <c r="G17" s="545">
        <f>F17/F$21</f>
        <v>0.30160312570091385</v>
      </c>
      <c r="H17" s="540">
        <f>Freight_Total!$L$71</f>
        <v>1729256</v>
      </c>
      <c r="I17" s="542">
        <f>H17/H$21</f>
        <v>0.42769913787298874</v>
      </c>
      <c r="K17" s="7" t="s">
        <v>316</v>
      </c>
      <c r="L17" s="544">
        <f t="shared" ref="L17:P21" si="10">ROUND(D17,-1)</f>
        <v>764810</v>
      </c>
      <c r="M17" s="545">
        <f>L17/L$21</f>
        <v>0.34342767592131085</v>
      </c>
      <c r="N17" s="544">
        <f t="shared" si="10"/>
        <v>876980</v>
      </c>
      <c r="O17" s="545">
        <f>N17/N$21</f>
        <v>0.30160193139689245</v>
      </c>
      <c r="P17" s="544">
        <f t="shared" si="10"/>
        <v>1729260</v>
      </c>
      <c r="Q17" s="542">
        <f>P17/P$21</f>
        <v>0.42769905791742618</v>
      </c>
      <c r="S17" s="7" t="s">
        <v>316</v>
      </c>
      <c r="T17" s="544">
        <v>764810</v>
      </c>
      <c r="U17" s="545">
        <v>0.34342767592131085</v>
      </c>
      <c r="V17" s="544">
        <v>876980</v>
      </c>
      <c r="W17" s="545">
        <v>0.30160193139689245</v>
      </c>
      <c r="X17" s="544">
        <v>1729260</v>
      </c>
      <c r="Y17" s="542">
        <v>0.42769905791742618</v>
      </c>
      <c r="AA17">
        <f t="shared" ref="AA17:AA20" si="11">T7/T17*1000000</f>
        <v>690.52818098612727</v>
      </c>
      <c r="AB17">
        <f t="shared" ref="AB17:AB20" si="12">V7/V17*1000000</f>
        <v>497.27377249196104</v>
      </c>
      <c r="AC17">
        <f t="shared" ref="AC17:AC20" si="13">X7/X17*1000000</f>
        <v>297.61074101060569</v>
      </c>
      <c r="AI17" s="676" t="s">
        <v>316</v>
      </c>
      <c r="AJ17" s="669">
        <v>764810</v>
      </c>
      <c r="AK17" s="670">
        <v>0.34342767592131085</v>
      </c>
      <c r="AL17" s="669">
        <v>876980</v>
      </c>
      <c r="AM17" s="670">
        <v>0.30160193139689245</v>
      </c>
      <c r="AN17" s="669">
        <v>1729260</v>
      </c>
      <c r="AO17" s="671">
        <v>0.42769905791742618</v>
      </c>
    </row>
    <row r="18" spans="3:41" x14ac:dyDescent="0.2">
      <c r="C18" s="7" t="s">
        <v>328</v>
      </c>
      <c r="D18" s="544">
        <f>Freight_Total!$N$30</f>
        <v>596195.41099999996</v>
      </c>
      <c r="E18" s="545">
        <f>D18/D$21</f>
        <v>0.2677136116418683</v>
      </c>
      <c r="F18" s="547">
        <f>Freight_Total!$N$45</f>
        <v>892970</v>
      </c>
      <c r="G18" s="545">
        <f>F18/F$21</f>
        <v>0.30710086290872474</v>
      </c>
      <c r="H18" s="540">
        <f>Freight_Total!$N$71</f>
        <v>499748</v>
      </c>
      <c r="I18" s="542">
        <f>H18/H$21</f>
        <v>0.12360332348348098</v>
      </c>
      <c r="K18" s="7" t="s">
        <v>328</v>
      </c>
      <c r="L18" s="544">
        <f t="shared" si="10"/>
        <v>596200</v>
      </c>
      <c r="M18" s="545">
        <f>L18/L$21</f>
        <v>0.26771561614555972</v>
      </c>
      <c r="N18" s="544">
        <f t="shared" si="10"/>
        <v>892970</v>
      </c>
      <c r="O18" s="545">
        <f>N18/N$21</f>
        <v>0.30710104754895556</v>
      </c>
      <c r="P18" s="544">
        <f t="shared" si="10"/>
        <v>499750</v>
      </c>
      <c r="Q18" s="542">
        <f>P18/P$21</f>
        <v>0.12360350912773888</v>
      </c>
      <c r="S18" s="7" t="s">
        <v>328</v>
      </c>
      <c r="T18" s="544">
        <v>596200</v>
      </c>
      <c r="U18" s="545">
        <v>0.26771561614555972</v>
      </c>
      <c r="V18" s="544">
        <v>892970</v>
      </c>
      <c r="W18" s="545">
        <v>0.30710104754895556</v>
      </c>
      <c r="X18" s="544">
        <v>499750</v>
      </c>
      <c r="Y18" s="542">
        <v>0.12360350912773888</v>
      </c>
      <c r="AA18">
        <f t="shared" si="11"/>
        <v>348.92174814594603</v>
      </c>
      <c r="AB18">
        <f t="shared" si="12"/>
        <v>300.09537446752415</v>
      </c>
      <c r="AC18">
        <f t="shared" si="13"/>
        <v>216.99913156578287</v>
      </c>
      <c r="AI18" s="676" t="s">
        <v>328</v>
      </c>
      <c r="AJ18" s="669">
        <v>596200</v>
      </c>
      <c r="AK18" s="670">
        <v>0.26771561614555972</v>
      </c>
      <c r="AL18" s="669">
        <v>892970</v>
      </c>
      <c r="AM18" s="670">
        <v>0.30710104754895556</v>
      </c>
      <c r="AN18" s="669">
        <v>499750</v>
      </c>
      <c r="AO18" s="671">
        <v>0.12360350912773888</v>
      </c>
    </row>
    <row r="19" spans="3:41" x14ac:dyDescent="0.2">
      <c r="C19" s="7" t="s">
        <v>318</v>
      </c>
      <c r="D19" s="544">
        <f>Freight_Total!$M$30</f>
        <v>3755.4380000000001</v>
      </c>
      <c r="E19" s="545">
        <f>D19/D$21</f>
        <v>1.6863294344899187E-3</v>
      </c>
      <c r="F19" s="547">
        <f>Freight_Total!$M$45</f>
        <v>9047.7990000000009</v>
      </c>
      <c r="G19" s="545">
        <f>F19/F$21</f>
        <v>3.1116239966904788E-3</v>
      </c>
      <c r="H19" s="540">
        <f>Freight_Total!$M$71</f>
        <v>35713</v>
      </c>
      <c r="I19" s="542">
        <f>H19/H$21</f>
        <v>8.8329427862954054E-3</v>
      </c>
      <c r="K19" s="7" t="s">
        <v>318</v>
      </c>
      <c r="L19" s="544">
        <f t="shared" si="10"/>
        <v>3760</v>
      </c>
      <c r="M19" s="545">
        <f>L19/L$21</f>
        <v>1.6883775858894741E-3</v>
      </c>
      <c r="N19" s="544">
        <f t="shared" si="10"/>
        <v>9050</v>
      </c>
      <c r="O19" s="545">
        <f>N19/N$21</f>
        <v>3.1123828127686795E-3</v>
      </c>
      <c r="P19" s="544">
        <f t="shared" si="10"/>
        <v>35710</v>
      </c>
      <c r="Q19" s="542">
        <f>P19/P$21</f>
        <v>8.8321787112587407E-3</v>
      </c>
      <c r="S19" s="7" t="s">
        <v>318</v>
      </c>
      <c r="T19" s="544">
        <v>3760</v>
      </c>
      <c r="U19" s="545">
        <v>1.6883775858894741E-3</v>
      </c>
      <c r="V19" s="544">
        <v>9050</v>
      </c>
      <c r="W19" s="545">
        <v>3.1123828127686795E-3</v>
      </c>
      <c r="X19" s="544">
        <v>35710</v>
      </c>
      <c r="Y19" s="542">
        <v>8.8321787112587407E-3</v>
      </c>
      <c r="AA19">
        <f t="shared" si="11"/>
        <v>39935.120637350381</v>
      </c>
      <c r="AB19">
        <f t="shared" si="12"/>
        <v>21460.083665487309</v>
      </c>
      <c r="AC19">
        <f t="shared" si="13"/>
        <v>11824.502150751867</v>
      </c>
      <c r="AI19" s="676" t="s">
        <v>318</v>
      </c>
      <c r="AJ19" s="669">
        <v>3760</v>
      </c>
      <c r="AK19" s="670">
        <v>1.6883775858894741E-3</v>
      </c>
      <c r="AL19" s="669">
        <v>9050</v>
      </c>
      <c r="AM19" s="670">
        <v>3.1123828127686795E-3</v>
      </c>
      <c r="AN19" s="669">
        <v>35710</v>
      </c>
      <c r="AO19" s="671">
        <v>8.8321787112587407E-3</v>
      </c>
    </row>
    <row r="20" spans="3:41" x14ac:dyDescent="0.2">
      <c r="C20" s="7" t="s">
        <v>948</v>
      </c>
      <c r="D20" s="541">
        <f>Freight_Total!$O$30</f>
        <v>264069.87402380002</v>
      </c>
      <c r="E20" s="546">
        <f>D20/D$21</f>
        <v>0.11857706113864182</v>
      </c>
      <c r="F20" s="548">
        <f>Freight_Total!$O$45</f>
        <v>219536.522937</v>
      </c>
      <c r="G20" s="546">
        <f>F20/F$21</f>
        <v>7.5500695022154979E-2</v>
      </c>
      <c r="H20" s="541">
        <f>Freight_Total!$O$71</f>
        <v>310716.84220000001</v>
      </c>
      <c r="I20" s="543">
        <f>H20/H$21</f>
        <v>7.6850001116987587E-2</v>
      </c>
      <c r="K20" s="7" t="s">
        <v>948</v>
      </c>
      <c r="L20" s="541">
        <f t="shared" si="10"/>
        <v>264070</v>
      </c>
      <c r="M20" s="546">
        <f>L20/L$21</f>
        <v>0.11857709284729613</v>
      </c>
      <c r="N20" s="541">
        <f t="shared" si="10"/>
        <v>219540</v>
      </c>
      <c r="O20" s="546">
        <f>N20/N$21</f>
        <v>7.5501936211628276E-2</v>
      </c>
      <c r="P20" s="541">
        <f t="shared" si="10"/>
        <v>310720</v>
      </c>
      <c r="Q20" s="543">
        <f>P20/P$21</f>
        <v>7.6850590007345718E-2</v>
      </c>
      <c r="S20" s="7" t="s">
        <v>948</v>
      </c>
      <c r="T20" s="541">
        <v>264070</v>
      </c>
      <c r="U20" s="546">
        <v>0.11857709284729613</v>
      </c>
      <c r="V20" s="541">
        <v>219540</v>
      </c>
      <c r="W20" s="546">
        <v>7.5501936211628276E-2</v>
      </c>
      <c r="X20" s="541">
        <v>310720</v>
      </c>
      <c r="Y20" s="543">
        <v>7.6850590007345718E-2</v>
      </c>
      <c r="AA20">
        <f t="shared" si="11"/>
        <v>2947.6717853147393</v>
      </c>
      <c r="AB20">
        <f t="shared" si="12"/>
        <v>2473.2974253491152</v>
      </c>
      <c r="AC20">
        <f t="shared" si="13"/>
        <v>2371.7398572540847</v>
      </c>
      <c r="AI20" s="676" t="s">
        <v>948</v>
      </c>
      <c r="AJ20" s="673">
        <v>264070</v>
      </c>
      <c r="AK20" s="674">
        <v>0.11857709284729613</v>
      </c>
      <c r="AL20" s="673">
        <v>219540</v>
      </c>
      <c r="AM20" s="674">
        <v>7.5501936211628276E-2</v>
      </c>
      <c r="AN20" s="673">
        <v>310720</v>
      </c>
      <c r="AO20" s="675">
        <v>7.6850590007345718E-2</v>
      </c>
    </row>
    <row r="21" spans="3:41" ht="15.75" customHeight="1" x14ac:dyDescent="0.2">
      <c r="C21" s="7" t="s">
        <v>949</v>
      </c>
      <c r="D21" s="551">
        <f>SUM(D16:D20)</f>
        <v>2226989.533119278</v>
      </c>
      <c r="E21" s="552"/>
      <c r="F21" s="554">
        <f>SUM(F16:F20)</f>
        <v>2907741.7482392583</v>
      </c>
      <c r="G21" s="552"/>
      <c r="H21" s="538">
        <f>SUM(H16:H20)</f>
        <v>4043159.8917871253</v>
      </c>
      <c r="K21" s="7" t="s">
        <v>949</v>
      </c>
      <c r="L21" s="544">
        <f t="shared" si="10"/>
        <v>2226990</v>
      </c>
      <c r="M21" s="552"/>
      <c r="N21" s="554">
        <f>SUM(N16:N20)</f>
        <v>2907740</v>
      </c>
      <c r="O21" s="552"/>
      <c r="P21" s="538">
        <f>SUM(P16:P20)</f>
        <v>4043170</v>
      </c>
      <c r="S21" s="7" t="s">
        <v>949</v>
      </c>
      <c r="T21" s="544">
        <v>2226990</v>
      </c>
      <c r="U21" s="552"/>
      <c r="V21" s="554">
        <v>2907740</v>
      </c>
      <c r="W21" s="552"/>
      <c r="X21" s="538">
        <v>4043170</v>
      </c>
      <c r="AI21" s="676" t="s">
        <v>949</v>
      </c>
      <c r="AJ21" s="669">
        <v>2226990</v>
      </c>
      <c r="AK21" s="678"/>
      <c r="AL21" s="679">
        <v>2907740</v>
      </c>
      <c r="AM21" s="678"/>
      <c r="AN21" s="680">
        <v>4043170</v>
      </c>
      <c r="AO21" s="519"/>
    </row>
    <row r="25" spans="3:41" x14ac:dyDescent="0.2">
      <c r="AA25" s="6" t="s">
        <v>1251</v>
      </c>
    </row>
    <row r="26" spans="3:41" x14ac:dyDescent="0.2">
      <c r="Q26" s="556" t="s">
        <v>877</v>
      </c>
    </row>
    <row r="28" spans="3:41" x14ac:dyDescent="0.2">
      <c r="C28" s="6" t="s">
        <v>960</v>
      </c>
      <c r="K28" s="8" t="s">
        <v>957</v>
      </c>
      <c r="S28" s="8" t="s">
        <v>957</v>
      </c>
      <c r="AA28" s="664" t="s">
        <v>957</v>
      </c>
      <c r="AB28" s="519"/>
      <c r="AC28" s="519"/>
      <c r="AD28" s="519"/>
      <c r="AE28" s="519"/>
      <c r="AF28" s="519"/>
      <c r="AG28" s="519"/>
    </row>
    <row r="29" spans="3:41" x14ac:dyDescent="0.2">
      <c r="D29" s="797">
        <v>1970</v>
      </c>
      <c r="E29" s="798"/>
      <c r="F29" s="799">
        <v>1985</v>
      </c>
      <c r="G29" s="798"/>
      <c r="H29" s="800">
        <v>2011</v>
      </c>
      <c r="I29" s="800"/>
      <c r="L29" s="797">
        <v>1970</v>
      </c>
      <c r="M29" s="798"/>
      <c r="N29" s="799">
        <v>1985</v>
      </c>
      <c r="O29" s="798"/>
      <c r="P29" s="800">
        <v>2011</v>
      </c>
      <c r="Q29" s="800"/>
      <c r="T29" s="797">
        <v>1970</v>
      </c>
      <c r="U29" s="798"/>
      <c r="V29" s="799">
        <v>1985</v>
      </c>
      <c r="W29" s="798"/>
      <c r="X29" s="800">
        <v>2011</v>
      </c>
      <c r="Y29" s="800"/>
      <c r="AA29" s="519"/>
      <c r="AB29" s="793">
        <v>1970</v>
      </c>
      <c r="AC29" s="794"/>
      <c r="AD29" s="795">
        <v>1985</v>
      </c>
      <c r="AE29" s="794"/>
      <c r="AF29" s="796">
        <v>2011</v>
      </c>
      <c r="AG29" s="796"/>
    </row>
    <row r="30" spans="3:41" ht="13.5" thickBot="1" x14ac:dyDescent="0.25">
      <c r="D30" s="539" t="s">
        <v>762</v>
      </c>
      <c r="E30" s="558" t="s">
        <v>947</v>
      </c>
      <c r="F30" s="559" t="s">
        <v>762</v>
      </c>
      <c r="G30" s="558" t="s">
        <v>947</v>
      </c>
      <c r="H30" s="539" t="s">
        <v>762</v>
      </c>
      <c r="I30" s="539" t="s">
        <v>947</v>
      </c>
      <c r="L30" s="539" t="s">
        <v>762</v>
      </c>
      <c r="M30" s="558" t="s">
        <v>947</v>
      </c>
      <c r="N30" s="559" t="s">
        <v>762</v>
      </c>
      <c r="O30" s="558" t="s">
        <v>947</v>
      </c>
      <c r="P30" s="539" t="s">
        <v>762</v>
      </c>
      <c r="Q30" s="539" t="s">
        <v>947</v>
      </c>
      <c r="T30" s="539" t="s">
        <v>762</v>
      </c>
      <c r="U30" s="558" t="s">
        <v>947</v>
      </c>
      <c r="V30" s="559" t="s">
        <v>762</v>
      </c>
      <c r="W30" s="558" t="s">
        <v>947</v>
      </c>
      <c r="X30" s="539" t="s">
        <v>762</v>
      </c>
      <c r="Y30" s="539" t="s">
        <v>947</v>
      </c>
      <c r="AA30" s="519"/>
      <c r="AB30" s="665" t="s">
        <v>762</v>
      </c>
      <c r="AC30" s="666" t="s">
        <v>947</v>
      </c>
      <c r="AD30" s="667" t="s">
        <v>762</v>
      </c>
      <c r="AE30" s="666" t="s">
        <v>947</v>
      </c>
      <c r="AF30" s="665" t="s">
        <v>762</v>
      </c>
      <c r="AG30" s="665" t="s">
        <v>947</v>
      </c>
    </row>
    <row r="31" spans="3:41" x14ac:dyDescent="0.2">
      <c r="C31" s="556" t="s">
        <v>312</v>
      </c>
      <c r="D31" s="544">
        <f>Passenger_Total!$D$31</f>
        <v>10135.346976551591</v>
      </c>
      <c r="E31" s="545">
        <f>D31/D$36</f>
        <v>0.88215810761586599</v>
      </c>
      <c r="F31" s="544">
        <f>Passenger_Total!$D$46</f>
        <v>12530.239113604839</v>
      </c>
      <c r="G31" s="545">
        <f>F31/F$36</f>
        <v>0.87987604560039978</v>
      </c>
      <c r="H31" s="544">
        <f>Passenger_Total!$D$72</f>
        <v>17089.594037413361</v>
      </c>
      <c r="I31" s="542">
        <f>H31/H$36</f>
        <v>0.88253300788839106</v>
      </c>
      <c r="K31" s="556" t="s">
        <v>312</v>
      </c>
      <c r="L31" s="544">
        <f>Passenger_Total!$D$31</f>
        <v>10135.346976551591</v>
      </c>
      <c r="M31" s="545">
        <f>L31/L$36</f>
        <v>0.88215810761586599</v>
      </c>
      <c r="N31" s="544">
        <f>Passenger_Total!$D$46</f>
        <v>12530.239113604839</v>
      </c>
      <c r="O31" s="545">
        <f>N31/N$36</f>
        <v>0.87987604560039978</v>
      </c>
      <c r="P31" s="544">
        <f>Passenger_Total!$D$72</f>
        <v>17089.594037413361</v>
      </c>
      <c r="Q31" s="542">
        <f>P31/P$36</f>
        <v>0.88253300788839106</v>
      </c>
      <c r="S31" s="556" t="s">
        <v>312</v>
      </c>
      <c r="T31" s="544">
        <v>10135.346976551591</v>
      </c>
      <c r="U31" s="545">
        <v>0.88215810761586599</v>
      </c>
      <c r="V31" s="544">
        <v>12530.239113604839</v>
      </c>
      <c r="W31" s="545">
        <v>0.87987604560039978</v>
      </c>
      <c r="X31" s="544">
        <v>17089.594037413361</v>
      </c>
      <c r="Y31" s="542">
        <v>0.88253300788839106</v>
      </c>
      <c r="AA31" s="668" t="s">
        <v>312</v>
      </c>
      <c r="AB31" s="669">
        <v>10135.346976551591</v>
      </c>
      <c r="AC31" s="670">
        <v>0.88215810761586599</v>
      </c>
      <c r="AD31" s="684">
        <v>12530.239113604839</v>
      </c>
      <c r="AE31" s="670">
        <v>0.87987604560039978</v>
      </c>
      <c r="AF31" s="669">
        <v>17089.594037413361</v>
      </c>
      <c r="AG31" s="671">
        <v>0.88253300788839106</v>
      </c>
    </row>
    <row r="32" spans="3:41" x14ac:dyDescent="0.2">
      <c r="C32" s="556" t="s">
        <v>953</v>
      </c>
      <c r="D32" s="544">
        <f>Personal_vehicles!$D$31</f>
        <v>8479.358268</v>
      </c>
      <c r="E32" s="545">
        <f>D32/D$36</f>
        <v>0.73802452553438258</v>
      </c>
      <c r="F32" s="544">
        <f>Personal_vehicles!$D$46</f>
        <v>8931.8687164000021</v>
      </c>
      <c r="G32" s="545">
        <f>F32/F$36</f>
        <v>0.62719771384689926</v>
      </c>
      <c r="H32" s="544">
        <f>Personal_vehicles!$D$72</f>
        <v>9028.7785825039136</v>
      </c>
      <c r="I32" s="545">
        <f>H32/H$36</f>
        <v>0.46626005875453258</v>
      </c>
      <c r="K32" s="556" t="s">
        <v>953</v>
      </c>
      <c r="L32" s="544">
        <f>Personal_vehicles!$D$31</f>
        <v>8479.358268</v>
      </c>
      <c r="M32" s="545">
        <f>L32/L$36</f>
        <v>0.73802452553438258</v>
      </c>
      <c r="N32" s="544">
        <f>Personal_vehicles!$D$46</f>
        <v>8931.8687164000021</v>
      </c>
      <c r="O32" s="545">
        <f>N32/N$36</f>
        <v>0.62719771384689926</v>
      </c>
      <c r="P32" s="544">
        <f>Personal_vehicles!$D$72</f>
        <v>9028.7785825039136</v>
      </c>
      <c r="Q32" s="557">
        <f>P32/P$36</f>
        <v>0.46626005875453258</v>
      </c>
      <c r="S32" s="556" t="s">
        <v>953</v>
      </c>
      <c r="T32" s="544">
        <v>8479.358268</v>
      </c>
      <c r="U32" s="545">
        <v>0.73802452553438258</v>
      </c>
      <c r="V32" s="544">
        <v>8931.8687164000021</v>
      </c>
      <c r="W32" s="545">
        <v>0.62719771384689926</v>
      </c>
      <c r="X32" s="544">
        <v>9028.7785825039136</v>
      </c>
      <c r="Y32" s="557">
        <v>0.46626005875453258</v>
      </c>
      <c r="AA32" s="668" t="s">
        <v>953</v>
      </c>
      <c r="AB32" s="669">
        <v>8479.358268</v>
      </c>
      <c r="AC32" s="670">
        <v>0.73802452553438258</v>
      </c>
      <c r="AD32" s="684">
        <v>8931.8687164000021</v>
      </c>
      <c r="AE32" s="670">
        <v>0.62719771384689926</v>
      </c>
      <c r="AF32" s="669">
        <v>9028.7785825039136</v>
      </c>
      <c r="AG32" s="672">
        <v>0.46626005875453258</v>
      </c>
    </row>
    <row r="33" spans="3:33" x14ac:dyDescent="0.2">
      <c r="C33" s="556" t="s">
        <v>959</v>
      </c>
      <c r="D33" s="544">
        <f>Personal_vehicles!$E$31</f>
        <v>1538.5592776743999</v>
      </c>
      <c r="E33" s="545">
        <f>D33/D$36</f>
        <v>0.13391278502730336</v>
      </c>
      <c r="F33" s="544">
        <f>Personal_vehicles!$E$46</f>
        <v>3413.8126605388788</v>
      </c>
      <c r="G33" s="545">
        <f>F33/F$36</f>
        <v>0.23971864837872048</v>
      </c>
      <c r="H33" s="544">
        <f>Personal_vehicles!$E$72</f>
        <v>7772.7144117506905</v>
      </c>
      <c r="I33" s="545">
        <f>H33/H$36</f>
        <v>0.40139496668219554</v>
      </c>
      <c r="K33" s="556" t="s">
        <v>959</v>
      </c>
      <c r="L33" s="544">
        <f>Personal_vehicles!$E$31</f>
        <v>1538.5592776743999</v>
      </c>
      <c r="M33" s="545">
        <f>L33/L$36</f>
        <v>0.13391278502730336</v>
      </c>
      <c r="N33" s="544">
        <f>Personal_vehicles!$E$46</f>
        <v>3413.8126605388788</v>
      </c>
      <c r="O33" s="545">
        <f>N33/N$36</f>
        <v>0.23971864837872048</v>
      </c>
      <c r="P33" s="544">
        <f>Personal_vehicles!$E$72</f>
        <v>7772.7144117506905</v>
      </c>
      <c r="Q33" s="557">
        <f>P33/P$36</f>
        <v>0.40139496668219554</v>
      </c>
      <c r="S33" s="556" t="s">
        <v>959</v>
      </c>
      <c r="T33" s="544">
        <v>1538.5592776743999</v>
      </c>
      <c r="U33" s="545">
        <v>0.13391278502730336</v>
      </c>
      <c r="V33" s="544">
        <v>3413.8126605388788</v>
      </c>
      <c r="W33" s="545">
        <v>0.23971864837872048</v>
      </c>
      <c r="X33" s="544">
        <v>7772.7144117506905</v>
      </c>
      <c r="Y33" s="557">
        <v>0.40139496668219554</v>
      </c>
      <c r="AA33" s="668" t="s">
        <v>959</v>
      </c>
      <c r="AB33" s="669">
        <v>1538.5592776743999</v>
      </c>
      <c r="AC33" s="670">
        <v>0.13391278502730336</v>
      </c>
      <c r="AD33" s="684">
        <v>3413.8126605388788</v>
      </c>
      <c r="AE33" s="670">
        <v>0.23971864837872048</v>
      </c>
      <c r="AF33" s="669">
        <v>7772.7144117506905</v>
      </c>
      <c r="AG33" s="672">
        <v>0.40139496668219554</v>
      </c>
    </row>
    <row r="34" spans="3:33" x14ac:dyDescent="0.2">
      <c r="C34" s="556" t="s">
        <v>318</v>
      </c>
      <c r="D34" s="544">
        <f>Passenger_Total!$F$31</f>
        <v>1305.6291464035623</v>
      </c>
      <c r="E34" s="545">
        <f t="shared" ref="E34:E35" si="14">D34/D$36</f>
        <v>0.11363906333982846</v>
      </c>
      <c r="F34" s="544">
        <f>Passenger_Total!$F$46</f>
        <v>1651.06694282734</v>
      </c>
      <c r="G34" s="545">
        <f t="shared" ref="G34:G35" si="15">F34/F$36</f>
        <v>0.11593827057132051</v>
      </c>
      <c r="H34" s="544">
        <f>Passenger_Total!$F$72</f>
        <v>2180.1926281966507</v>
      </c>
      <c r="I34" s="542">
        <f t="shared" ref="I34:I35" si="16">H34/H$36</f>
        <v>0.11258851168296756</v>
      </c>
      <c r="K34" s="556" t="s">
        <v>318</v>
      </c>
      <c r="L34" s="544">
        <f>Passenger_Total!$F$31</f>
        <v>1305.6291464035623</v>
      </c>
      <c r="M34" s="545">
        <f t="shared" ref="M34:M35" si="17">L34/L$36</f>
        <v>0.11363906333982846</v>
      </c>
      <c r="N34" s="544">
        <f>Passenger_Total!$F$46</f>
        <v>1651.06694282734</v>
      </c>
      <c r="O34" s="545">
        <f t="shared" ref="O34:O35" si="18">N34/N$36</f>
        <v>0.11593827057132051</v>
      </c>
      <c r="P34" s="544">
        <f>Passenger_Total!$F$72</f>
        <v>2180.1926281966507</v>
      </c>
      <c r="Q34" s="542">
        <f t="shared" ref="Q34:Q35" si="19">P34/P$36</f>
        <v>0.11258851168296756</v>
      </c>
      <c r="S34" s="556" t="s">
        <v>318</v>
      </c>
      <c r="T34" s="544">
        <v>1305.6291464035623</v>
      </c>
      <c r="U34" s="545">
        <v>0.11363906333982846</v>
      </c>
      <c r="V34" s="544">
        <v>1651.06694282734</v>
      </c>
      <c r="W34" s="545">
        <v>0.11593827057132051</v>
      </c>
      <c r="X34" s="544">
        <v>2180.1926281966507</v>
      </c>
      <c r="Y34" s="542">
        <v>0.11258851168296756</v>
      </c>
      <c r="AA34" s="668" t="s">
        <v>318</v>
      </c>
      <c r="AB34" s="669">
        <v>1305.6291464035623</v>
      </c>
      <c r="AC34" s="670">
        <v>0.11363906333982846</v>
      </c>
      <c r="AD34" s="684">
        <v>1651.06694282734</v>
      </c>
      <c r="AE34" s="670">
        <v>0.11593827057132051</v>
      </c>
      <c r="AF34" s="669">
        <v>2180.1926281966507</v>
      </c>
      <c r="AG34" s="671">
        <v>0.11258851168296756</v>
      </c>
    </row>
    <row r="35" spans="3:33" x14ac:dyDescent="0.2">
      <c r="C35" s="556" t="s">
        <v>316</v>
      </c>
      <c r="D35" s="541">
        <f>Passenger_Total!$E$31</f>
        <v>48.287410475985233</v>
      </c>
      <c r="E35" s="546">
        <f t="shared" si="14"/>
        <v>4.2028290443055704E-3</v>
      </c>
      <c r="F35" s="541">
        <f>Passenger_Total!$E$46</f>
        <v>59.607963513207551</v>
      </c>
      <c r="G35" s="546">
        <f t="shared" si="15"/>
        <v>4.1856838282797347E-3</v>
      </c>
      <c r="H35" s="541">
        <f>Passenger_Total!$E$72</f>
        <v>94.468138074999999</v>
      </c>
      <c r="I35" s="543">
        <f t="shared" si="16"/>
        <v>4.8784804286412685E-3</v>
      </c>
      <c r="K35" s="556" t="s">
        <v>316</v>
      </c>
      <c r="L35" s="541">
        <f>Passenger_Total!$E$31</f>
        <v>48.287410475985233</v>
      </c>
      <c r="M35" s="546">
        <f t="shared" si="17"/>
        <v>4.2028290443055704E-3</v>
      </c>
      <c r="N35" s="541">
        <f>Passenger_Total!$E$46</f>
        <v>59.607963513207551</v>
      </c>
      <c r="O35" s="546">
        <f t="shared" si="18"/>
        <v>4.1856838282797347E-3</v>
      </c>
      <c r="P35" s="541">
        <f>Passenger_Total!$E$72</f>
        <v>94.468138074999999</v>
      </c>
      <c r="Q35" s="543">
        <f t="shared" si="19"/>
        <v>4.8784804286412685E-3</v>
      </c>
      <c r="S35" s="556" t="s">
        <v>316</v>
      </c>
      <c r="T35" s="541">
        <v>48.287410475985233</v>
      </c>
      <c r="U35" s="546">
        <v>4.2028290443055704E-3</v>
      </c>
      <c r="V35" s="541">
        <v>59.607963513207551</v>
      </c>
      <c r="W35" s="546">
        <v>4.1856838282797347E-3</v>
      </c>
      <c r="X35" s="541">
        <v>94.468138074999999</v>
      </c>
      <c r="Y35" s="543">
        <v>4.8784804286412685E-3</v>
      </c>
      <c r="AA35" s="668" t="s">
        <v>316</v>
      </c>
      <c r="AB35" s="673">
        <v>48.287410475985233</v>
      </c>
      <c r="AC35" s="674">
        <v>4.2028290443055704E-3</v>
      </c>
      <c r="AD35" s="685">
        <v>59.607963513207551</v>
      </c>
      <c r="AE35" s="674">
        <v>4.1856838282797347E-3</v>
      </c>
      <c r="AF35" s="673">
        <v>94.468138074999999</v>
      </c>
      <c r="AG35" s="675">
        <v>4.8784804286412685E-3</v>
      </c>
    </row>
    <row r="36" spans="3:33" x14ac:dyDescent="0.2">
      <c r="C36" s="7" t="s">
        <v>949</v>
      </c>
      <c r="D36" s="551">
        <f>D31+D34+D35</f>
        <v>11489.263533431138</v>
      </c>
      <c r="E36" s="552"/>
      <c r="F36" s="551">
        <f>F31+F34+F35</f>
        <v>14240.914019945387</v>
      </c>
      <c r="G36" s="552"/>
      <c r="H36" s="551">
        <f>H31+H34+H35</f>
        <v>19364.254803685013</v>
      </c>
      <c r="K36" s="7" t="s">
        <v>949</v>
      </c>
      <c r="L36" s="551">
        <f>L31+L34+L35</f>
        <v>11489.263533431138</v>
      </c>
      <c r="M36" s="552"/>
      <c r="N36" s="551">
        <f>N31+N34+N35</f>
        <v>14240.914019945387</v>
      </c>
      <c r="O36" s="552"/>
      <c r="P36" s="551">
        <f>P31+P34+P35</f>
        <v>19364.254803685013</v>
      </c>
      <c r="S36" s="7" t="s">
        <v>949</v>
      </c>
      <c r="T36" s="551">
        <v>11489.263533431138</v>
      </c>
      <c r="U36" s="552"/>
      <c r="V36" s="554">
        <v>14240.914019945387</v>
      </c>
      <c r="W36" s="552"/>
      <c r="X36" s="538">
        <v>19364.254803685013</v>
      </c>
      <c r="AA36" s="676" t="s">
        <v>949</v>
      </c>
      <c r="AB36" s="677">
        <v>11489.263533431138</v>
      </c>
      <c r="AC36" s="678"/>
      <c r="AD36" s="679">
        <v>14240.914019945387</v>
      </c>
      <c r="AE36" s="678"/>
      <c r="AF36" s="680">
        <v>19364.254803685013</v>
      </c>
      <c r="AG36" s="519"/>
    </row>
    <row r="37" spans="3:33" x14ac:dyDescent="0.2">
      <c r="AA37" s="519"/>
      <c r="AB37" s="519"/>
      <c r="AC37" s="519"/>
      <c r="AD37" s="519"/>
      <c r="AE37" s="519"/>
      <c r="AF37" s="519"/>
      <c r="AG37" s="519"/>
    </row>
    <row r="38" spans="3:33" x14ac:dyDescent="0.2">
      <c r="C38" s="556" t="s">
        <v>954</v>
      </c>
      <c r="D38" s="544"/>
      <c r="E38" s="557"/>
      <c r="F38" s="544"/>
      <c r="G38" s="557"/>
      <c r="H38" s="544"/>
      <c r="I38" s="542"/>
      <c r="K38" s="556" t="s">
        <v>954</v>
      </c>
      <c r="L38" s="544"/>
      <c r="M38" s="557"/>
      <c r="N38" s="544"/>
      <c r="O38" s="557"/>
      <c r="P38" s="544"/>
      <c r="Q38" s="542"/>
      <c r="S38" s="556" t="s">
        <v>954</v>
      </c>
      <c r="T38" s="544"/>
      <c r="U38" s="557"/>
      <c r="V38" s="544"/>
      <c r="W38" s="557"/>
      <c r="X38" s="544"/>
      <c r="Y38" s="542"/>
      <c r="AA38" s="668" t="s">
        <v>954</v>
      </c>
      <c r="AB38" s="669"/>
      <c r="AC38" s="672"/>
      <c r="AD38" s="669"/>
      <c r="AE38" s="672"/>
      <c r="AF38" s="669"/>
      <c r="AG38" s="671"/>
    </row>
    <row r="39" spans="3:33" x14ac:dyDescent="0.2">
      <c r="AA39" s="519"/>
      <c r="AB39" s="519"/>
      <c r="AC39" s="519"/>
      <c r="AD39" s="519"/>
      <c r="AE39" s="519"/>
      <c r="AF39" s="519"/>
      <c r="AG39" s="519"/>
    </row>
    <row r="40" spans="3:33" x14ac:dyDescent="0.2">
      <c r="C40" s="8" t="s">
        <v>665</v>
      </c>
      <c r="K40" s="8" t="s">
        <v>1040</v>
      </c>
      <c r="S40" s="8" t="s">
        <v>1040</v>
      </c>
      <c r="AA40" s="664" t="s">
        <v>1040</v>
      </c>
      <c r="AB40" s="519"/>
      <c r="AC40" s="519"/>
      <c r="AD40" s="519"/>
      <c r="AE40" s="519"/>
      <c r="AF40" s="519"/>
      <c r="AG40" s="519"/>
    </row>
    <row r="41" spans="3:33" x14ac:dyDescent="0.2">
      <c r="D41" s="797">
        <v>1970</v>
      </c>
      <c r="E41" s="798"/>
      <c r="F41" s="799">
        <v>1985</v>
      </c>
      <c r="G41" s="798"/>
      <c r="H41" s="800">
        <v>2011</v>
      </c>
      <c r="I41" s="800"/>
      <c r="L41" s="797">
        <v>1970</v>
      </c>
      <c r="M41" s="798"/>
      <c r="N41" s="799">
        <v>1985</v>
      </c>
      <c r="O41" s="798"/>
      <c r="P41" s="800">
        <v>2011</v>
      </c>
      <c r="Q41" s="800"/>
      <c r="T41" s="797">
        <v>1970</v>
      </c>
      <c r="U41" s="798"/>
      <c r="V41" s="799">
        <v>1985</v>
      </c>
      <c r="W41" s="798"/>
      <c r="X41" s="800">
        <v>2011</v>
      </c>
      <c r="Y41" s="800"/>
      <c r="AA41" s="519"/>
      <c r="AB41" s="793">
        <v>1970</v>
      </c>
      <c r="AC41" s="794"/>
      <c r="AD41" s="795">
        <v>1985</v>
      </c>
      <c r="AE41" s="794"/>
      <c r="AF41" s="796">
        <v>2011</v>
      </c>
      <c r="AG41" s="796"/>
    </row>
    <row r="42" spans="3:33" ht="13.5" thickBot="1" x14ac:dyDescent="0.25">
      <c r="D42" s="560" t="s">
        <v>952</v>
      </c>
      <c r="E42" s="550" t="s">
        <v>947</v>
      </c>
      <c r="F42" s="560" t="s">
        <v>952</v>
      </c>
      <c r="G42" s="550" t="s">
        <v>947</v>
      </c>
      <c r="H42" s="560" t="s">
        <v>952</v>
      </c>
      <c r="I42" s="130" t="s">
        <v>947</v>
      </c>
      <c r="L42" s="560" t="s">
        <v>952</v>
      </c>
      <c r="M42" s="550" t="s">
        <v>947</v>
      </c>
      <c r="N42" s="560" t="s">
        <v>952</v>
      </c>
      <c r="O42" s="550" t="s">
        <v>947</v>
      </c>
      <c r="P42" s="560" t="s">
        <v>952</v>
      </c>
      <c r="Q42" s="130" t="s">
        <v>947</v>
      </c>
      <c r="T42" s="560" t="s">
        <v>952</v>
      </c>
      <c r="U42" s="550" t="s">
        <v>947</v>
      </c>
      <c r="V42" s="560" t="s">
        <v>952</v>
      </c>
      <c r="W42" s="550" t="s">
        <v>947</v>
      </c>
      <c r="X42" s="560" t="s">
        <v>952</v>
      </c>
      <c r="Y42" s="130" t="s">
        <v>947</v>
      </c>
      <c r="AA42" s="519"/>
      <c r="AB42" s="681" t="s">
        <v>952</v>
      </c>
      <c r="AC42" s="682" t="s">
        <v>947</v>
      </c>
      <c r="AD42" s="686" t="s">
        <v>952</v>
      </c>
      <c r="AE42" s="682" t="s">
        <v>947</v>
      </c>
      <c r="AF42" s="681" t="s">
        <v>952</v>
      </c>
      <c r="AG42" s="683" t="s">
        <v>947</v>
      </c>
    </row>
    <row r="43" spans="3:33" x14ac:dyDescent="0.2">
      <c r="C43" s="556" t="s">
        <v>312</v>
      </c>
      <c r="D43" s="544">
        <f>Passenger_Total!$I$31</f>
        <v>2058731.7000000493</v>
      </c>
      <c r="E43" s="545">
        <f>D43/D$48</f>
        <v>0.92139740092238309</v>
      </c>
      <c r="F43" s="544">
        <f>Passenger_Total!$I$46</f>
        <v>3028137.6714285719</v>
      </c>
      <c r="G43" s="545">
        <f>F43/F$48</f>
        <v>0.88707867159203679</v>
      </c>
      <c r="H43" s="544">
        <f>Passenger_Total!$I$72</f>
        <v>4784970.7856969526</v>
      </c>
      <c r="I43" s="542">
        <f>H43/H$48</f>
        <v>0.84385382757266281</v>
      </c>
      <c r="K43" s="556" t="s">
        <v>312</v>
      </c>
      <c r="L43" s="544">
        <f>ROUND(D43,-1)</f>
        <v>2058730</v>
      </c>
      <c r="M43" s="545">
        <f>L43/L$48</f>
        <v>0.92139583594407348</v>
      </c>
      <c r="N43" s="544">
        <f>ROUND(F43,-1)</f>
        <v>3028140</v>
      </c>
      <c r="O43" s="545">
        <f>N43/N$48</f>
        <v>0.88707848875530593</v>
      </c>
      <c r="P43" s="544">
        <f>ROUND(H43,-1)</f>
        <v>4784970</v>
      </c>
      <c r="Q43" s="542">
        <f>P43/P$48</f>
        <v>0.84385349835460766</v>
      </c>
      <c r="S43" s="556" t="s">
        <v>312</v>
      </c>
      <c r="T43" s="544">
        <v>2058730</v>
      </c>
      <c r="U43" s="545">
        <v>0.92139583594407348</v>
      </c>
      <c r="V43" s="544">
        <v>3028140</v>
      </c>
      <c r="W43" s="545">
        <v>0.88707848875530593</v>
      </c>
      <c r="X43" s="544">
        <v>4784970</v>
      </c>
      <c r="Y43" s="542">
        <v>0.84385349835460766</v>
      </c>
      <c r="AA43" s="668" t="s">
        <v>312</v>
      </c>
      <c r="AB43" s="669">
        <v>2058730</v>
      </c>
      <c r="AC43" s="670">
        <v>0.92139583594407348</v>
      </c>
      <c r="AD43" s="684">
        <v>3028140</v>
      </c>
      <c r="AE43" s="670">
        <v>0.88707848875530593</v>
      </c>
      <c r="AF43" s="669">
        <v>4784970</v>
      </c>
      <c r="AG43" s="671">
        <v>0.84385349835460766</v>
      </c>
    </row>
    <row r="44" spans="3:33" x14ac:dyDescent="0.2">
      <c r="C44" s="556" t="s">
        <v>953</v>
      </c>
      <c r="D44" s="544">
        <f>Personal_vehicles!$I$31</f>
        <v>1741730</v>
      </c>
      <c r="E44" s="545">
        <f>D44/D$48</f>
        <v>0.7795214379360379</v>
      </c>
      <c r="F44" s="544">
        <f>Personal_vehicles!$I$46</f>
        <v>2172990.8000000003</v>
      </c>
      <c r="G44" s="545">
        <f>F44/F$48</f>
        <v>0.63656742242380782</v>
      </c>
      <c r="H44" s="544">
        <f>Personal_vehicles!$I$72</f>
        <v>2505819.70842053</v>
      </c>
      <c r="I44" s="545">
        <f>H44/H$48</f>
        <v>0.44191399422508382</v>
      </c>
      <c r="K44" s="556" t="s">
        <v>953</v>
      </c>
      <c r="L44" s="544">
        <f t="shared" ref="L44:P47" si="20">ROUND(D44,-1)</f>
        <v>1741730</v>
      </c>
      <c r="M44" s="545">
        <f>L44/L$48</f>
        <v>0.77952075762186934</v>
      </c>
      <c r="N44" s="544">
        <f t="shared" si="20"/>
        <v>2172990</v>
      </c>
      <c r="O44" s="545">
        <f>N44/N$48</f>
        <v>0.63656656735830985</v>
      </c>
      <c r="P44" s="544">
        <f t="shared" si="20"/>
        <v>2505820</v>
      </c>
      <c r="Q44" s="557">
        <f>P44/P$48</f>
        <v>0.44191394580257409</v>
      </c>
      <c r="S44" s="556" t="s">
        <v>953</v>
      </c>
      <c r="T44" s="544">
        <v>1741730</v>
      </c>
      <c r="U44" s="545">
        <v>0.77952075762186934</v>
      </c>
      <c r="V44" s="544">
        <v>2172990</v>
      </c>
      <c r="W44" s="545">
        <v>0.63656656735830985</v>
      </c>
      <c r="X44" s="544">
        <v>2505820</v>
      </c>
      <c r="Y44" s="557">
        <v>0.44191394580257409</v>
      </c>
      <c r="AA44" s="668" t="s">
        <v>953</v>
      </c>
      <c r="AB44" s="669">
        <v>1741730</v>
      </c>
      <c r="AC44" s="670">
        <v>0.77952075762186934</v>
      </c>
      <c r="AD44" s="684">
        <v>2172990</v>
      </c>
      <c r="AE44" s="670">
        <v>0.63656656735830985</v>
      </c>
      <c r="AF44" s="669">
        <v>2505820</v>
      </c>
      <c r="AG44" s="672">
        <v>0.44191394580257409</v>
      </c>
    </row>
    <row r="45" spans="3:33" x14ac:dyDescent="0.2">
      <c r="C45" s="556" t="s">
        <v>959</v>
      </c>
      <c r="D45" s="544">
        <f>Personal_vehicles!$J$31</f>
        <v>221914.80000000002</v>
      </c>
      <c r="E45" s="545">
        <f>D45/D$48</f>
        <v>9.9319265325445549E-2</v>
      </c>
      <c r="F45" s="544">
        <f>Personal_vehicles!$J$46</f>
        <v>720485.27142857143</v>
      </c>
      <c r="G45" s="545">
        <f>F45/F$48</f>
        <v>0.21106276755870443</v>
      </c>
      <c r="H45" s="544">
        <f>Personal_vehicles!$J$72</f>
        <v>2067110.6304802438</v>
      </c>
      <c r="I45" s="545">
        <f>H45/H$48</f>
        <v>0.36454542685213553</v>
      </c>
      <c r="K45" s="556" t="s">
        <v>959</v>
      </c>
      <c r="L45" s="544">
        <f t="shared" si="20"/>
        <v>221910</v>
      </c>
      <c r="M45" s="545">
        <f>L45/L$48</f>
        <v>9.9317030380064092E-2</v>
      </c>
      <c r="N45" s="544">
        <f t="shared" si="20"/>
        <v>720490</v>
      </c>
      <c r="O45" s="545">
        <f>N45/N$48</f>
        <v>0.21106394696523623</v>
      </c>
      <c r="P45" s="544">
        <f t="shared" si="20"/>
        <v>2067110</v>
      </c>
      <c r="Q45" s="557">
        <f>P45/P$48</f>
        <v>0.364545233300061</v>
      </c>
      <c r="S45" s="556" t="s">
        <v>959</v>
      </c>
      <c r="T45" s="544">
        <v>221910</v>
      </c>
      <c r="U45" s="545">
        <v>9.9317030380064092E-2</v>
      </c>
      <c r="V45" s="544">
        <v>720490</v>
      </c>
      <c r="W45" s="545">
        <v>0.21106394696523623</v>
      </c>
      <c r="X45" s="544">
        <v>2067110</v>
      </c>
      <c r="Y45" s="557">
        <v>0.364545233300061</v>
      </c>
      <c r="AA45" s="668" t="s">
        <v>959</v>
      </c>
      <c r="AB45" s="669">
        <v>221910</v>
      </c>
      <c r="AC45" s="670">
        <v>9.9317030380064092E-2</v>
      </c>
      <c r="AD45" s="684">
        <v>720490</v>
      </c>
      <c r="AE45" s="670">
        <v>0.21106394696523623</v>
      </c>
      <c r="AF45" s="669">
        <v>2067110</v>
      </c>
      <c r="AG45" s="672">
        <v>0.364545233300061</v>
      </c>
    </row>
    <row r="46" spans="3:33" x14ac:dyDescent="0.2">
      <c r="C46" s="556" t="s">
        <v>318</v>
      </c>
      <c r="D46" s="544">
        <f>Passenger_Total!$K$31</f>
        <v>160576.84999999998</v>
      </c>
      <c r="E46" s="545">
        <f>D46/D$48</f>
        <v>7.1867107422642684E-2</v>
      </c>
      <c r="F46" s="544">
        <f>Passenger_Total!$K$46</f>
        <v>363373</v>
      </c>
      <c r="G46" s="545">
        <f>F46/F$48</f>
        <v>0.10644840925622248</v>
      </c>
      <c r="H46" s="544">
        <f>Passenger_Total!$K$72</f>
        <v>847790.93316348526</v>
      </c>
      <c r="I46" s="542">
        <f>H46/H$48</f>
        <v>0.14951222399724717</v>
      </c>
      <c r="K46" s="556" t="s">
        <v>318</v>
      </c>
      <c r="L46" s="544">
        <f t="shared" si="20"/>
        <v>160580</v>
      </c>
      <c r="M46" s="545">
        <f>L46/L$48</f>
        <v>7.1868454501512732E-2</v>
      </c>
      <c r="N46" s="544">
        <f t="shared" si="20"/>
        <v>363370</v>
      </c>
      <c r="O46" s="545">
        <f>N46/N$48</f>
        <v>0.10644742662459976</v>
      </c>
      <c r="P46" s="544">
        <f t="shared" si="20"/>
        <v>847790</v>
      </c>
      <c r="Q46" s="542">
        <f>P46/P$48</f>
        <v>0.14951202564907468</v>
      </c>
      <c r="S46" s="556" t="s">
        <v>318</v>
      </c>
      <c r="T46" s="544">
        <v>160580</v>
      </c>
      <c r="U46" s="545">
        <v>7.1868454501512732E-2</v>
      </c>
      <c r="V46" s="544">
        <v>363370</v>
      </c>
      <c r="W46" s="545">
        <v>0.10644742662459976</v>
      </c>
      <c r="X46" s="544">
        <v>847790</v>
      </c>
      <c r="Y46" s="542">
        <v>0.14951202564907468</v>
      </c>
      <c r="AA46" s="668" t="s">
        <v>318</v>
      </c>
      <c r="AB46" s="669">
        <v>160580</v>
      </c>
      <c r="AC46" s="670">
        <v>7.1868454501512732E-2</v>
      </c>
      <c r="AD46" s="684">
        <v>363370</v>
      </c>
      <c r="AE46" s="670">
        <v>0.10644742662459976</v>
      </c>
      <c r="AF46" s="669">
        <v>847790</v>
      </c>
      <c r="AG46" s="671">
        <v>0.14951202564907468</v>
      </c>
    </row>
    <row r="47" spans="3:33" x14ac:dyDescent="0.2">
      <c r="C47" s="556" t="s">
        <v>316</v>
      </c>
      <c r="D47" s="541">
        <f>Passenger_Total!$J$31</f>
        <v>15049.5</v>
      </c>
      <c r="E47" s="546">
        <f>D47/D$48</f>
        <v>6.7354916549743089E-3</v>
      </c>
      <c r="F47" s="541">
        <f>Passenger_Total!$J$46</f>
        <v>22096</v>
      </c>
      <c r="G47" s="546">
        <f>F47/F$48</f>
        <v>6.4729191517407508E-3</v>
      </c>
      <c r="H47" s="541">
        <f>Passenger_Total!$J$72</f>
        <v>37617</v>
      </c>
      <c r="I47" s="543">
        <f>H47/H$48</f>
        <v>6.6339484300900094E-3</v>
      </c>
      <c r="K47" s="556" t="s">
        <v>316</v>
      </c>
      <c r="L47" s="541">
        <f t="shared" si="20"/>
        <v>15050</v>
      </c>
      <c r="M47" s="546">
        <f>L47/L$48</f>
        <v>6.7357095544137921E-3</v>
      </c>
      <c r="N47" s="541">
        <f t="shared" si="20"/>
        <v>22100</v>
      </c>
      <c r="O47" s="546">
        <f>N47/N$48</f>
        <v>6.4740846200942699E-3</v>
      </c>
      <c r="P47" s="541">
        <f t="shared" si="20"/>
        <v>37620</v>
      </c>
      <c r="Q47" s="543">
        <f>P47/P$48</f>
        <v>6.6344759963177071E-3</v>
      </c>
      <c r="S47" s="556" t="s">
        <v>316</v>
      </c>
      <c r="T47" s="541">
        <v>15050</v>
      </c>
      <c r="U47" s="546">
        <v>6.7357095544137921E-3</v>
      </c>
      <c r="V47" s="541">
        <v>22100</v>
      </c>
      <c r="W47" s="546">
        <v>6.4740846200942699E-3</v>
      </c>
      <c r="X47" s="541">
        <v>37620</v>
      </c>
      <c r="Y47" s="543">
        <v>6.6344759963177071E-3</v>
      </c>
      <c r="AA47" s="668" t="s">
        <v>316</v>
      </c>
      <c r="AB47" s="673">
        <v>15050</v>
      </c>
      <c r="AC47" s="674">
        <v>6.7357095544137921E-3</v>
      </c>
      <c r="AD47" s="685">
        <v>22100</v>
      </c>
      <c r="AE47" s="674">
        <v>6.4740846200942699E-3</v>
      </c>
      <c r="AF47" s="673">
        <v>37620</v>
      </c>
      <c r="AG47" s="675">
        <v>6.6344759963177071E-3</v>
      </c>
    </row>
    <row r="48" spans="3:33" x14ac:dyDescent="0.2">
      <c r="C48" s="7" t="s">
        <v>949</v>
      </c>
      <c r="D48" s="551">
        <f>D43+D46+D47</f>
        <v>2234358.0500000492</v>
      </c>
      <c r="E48" s="552"/>
      <c r="F48" s="551">
        <f>F43+F46+F47</f>
        <v>3413606.6714285719</v>
      </c>
      <c r="G48" s="552"/>
      <c r="H48" s="551">
        <f>H43+H46+H47</f>
        <v>5670378.7188604381</v>
      </c>
      <c r="K48" s="7" t="s">
        <v>949</v>
      </c>
      <c r="L48" s="551">
        <f>L43+L46+L47</f>
        <v>2234360</v>
      </c>
      <c r="M48" s="552"/>
      <c r="N48" s="551">
        <f>N43+N46+N47</f>
        <v>3413610</v>
      </c>
      <c r="O48" s="552"/>
      <c r="P48" s="551">
        <f>P43+P46+P47</f>
        <v>5670380</v>
      </c>
      <c r="S48" s="7" t="s">
        <v>949</v>
      </c>
      <c r="T48" s="544">
        <v>2234360</v>
      </c>
      <c r="U48" s="552"/>
      <c r="V48" s="544">
        <v>3413610</v>
      </c>
      <c r="W48" s="552"/>
      <c r="X48" s="544">
        <v>5670380</v>
      </c>
      <c r="AA48" s="676" t="s">
        <v>949</v>
      </c>
      <c r="AB48" s="669">
        <v>2234360</v>
      </c>
      <c r="AC48" s="678"/>
      <c r="AD48" s="684">
        <v>3413610</v>
      </c>
      <c r="AE48" s="678"/>
      <c r="AF48" s="669">
        <v>5670380</v>
      </c>
      <c r="AG48" s="519"/>
    </row>
    <row r="49" spans="3:33" x14ac:dyDescent="0.2">
      <c r="AA49" s="519"/>
      <c r="AB49" s="519"/>
      <c r="AC49" s="519"/>
      <c r="AD49" s="519"/>
      <c r="AE49" s="519"/>
      <c r="AF49" s="519"/>
      <c r="AG49" s="519"/>
    </row>
    <row r="50" spans="3:33" x14ac:dyDescent="0.2">
      <c r="C50" s="556" t="s">
        <v>954</v>
      </c>
      <c r="K50" s="556" t="s">
        <v>956</v>
      </c>
      <c r="S50" s="556" t="s">
        <v>956</v>
      </c>
      <c r="AA50" s="668" t="s">
        <v>956</v>
      </c>
      <c r="AB50" s="519"/>
      <c r="AC50" s="519"/>
      <c r="AD50" s="519"/>
      <c r="AE50" s="519"/>
      <c r="AF50" s="519"/>
      <c r="AG50" s="519"/>
    </row>
  </sheetData>
  <mergeCells count="48">
    <mergeCell ref="T29:U29"/>
    <mergeCell ref="V29:W29"/>
    <mergeCell ref="X29:Y29"/>
    <mergeCell ref="T41:U41"/>
    <mergeCell ref="V41:W41"/>
    <mergeCell ref="X41:Y41"/>
    <mergeCell ref="T4:U4"/>
    <mergeCell ref="V4:W4"/>
    <mergeCell ref="X4:Y4"/>
    <mergeCell ref="T14:U14"/>
    <mergeCell ref="V14:W14"/>
    <mergeCell ref="X14:Y14"/>
    <mergeCell ref="P4:Q4"/>
    <mergeCell ref="L14:M14"/>
    <mergeCell ref="N14:O14"/>
    <mergeCell ref="P14:Q14"/>
    <mergeCell ref="D41:E41"/>
    <mergeCell ref="F41:G41"/>
    <mergeCell ref="H41:I41"/>
    <mergeCell ref="L29:M29"/>
    <mergeCell ref="N29:O29"/>
    <mergeCell ref="P29:Q29"/>
    <mergeCell ref="L41:M41"/>
    <mergeCell ref="N41:O41"/>
    <mergeCell ref="P41:Q41"/>
    <mergeCell ref="D14:E14"/>
    <mergeCell ref="F14:G14"/>
    <mergeCell ref="H14:I14"/>
    <mergeCell ref="D29:E29"/>
    <mergeCell ref="F29:G29"/>
    <mergeCell ref="H29:I29"/>
    <mergeCell ref="L4:M4"/>
    <mergeCell ref="N4:O4"/>
    <mergeCell ref="D4:E4"/>
    <mergeCell ref="F4:G4"/>
    <mergeCell ref="H4:I4"/>
    <mergeCell ref="AB29:AC29"/>
    <mergeCell ref="AD29:AE29"/>
    <mergeCell ref="AF29:AG29"/>
    <mergeCell ref="AB41:AC41"/>
    <mergeCell ref="AD41:AE41"/>
    <mergeCell ref="AF41:AG41"/>
    <mergeCell ref="AJ4:AK4"/>
    <mergeCell ref="AL4:AM4"/>
    <mergeCell ref="AN4:AO4"/>
    <mergeCell ref="AJ14:AK14"/>
    <mergeCell ref="AL14:AM14"/>
    <mergeCell ref="AN14:AO1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37"/>
  <sheetViews>
    <sheetView workbookViewId="0">
      <pane xSplit="2" topLeftCell="O1" activePane="topRight" state="frozen"/>
      <selection pane="topRight" activeCell="O31" sqref="O31"/>
    </sheetView>
  </sheetViews>
  <sheetFormatPr defaultRowHeight="12.75" x14ac:dyDescent="0.2"/>
  <cols>
    <col min="1" max="1" width="5.5703125" customWidth="1"/>
    <col min="2" max="2" width="6.85546875" customWidth="1"/>
    <col min="4" max="4" width="11" customWidth="1"/>
    <col min="5" max="6" width="10.5703125" customWidth="1"/>
    <col min="8" max="8" width="12" customWidth="1"/>
    <col min="9" max="10" width="15.7109375" customWidth="1"/>
    <col min="12" max="12" width="10.7109375" customWidth="1"/>
    <col min="13" max="13" width="9.5703125" customWidth="1"/>
    <col min="14" max="14" width="14.28515625" customWidth="1"/>
    <col min="16" max="16" width="11.7109375" customWidth="1"/>
    <col min="17" max="17" width="11.140625" customWidth="1"/>
    <col min="18" max="20" width="10.140625" customWidth="1"/>
    <col min="22" max="22" width="10.140625" customWidth="1"/>
    <col min="23" max="24" width="9.7109375" customWidth="1"/>
    <col min="26" max="26" width="10.42578125" customWidth="1"/>
    <col min="27" max="27" width="10.28515625" customWidth="1"/>
    <col min="28" max="28" width="9.5703125" bestFit="1" customWidth="1"/>
    <col min="29" max="29" width="5.7109375" customWidth="1"/>
    <col min="33" max="33" width="6.42578125" customWidth="1"/>
    <col min="35" max="35" width="10.7109375" customWidth="1"/>
    <col min="38" max="38" width="11.140625" customWidth="1"/>
    <col min="40" max="40" width="9.5703125" customWidth="1"/>
    <col min="42" max="42" width="11.42578125" customWidth="1"/>
    <col min="46" max="46" width="11.7109375" customWidth="1"/>
    <col min="47" max="47" width="10.85546875" customWidth="1"/>
    <col min="48" max="48" width="7.140625" customWidth="1"/>
    <col min="49" max="49" width="12.85546875" customWidth="1"/>
    <col min="50" max="50" width="11" customWidth="1"/>
    <col min="52" max="52" width="11.140625" customWidth="1"/>
    <col min="53" max="53" width="8.42578125" customWidth="1"/>
    <col min="56" max="56" width="10" customWidth="1"/>
    <col min="57" max="57" width="9.85546875" customWidth="1"/>
  </cols>
  <sheetData>
    <row r="1" spans="1:75" ht="15.75" x14ac:dyDescent="0.25">
      <c r="A1" s="133"/>
      <c r="B1" s="133"/>
      <c r="D1" s="137" t="s">
        <v>764</v>
      </c>
      <c r="AG1" s="134"/>
      <c r="BU1" s="155"/>
    </row>
    <row r="2" spans="1:75" x14ac:dyDescent="0.2">
      <c r="A2" s="133"/>
      <c r="B2" s="133"/>
      <c r="AG2" s="134"/>
      <c r="BU2" s="155"/>
      <c r="BW2" t="s">
        <v>773</v>
      </c>
    </row>
    <row r="3" spans="1:75" x14ac:dyDescent="0.2">
      <c r="A3" s="133"/>
      <c r="B3" s="133"/>
      <c r="P3" s="801" t="s">
        <v>727</v>
      </c>
      <c r="Q3" s="802"/>
      <c r="R3" s="802"/>
      <c r="S3" s="802"/>
      <c r="T3" s="802"/>
      <c r="AG3" s="134"/>
      <c r="BU3" s="155"/>
    </row>
    <row r="4" spans="1:75" x14ac:dyDescent="0.2">
      <c r="A4" s="133"/>
      <c r="B4" s="133"/>
      <c r="AG4" s="134"/>
      <c r="BU4" s="155"/>
    </row>
    <row r="5" spans="1:75" x14ac:dyDescent="0.2">
      <c r="A5" s="133"/>
      <c r="B5" s="133"/>
      <c r="D5" s="6" t="s">
        <v>760</v>
      </c>
      <c r="H5" s="6" t="s">
        <v>290</v>
      </c>
      <c r="L5" s="6" t="s">
        <v>682</v>
      </c>
      <c r="P5" s="6" t="s">
        <v>726</v>
      </c>
      <c r="S5" s="6" t="s">
        <v>728</v>
      </c>
      <c r="V5" s="201" t="s">
        <v>109</v>
      </c>
      <c r="W5" s="201"/>
      <c r="X5" s="26"/>
      <c r="Y5" s="26"/>
      <c r="Z5" s="26"/>
      <c r="AA5" s="26"/>
      <c r="AB5" s="26"/>
      <c r="AC5" s="26"/>
      <c r="AD5" s="26"/>
      <c r="AG5" s="134"/>
      <c r="AI5" s="6" t="s">
        <v>694</v>
      </c>
      <c r="AL5" s="6" t="s">
        <v>695</v>
      </c>
      <c r="AP5" s="6" t="s">
        <v>696</v>
      </c>
      <c r="AQ5" s="6"/>
      <c r="AT5" s="6" t="s">
        <v>698</v>
      </c>
      <c r="AW5" s="6" t="s">
        <v>757</v>
      </c>
      <c r="AZ5" s="6" t="s">
        <v>758</v>
      </c>
      <c r="BD5" s="6" t="s">
        <v>729</v>
      </c>
      <c r="BH5" s="6" t="s">
        <v>705</v>
      </c>
      <c r="BL5" s="6" t="s">
        <v>759</v>
      </c>
      <c r="BP5" s="6" t="s">
        <v>706</v>
      </c>
      <c r="BU5" s="155"/>
    </row>
    <row r="6" spans="1:75" x14ac:dyDescent="0.2">
      <c r="A6" s="133" t="s">
        <v>663</v>
      </c>
      <c r="B6" s="133"/>
      <c r="V6" s="196" t="s">
        <v>711</v>
      </c>
      <c r="W6" s="196" t="s">
        <v>712</v>
      </c>
      <c r="X6" s="196" t="s">
        <v>713</v>
      </c>
      <c r="Y6" s="191" t="s">
        <v>714</v>
      </c>
      <c r="Z6" s="191" t="s">
        <v>715</v>
      </c>
      <c r="AA6" s="191" t="s">
        <v>716</v>
      </c>
      <c r="AB6" s="191" t="s">
        <v>763</v>
      </c>
      <c r="AC6" s="191"/>
      <c r="AD6" s="191" t="s">
        <v>765</v>
      </c>
      <c r="AG6" s="134"/>
      <c r="AP6" s="6" t="s">
        <v>697</v>
      </c>
      <c r="AQ6" s="6"/>
      <c r="BL6" t="s">
        <v>730</v>
      </c>
      <c r="BP6" t="s">
        <v>731</v>
      </c>
      <c r="BU6" s="155"/>
    </row>
    <row r="7" spans="1:75" ht="51" customHeight="1" x14ac:dyDescent="0.2">
      <c r="A7" s="133"/>
      <c r="B7" s="133"/>
      <c r="D7" s="126" t="s">
        <v>754</v>
      </c>
      <c r="E7" s="126" t="s">
        <v>755</v>
      </c>
      <c r="F7" s="126" t="s">
        <v>690</v>
      </c>
      <c r="G7" s="1"/>
      <c r="H7" s="126" t="str">
        <f>D7</f>
        <v>All Passenger</v>
      </c>
      <c r="I7" s="126" t="str">
        <f>E7</f>
        <v>All Freight</v>
      </c>
      <c r="J7" s="126" t="s">
        <v>756</v>
      </c>
      <c r="K7" s="1"/>
      <c r="L7" s="126" t="str">
        <f>D7</f>
        <v>All Passenger</v>
      </c>
      <c r="M7" s="126" t="str">
        <f>E7</f>
        <v>All Freight</v>
      </c>
      <c r="N7" s="126" t="str">
        <f>F7</f>
        <v xml:space="preserve">   Total</v>
      </c>
      <c r="O7" s="1"/>
      <c r="P7" s="126" t="str">
        <f>D7</f>
        <v>All Passenger</v>
      </c>
      <c r="Q7" s="126" t="str">
        <f>E7</f>
        <v>All Freight</v>
      </c>
      <c r="R7" s="139"/>
      <c r="S7" s="139" t="str">
        <f>D7</f>
        <v>All Passenger</v>
      </c>
      <c r="T7" s="139" t="str">
        <f>E7</f>
        <v>All Freight</v>
      </c>
      <c r="U7" s="1"/>
      <c r="V7" s="272" t="s">
        <v>123</v>
      </c>
      <c r="W7" s="195" t="s">
        <v>707</v>
      </c>
      <c r="X7" s="195" t="s">
        <v>120</v>
      </c>
      <c r="Y7" s="319" t="s">
        <v>121</v>
      </c>
      <c r="Z7" s="313" t="s">
        <v>655</v>
      </c>
      <c r="AA7" s="192" t="s">
        <v>692</v>
      </c>
      <c r="AB7" s="313" t="s">
        <v>709</v>
      </c>
      <c r="AC7" s="192"/>
      <c r="AD7" s="192" t="s">
        <v>734</v>
      </c>
      <c r="AG7" s="134"/>
      <c r="AI7" s="126" t="str">
        <f>D7</f>
        <v>All Passenger</v>
      </c>
      <c r="AJ7" s="126" t="str">
        <f>E7</f>
        <v>All Freight</v>
      </c>
      <c r="AL7" s="126" t="str">
        <f>D7</f>
        <v>All Passenger</v>
      </c>
      <c r="AM7" s="126" t="str">
        <f>E7</f>
        <v>All Freight</v>
      </c>
      <c r="AN7" s="126" t="str">
        <f>F7</f>
        <v xml:space="preserve">   Total</v>
      </c>
      <c r="AO7" s="1"/>
      <c r="AP7" s="126" t="str">
        <f>D7</f>
        <v>All Passenger</v>
      </c>
      <c r="AQ7" s="126" t="str">
        <f>E7</f>
        <v>All Freight</v>
      </c>
      <c r="AR7" s="1"/>
      <c r="AS7" s="1"/>
      <c r="AT7" s="126" t="str">
        <f>D7</f>
        <v>All Passenger</v>
      </c>
      <c r="AU7" s="126" t="str">
        <f>E7</f>
        <v>All Freight</v>
      </c>
      <c r="AV7" s="1"/>
      <c r="AW7" s="126" t="str">
        <f>D7</f>
        <v>All Passenger</v>
      </c>
      <c r="AX7" s="126" t="str">
        <f>E7</f>
        <v>All Freight</v>
      </c>
      <c r="AY7" s="1"/>
      <c r="AZ7" s="126" t="str">
        <f>D7</f>
        <v>All Passenger</v>
      </c>
      <c r="BA7" s="126" t="str">
        <f>E7</f>
        <v>All Freight</v>
      </c>
      <c r="BB7" s="1"/>
      <c r="BC7" s="1"/>
      <c r="BD7" s="126" t="str">
        <f>D7</f>
        <v>All Passenger</v>
      </c>
      <c r="BE7" s="126" t="str">
        <f>E7</f>
        <v>All Freight</v>
      </c>
      <c r="BF7" s="1"/>
      <c r="BG7" s="1"/>
      <c r="BH7" s="148" t="s">
        <v>701</v>
      </c>
      <c r="BI7" s="148" t="s">
        <v>702</v>
      </c>
      <c r="BJ7" s="148" t="s">
        <v>702</v>
      </c>
      <c r="BL7" s="148" t="s">
        <v>701</v>
      </c>
      <c r="BM7" s="148" t="s">
        <v>702</v>
      </c>
      <c r="BN7" s="148" t="s">
        <v>702</v>
      </c>
      <c r="BP7" s="148" t="s">
        <v>701</v>
      </c>
      <c r="BQ7" s="148" t="s">
        <v>702</v>
      </c>
      <c r="BR7" s="148" t="s">
        <v>702</v>
      </c>
      <c r="BU7" s="155"/>
    </row>
    <row r="8" spans="1:75" ht="28.5" customHeight="1" x14ac:dyDescent="0.2">
      <c r="A8" s="133" t="s">
        <v>663</v>
      </c>
      <c r="B8" s="133"/>
      <c r="D8" s="135" t="s">
        <v>663</v>
      </c>
      <c r="E8" s="135" t="s">
        <v>663</v>
      </c>
      <c r="F8" s="135" t="s">
        <v>691</v>
      </c>
      <c r="G8" s="1"/>
      <c r="H8" s="135"/>
      <c r="I8" s="135"/>
      <c r="J8" s="135"/>
      <c r="K8" s="1"/>
      <c r="L8" s="135"/>
      <c r="M8" s="135"/>
      <c r="N8" s="135"/>
      <c r="O8" s="1"/>
      <c r="P8" s="135"/>
      <c r="Q8" s="135"/>
      <c r="R8" s="139"/>
      <c r="T8" s="139"/>
      <c r="U8" s="1"/>
      <c r="V8" s="197"/>
      <c r="W8" s="197"/>
      <c r="X8" s="197"/>
      <c r="Y8" s="193"/>
      <c r="Z8" s="193"/>
      <c r="AA8" s="204" t="s">
        <v>733</v>
      </c>
      <c r="AB8" s="205" t="s">
        <v>719</v>
      </c>
      <c r="AC8" s="193"/>
      <c r="AD8" s="205" t="s">
        <v>735</v>
      </c>
      <c r="AG8" s="134"/>
      <c r="BH8" t="s">
        <v>703</v>
      </c>
      <c r="BI8" t="s">
        <v>703</v>
      </c>
      <c r="BJ8" t="s">
        <v>704</v>
      </c>
      <c r="BL8" t="s">
        <v>703</v>
      </c>
      <c r="BM8" t="s">
        <v>703</v>
      </c>
      <c r="BN8" t="s">
        <v>704</v>
      </c>
      <c r="BP8" t="s">
        <v>703</v>
      </c>
      <c r="BQ8" t="s">
        <v>703</v>
      </c>
      <c r="BR8" t="s">
        <v>704</v>
      </c>
      <c r="BU8" s="155"/>
    </row>
    <row r="9" spans="1:75" ht="27" customHeight="1" thickBot="1" x14ac:dyDescent="0.25">
      <c r="A9" s="133"/>
      <c r="B9" s="133"/>
      <c r="D9" s="135" t="s">
        <v>761</v>
      </c>
      <c r="E9" s="135" t="s">
        <v>762</v>
      </c>
      <c r="F9" s="135"/>
      <c r="G9" s="1"/>
      <c r="H9" s="135" t="s">
        <v>688</v>
      </c>
      <c r="I9" s="135" t="s">
        <v>752</v>
      </c>
      <c r="J9" s="135" t="s">
        <v>229</v>
      </c>
      <c r="K9" s="1"/>
      <c r="L9" s="135" t="s">
        <v>686</v>
      </c>
      <c r="M9" s="135" t="s">
        <v>686</v>
      </c>
      <c r="N9" s="135" t="s">
        <v>230</v>
      </c>
      <c r="O9" s="1"/>
      <c r="P9" s="135" t="s">
        <v>689</v>
      </c>
      <c r="Q9" s="135" t="s">
        <v>689</v>
      </c>
      <c r="R9" s="139"/>
      <c r="T9" s="139"/>
      <c r="U9" s="1"/>
      <c r="V9" s="198"/>
      <c r="W9" s="198"/>
      <c r="X9" s="198"/>
      <c r="Y9" s="194"/>
      <c r="Z9" s="194"/>
      <c r="AA9" s="194"/>
      <c r="AB9" s="194"/>
      <c r="AC9" s="194"/>
      <c r="AD9" s="194"/>
      <c r="AG9" s="134"/>
      <c r="BH9" s="130"/>
      <c r="BI9" s="130"/>
      <c r="BJ9" s="130"/>
      <c r="BL9" s="130"/>
      <c r="BM9" s="130"/>
      <c r="BN9" s="130"/>
      <c r="BP9" s="130"/>
      <c r="BQ9" s="130"/>
      <c r="BR9" s="130"/>
      <c r="BU9" s="155"/>
    </row>
    <row r="10" spans="1:75" hidden="1" x14ac:dyDescent="0.2">
      <c r="A10" s="133" t="s">
        <v>664</v>
      </c>
      <c r="B10" s="133">
        <v>1949</v>
      </c>
      <c r="D10" s="5">
        <f>Passenger_Total!G10</f>
        <v>0</v>
      </c>
      <c r="E10" s="5">
        <f>Freight_Total!I9</f>
        <v>0</v>
      </c>
      <c r="F10" s="5">
        <f t="shared" ref="F10:F41" si="0">D10+E10</f>
        <v>0</v>
      </c>
      <c r="G10" s="5"/>
      <c r="H10" s="5">
        <f>Passenger_Total!L10</f>
        <v>800</v>
      </c>
      <c r="I10" s="5">
        <f>Freight_Total!P9</f>
        <v>57425.933089500002</v>
      </c>
      <c r="J10" s="5">
        <f t="shared" ref="J10:J30" si="1">H10+I10</f>
        <v>58225.933089500002</v>
      </c>
      <c r="P10" s="129"/>
      <c r="Q10" s="129"/>
      <c r="R10" s="141"/>
      <c r="S10" s="142"/>
      <c r="T10" s="141"/>
      <c r="V10" s="131"/>
      <c r="W10" s="147"/>
      <c r="X10" s="131"/>
      <c r="Y10" s="131"/>
      <c r="Z10" s="131"/>
      <c r="AA10" s="131"/>
      <c r="AB10" s="131"/>
      <c r="AC10" s="131"/>
      <c r="AD10" s="131"/>
      <c r="AG10" s="134"/>
      <c r="AI10" s="129" t="e">
        <f t="shared" ref="AI10:AI41" si="2">D10/F10</f>
        <v>#DIV/0!</v>
      </c>
      <c r="AJ10" s="129" t="e">
        <f t="shared" ref="AJ10:AJ41" si="3">E10/F10</f>
        <v>#DIV/0!</v>
      </c>
      <c r="AW10" s="129">
        <f t="shared" ref="AW10:AW41" si="4">H10/H$74</f>
        <v>2.3435623286534218E-4</v>
      </c>
      <c r="AX10" s="129">
        <f t="shared" ref="AX10:AX41" si="5">I10/I$74</f>
        <v>1.974932372322042E-2</v>
      </c>
      <c r="AY10" s="129"/>
      <c r="AZ10" s="129"/>
      <c r="BA10" s="129"/>
      <c r="BB10" s="129"/>
      <c r="BC10" s="129"/>
      <c r="BD10" s="129"/>
      <c r="BE10" s="129"/>
      <c r="BH10" s="129"/>
      <c r="BI10" s="129">
        <v>1</v>
      </c>
      <c r="BJ10" s="129">
        <f t="shared" ref="BJ10:BJ41" si="6">BI10/BI$74</f>
        <v>1.1934927904088419</v>
      </c>
      <c r="BK10" s="129"/>
      <c r="BL10" s="129"/>
      <c r="BM10" s="129">
        <v>1</v>
      </c>
      <c r="BN10" s="129">
        <f t="shared" ref="BN10:BN41" si="7">BM10/BM$74</f>
        <v>0.15100740577483845</v>
      </c>
      <c r="BO10" s="129"/>
      <c r="BP10" s="129"/>
      <c r="BQ10" s="129">
        <v>1</v>
      </c>
      <c r="BR10" s="129">
        <f t="shared" ref="BR10:BR41" si="8">BQ10/BQ$74</f>
        <v>0.95937390934674072</v>
      </c>
      <c r="BU10" s="155"/>
    </row>
    <row r="11" spans="1:75" hidden="1" x14ac:dyDescent="0.2">
      <c r="A11" s="133" t="s">
        <v>664</v>
      </c>
      <c r="B11" s="133">
        <f t="shared" ref="B11:B42" si="9">B10+1</f>
        <v>1950</v>
      </c>
      <c r="D11" s="5">
        <f>Passenger_Total!G11</f>
        <v>0</v>
      </c>
      <c r="E11" s="5">
        <f>Freight_Total!I10</f>
        <v>129.437926129</v>
      </c>
      <c r="F11" s="5">
        <f t="shared" si="0"/>
        <v>129.437926129</v>
      </c>
      <c r="G11" s="5"/>
      <c r="H11" s="5">
        <f>Passenger_Total!L11</f>
        <v>800</v>
      </c>
      <c r="I11" s="5">
        <f>Freight_Total!P10</f>
        <v>65445.008386500005</v>
      </c>
      <c r="J11" s="5">
        <f t="shared" si="1"/>
        <v>66245.008386500005</v>
      </c>
      <c r="P11" s="129"/>
      <c r="Q11" s="129"/>
      <c r="R11" s="129"/>
      <c r="S11" s="142"/>
      <c r="T11" s="129"/>
      <c r="V11" s="131"/>
      <c r="W11" s="147"/>
      <c r="X11" s="131"/>
      <c r="Y11" s="131"/>
      <c r="Z11" s="131"/>
      <c r="AA11" s="131"/>
      <c r="AB11" s="131"/>
      <c r="AC11" s="131"/>
      <c r="AD11" s="131"/>
      <c r="AG11" s="134"/>
      <c r="AI11" s="129">
        <f t="shared" si="2"/>
        <v>0</v>
      </c>
      <c r="AJ11" s="129">
        <f t="shared" si="3"/>
        <v>1</v>
      </c>
      <c r="AL11" s="129" t="e">
        <f t="shared" ref="AL11:AL42" si="10">(AI11-AI10)/LN(AI11/AI10)</f>
        <v>#DIV/0!</v>
      </c>
      <c r="AM11" s="129" t="e">
        <f t="shared" ref="AM11:AM42" si="11">(AJ11-AJ10)/LN(AJ11/AJ10)</f>
        <v>#DIV/0!</v>
      </c>
      <c r="AN11" s="129" t="e">
        <f t="shared" ref="AN11:AN42" si="12">AL11+AM11</f>
        <v>#DIV/0!</v>
      </c>
      <c r="AO11" s="129"/>
      <c r="AP11" s="129" t="e">
        <f t="shared" ref="AP11:AP42" si="13">AL11/AN11</f>
        <v>#DIV/0!</v>
      </c>
      <c r="AQ11" s="129" t="e">
        <f t="shared" ref="AQ11:AQ42" si="14">AM11/AN11</f>
        <v>#DIV/0!</v>
      </c>
      <c r="AT11" s="129" t="e">
        <f t="shared" ref="AT11:AT42" si="15">LN(P11/P10)</f>
        <v>#DIV/0!</v>
      </c>
      <c r="AU11" s="129" t="e">
        <f t="shared" ref="AU11:AU42" si="16">LN(Q11/Q10)</f>
        <v>#DIV/0!</v>
      </c>
      <c r="AW11" s="129">
        <f t="shared" si="4"/>
        <v>2.3435623286534218E-4</v>
      </c>
      <c r="AX11" s="129">
        <f t="shared" si="5"/>
        <v>2.2507159869382933E-2</v>
      </c>
      <c r="AY11" s="129"/>
      <c r="AZ11" s="129">
        <f t="shared" ref="AZ11:AZ42" si="17">LN(AW11/AW10)</f>
        <v>0</v>
      </c>
      <c r="BA11" s="129">
        <f t="shared" ref="BA11:BA42" si="18">LN(AX11/AX10)</f>
        <v>0.13071422610868041</v>
      </c>
      <c r="BB11" s="129"/>
      <c r="BC11" s="129"/>
      <c r="BD11" s="129" t="e">
        <f t="shared" ref="BD11:BD42" si="19">LN(S11/S10)</f>
        <v>#DIV/0!</v>
      </c>
      <c r="BE11" s="129" t="e">
        <f t="shared" ref="BE11:BE42" si="20">LN(T11/T10)</f>
        <v>#DIV/0!</v>
      </c>
      <c r="BH11" s="129" t="e">
        <f t="shared" ref="BH11:BH42" si="21">EXP(SUMPRODUCT($AP11:$AQ11,AT11:AU11))</f>
        <v>#DIV/0!</v>
      </c>
      <c r="BI11" s="129">
        <f t="shared" ref="BI11:BI42" si="22">IF(ISERR(BH11),BI10,BH11*BI10)</f>
        <v>1</v>
      </c>
      <c r="BJ11" s="129">
        <f t="shared" si="6"/>
        <v>1.1934927904088419</v>
      </c>
      <c r="BK11" s="129"/>
      <c r="BL11" s="129" t="e">
        <f t="shared" ref="BL11:BL42" si="23">EXP(SUMPRODUCT($AP11:$AQ11,AZ11:BA11))</f>
        <v>#DIV/0!</v>
      </c>
      <c r="BM11" s="129">
        <f t="shared" ref="BM11:BM42" si="24">IF(ISERR(BL11),BM10,BL11*BM10)</f>
        <v>1</v>
      </c>
      <c r="BN11" s="129">
        <f t="shared" si="7"/>
        <v>0.15100740577483845</v>
      </c>
      <c r="BO11" s="129"/>
      <c r="BP11" s="129" t="e">
        <f t="shared" ref="BP11:BP42" si="25">EXP(SUMPRODUCT($AP11:$AQ11,BD11:BE11))</f>
        <v>#DIV/0!</v>
      </c>
      <c r="BQ11" s="129">
        <f t="shared" ref="BQ11:BQ42" si="26">IF(ISERR(BP11),BQ10,BP11*BQ10)</f>
        <v>1</v>
      </c>
      <c r="BR11" s="129">
        <f t="shared" si="8"/>
        <v>0.95937390934674072</v>
      </c>
      <c r="BU11" s="155"/>
    </row>
    <row r="12" spans="1:75" hidden="1" x14ac:dyDescent="0.2">
      <c r="A12" s="133" t="s">
        <v>664</v>
      </c>
      <c r="B12" s="133">
        <f t="shared" si="9"/>
        <v>1951</v>
      </c>
      <c r="D12" s="5">
        <f>Passenger_Total!G12</f>
        <v>0</v>
      </c>
      <c r="E12" s="5">
        <f>Freight_Total!I11</f>
        <v>198.46337615200002</v>
      </c>
      <c r="F12" s="5">
        <f t="shared" si="0"/>
        <v>198.46337615200002</v>
      </c>
      <c r="G12" s="5"/>
      <c r="H12" s="5">
        <f>Passenger_Total!L12</f>
        <v>900</v>
      </c>
      <c r="I12" s="5">
        <f>Freight_Total!P11</f>
        <v>722545.50664040004</v>
      </c>
      <c r="J12" s="5">
        <f t="shared" si="1"/>
        <v>723445.50664040004</v>
      </c>
      <c r="P12" s="129"/>
      <c r="Q12" s="129"/>
      <c r="R12" s="129"/>
      <c r="S12" s="141"/>
      <c r="T12" s="129"/>
      <c r="V12" s="131"/>
      <c r="W12" s="147"/>
      <c r="X12" s="131"/>
      <c r="Y12" s="131"/>
      <c r="Z12" s="131"/>
      <c r="AA12" s="131"/>
      <c r="AB12" s="131"/>
      <c r="AC12" s="131"/>
      <c r="AD12" s="131"/>
      <c r="AG12" s="134"/>
      <c r="AI12" s="129">
        <f t="shared" si="2"/>
        <v>0</v>
      </c>
      <c r="AJ12" s="129">
        <f t="shared" si="3"/>
        <v>1</v>
      </c>
      <c r="AL12" s="129" t="e">
        <f t="shared" si="10"/>
        <v>#DIV/0!</v>
      </c>
      <c r="AM12" s="129" t="e">
        <f t="shared" si="11"/>
        <v>#DIV/0!</v>
      </c>
      <c r="AN12" s="129" t="e">
        <f t="shared" si="12"/>
        <v>#DIV/0!</v>
      </c>
      <c r="AO12" s="129"/>
      <c r="AP12" s="129" t="e">
        <f t="shared" si="13"/>
        <v>#DIV/0!</v>
      </c>
      <c r="AQ12" s="129" t="e">
        <f t="shared" si="14"/>
        <v>#DIV/0!</v>
      </c>
      <c r="AT12" s="129" t="e">
        <f t="shared" si="15"/>
        <v>#DIV/0!</v>
      </c>
      <c r="AU12" s="129" t="e">
        <f t="shared" si="16"/>
        <v>#DIV/0!</v>
      </c>
      <c r="AW12" s="129">
        <f t="shared" si="4"/>
        <v>2.6365076197350993E-4</v>
      </c>
      <c r="AX12" s="129">
        <f t="shared" si="5"/>
        <v>0.24849026124067833</v>
      </c>
      <c r="AY12" s="129"/>
      <c r="AZ12" s="129">
        <f t="shared" si="17"/>
        <v>0.11778303565638346</v>
      </c>
      <c r="BA12" s="129">
        <f t="shared" si="18"/>
        <v>2.4015701795830835</v>
      </c>
      <c r="BB12" s="129"/>
      <c r="BC12" s="129"/>
      <c r="BD12" s="129" t="e">
        <f t="shared" si="19"/>
        <v>#DIV/0!</v>
      </c>
      <c r="BE12" s="129" t="e">
        <f t="shared" si="20"/>
        <v>#DIV/0!</v>
      </c>
      <c r="BH12" s="129" t="e">
        <f t="shared" si="21"/>
        <v>#DIV/0!</v>
      </c>
      <c r="BI12" s="129">
        <f t="shared" si="22"/>
        <v>1</v>
      </c>
      <c r="BJ12" s="129">
        <f t="shared" si="6"/>
        <v>1.1934927904088419</v>
      </c>
      <c r="BK12" s="129"/>
      <c r="BL12" s="129" t="e">
        <f t="shared" si="23"/>
        <v>#DIV/0!</v>
      </c>
      <c r="BM12" s="129">
        <f t="shared" si="24"/>
        <v>1</v>
      </c>
      <c r="BN12" s="129">
        <f t="shared" si="7"/>
        <v>0.15100740577483845</v>
      </c>
      <c r="BO12" s="129"/>
      <c r="BP12" s="129" t="e">
        <f t="shared" si="25"/>
        <v>#DIV/0!</v>
      </c>
      <c r="BQ12" s="129">
        <f t="shared" si="26"/>
        <v>1</v>
      </c>
      <c r="BR12" s="129">
        <f t="shared" si="8"/>
        <v>0.95937390934674072</v>
      </c>
      <c r="BU12" s="155"/>
    </row>
    <row r="13" spans="1:75" hidden="1" x14ac:dyDescent="0.2">
      <c r="A13" s="133" t="s">
        <v>664</v>
      </c>
      <c r="B13" s="133">
        <f t="shared" si="9"/>
        <v>1952</v>
      </c>
      <c r="D13" s="5">
        <f>Passenger_Total!G13</f>
        <v>0</v>
      </c>
      <c r="E13" s="5">
        <f>Freight_Total!I12</f>
        <v>213.630417158</v>
      </c>
      <c r="F13" s="5">
        <f t="shared" si="0"/>
        <v>213.630417158</v>
      </c>
      <c r="G13" s="5"/>
      <c r="H13" s="5">
        <f>Passenger_Total!L13</f>
        <v>1000</v>
      </c>
      <c r="I13" s="5">
        <f>Freight_Total!P12</f>
        <v>82233.7142933</v>
      </c>
      <c r="J13" s="5">
        <f t="shared" si="1"/>
        <v>83233.7142933</v>
      </c>
      <c r="P13" s="129"/>
      <c r="Q13" s="129"/>
      <c r="R13" s="129"/>
      <c r="S13" s="129"/>
      <c r="T13" s="129"/>
      <c r="V13" s="131"/>
      <c r="W13" s="147"/>
      <c r="X13" s="131"/>
      <c r="Y13" s="131"/>
      <c r="Z13" s="131"/>
      <c r="AA13" s="131"/>
      <c r="AB13" s="131"/>
      <c r="AC13" s="131"/>
      <c r="AD13" s="131"/>
      <c r="AG13" s="134"/>
      <c r="AI13" s="129">
        <f t="shared" si="2"/>
        <v>0</v>
      </c>
      <c r="AJ13" s="129">
        <f t="shared" si="3"/>
        <v>1</v>
      </c>
      <c r="AL13" s="129" t="e">
        <f t="shared" si="10"/>
        <v>#DIV/0!</v>
      </c>
      <c r="AM13" s="129" t="e">
        <f t="shared" si="11"/>
        <v>#DIV/0!</v>
      </c>
      <c r="AN13" s="129" t="e">
        <f t="shared" si="12"/>
        <v>#DIV/0!</v>
      </c>
      <c r="AO13" s="129"/>
      <c r="AP13" s="129" t="e">
        <f t="shared" si="13"/>
        <v>#DIV/0!</v>
      </c>
      <c r="AQ13" s="129" t="e">
        <f t="shared" si="14"/>
        <v>#DIV/0!</v>
      </c>
      <c r="AT13" s="129" t="e">
        <f t="shared" si="15"/>
        <v>#DIV/0!</v>
      </c>
      <c r="AU13" s="129" t="e">
        <f t="shared" si="16"/>
        <v>#DIV/0!</v>
      </c>
      <c r="AW13" s="129">
        <f t="shared" si="4"/>
        <v>2.9294529108167772E-4</v>
      </c>
      <c r="AX13" s="129">
        <f t="shared" si="5"/>
        <v>2.8280955261276369E-2</v>
      </c>
      <c r="AY13" s="129"/>
      <c r="AZ13" s="129">
        <f t="shared" si="17"/>
        <v>0.10536051565782635</v>
      </c>
      <c r="BA13" s="129">
        <f t="shared" si="18"/>
        <v>-2.1732150354452036</v>
      </c>
      <c r="BB13" s="129"/>
      <c r="BC13" s="129"/>
      <c r="BD13" s="129" t="e">
        <f t="shared" si="19"/>
        <v>#DIV/0!</v>
      </c>
      <c r="BE13" s="129" t="e">
        <f t="shared" si="20"/>
        <v>#DIV/0!</v>
      </c>
      <c r="BH13" s="129" t="e">
        <f t="shared" si="21"/>
        <v>#DIV/0!</v>
      </c>
      <c r="BI13" s="129">
        <f t="shared" si="22"/>
        <v>1</v>
      </c>
      <c r="BJ13" s="129">
        <f t="shared" si="6"/>
        <v>1.1934927904088419</v>
      </c>
      <c r="BK13" s="129"/>
      <c r="BL13" s="129" t="e">
        <f t="shared" si="23"/>
        <v>#DIV/0!</v>
      </c>
      <c r="BM13" s="129">
        <f t="shared" si="24"/>
        <v>1</v>
      </c>
      <c r="BN13" s="129">
        <f t="shared" si="7"/>
        <v>0.15100740577483845</v>
      </c>
      <c r="BO13" s="129"/>
      <c r="BP13" s="129" t="e">
        <f t="shared" si="25"/>
        <v>#DIV/0!</v>
      </c>
      <c r="BQ13" s="129">
        <f t="shared" si="26"/>
        <v>1</v>
      </c>
      <c r="BR13" s="129">
        <f t="shared" si="8"/>
        <v>0.95937390934674072</v>
      </c>
      <c r="BU13" s="155"/>
    </row>
    <row r="14" spans="1:75" hidden="1" x14ac:dyDescent="0.2">
      <c r="A14" s="133" t="s">
        <v>664</v>
      </c>
      <c r="B14" s="133">
        <f t="shared" si="9"/>
        <v>1953</v>
      </c>
      <c r="D14" s="5">
        <f>Passenger_Total!G14</f>
        <v>0</v>
      </c>
      <c r="E14" s="5">
        <f>Freight_Total!I13</f>
        <v>237.45373416999999</v>
      </c>
      <c r="F14" s="5">
        <f t="shared" si="0"/>
        <v>237.45373416999999</v>
      </c>
      <c r="G14" s="5"/>
      <c r="H14" s="5">
        <f>Passenger_Total!L14</f>
        <v>1200</v>
      </c>
      <c r="I14" s="5">
        <f>Freight_Total!P13</f>
        <v>87168.725221100016</v>
      </c>
      <c r="J14" s="5">
        <f t="shared" si="1"/>
        <v>88368.725221100016</v>
      </c>
      <c r="P14" s="129"/>
      <c r="Q14" s="129"/>
      <c r="R14" s="129"/>
      <c r="S14" s="129"/>
      <c r="T14" s="129"/>
      <c r="V14" s="131"/>
      <c r="W14" s="147"/>
      <c r="X14" s="131"/>
      <c r="Y14" s="131"/>
      <c r="Z14" s="131"/>
      <c r="AA14" s="131"/>
      <c r="AB14" s="131"/>
      <c r="AC14" s="131"/>
      <c r="AD14" s="131"/>
      <c r="AG14" s="134"/>
      <c r="AI14" s="129">
        <f t="shared" si="2"/>
        <v>0</v>
      </c>
      <c r="AJ14" s="129">
        <f t="shared" si="3"/>
        <v>1</v>
      </c>
      <c r="AL14" s="129" t="e">
        <f t="shared" si="10"/>
        <v>#DIV/0!</v>
      </c>
      <c r="AM14" s="129" t="e">
        <f t="shared" si="11"/>
        <v>#DIV/0!</v>
      </c>
      <c r="AN14" s="129" t="e">
        <f t="shared" si="12"/>
        <v>#DIV/0!</v>
      </c>
      <c r="AO14" s="129"/>
      <c r="AP14" s="129" t="e">
        <f t="shared" si="13"/>
        <v>#DIV/0!</v>
      </c>
      <c r="AQ14" s="129" t="e">
        <f t="shared" si="14"/>
        <v>#DIV/0!</v>
      </c>
      <c r="AT14" s="129" t="e">
        <f t="shared" si="15"/>
        <v>#DIV/0!</v>
      </c>
      <c r="AU14" s="129" t="e">
        <f t="shared" si="16"/>
        <v>#DIV/0!</v>
      </c>
      <c r="AW14" s="129">
        <f t="shared" si="4"/>
        <v>3.5153434929801328E-4</v>
      </c>
      <c r="AX14" s="129">
        <f t="shared" si="5"/>
        <v>2.9978152383678434E-2</v>
      </c>
      <c r="AY14" s="129"/>
      <c r="AZ14" s="129">
        <f t="shared" si="17"/>
        <v>0.18232155679395479</v>
      </c>
      <c r="BA14" s="129">
        <f t="shared" si="18"/>
        <v>5.8280243333932287E-2</v>
      </c>
      <c r="BB14" s="129"/>
      <c r="BC14" s="129"/>
      <c r="BD14" s="129" t="e">
        <f t="shared" si="19"/>
        <v>#DIV/0!</v>
      </c>
      <c r="BE14" s="129" t="e">
        <f t="shared" si="20"/>
        <v>#DIV/0!</v>
      </c>
      <c r="BH14" s="129" t="e">
        <f t="shared" si="21"/>
        <v>#DIV/0!</v>
      </c>
      <c r="BI14" s="129">
        <f t="shared" si="22"/>
        <v>1</v>
      </c>
      <c r="BJ14" s="129">
        <f t="shared" si="6"/>
        <v>1.1934927904088419</v>
      </c>
      <c r="BK14" s="129"/>
      <c r="BL14" s="129" t="e">
        <f t="shared" si="23"/>
        <v>#DIV/0!</v>
      </c>
      <c r="BM14" s="129">
        <f t="shared" si="24"/>
        <v>1</v>
      </c>
      <c r="BN14" s="129">
        <f t="shared" si="7"/>
        <v>0.15100740577483845</v>
      </c>
      <c r="BO14" s="129"/>
      <c r="BP14" s="129" t="e">
        <f t="shared" si="25"/>
        <v>#DIV/0!</v>
      </c>
      <c r="BQ14" s="129">
        <f t="shared" si="26"/>
        <v>1</v>
      </c>
      <c r="BR14" s="129">
        <f t="shared" si="8"/>
        <v>0.95937390934674072</v>
      </c>
      <c r="BU14" s="155"/>
    </row>
    <row r="15" spans="1:75" hidden="1" x14ac:dyDescent="0.2">
      <c r="A15" s="133" t="s">
        <v>664</v>
      </c>
      <c r="B15" s="133">
        <f t="shared" si="9"/>
        <v>1954</v>
      </c>
      <c r="D15" s="5">
        <f>Passenger_Total!G15</f>
        <v>0</v>
      </c>
      <c r="E15" s="5">
        <f>Freight_Total!I14</f>
        <v>237.764065179</v>
      </c>
      <c r="F15" s="5">
        <f t="shared" si="0"/>
        <v>237.764065179</v>
      </c>
      <c r="G15" s="5"/>
      <c r="H15" s="5">
        <f>Passenger_Total!L15</f>
        <v>1400</v>
      </c>
      <c r="I15" s="5">
        <f>Freight_Total!P14</f>
        <v>93242.197754600013</v>
      </c>
      <c r="J15" s="5">
        <f t="shared" si="1"/>
        <v>94642.197754600013</v>
      </c>
      <c r="P15" s="129"/>
      <c r="Q15" s="129"/>
      <c r="R15" s="129"/>
      <c r="S15" s="129"/>
      <c r="T15" s="129"/>
      <c r="V15" s="131"/>
      <c r="W15" s="147"/>
      <c r="X15" s="131"/>
      <c r="Y15" s="131"/>
      <c r="Z15" s="131"/>
      <c r="AA15" s="131"/>
      <c r="AB15" s="131"/>
      <c r="AC15" s="131"/>
      <c r="AD15" s="131"/>
      <c r="AG15" s="134"/>
      <c r="AI15" s="129">
        <f t="shared" si="2"/>
        <v>0</v>
      </c>
      <c r="AJ15" s="129">
        <f t="shared" si="3"/>
        <v>1</v>
      </c>
      <c r="AL15" s="129" t="e">
        <f t="shared" si="10"/>
        <v>#DIV/0!</v>
      </c>
      <c r="AM15" s="129" t="e">
        <f t="shared" si="11"/>
        <v>#DIV/0!</v>
      </c>
      <c r="AN15" s="129" t="e">
        <f t="shared" si="12"/>
        <v>#DIV/0!</v>
      </c>
      <c r="AO15" s="129"/>
      <c r="AP15" s="129" t="e">
        <f t="shared" si="13"/>
        <v>#DIV/0!</v>
      </c>
      <c r="AQ15" s="129" t="e">
        <f t="shared" si="14"/>
        <v>#DIV/0!</v>
      </c>
      <c r="AT15" s="129" t="e">
        <f t="shared" si="15"/>
        <v>#DIV/0!</v>
      </c>
      <c r="AU15" s="129" t="e">
        <f t="shared" si="16"/>
        <v>#DIV/0!</v>
      </c>
      <c r="AW15" s="129">
        <f t="shared" si="4"/>
        <v>4.1012340751434879E-4</v>
      </c>
      <c r="AX15" s="129">
        <f t="shared" si="5"/>
        <v>3.2066877263450755E-2</v>
      </c>
      <c r="AY15" s="129"/>
      <c r="AZ15" s="129">
        <f t="shared" si="17"/>
        <v>0.15415067982725816</v>
      </c>
      <c r="BA15" s="129">
        <f t="shared" si="18"/>
        <v>6.7354773970164206E-2</v>
      </c>
      <c r="BB15" s="129"/>
      <c r="BC15" s="129"/>
      <c r="BD15" s="129" t="e">
        <f t="shared" si="19"/>
        <v>#DIV/0!</v>
      </c>
      <c r="BE15" s="129" t="e">
        <f t="shared" si="20"/>
        <v>#DIV/0!</v>
      </c>
      <c r="BH15" s="129" t="e">
        <f t="shared" si="21"/>
        <v>#DIV/0!</v>
      </c>
      <c r="BI15" s="129">
        <f t="shared" si="22"/>
        <v>1</v>
      </c>
      <c r="BJ15" s="129">
        <f t="shared" si="6"/>
        <v>1.1934927904088419</v>
      </c>
      <c r="BK15" s="129"/>
      <c r="BL15" s="129" t="e">
        <f t="shared" si="23"/>
        <v>#DIV/0!</v>
      </c>
      <c r="BM15" s="129">
        <f t="shared" si="24"/>
        <v>1</v>
      </c>
      <c r="BN15" s="129">
        <f t="shared" si="7"/>
        <v>0.15100740577483845</v>
      </c>
      <c r="BO15" s="129"/>
      <c r="BP15" s="129" t="e">
        <f t="shared" si="25"/>
        <v>#DIV/0!</v>
      </c>
      <c r="BQ15" s="129">
        <f t="shared" si="26"/>
        <v>1</v>
      </c>
      <c r="BR15" s="129">
        <f t="shared" si="8"/>
        <v>0.95937390934674072</v>
      </c>
      <c r="BU15" s="155"/>
    </row>
    <row r="16" spans="1:75" hidden="1" x14ac:dyDescent="0.2">
      <c r="A16" s="133" t="s">
        <v>664</v>
      </c>
      <c r="B16" s="133">
        <f t="shared" si="9"/>
        <v>1955</v>
      </c>
      <c r="D16" s="5">
        <f>Passenger_Total!G16</f>
        <v>0</v>
      </c>
      <c r="E16" s="5">
        <f>Freight_Total!I15</f>
        <v>252.84862620300001</v>
      </c>
      <c r="F16" s="5">
        <f t="shared" si="0"/>
        <v>252.84862620300001</v>
      </c>
      <c r="G16" s="5"/>
      <c r="H16" s="5">
        <f>Passenger_Total!L16</f>
        <v>1500</v>
      </c>
      <c r="I16" s="5">
        <f>Freight_Total!P15</f>
        <v>725216.93126740004</v>
      </c>
      <c r="J16" s="5">
        <f t="shared" si="1"/>
        <v>726716.93126740004</v>
      </c>
      <c r="P16" s="129"/>
      <c r="Q16" s="129"/>
      <c r="R16" s="129"/>
      <c r="S16" s="129"/>
      <c r="T16" s="129"/>
      <c r="V16" s="131"/>
      <c r="W16" s="147"/>
      <c r="X16" s="131"/>
      <c r="Y16" s="131"/>
      <c r="Z16" s="131"/>
      <c r="AA16" s="131"/>
      <c r="AB16" s="131"/>
      <c r="AC16" s="131"/>
      <c r="AD16" s="131"/>
      <c r="AG16" s="134"/>
      <c r="AI16" s="129">
        <f t="shared" si="2"/>
        <v>0</v>
      </c>
      <c r="AJ16" s="129">
        <f t="shared" si="3"/>
        <v>1</v>
      </c>
      <c r="AL16" s="129" t="e">
        <f t="shared" si="10"/>
        <v>#DIV/0!</v>
      </c>
      <c r="AM16" s="129" t="e">
        <f t="shared" si="11"/>
        <v>#DIV/0!</v>
      </c>
      <c r="AN16" s="129" t="e">
        <f t="shared" si="12"/>
        <v>#DIV/0!</v>
      </c>
      <c r="AO16" s="129"/>
      <c r="AP16" s="129" t="e">
        <f t="shared" si="13"/>
        <v>#DIV/0!</v>
      </c>
      <c r="AQ16" s="129" t="e">
        <f t="shared" si="14"/>
        <v>#DIV/0!</v>
      </c>
      <c r="AT16" s="129" t="e">
        <f t="shared" si="15"/>
        <v>#DIV/0!</v>
      </c>
      <c r="AU16" s="129" t="e">
        <f t="shared" si="16"/>
        <v>#DIV/0!</v>
      </c>
      <c r="AW16" s="129">
        <f t="shared" si="4"/>
        <v>4.3941793662251658E-4</v>
      </c>
      <c r="AX16" s="129">
        <f t="shared" si="5"/>
        <v>0.24940898953854648</v>
      </c>
      <c r="AY16" s="129"/>
      <c r="AZ16" s="129">
        <f t="shared" si="17"/>
        <v>6.8992871486951421E-2</v>
      </c>
      <c r="BA16" s="129">
        <f t="shared" si="18"/>
        <v>2.0512704408084517</v>
      </c>
      <c r="BB16" s="129"/>
      <c r="BC16" s="129"/>
      <c r="BD16" s="129" t="e">
        <f t="shared" si="19"/>
        <v>#DIV/0!</v>
      </c>
      <c r="BE16" s="129" t="e">
        <f t="shared" si="20"/>
        <v>#DIV/0!</v>
      </c>
      <c r="BH16" s="129" t="e">
        <f t="shared" si="21"/>
        <v>#DIV/0!</v>
      </c>
      <c r="BI16" s="129">
        <f t="shared" si="22"/>
        <v>1</v>
      </c>
      <c r="BJ16" s="129">
        <f t="shared" si="6"/>
        <v>1.1934927904088419</v>
      </c>
      <c r="BK16" s="129"/>
      <c r="BL16" s="129" t="e">
        <f t="shared" si="23"/>
        <v>#DIV/0!</v>
      </c>
      <c r="BM16" s="129">
        <f t="shared" si="24"/>
        <v>1</v>
      </c>
      <c r="BN16" s="129">
        <f t="shared" si="7"/>
        <v>0.15100740577483845</v>
      </c>
      <c r="BO16" s="129"/>
      <c r="BP16" s="129" t="e">
        <f t="shared" si="25"/>
        <v>#DIV/0!</v>
      </c>
      <c r="BQ16" s="129">
        <f t="shared" si="26"/>
        <v>1</v>
      </c>
      <c r="BR16" s="129">
        <f t="shared" si="8"/>
        <v>0.95937390934674072</v>
      </c>
      <c r="BU16" s="155"/>
    </row>
    <row r="17" spans="1:79" hidden="1" x14ac:dyDescent="0.2">
      <c r="A17" s="133" t="s">
        <v>664</v>
      </c>
      <c r="B17" s="133">
        <f t="shared" si="9"/>
        <v>1956</v>
      </c>
      <c r="D17" s="5">
        <f>Passenger_Total!G17</f>
        <v>0</v>
      </c>
      <c r="E17" s="5">
        <f>Freight_Total!I16</f>
        <v>305.14713223000001</v>
      </c>
      <c r="F17" s="5">
        <f t="shared" si="0"/>
        <v>305.14713223000001</v>
      </c>
      <c r="G17" s="5"/>
      <c r="H17" s="5">
        <f>Passenger_Total!L17</f>
        <v>1600</v>
      </c>
      <c r="I17" s="5">
        <f>Freight_Total!P16</f>
        <v>110945.52402440002</v>
      </c>
      <c r="J17" s="5">
        <f t="shared" si="1"/>
        <v>112545.52402440002</v>
      </c>
      <c r="P17" s="129"/>
      <c r="Q17" s="129"/>
      <c r="R17" s="129"/>
      <c r="S17" s="129"/>
      <c r="T17" s="129"/>
      <c r="V17" s="131"/>
      <c r="W17" s="147"/>
      <c r="X17" s="131"/>
      <c r="Y17" s="131"/>
      <c r="Z17" s="131"/>
      <c r="AA17" s="131"/>
      <c r="AB17" s="131"/>
      <c r="AC17" s="131"/>
      <c r="AD17" s="131"/>
      <c r="AG17" s="134"/>
      <c r="AI17" s="129">
        <f t="shared" si="2"/>
        <v>0</v>
      </c>
      <c r="AJ17" s="129">
        <f t="shared" si="3"/>
        <v>1</v>
      </c>
      <c r="AL17" s="129" t="e">
        <f t="shared" si="10"/>
        <v>#DIV/0!</v>
      </c>
      <c r="AM17" s="129" t="e">
        <f t="shared" si="11"/>
        <v>#DIV/0!</v>
      </c>
      <c r="AN17" s="129" t="e">
        <f t="shared" si="12"/>
        <v>#DIV/0!</v>
      </c>
      <c r="AO17" s="129"/>
      <c r="AP17" s="129" t="e">
        <f t="shared" si="13"/>
        <v>#DIV/0!</v>
      </c>
      <c r="AQ17" s="129" t="e">
        <f t="shared" si="14"/>
        <v>#DIV/0!</v>
      </c>
      <c r="AT17" s="129" t="e">
        <f t="shared" si="15"/>
        <v>#DIV/0!</v>
      </c>
      <c r="AU17" s="129" t="e">
        <f t="shared" si="16"/>
        <v>#DIV/0!</v>
      </c>
      <c r="AW17" s="129">
        <f t="shared" si="4"/>
        <v>4.6871246573068436E-4</v>
      </c>
      <c r="AX17" s="129">
        <f t="shared" si="5"/>
        <v>3.8155219283686904E-2</v>
      </c>
      <c r="AY17" s="129"/>
      <c r="AZ17" s="129">
        <f t="shared" si="17"/>
        <v>6.4538521137571164E-2</v>
      </c>
      <c r="BA17" s="129">
        <f t="shared" si="18"/>
        <v>-1.8774315193517435</v>
      </c>
      <c r="BB17" s="129"/>
      <c r="BC17" s="129"/>
      <c r="BD17" s="129" t="e">
        <f t="shared" si="19"/>
        <v>#DIV/0!</v>
      </c>
      <c r="BE17" s="129" t="e">
        <f t="shared" si="20"/>
        <v>#DIV/0!</v>
      </c>
      <c r="BH17" s="129" t="e">
        <f t="shared" si="21"/>
        <v>#DIV/0!</v>
      </c>
      <c r="BI17" s="129">
        <f t="shared" si="22"/>
        <v>1</v>
      </c>
      <c r="BJ17" s="129">
        <f t="shared" si="6"/>
        <v>1.1934927904088419</v>
      </c>
      <c r="BK17" s="129"/>
      <c r="BL17" s="129" t="e">
        <f t="shared" si="23"/>
        <v>#DIV/0!</v>
      </c>
      <c r="BM17" s="129">
        <f t="shared" si="24"/>
        <v>1</v>
      </c>
      <c r="BN17" s="129">
        <f t="shared" si="7"/>
        <v>0.15100740577483845</v>
      </c>
      <c r="BO17" s="129"/>
      <c r="BP17" s="129" t="e">
        <f t="shared" si="25"/>
        <v>#DIV/0!</v>
      </c>
      <c r="BQ17" s="129">
        <f t="shared" si="26"/>
        <v>1</v>
      </c>
      <c r="BR17" s="129">
        <f t="shared" si="8"/>
        <v>0.95937390934674072</v>
      </c>
      <c r="BU17" s="155"/>
    </row>
    <row r="18" spans="1:79" hidden="1" x14ac:dyDescent="0.2">
      <c r="A18" s="133" t="s">
        <v>664</v>
      </c>
      <c r="B18" s="133">
        <f t="shared" si="9"/>
        <v>1957</v>
      </c>
      <c r="D18" s="5">
        <f>Passenger_Total!G18</f>
        <v>0</v>
      </c>
      <c r="E18" s="5">
        <f>Freight_Total!I17</f>
        <v>308.51128522299996</v>
      </c>
      <c r="F18" s="5">
        <f t="shared" si="0"/>
        <v>308.51128522299996</v>
      </c>
      <c r="G18" s="5"/>
      <c r="H18" s="5">
        <f>Passenger_Total!L18</f>
        <v>1800</v>
      </c>
      <c r="I18" s="5">
        <f>Freight_Total!P17</f>
        <v>118033.25861800001</v>
      </c>
      <c r="J18" s="5">
        <f t="shared" si="1"/>
        <v>119833.25861800001</v>
      </c>
      <c r="P18" s="129"/>
      <c r="Q18" s="129"/>
      <c r="R18" s="129"/>
      <c r="S18" s="129"/>
      <c r="T18" s="129"/>
      <c r="V18" s="131"/>
      <c r="W18" s="147"/>
      <c r="X18" s="131"/>
      <c r="Y18" s="131"/>
      <c r="Z18" s="131"/>
      <c r="AA18" s="131"/>
      <c r="AB18" s="131"/>
      <c r="AC18" s="131"/>
      <c r="AD18" s="131"/>
      <c r="AG18" s="134"/>
      <c r="AI18" s="129">
        <f t="shared" si="2"/>
        <v>0</v>
      </c>
      <c r="AJ18" s="129">
        <f t="shared" si="3"/>
        <v>1</v>
      </c>
      <c r="AL18" s="129" t="e">
        <f t="shared" si="10"/>
        <v>#DIV/0!</v>
      </c>
      <c r="AM18" s="129" t="e">
        <f t="shared" si="11"/>
        <v>#DIV/0!</v>
      </c>
      <c r="AN18" s="129" t="e">
        <f t="shared" si="12"/>
        <v>#DIV/0!</v>
      </c>
      <c r="AO18" s="129"/>
      <c r="AP18" s="129" t="e">
        <f t="shared" si="13"/>
        <v>#DIV/0!</v>
      </c>
      <c r="AQ18" s="129" t="e">
        <f t="shared" si="14"/>
        <v>#DIV/0!</v>
      </c>
      <c r="AT18" s="129" t="e">
        <f t="shared" si="15"/>
        <v>#DIV/0!</v>
      </c>
      <c r="AU18" s="129" t="e">
        <f t="shared" si="16"/>
        <v>#DIV/0!</v>
      </c>
      <c r="AW18" s="129">
        <f t="shared" si="4"/>
        <v>5.2730152394701987E-4</v>
      </c>
      <c r="AX18" s="129">
        <f t="shared" si="5"/>
        <v>4.0592758517661816E-2</v>
      </c>
      <c r="AY18" s="129"/>
      <c r="AZ18" s="129">
        <f t="shared" si="17"/>
        <v>0.11778303565638346</v>
      </c>
      <c r="BA18" s="129">
        <f t="shared" si="18"/>
        <v>6.1927131159440964E-2</v>
      </c>
      <c r="BB18" s="129"/>
      <c r="BC18" s="129"/>
      <c r="BD18" s="129" t="e">
        <f t="shared" si="19"/>
        <v>#DIV/0!</v>
      </c>
      <c r="BE18" s="129" t="e">
        <f t="shared" si="20"/>
        <v>#DIV/0!</v>
      </c>
      <c r="BH18" s="129" t="e">
        <f t="shared" si="21"/>
        <v>#DIV/0!</v>
      </c>
      <c r="BI18" s="129">
        <f t="shared" si="22"/>
        <v>1</v>
      </c>
      <c r="BJ18" s="129">
        <f t="shared" si="6"/>
        <v>1.1934927904088419</v>
      </c>
      <c r="BK18" s="129"/>
      <c r="BL18" s="129" t="e">
        <f t="shared" si="23"/>
        <v>#DIV/0!</v>
      </c>
      <c r="BM18" s="129">
        <f t="shared" si="24"/>
        <v>1</v>
      </c>
      <c r="BN18" s="129">
        <f t="shared" si="7"/>
        <v>0.15100740577483845</v>
      </c>
      <c r="BO18" s="129"/>
      <c r="BP18" s="129" t="e">
        <f t="shared" si="25"/>
        <v>#DIV/0!</v>
      </c>
      <c r="BQ18" s="129">
        <f t="shared" si="26"/>
        <v>1</v>
      </c>
      <c r="BR18" s="129">
        <f t="shared" si="8"/>
        <v>0.95937390934674072</v>
      </c>
      <c r="BU18" s="155"/>
    </row>
    <row r="19" spans="1:79" hidden="1" x14ac:dyDescent="0.2">
      <c r="A19" s="133" t="s">
        <v>664</v>
      </c>
      <c r="B19" s="133">
        <f t="shared" si="9"/>
        <v>1958</v>
      </c>
      <c r="D19" s="5">
        <f>Passenger_Total!G19</f>
        <v>0</v>
      </c>
      <c r="E19" s="5">
        <f>Freight_Total!I18</f>
        <v>321.899851211</v>
      </c>
      <c r="F19" s="5">
        <f t="shared" si="0"/>
        <v>321.899851211</v>
      </c>
      <c r="G19" s="5"/>
      <c r="H19" s="5">
        <f>Passenger_Total!L19</f>
        <v>2100</v>
      </c>
      <c r="I19" s="5">
        <f>Freight_Total!P18</f>
        <v>123479.28342270001</v>
      </c>
      <c r="J19" s="5">
        <f t="shared" si="1"/>
        <v>125579.28342270001</v>
      </c>
      <c r="P19" s="129"/>
      <c r="Q19" s="129"/>
      <c r="R19" s="129"/>
      <c r="S19" s="129"/>
      <c r="T19" s="129"/>
      <c r="V19" s="131"/>
      <c r="W19" s="147"/>
      <c r="X19" s="131"/>
      <c r="Y19" s="131"/>
      <c r="Z19" s="131"/>
      <c r="AA19" s="131"/>
      <c r="AB19" s="131"/>
      <c r="AC19" s="131"/>
      <c r="AD19" s="131"/>
      <c r="AG19" s="134"/>
      <c r="AI19" s="129">
        <f t="shared" si="2"/>
        <v>0</v>
      </c>
      <c r="AJ19" s="129">
        <f t="shared" si="3"/>
        <v>1</v>
      </c>
      <c r="AL19" s="129" t="e">
        <f t="shared" si="10"/>
        <v>#DIV/0!</v>
      </c>
      <c r="AM19" s="129" t="e">
        <f t="shared" si="11"/>
        <v>#DIV/0!</v>
      </c>
      <c r="AN19" s="129" t="e">
        <f t="shared" si="12"/>
        <v>#DIV/0!</v>
      </c>
      <c r="AO19" s="129"/>
      <c r="AP19" s="129" t="e">
        <f t="shared" si="13"/>
        <v>#DIV/0!</v>
      </c>
      <c r="AQ19" s="129" t="e">
        <f t="shared" si="14"/>
        <v>#DIV/0!</v>
      </c>
      <c r="AT19" s="129" t="e">
        <f t="shared" si="15"/>
        <v>#DIV/0!</v>
      </c>
      <c r="AU19" s="129" t="e">
        <f t="shared" si="16"/>
        <v>#DIV/0!</v>
      </c>
      <c r="AW19" s="129">
        <f t="shared" si="4"/>
        <v>6.1518511127152322E-4</v>
      </c>
      <c r="AX19" s="129">
        <f t="shared" si="5"/>
        <v>4.2465698165069558E-2</v>
      </c>
      <c r="AY19" s="129"/>
      <c r="AZ19" s="129">
        <f t="shared" si="17"/>
        <v>0.15415067982725836</v>
      </c>
      <c r="BA19" s="129">
        <f t="shared" si="18"/>
        <v>4.5106958984417779E-2</v>
      </c>
      <c r="BB19" s="129"/>
      <c r="BC19" s="129"/>
      <c r="BD19" s="129" t="e">
        <f t="shared" si="19"/>
        <v>#DIV/0!</v>
      </c>
      <c r="BE19" s="129" t="e">
        <f t="shared" si="20"/>
        <v>#DIV/0!</v>
      </c>
      <c r="BH19" s="129" t="e">
        <f t="shared" si="21"/>
        <v>#DIV/0!</v>
      </c>
      <c r="BI19" s="129">
        <f t="shared" si="22"/>
        <v>1</v>
      </c>
      <c r="BJ19" s="129">
        <f t="shared" si="6"/>
        <v>1.1934927904088419</v>
      </c>
      <c r="BK19" s="129"/>
      <c r="BL19" s="129" t="e">
        <f t="shared" si="23"/>
        <v>#DIV/0!</v>
      </c>
      <c r="BM19" s="129">
        <f t="shared" si="24"/>
        <v>1</v>
      </c>
      <c r="BN19" s="129">
        <f t="shared" si="7"/>
        <v>0.15100740577483845</v>
      </c>
      <c r="BO19" s="129"/>
      <c r="BP19" s="129" t="e">
        <f t="shared" si="25"/>
        <v>#DIV/0!</v>
      </c>
      <c r="BQ19" s="129">
        <f t="shared" si="26"/>
        <v>1</v>
      </c>
      <c r="BR19" s="129">
        <f t="shared" si="8"/>
        <v>0.95937390934674072</v>
      </c>
      <c r="BU19" s="155"/>
    </row>
    <row r="20" spans="1:79" hidden="1" x14ac:dyDescent="0.2">
      <c r="A20" s="133" t="s">
        <v>664</v>
      </c>
      <c r="B20" s="133">
        <f t="shared" si="9"/>
        <v>1959</v>
      </c>
      <c r="D20" s="5">
        <f>Passenger_Total!G20</f>
        <v>0</v>
      </c>
      <c r="E20" s="5">
        <f>Freight_Total!I19</f>
        <v>360.17778822700001</v>
      </c>
      <c r="F20" s="5">
        <f t="shared" si="0"/>
        <v>360.17778822700001</v>
      </c>
      <c r="G20" s="5"/>
      <c r="H20" s="5">
        <f>Passenger_Total!L20</f>
        <v>2100</v>
      </c>
      <c r="I20" s="5">
        <f>Freight_Total!P19</f>
        <v>135935.88459120001</v>
      </c>
      <c r="J20" s="5">
        <f t="shared" si="1"/>
        <v>138035.88459120001</v>
      </c>
      <c r="P20" s="129"/>
      <c r="Q20" s="129"/>
      <c r="R20" s="129"/>
      <c r="S20" s="129"/>
      <c r="T20" s="129"/>
      <c r="V20" s="131"/>
      <c r="W20" s="147"/>
      <c r="X20" s="131"/>
      <c r="Y20" s="131"/>
      <c r="Z20" s="131"/>
      <c r="AA20" s="131"/>
      <c r="AB20" s="131"/>
      <c r="AC20" s="131"/>
      <c r="AD20" s="131"/>
      <c r="AG20" s="134"/>
      <c r="AI20" s="129">
        <f t="shared" si="2"/>
        <v>0</v>
      </c>
      <c r="AJ20" s="129">
        <f t="shared" si="3"/>
        <v>1</v>
      </c>
      <c r="AL20" s="129" t="e">
        <f t="shared" si="10"/>
        <v>#DIV/0!</v>
      </c>
      <c r="AM20" s="129" t="e">
        <f t="shared" si="11"/>
        <v>#DIV/0!</v>
      </c>
      <c r="AN20" s="129" t="e">
        <f t="shared" si="12"/>
        <v>#DIV/0!</v>
      </c>
      <c r="AO20" s="129"/>
      <c r="AP20" s="129" t="e">
        <f t="shared" si="13"/>
        <v>#DIV/0!</v>
      </c>
      <c r="AQ20" s="129" t="e">
        <f t="shared" si="14"/>
        <v>#DIV/0!</v>
      </c>
      <c r="AT20" s="129" t="e">
        <f t="shared" si="15"/>
        <v>#DIV/0!</v>
      </c>
      <c r="AU20" s="129" t="e">
        <f t="shared" si="16"/>
        <v>#DIV/0!</v>
      </c>
      <c r="AW20" s="129">
        <f t="shared" si="4"/>
        <v>6.1518511127152322E-4</v>
      </c>
      <c r="AX20" s="129">
        <f t="shared" si="5"/>
        <v>4.6749641598506489E-2</v>
      </c>
      <c r="AY20" s="129"/>
      <c r="AZ20" s="129">
        <f t="shared" si="17"/>
        <v>0</v>
      </c>
      <c r="BA20" s="129">
        <f t="shared" si="18"/>
        <v>9.6109941313370986E-2</v>
      </c>
      <c r="BB20" s="129"/>
      <c r="BC20" s="129"/>
      <c r="BD20" s="129" t="e">
        <f t="shared" si="19"/>
        <v>#DIV/0!</v>
      </c>
      <c r="BE20" s="129" t="e">
        <f t="shared" si="20"/>
        <v>#DIV/0!</v>
      </c>
      <c r="BH20" s="129" t="e">
        <f t="shared" si="21"/>
        <v>#DIV/0!</v>
      </c>
      <c r="BI20" s="129">
        <f t="shared" si="22"/>
        <v>1</v>
      </c>
      <c r="BJ20" s="129">
        <f t="shared" si="6"/>
        <v>1.1934927904088419</v>
      </c>
      <c r="BK20" s="129"/>
      <c r="BL20" s="129" t="e">
        <f t="shared" si="23"/>
        <v>#DIV/0!</v>
      </c>
      <c r="BM20" s="129">
        <f t="shared" si="24"/>
        <v>1</v>
      </c>
      <c r="BN20" s="129">
        <f t="shared" si="7"/>
        <v>0.15100740577483845</v>
      </c>
      <c r="BO20" s="129"/>
      <c r="BP20" s="129" t="e">
        <f t="shared" si="25"/>
        <v>#DIV/0!</v>
      </c>
      <c r="BQ20" s="129">
        <f t="shared" si="26"/>
        <v>1</v>
      </c>
      <c r="BR20" s="129">
        <f t="shared" si="8"/>
        <v>0.95937390934674072</v>
      </c>
      <c r="BU20" s="155"/>
    </row>
    <row r="21" spans="1:79" hidden="1" x14ac:dyDescent="0.2">
      <c r="A21" s="133" t="s">
        <v>664</v>
      </c>
      <c r="B21" s="133">
        <f t="shared" si="9"/>
        <v>1960</v>
      </c>
      <c r="D21" s="5">
        <f>Passenger_Total!G21</f>
        <v>0</v>
      </c>
      <c r="E21" s="5">
        <f>Freight_Total!I20</f>
        <v>357.834325229</v>
      </c>
      <c r="F21" s="5">
        <f t="shared" si="0"/>
        <v>357.834325229</v>
      </c>
      <c r="G21" s="5"/>
      <c r="H21" s="5">
        <f>Passenger_Total!L21</f>
        <v>2300</v>
      </c>
      <c r="I21" s="5">
        <f>Freight_Total!P20</f>
        <v>717292.4944169001</v>
      </c>
      <c r="J21" s="5">
        <f t="shared" si="1"/>
        <v>719592.4944169001</v>
      </c>
      <c r="P21" s="129"/>
      <c r="Q21" s="129"/>
      <c r="R21" s="129"/>
      <c r="S21" s="129"/>
      <c r="T21" s="129"/>
      <c r="V21" s="131"/>
      <c r="W21" s="147"/>
      <c r="X21" s="131"/>
      <c r="Y21" s="131"/>
      <c r="Z21" s="131"/>
      <c r="AA21" s="131"/>
      <c r="AB21" s="131"/>
      <c r="AC21" s="131"/>
      <c r="AD21" s="131"/>
      <c r="AG21" s="134"/>
      <c r="AI21" s="129">
        <f t="shared" si="2"/>
        <v>0</v>
      </c>
      <c r="AJ21" s="129">
        <f t="shared" si="3"/>
        <v>1</v>
      </c>
      <c r="AL21" s="129" t="e">
        <f t="shared" si="10"/>
        <v>#DIV/0!</v>
      </c>
      <c r="AM21" s="129" t="e">
        <f t="shared" si="11"/>
        <v>#DIV/0!</v>
      </c>
      <c r="AN21" s="129" t="e">
        <f t="shared" si="12"/>
        <v>#DIV/0!</v>
      </c>
      <c r="AO21" s="129"/>
      <c r="AP21" s="129" t="e">
        <f t="shared" si="13"/>
        <v>#DIV/0!</v>
      </c>
      <c r="AQ21" s="129" t="e">
        <f t="shared" si="14"/>
        <v>#DIV/0!</v>
      </c>
      <c r="AT21" s="129" t="e">
        <f t="shared" si="15"/>
        <v>#DIV/0!</v>
      </c>
      <c r="AU21" s="129" t="e">
        <f t="shared" si="16"/>
        <v>#DIV/0!</v>
      </c>
      <c r="AW21" s="129">
        <f t="shared" si="4"/>
        <v>6.7377416948785878E-4</v>
      </c>
      <c r="AX21" s="129">
        <f t="shared" si="5"/>
        <v>0.24668370045285018</v>
      </c>
      <c r="AY21" s="129"/>
      <c r="AZ21" s="129">
        <f t="shared" si="17"/>
        <v>9.0971778205726786E-2</v>
      </c>
      <c r="BA21" s="129">
        <f t="shared" si="18"/>
        <v>1.6633003616725883</v>
      </c>
      <c r="BB21" s="129"/>
      <c r="BC21" s="129"/>
      <c r="BD21" s="129" t="e">
        <f t="shared" si="19"/>
        <v>#DIV/0!</v>
      </c>
      <c r="BE21" s="129" t="e">
        <f t="shared" si="20"/>
        <v>#DIV/0!</v>
      </c>
      <c r="BH21" s="129" t="e">
        <f t="shared" si="21"/>
        <v>#DIV/0!</v>
      </c>
      <c r="BI21" s="129">
        <f t="shared" si="22"/>
        <v>1</v>
      </c>
      <c r="BJ21" s="129">
        <f t="shared" si="6"/>
        <v>1.1934927904088419</v>
      </c>
      <c r="BK21" s="129"/>
      <c r="BL21" s="129" t="e">
        <f t="shared" si="23"/>
        <v>#DIV/0!</v>
      </c>
      <c r="BM21" s="129">
        <f t="shared" si="24"/>
        <v>1</v>
      </c>
      <c r="BN21" s="129">
        <f t="shared" si="7"/>
        <v>0.15100740577483845</v>
      </c>
      <c r="BO21" s="129"/>
      <c r="BP21" s="129" t="e">
        <f t="shared" si="25"/>
        <v>#DIV/0!</v>
      </c>
      <c r="BQ21" s="129">
        <f t="shared" si="26"/>
        <v>1</v>
      </c>
      <c r="BR21" s="129">
        <f t="shared" si="8"/>
        <v>0.95937390934674072</v>
      </c>
      <c r="BU21" s="155"/>
    </row>
    <row r="22" spans="1:79" hidden="1" x14ac:dyDescent="0.2">
      <c r="A22" s="133" t="s">
        <v>664</v>
      </c>
      <c r="B22" s="133">
        <f t="shared" si="9"/>
        <v>1961</v>
      </c>
      <c r="D22" s="5">
        <f>Passenger_Total!G22</f>
        <v>0</v>
      </c>
      <c r="E22" s="5">
        <f>Freight_Total!I21</f>
        <v>389.31281723299998</v>
      </c>
      <c r="F22" s="5">
        <f t="shared" si="0"/>
        <v>389.31281723299998</v>
      </c>
      <c r="G22" s="5"/>
      <c r="H22" s="5">
        <f>Passenger_Total!L22</f>
        <v>2300</v>
      </c>
      <c r="I22" s="5">
        <f>Freight_Total!P21</f>
        <v>714598.12432509998</v>
      </c>
      <c r="J22" s="5">
        <f t="shared" si="1"/>
        <v>716898.12432509998</v>
      </c>
      <c r="P22" s="129"/>
      <c r="Q22" s="129"/>
      <c r="R22" s="129"/>
      <c r="S22" s="129"/>
      <c r="T22" s="129"/>
      <c r="V22" s="131"/>
      <c r="W22" s="147"/>
      <c r="X22" s="131"/>
      <c r="Y22" s="131"/>
      <c r="Z22" s="131"/>
      <c r="AA22" s="131"/>
      <c r="AB22" s="131"/>
      <c r="AC22" s="131"/>
      <c r="AD22" s="131"/>
      <c r="AG22" s="134"/>
      <c r="AI22" s="129">
        <f t="shared" si="2"/>
        <v>0</v>
      </c>
      <c r="AJ22" s="129">
        <f t="shared" si="3"/>
        <v>1</v>
      </c>
      <c r="AL22" s="129" t="e">
        <f t="shared" si="10"/>
        <v>#DIV/0!</v>
      </c>
      <c r="AM22" s="129" t="e">
        <f t="shared" si="11"/>
        <v>#DIV/0!</v>
      </c>
      <c r="AN22" s="129" t="e">
        <f t="shared" si="12"/>
        <v>#DIV/0!</v>
      </c>
      <c r="AO22" s="129"/>
      <c r="AP22" s="129" t="e">
        <f t="shared" si="13"/>
        <v>#DIV/0!</v>
      </c>
      <c r="AQ22" s="129" t="e">
        <f t="shared" si="14"/>
        <v>#DIV/0!</v>
      </c>
      <c r="AT22" s="129" t="e">
        <f t="shared" si="15"/>
        <v>#DIV/0!</v>
      </c>
      <c r="AU22" s="129" t="e">
        <f t="shared" si="16"/>
        <v>#DIV/0!</v>
      </c>
      <c r="AW22" s="129">
        <f t="shared" si="4"/>
        <v>6.7377416948785878E-4</v>
      </c>
      <c r="AX22" s="129">
        <f t="shared" si="5"/>
        <v>0.24575708099174032</v>
      </c>
      <c r="AY22" s="129"/>
      <c r="AZ22" s="129">
        <f t="shared" si="17"/>
        <v>0</v>
      </c>
      <c r="BA22" s="129">
        <f t="shared" si="18"/>
        <v>-3.7633786220360858E-3</v>
      </c>
      <c r="BB22" s="129"/>
      <c r="BC22" s="129"/>
      <c r="BD22" s="129" t="e">
        <f t="shared" si="19"/>
        <v>#DIV/0!</v>
      </c>
      <c r="BE22" s="129" t="e">
        <f t="shared" si="20"/>
        <v>#DIV/0!</v>
      </c>
      <c r="BH22" s="129" t="e">
        <f t="shared" si="21"/>
        <v>#DIV/0!</v>
      </c>
      <c r="BI22" s="129">
        <f t="shared" si="22"/>
        <v>1</v>
      </c>
      <c r="BJ22" s="129">
        <f t="shared" si="6"/>
        <v>1.1934927904088419</v>
      </c>
      <c r="BK22" s="129"/>
      <c r="BL22" s="129" t="e">
        <f t="shared" si="23"/>
        <v>#DIV/0!</v>
      </c>
      <c r="BM22" s="129">
        <f t="shared" si="24"/>
        <v>1</v>
      </c>
      <c r="BN22" s="129">
        <f t="shared" si="7"/>
        <v>0.15100740577483845</v>
      </c>
      <c r="BO22" s="129"/>
      <c r="BP22" s="129" t="e">
        <f t="shared" si="25"/>
        <v>#DIV/0!</v>
      </c>
      <c r="BQ22" s="129">
        <f t="shared" si="26"/>
        <v>1</v>
      </c>
      <c r="BR22" s="129">
        <f t="shared" si="8"/>
        <v>0.95937390934674072</v>
      </c>
      <c r="BU22" s="155"/>
    </row>
    <row r="23" spans="1:79" hidden="1" x14ac:dyDescent="0.2">
      <c r="A23" s="133" t="s">
        <v>664</v>
      </c>
      <c r="B23" s="133">
        <f t="shared" si="9"/>
        <v>1962</v>
      </c>
      <c r="D23" s="5">
        <f>Passenger_Total!G23</f>
        <v>31.668199999999999</v>
      </c>
      <c r="E23" s="5">
        <f>Freight_Total!I22</f>
        <v>394.35337623800001</v>
      </c>
      <c r="F23" s="5">
        <f t="shared" si="0"/>
        <v>426.02157623800002</v>
      </c>
      <c r="G23" s="5"/>
      <c r="H23" s="5">
        <f>Passenger_Total!L23</f>
        <v>2700</v>
      </c>
      <c r="I23" s="5">
        <f>Freight_Total!P22</f>
        <v>1229027.9254744998</v>
      </c>
      <c r="J23" s="5">
        <f t="shared" si="1"/>
        <v>1231727.9254744998</v>
      </c>
      <c r="P23" s="129"/>
      <c r="Q23" s="129"/>
      <c r="R23" s="129"/>
      <c r="S23" s="129"/>
      <c r="T23" s="129"/>
      <c r="V23" s="131"/>
      <c r="W23" s="147"/>
      <c r="X23" s="131"/>
      <c r="Y23" s="131"/>
      <c r="Z23" s="131"/>
      <c r="AA23" s="131"/>
      <c r="AB23" s="131"/>
      <c r="AC23" s="131"/>
      <c r="AD23" s="131"/>
      <c r="AG23" s="134"/>
      <c r="AI23" s="129">
        <f t="shared" si="2"/>
        <v>7.4334732713885673E-2</v>
      </c>
      <c r="AJ23" s="129">
        <f t="shared" si="3"/>
        <v>0.92566526728611431</v>
      </c>
      <c r="AL23" s="129" t="e">
        <f t="shared" si="10"/>
        <v>#DIV/0!</v>
      </c>
      <c r="AM23" s="129">
        <f t="shared" si="11"/>
        <v>0.96235419726373728</v>
      </c>
      <c r="AN23" s="129" t="e">
        <f t="shared" si="12"/>
        <v>#DIV/0!</v>
      </c>
      <c r="AO23" s="129"/>
      <c r="AP23" s="129" t="e">
        <f t="shared" si="13"/>
        <v>#DIV/0!</v>
      </c>
      <c r="AQ23" s="129" t="e">
        <f t="shared" si="14"/>
        <v>#DIV/0!</v>
      </c>
      <c r="AT23" s="129" t="e">
        <f t="shared" si="15"/>
        <v>#DIV/0!</v>
      </c>
      <c r="AU23" s="129" t="e">
        <f t="shared" si="16"/>
        <v>#DIV/0!</v>
      </c>
      <c r="AW23" s="129">
        <f t="shared" si="4"/>
        <v>7.909522859205298E-4</v>
      </c>
      <c r="AX23" s="129">
        <f t="shared" si="5"/>
        <v>0.42267437478542247</v>
      </c>
      <c r="AY23" s="129"/>
      <c r="AZ23" s="129">
        <f t="shared" si="17"/>
        <v>0.16034265007517928</v>
      </c>
      <c r="BA23" s="129">
        <f t="shared" si="18"/>
        <v>0.54225851062304509</v>
      </c>
      <c r="BB23" s="129"/>
      <c r="BC23" s="129"/>
      <c r="BD23" s="129" t="e">
        <f t="shared" si="19"/>
        <v>#DIV/0!</v>
      </c>
      <c r="BE23" s="129" t="e">
        <f t="shared" si="20"/>
        <v>#DIV/0!</v>
      </c>
      <c r="BH23" s="129" t="e">
        <f t="shared" si="21"/>
        <v>#DIV/0!</v>
      </c>
      <c r="BI23" s="129">
        <f t="shared" si="22"/>
        <v>1</v>
      </c>
      <c r="BJ23" s="129">
        <f t="shared" si="6"/>
        <v>1.1934927904088419</v>
      </c>
      <c r="BK23" s="129"/>
      <c r="BL23" s="129" t="e">
        <f t="shared" si="23"/>
        <v>#DIV/0!</v>
      </c>
      <c r="BM23" s="129">
        <f t="shared" si="24"/>
        <v>1</v>
      </c>
      <c r="BN23" s="129">
        <f t="shared" si="7"/>
        <v>0.15100740577483845</v>
      </c>
      <c r="BO23" s="129"/>
      <c r="BP23" s="129" t="e">
        <f t="shared" si="25"/>
        <v>#DIV/0!</v>
      </c>
      <c r="BQ23" s="129">
        <f t="shared" si="26"/>
        <v>1</v>
      </c>
      <c r="BR23" s="129">
        <f t="shared" si="8"/>
        <v>0.95937390934674072</v>
      </c>
      <c r="BU23" s="155"/>
    </row>
    <row r="24" spans="1:79" hidden="1" x14ac:dyDescent="0.2">
      <c r="A24" s="133" t="s">
        <v>664</v>
      </c>
      <c r="B24" s="133">
        <f t="shared" si="9"/>
        <v>1963</v>
      </c>
      <c r="D24" s="5">
        <f>Passenger_Total!G24</f>
        <v>34.369999999999997</v>
      </c>
      <c r="E24" s="5">
        <f>Freight_Total!I23</f>
        <v>436.920273253</v>
      </c>
      <c r="F24" s="5">
        <f t="shared" si="0"/>
        <v>471.29027325300001</v>
      </c>
      <c r="G24" s="5"/>
      <c r="H24" s="5">
        <f>Passenger_Total!L24</f>
        <v>3400</v>
      </c>
      <c r="I24" s="5">
        <f>Freight_Total!P23</f>
        <v>1273087.6022942001</v>
      </c>
      <c r="J24" s="5">
        <f t="shared" si="1"/>
        <v>1276487.6022942001</v>
      </c>
      <c r="P24" s="129"/>
      <c r="Q24" s="129"/>
      <c r="R24" s="129"/>
      <c r="S24" s="129"/>
      <c r="T24" s="129"/>
      <c r="V24" s="131"/>
      <c r="W24" s="147"/>
      <c r="X24" s="131"/>
      <c r="Y24" s="131"/>
      <c r="Z24" s="131"/>
      <c r="AA24" s="131"/>
      <c r="AB24" s="131"/>
      <c r="AC24" s="131"/>
      <c r="AD24" s="131"/>
      <c r="AG24" s="134"/>
      <c r="AI24" s="129">
        <f t="shared" si="2"/>
        <v>7.292745458709976E-2</v>
      </c>
      <c r="AJ24" s="129">
        <f t="shared" si="3"/>
        <v>0.92707254541290018</v>
      </c>
      <c r="AL24" s="129">
        <f t="shared" si="10"/>
        <v>7.3628852206175405E-2</v>
      </c>
      <c r="AM24" s="129">
        <f t="shared" si="11"/>
        <v>0.92636872819586291</v>
      </c>
      <c r="AN24" s="129">
        <f t="shared" si="12"/>
        <v>0.99999758040203834</v>
      </c>
      <c r="AO24" s="129"/>
      <c r="AP24" s="129">
        <f t="shared" si="13"/>
        <v>7.3629030358827174E-2</v>
      </c>
      <c r="AQ24" s="129">
        <f t="shared" si="14"/>
        <v>0.92637096964117283</v>
      </c>
      <c r="AT24" s="129" t="e">
        <f t="shared" si="15"/>
        <v>#DIV/0!</v>
      </c>
      <c r="AU24" s="129" t="e">
        <f t="shared" si="16"/>
        <v>#DIV/0!</v>
      </c>
      <c r="AW24" s="129">
        <f t="shared" si="4"/>
        <v>9.9601398967770417E-4</v>
      </c>
      <c r="AX24" s="129">
        <f t="shared" si="5"/>
        <v>0.43782691604751356</v>
      </c>
      <c r="AY24" s="129"/>
      <c r="AZ24" s="129">
        <f t="shared" si="17"/>
        <v>0.23052365861183235</v>
      </c>
      <c r="BA24" s="129">
        <f t="shared" si="18"/>
        <v>3.5221580398570818E-2</v>
      </c>
      <c r="BB24" s="129"/>
      <c r="BC24" s="129"/>
      <c r="BD24" s="129" t="e">
        <f t="shared" si="19"/>
        <v>#DIV/0!</v>
      </c>
      <c r="BE24" s="129" t="e">
        <f t="shared" si="20"/>
        <v>#DIV/0!</v>
      </c>
      <c r="BH24" s="129" t="e">
        <f t="shared" si="21"/>
        <v>#DIV/0!</v>
      </c>
      <c r="BI24" s="129">
        <f t="shared" si="22"/>
        <v>1</v>
      </c>
      <c r="BJ24" s="129">
        <f t="shared" si="6"/>
        <v>1.1934927904088419</v>
      </c>
      <c r="BK24" s="129"/>
      <c r="BL24" s="129">
        <f t="shared" si="23"/>
        <v>1.05085223048739</v>
      </c>
      <c r="BM24" s="129">
        <f t="shared" si="24"/>
        <v>1.05085223048739</v>
      </c>
      <c r="BN24" s="129">
        <f t="shared" si="7"/>
        <v>0.15868646917860335</v>
      </c>
      <c r="BO24" s="129"/>
      <c r="BP24" s="129" t="e">
        <f t="shared" si="25"/>
        <v>#DIV/0!</v>
      </c>
      <c r="BQ24" s="129">
        <f t="shared" si="26"/>
        <v>1</v>
      </c>
      <c r="BR24" s="129">
        <f t="shared" si="8"/>
        <v>0.95937390934674072</v>
      </c>
      <c r="BU24" s="155"/>
    </row>
    <row r="25" spans="1:79" hidden="1" x14ac:dyDescent="0.2">
      <c r="A25" s="133" t="s">
        <v>664</v>
      </c>
      <c r="B25" s="133">
        <f t="shared" si="9"/>
        <v>1964</v>
      </c>
      <c r="D25" s="5">
        <f>Passenger_Total!G25</f>
        <v>37.0274</v>
      </c>
      <c r="E25" s="5">
        <f>Freight_Total!I24</f>
        <v>449.07267026900001</v>
      </c>
      <c r="F25" s="5">
        <f t="shared" si="0"/>
        <v>486.10007026900001</v>
      </c>
      <c r="G25" s="5"/>
      <c r="H25" s="5">
        <f>Passenger_Total!L25</f>
        <v>3700</v>
      </c>
      <c r="I25" s="5">
        <f>Freight_Total!P24</f>
        <v>1329629.7269146999</v>
      </c>
      <c r="J25" s="5">
        <f t="shared" si="1"/>
        <v>1333329.7269146999</v>
      </c>
      <c r="P25" s="129"/>
      <c r="Q25" s="129"/>
      <c r="R25" s="129"/>
      <c r="S25" s="129"/>
      <c r="T25" s="129"/>
      <c r="V25" s="131"/>
      <c r="W25" s="147"/>
      <c r="X25" s="131"/>
      <c r="Y25" s="131"/>
      <c r="Z25" s="131"/>
      <c r="AA25" s="131"/>
      <c r="AB25" s="131"/>
      <c r="AC25" s="131"/>
      <c r="AD25" s="131"/>
      <c r="AG25" s="134"/>
      <c r="AI25" s="129">
        <f t="shared" si="2"/>
        <v>7.6172381500602598E-2</v>
      </c>
      <c r="AJ25" s="129">
        <f t="shared" si="3"/>
        <v>0.92382761849939743</v>
      </c>
      <c r="AL25" s="129">
        <f t="shared" si="10"/>
        <v>7.4538146422425552E-2</v>
      </c>
      <c r="AM25" s="129">
        <f t="shared" si="11"/>
        <v>0.92544913380855809</v>
      </c>
      <c r="AN25" s="129">
        <f t="shared" si="12"/>
        <v>0.9999872802309836</v>
      </c>
      <c r="AO25" s="129"/>
      <c r="AP25" s="129">
        <f t="shared" si="13"/>
        <v>7.453909454249083E-2</v>
      </c>
      <c r="AQ25" s="129">
        <f t="shared" si="14"/>
        <v>0.92546090545750925</v>
      </c>
      <c r="AT25" s="129" t="e">
        <f t="shared" si="15"/>
        <v>#DIV/0!</v>
      </c>
      <c r="AU25" s="129" t="e">
        <f t="shared" si="16"/>
        <v>#DIV/0!</v>
      </c>
      <c r="AW25" s="129">
        <f t="shared" si="4"/>
        <v>1.0838975770022076E-3</v>
      </c>
      <c r="AX25" s="129">
        <f t="shared" si="5"/>
        <v>0.45727228964533673</v>
      </c>
      <c r="AY25" s="129"/>
      <c r="AZ25" s="129">
        <f t="shared" si="17"/>
        <v>8.4557388028063174E-2</v>
      </c>
      <c r="BA25" s="129">
        <f t="shared" si="18"/>
        <v>4.3455369821554811E-2</v>
      </c>
      <c r="BB25" s="129"/>
      <c r="BC25" s="129"/>
      <c r="BD25" s="129" t="e">
        <f t="shared" si="19"/>
        <v>#DIV/0!</v>
      </c>
      <c r="BE25" s="129" t="e">
        <f t="shared" si="20"/>
        <v>#DIV/0!</v>
      </c>
      <c r="BH25" s="129" t="e">
        <f t="shared" si="21"/>
        <v>#DIV/0!</v>
      </c>
      <c r="BI25" s="129">
        <f t="shared" si="22"/>
        <v>1</v>
      </c>
      <c r="BJ25" s="129">
        <f t="shared" si="6"/>
        <v>1.1934927904088419</v>
      </c>
      <c r="BK25" s="129"/>
      <c r="BL25" s="129">
        <f t="shared" si="23"/>
        <v>1.047618064332279</v>
      </c>
      <c r="BM25" s="129">
        <f t="shared" si="24"/>
        <v>1.1008917796024573</v>
      </c>
      <c r="BN25" s="129">
        <f t="shared" si="7"/>
        <v>0.16624281167661228</v>
      </c>
      <c r="BO25" s="129"/>
      <c r="BP25" s="129" t="e">
        <f t="shared" si="25"/>
        <v>#DIV/0!</v>
      </c>
      <c r="BQ25" s="129">
        <f t="shared" si="26"/>
        <v>1</v>
      </c>
      <c r="BR25" s="129">
        <f t="shared" si="8"/>
        <v>0.95937390934674072</v>
      </c>
      <c r="BU25" s="155"/>
    </row>
    <row r="26" spans="1:79" hidden="1" x14ac:dyDescent="0.2">
      <c r="A26" s="133" t="s">
        <v>664</v>
      </c>
      <c r="B26" s="133">
        <f t="shared" si="9"/>
        <v>1965</v>
      </c>
      <c r="D26" s="5">
        <f>Passenger_Total!G26</f>
        <v>88.54898</v>
      </c>
      <c r="E26" s="5">
        <f>Freight_Total!I25</f>
        <v>516.04024430599998</v>
      </c>
      <c r="F26" s="5">
        <f t="shared" si="0"/>
        <v>604.58922430600001</v>
      </c>
      <c r="G26" s="5"/>
      <c r="H26" s="5">
        <f>Passenger_Total!L26</f>
        <v>4400</v>
      </c>
      <c r="I26" s="5">
        <f>Freight_Total!P25</f>
        <v>1379014.9693831999</v>
      </c>
      <c r="J26" s="5">
        <f t="shared" si="1"/>
        <v>1383414.9693831999</v>
      </c>
      <c r="P26" s="129"/>
      <c r="Q26" s="129"/>
      <c r="R26" s="129"/>
      <c r="S26" s="129"/>
      <c r="T26" s="129"/>
      <c r="V26" s="131"/>
      <c r="W26" s="147"/>
      <c r="X26" s="131"/>
      <c r="Y26" s="131"/>
      <c r="Z26" s="131"/>
      <c r="AA26" s="131"/>
      <c r="AB26" s="131"/>
      <c r="AC26" s="131"/>
      <c r="AD26" s="131"/>
      <c r="AG26" s="134"/>
      <c r="AI26" s="129">
        <f t="shared" si="2"/>
        <v>0.1464613930253954</v>
      </c>
      <c r="AJ26" s="129">
        <f t="shared" si="3"/>
        <v>0.8535386069746046</v>
      </c>
      <c r="AL26" s="129">
        <f t="shared" si="10"/>
        <v>0.1075145283855249</v>
      </c>
      <c r="AM26" s="129">
        <f t="shared" si="11"/>
        <v>0.88821963600927822</v>
      </c>
      <c r="AN26" s="129">
        <f t="shared" si="12"/>
        <v>0.99573416439480311</v>
      </c>
      <c r="AO26" s="129"/>
      <c r="AP26" s="129">
        <f t="shared" si="13"/>
        <v>0.10797513255043439</v>
      </c>
      <c r="AQ26" s="129">
        <f t="shared" si="14"/>
        <v>0.89202486744956566</v>
      </c>
      <c r="AT26" s="129" t="e">
        <f t="shared" si="15"/>
        <v>#DIV/0!</v>
      </c>
      <c r="AU26" s="129" t="e">
        <f t="shared" si="16"/>
        <v>#DIV/0!</v>
      </c>
      <c r="AW26" s="129">
        <f t="shared" si="4"/>
        <v>1.288959280759382E-3</v>
      </c>
      <c r="AX26" s="129">
        <f t="shared" si="5"/>
        <v>0.47425634350720552</v>
      </c>
      <c r="AY26" s="129"/>
      <c r="AZ26" s="129">
        <f t="shared" si="17"/>
        <v>0.17327172127403678</v>
      </c>
      <c r="BA26" s="129">
        <f t="shared" si="18"/>
        <v>3.6468951340551302E-2</v>
      </c>
      <c r="BB26" s="129"/>
      <c r="BC26" s="129"/>
      <c r="BD26" s="129" t="e">
        <f t="shared" si="19"/>
        <v>#DIV/0!</v>
      </c>
      <c r="BE26" s="129" t="e">
        <f t="shared" si="20"/>
        <v>#DIV/0!</v>
      </c>
      <c r="BH26" s="129" t="e">
        <f t="shared" si="21"/>
        <v>#DIV/0!</v>
      </c>
      <c r="BI26" s="129">
        <f t="shared" si="22"/>
        <v>1</v>
      </c>
      <c r="BJ26" s="129">
        <f t="shared" si="6"/>
        <v>1.1934927904088419</v>
      </c>
      <c r="BK26" s="129"/>
      <c r="BL26" s="129">
        <f t="shared" si="23"/>
        <v>1.0525757427123585</v>
      </c>
      <c r="BM26" s="129">
        <f t="shared" si="24"/>
        <v>1.1587719825609866</v>
      </c>
      <c r="BN26" s="129">
        <f t="shared" si="7"/>
        <v>0.17498315097110093</v>
      </c>
      <c r="BO26" s="129"/>
      <c r="BP26" s="129" t="e">
        <f t="shared" si="25"/>
        <v>#DIV/0!</v>
      </c>
      <c r="BQ26" s="129">
        <f t="shared" si="26"/>
        <v>1</v>
      </c>
      <c r="BR26" s="129">
        <f t="shared" si="8"/>
        <v>0.95937390934674072</v>
      </c>
      <c r="BU26" s="155"/>
    </row>
    <row r="27" spans="1:79" hidden="1" x14ac:dyDescent="0.2">
      <c r="A27" s="133" t="s">
        <v>664</v>
      </c>
      <c r="B27" s="133">
        <f t="shared" si="9"/>
        <v>1966</v>
      </c>
      <c r="D27" s="5">
        <f>Passenger_Total!G27</f>
        <v>101.2872</v>
      </c>
      <c r="E27" s="5">
        <f>Freight_Total!I26</f>
        <v>551.94894333299999</v>
      </c>
      <c r="F27" s="5">
        <f t="shared" si="0"/>
        <v>653.23614333299997</v>
      </c>
      <c r="G27" s="5"/>
      <c r="H27" s="5">
        <f>Passenger_Total!L27</f>
        <v>1654583.8858051558</v>
      </c>
      <c r="I27" s="5">
        <f>Freight_Total!P26</f>
        <v>1897773.5311707144</v>
      </c>
      <c r="J27" s="5">
        <f t="shared" si="1"/>
        <v>3552357.4169758703</v>
      </c>
      <c r="P27" s="129"/>
      <c r="Q27" s="129"/>
      <c r="R27" s="129"/>
      <c r="S27" s="129"/>
      <c r="T27" s="129"/>
      <c r="V27" s="131"/>
      <c r="W27" s="147"/>
      <c r="X27" s="131"/>
      <c r="Y27" s="131"/>
      <c r="Z27" s="131"/>
      <c r="AA27" s="131"/>
      <c r="AB27" s="131"/>
      <c r="AC27" s="131"/>
      <c r="AD27" s="131"/>
      <c r="AG27" s="134"/>
      <c r="AI27" s="129">
        <f t="shared" si="2"/>
        <v>0.15505449450975473</v>
      </c>
      <c r="AJ27" s="129">
        <f t="shared" si="3"/>
        <v>0.84494550549024527</v>
      </c>
      <c r="AL27" s="129">
        <f t="shared" si="10"/>
        <v>0.1507171181722799</v>
      </c>
      <c r="AM27" s="129">
        <f t="shared" si="11"/>
        <v>0.84923481036961757</v>
      </c>
      <c r="AN27" s="129">
        <f t="shared" si="12"/>
        <v>0.99995192854189741</v>
      </c>
      <c r="AO27" s="129"/>
      <c r="AP27" s="129">
        <f t="shared" si="13"/>
        <v>0.15072436371221512</v>
      </c>
      <c r="AQ27" s="129">
        <f t="shared" si="14"/>
        <v>0.84927563628778491</v>
      </c>
      <c r="AT27" s="129" t="e">
        <f t="shared" si="15"/>
        <v>#DIV/0!</v>
      </c>
      <c r="AU27" s="129" t="e">
        <f t="shared" si="16"/>
        <v>#DIV/0!</v>
      </c>
      <c r="AW27" s="129">
        <f t="shared" si="4"/>
        <v>0.48470255804624479</v>
      </c>
      <c r="AX27" s="129">
        <f t="shared" si="5"/>
        <v>0.65266233919153382</v>
      </c>
      <c r="AY27" s="129"/>
      <c r="AZ27" s="129">
        <f t="shared" si="17"/>
        <v>5.9297002867569768</v>
      </c>
      <c r="BA27" s="129">
        <f t="shared" si="18"/>
        <v>0.31931191935069242</v>
      </c>
      <c r="BB27" s="129"/>
      <c r="BC27" s="129"/>
      <c r="BD27" s="129" t="e">
        <f t="shared" si="19"/>
        <v>#DIV/0!</v>
      </c>
      <c r="BE27" s="129" t="e">
        <f t="shared" si="20"/>
        <v>#DIV/0!</v>
      </c>
      <c r="BH27" s="129" t="e">
        <f t="shared" si="21"/>
        <v>#DIV/0!</v>
      </c>
      <c r="BI27" s="129">
        <f t="shared" si="22"/>
        <v>1</v>
      </c>
      <c r="BJ27" s="129">
        <f t="shared" si="6"/>
        <v>1.1934927904088419</v>
      </c>
      <c r="BK27" s="129"/>
      <c r="BL27" s="129">
        <f t="shared" si="23"/>
        <v>3.2057117359133529</v>
      </c>
      <c r="BM27" s="129">
        <f t="shared" si="24"/>
        <v>3.7146889437433379</v>
      </c>
      <c r="BN27" s="129">
        <f t="shared" si="7"/>
        <v>0.56094554065515623</v>
      </c>
      <c r="BO27" s="129"/>
      <c r="BP27" s="129" t="e">
        <f t="shared" si="25"/>
        <v>#DIV/0!</v>
      </c>
      <c r="BQ27" s="129">
        <f t="shared" si="26"/>
        <v>1</v>
      </c>
      <c r="BR27" s="129">
        <f t="shared" si="8"/>
        <v>0.95937390934674072</v>
      </c>
      <c r="BU27" s="155"/>
    </row>
    <row r="28" spans="1:79" hidden="1" x14ac:dyDescent="0.2">
      <c r="A28" s="133" t="s">
        <v>664</v>
      </c>
      <c r="B28" s="133">
        <f t="shared" si="9"/>
        <v>1967</v>
      </c>
      <c r="D28" s="5">
        <f>Passenger_Total!G28</f>
        <v>105.81480999999999</v>
      </c>
      <c r="E28" s="5">
        <f>Freight_Total!I27</f>
        <v>593.60031236100008</v>
      </c>
      <c r="F28" s="5">
        <f t="shared" si="0"/>
        <v>699.41512236100004</v>
      </c>
      <c r="G28" s="5"/>
      <c r="H28" s="5">
        <f>Passenger_Total!L28</f>
        <v>1723991.7049224782</v>
      </c>
      <c r="I28" s="5">
        <f>Freight_Total!P27</f>
        <v>1907903.5923867526</v>
      </c>
      <c r="J28" s="5">
        <f t="shared" si="1"/>
        <v>3631895.297309231</v>
      </c>
      <c r="P28" s="129"/>
      <c r="Q28" s="129"/>
      <c r="R28" s="129"/>
      <c r="S28" s="129"/>
      <c r="T28" s="129"/>
      <c r="V28" s="131"/>
      <c r="W28" s="147"/>
      <c r="X28" s="131"/>
      <c r="Y28" s="131"/>
      <c r="Z28" s="131"/>
      <c r="AA28" s="131"/>
      <c r="AB28" s="131"/>
      <c r="AC28" s="131"/>
      <c r="AD28" s="131"/>
      <c r="AG28" s="134"/>
      <c r="AI28" s="129">
        <f t="shared" si="2"/>
        <v>0.151290423408066</v>
      </c>
      <c r="AJ28" s="129">
        <f t="shared" si="3"/>
        <v>0.84870957659193402</v>
      </c>
      <c r="AL28" s="129">
        <f t="shared" si="10"/>
        <v>0.15316475043556879</v>
      </c>
      <c r="AM28" s="129">
        <f t="shared" si="11"/>
        <v>0.84682614679323542</v>
      </c>
      <c r="AN28" s="129">
        <f t="shared" si="12"/>
        <v>0.99999089722880419</v>
      </c>
      <c r="AO28" s="129"/>
      <c r="AP28" s="129">
        <f t="shared" si="13"/>
        <v>0.15316614467193868</v>
      </c>
      <c r="AQ28" s="129">
        <f t="shared" si="14"/>
        <v>0.84683385532806132</v>
      </c>
      <c r="AT28" s="129" t="e">
        <f t="shared" si="15"/>
        <v>#DIV/0!</v>
      </c>
      <c r="AU28" s="129" t="e">
        <f t="shared" si="16"/>
        <v>#DIV/0!</v>
      </c>
      <c r="AW28" s="129">
        <f t="shared" si="4"/>
        <v>0.50503525182091324</v>
      </c>
      <c r="AX28" s="129">
        <f t="shared" si="5"/>
        <v>0.65614616344180376</v>
      </c>
      <c r="AY28" s="129"/>
      <c r="AZ28" s="129">
        <f t="shared" si="17"/>
        <v>4.1092812000985475E-2</v>
      </c>
      <c r="BA28" s="129">
        <f t="shared" si="18"/>
        <v>5.3236703021314492E-3</v>
      </c>
      <c r="BB28" s="129"/>
      <c r="BC28" s="129"/>
      <c r="BD28" s="129" t="e">
        <f t="shared" si="19"/>
        <v>#DIV/0!</v>
      </c>
      <c r="BE28" s="129" t="e">
        <f t="shared" si="20"/>
        <v>#DIV/0!</v>
      </c>
      <c r="BH28" s="129" t="e">
        <f t="shared" si="21"/>
        <v>#DIV/0!</v>
      </c>
      <c r="BI28" s="129">
        <f t="shared" si="22"/>
        <v>1</v>
      </c>
      <c r="BJ28" s="129">
        <f t="shared" si="6"/>
        <v>1.1934927904088419</v>
      </c>
      <c r="BK28" s="129"/>
      <c r="BL28" s="129">
        <f t="shared" si="23"/>
        <v>1.0108608472430745</v>
      </c>
      <c r="BM28" s="129">
        <f t="shared" si="24"/>
        <v>3.755033612916872</v>
      </c>
      <c r="BN28" s="129">
        <f t="shared" si="7"/>
        <v>0.56703788448389569</v>
      </c>
      <c r="BO28" s="129"/>
      <c r="BP28" s="129" t="e">
        <f t="shared" si="25"/>
        <v>#DIV/0!</v>
      </c>
      <c r="BQ28" s="129">
        <f t="shared" si="26"/>
        <v>1</v>
      </c>
      <c r="BR28" s="129">
        <f t="shared" si="8"/>
        <v>0.95937390934674072</v>
      </c>
      <c r="BU28" s="155"/>
    </row>
    <row r="29" spans="1:79" hidden="1" x14ac:dyDescent="0.2">
      <c r="A29" s="133" t="s">
        <v>664</v>
      </c>
      <c r="B29" s="133">
        <f t="shared" si="9"/>
        <v>1968</v>
      </c>
      <c r="D29" s="5">
        <f>Passenger_Total!G29</f>
        <v>118.76804</v>
      </c>
      <c r="E29" s="5">
        <f>Freight_Total!I28</f>
        <v>1153.3345557909997</v>
      </c>
      <c r="F29" s="5">
        <f t="shared" si="0"/>
        <v>1272.1025957909997</v>
      </c>
      <c r="G29" s="5"/>
      <c r="H29" s="5">
        <f>Passenger_Total!L29</f>
        <v>1817008.2156000079</v>
      </c>
      <c r="I29" s="5">
        <f>Freight_Total!P28</f>
        <v>1961858.6402276857</v>
      </c>
      <c r="J29" s="5">
        <f t="shared" si="1"/>
        <v>3778866.8558276938</v>
      </c>
      <c r="P29" s="129"/>
      <c r="Q29" s="129"/>
      <c r="R29" s="129"/>
      <c r="S29" s="129"/>
      <c r="T29" s="129"/>
      <c r="V29" s="131"/>
      <c r="W29" s="147"/>
      <c r="X29" s="131"/>
      <c r="Y29" s="131"/>
      <c r="Z29" s="131"/>
      <c r="AA29" s="131"/>
      <c r="AB29" s="131"/>
      <c r="AC29" s="131"/>
      <c r="AD29" s="131"/>
      <c r="AG29" s="134"/>
      <c r="AI29" s="129">
        <f t="shared" si="2"/>
        <v>9.3363570197063747E-2</v>
      </c>
      <c r="AJ29" s="129">
        <f t="shared" si="3"/>
        <v>0.90663642980293635</v>
      </c>
      <c r="AL29" s="129">
        <f t="shared" si="10"/>
        <v>0.12000588732909938</v>
      </c>
      <c r="AM29" s="129">
        <f t="shared" si="11"/>
        <v>0.87735431053658652</v>
      </c>
      <c r="AN29" s="129">
        <f t="shared" si="12"/>
        <v>0.99736019786568586</v>
      </c>
      <c r="AO29" s="129"/>
      <c r="AP29" s="129">
        <f t="shared" si="13"/>
        <v>0.12032351760768834</v>
      </c>
      <c r="AQ29" s="129">
        <f t="shared" si="14"/>
        <v>0.87967648239231166</v>
      </c>
      <c r="AT29" s="129" t="e">
        <f t="shared" si="15"/>
        <v>#DIV/0!</v>
      </c>
      <c r="AU29" s="129" t="e">
        <f t="shared" si="16"/>
        <v>#DIV/0!</v>
      </c>
      <c r="AW29" s="129">
        <f t="shared" si="4"/>
        <v>0.53228400061674419</v>
      </c>
      <c r="AX29" s="129">
        <f t="shared" si="5"/>
        <v>0.67470181676748331</v>
      </c>
      <c r="AY29" s="129"/>
      <c r="AZ29" s="129">
        <f t="shared" si="17"/>
        <v>5.2548950222762937E-2</v>
      </c>
      <c r="BA29" s="129">
        <f t="shared" si="18"/>
        <v>2.7887266083594001E-2</v>
      </c>
      <c r="BB29" s="129"/>
      <c r="BC29" s="129"/>
      <c r="BD29" s="129" t="e">
        <f t="shared" si="19"/>
        <v>#DIV/0!</v>
      </c>
      <c r="BE29" s="129" t="e">
        <f t="shared" si="20"/>
        <v>#DIV/0!</v>
      </c>
      <c r="BH29" s="129" t="e">
        <f t="shared" si="21"/>
        <v>#DIV/0!</v>
      </c>
      <c r="BI29" s="129">
        <f t="shared" si="22"/>
        <v>1</v>
      </c>
      <c r="BJ29" s="129">
        <f t="shared" si="6"/>
        <v>1.1934927904088419</v>
      </c>
      <c r="BK29" s="129"/>
      <c r="BL29" s="129">
        <f t="shared" si="23"/>
        <v>1.0313355849288879</v>
      </c>
      <c r="BM29" s="129">
        <f t="shared" si="24"/>
        <v>3.8726997876052573</v>
      </c>
      <c r="BN29" s="129">
        <f t="shared" si="7"/>
        <v>0.58480634827103772</v>
      </c>
      <c r="BO29" s="129"/>
      <c r="BP29" s="129" t="e">
        <f t="shared" si="25"/>
        <v>#DIV/0!</v>
      </c>
      <c r="BQ29" s="129">
        <f t="shared" si="26"/>
        <v>1</v>
      </c>
      <c r="BR29" s="129">
        <f t="shared" si="8"/>
        <v>0.95937390934674072</v>
      </c>
      <c r="BU29" s="155"/>
    </row>
    <row r="30" spans="1:79" hidden="1" x14ac:dyDescent="0.2">
      <c r="A30" s="133" t="s">
        <v>664</v>
      </c>
      <c r="B30" s="133">
        <f t="shared" si="9"/>
        <v>1969</v>
      </c>
      <c r="D30" s="5">
        <f>Passenger_Total!G30</f>
        <v>128.40046000000001</v>
      </c>
      <c r="E30" s="5">
        <f>Freight_Total!I29</f>
        <v>1194.788250911</v>
      </c>
      <c r="F30" s="5">
        <f t="shared" si="0"/>
        <v>1323.188710911</v>
      </c>
      <c r="G30" s="5"/>
      <c r="H30" s="5">
        <f>Passenger_Total!L30</f>
        <v>1900267.8294878972</v>
      </c>
      <c r="I30" s="5">
        <f>Freight_Total!P29</f>
        <v>2021509.5473965236</v>
      </c>
      <c r="J30" s="5">
        <f t="shared" si="1"/>
        <v>3921777.3768844209</v>
      </c>
      <c r="P30" s="129"/>
      <c r="Q30" s="129"/>
      <c r="R30" s="129"/>
      <c r="S30" s="129"/>
      <c r="T30" s="129"/>
      <c r="V30" s="131"/>
      <c r="W30" s="147"/>
      <c r="X30" s="131"/>
      <c r="Y30" s="131"/>
      <c r="Z30" s="131"/>
      <c r="AA30" s="131"/>
      <c r="AB30" s="131"/>
      <c r="AC30" s="131"/>
      <c r="AD30" s="131"/>
      <c r="AG30" s="134"/>
      <c r="AI30" s="129">
        <f t="shared" si="2"/>
        <v>9.7038660427806844E-2</v>
      </c>
      <c r="AJ30" s="129">
        <f t="shared" si="3"/>
        <v>0.90296133957219316</v>
      </c>
      <c r="AL30" s="129">
        <f t="shared" si="10"/>
        <v>9.518929154488677E-2</v>
      </c>
      <c r="AM30" s="129">
        <f t="shared" si="11"/>
        <v>0.90479764073680058</v>
      </c>
      <c r="AN30" s="129">
        <f t="shared" si="12"/>
        <v>0.99998693228168734</v>
      </c>
      <c r="AO30" s="129"/>
      <c r="AP30" s="129">
        <f t="shared" si="13"/>
        <v>9.5190535467990292E-2</v>
      </c>
      <c r="AQ30" s="129">
        <f t="shared" si="14"/>
        <v>0.90480946453200972</v>
      </c>
      <c r="AT30" s="129" t="e">
        <f t="shared" si="15"/>
        <v>#DIV/0!</v>
      </c>
      <c r="AU30" s="129" t="e">
        <f t="shared" si="16"/>
        <v>#DIV/0!</v>
      </c>
      <c r="AW30" s="129">
        <f t="shared" si="4"/>
        <v>0.55667451244248001</v>
      </c>
      <c r="AX30" s="129">
        <f t="shared" si="5"/>
        <v>0.69521633020560369</v>
      </c>
      <c r="AY30" s="129"/>
      <c r="AZ30" s="129">
        <f t="shared" si="17"/>
        <v>4.4803528203623551E-2</v>
      </c>
      <c r="BA30" s="129">
        <f t="shared" si="18"/>
        <v>2.9952223280419302E-2</v>
      </c>
      <c r="BB30" s="129"/>
      <c r="BC30" s="129"/>
      <c r="BD30" s="129" t="e">
        <f t="shared" si="19"/>
        <v>#DIV/0!</v>
      </c>
      <c r="BE30" s="129" t="e">
        <f t="shared" si="20"/>
        <v>#DIV/0!</v>
      </c>
      <c r="BH30" s="129" t="e">
        <f t="shared" si="21"/>
        <v>#DIV/0!</v>
      </c>
      <c r="BI30" s="129">
        <f t="shared" si="22"/>
        <v>1</v>
      </c>
      <c r="BJ30" s="129">
        <f t="shared" si="6"/>
        <v>1.1934927904088419</v>
      </c>
      <c r="BK30" s="129"/>
      <c r="BL30" s="129">
        <f t="shared" si="23"/>
        <v>1.0318630212970226</v>
      </c>
      <c r="BM30" s="129">
        <f t="shared" si="24"/>
        <v>3.9960957034146984</v>
      </c>
      <c r="BN30" s="129">
        <f t="shared" si="7"/>
        <v>0.6034400454006319</v>
      </c>
      <c r="BO30" s="129"/>
      <c r="BP30" s="129" t="e">
        <f t="shared" si="25"/>
        <v>#DIV/0!</v>
      </c>
      <c r="BQ30" s="129">
        <f t="shared" si="26"/>
        <v>1</v>
      </c>
      <c r="BR30" s="129">
        <f t="shared" si="8"/>
        <v>0.95937390934674072</v>
      </c>
      <c r="BU30" s="155"/>
    </row>
    <row r="31" spans="1:79" ht="26.25" thickBot="1" x14ac:dyDescent="0.25">
      <c r="A31" s="133" t="s">
        <v>664</v>
      </c>
      <c r="B31" s="133">
        <f t="shared" si="9"/>
        <v>1970</v>
      </c>
      <c r="D31" s="5">
        <f>Passenger_Total!G31</f>
        <v>11489.263533431138</v>
      </c>
      <c r="E31" s="5">
        <f>Freight_Total!I30</f>
        <v>3644.8225026829896</v>
      </c>
      <c r="F31" s="5">
        <f t="shared" si="0"/>
        <v>15134.086036114128</v>
      </c>
      <c r="G31" s="5"/>
      <c r="H31" s="5">
        <f>Passenger_Total!L31</f>
        <v>2234358.0500000492</v>
      </c>
      <c r="I31" s="5">
        <f>Freight_Total!P30</f>
        <v>2226989.533119278</v>
      </c>
      <c r="J31" s="263">
        <f>BN31</f>
        <v>0.68193706832566803</v>
      </c>
      <c r="L31" s="138">
        <f>D31/H31*1000000</f>
        <v>5142.0870229061475</v>
      </c>
      <c r="M31" s="138">
        <f>E31/I31*1000000</f>
        <v>1636.6590181399708</v>
      </c>
      <c r="N31" s="138">
        <f>F31/J31*1</f>
        <v>22192.789832164755</v>
      </c>
      <c r="P31" s="509">
        <f>Passenger_Total!AE31</f>
        <v>1.2759163330998435</v>
      </c>
      <c r="Q31" s="509">
        <f>Freight_Total!AO30</f>
        <v>0.98694527092068007</v>
      </c>
      <c r="R31" s="129"/>
      <c r="S31" s="509">
        <f>Passenger_Total!AI31</f>
        <v>0.96603495133226391</v>
      </c>
      <c r="T31" s="509">
        <f>Freight_Total!AS30</f>
        <v>0.93787500349955433</v>
      </c>
      <c r="V31" s="131">
        <f t="shared" ref="V31:V71" si="27">BN31</f>
        <v>0.68193706832566803</v>
      </c>
      <c r="W31" s="607">
        <f t="shared" ref="W31:W72" si="28">N31/N$74</f>
        <v>1.1450058441116824</v>
      </c>
      <c r="X31" s="131">
        <v>1</v>
      </c>
      <c r="Y31" s="131">
        <f t="shared" ref="Y31:Y41" si="29">BR31</f>
        <v>0.95937390934674072</v>
      </c>
      <c r="Z31" s="131">
        <f t="shared" ref="Z31:Z41" si="30">BJ31</f>
        <v>1.1934927904088419</v>
      </c>
      <c r="AA31" s="131">
        <f t="shared" ref="AA31:AA41" si="31">V31*X31*Y31*Z31</f>
        <v>0.78082192854927646</v>
      </c>
      <c r="AB31" s="131">
        <f t="shared" ref="AB31:AB72" si="32">F31/F$74</f>
        <v>0.78082192854927746</v>
      </c>
      <c r="AC31" s="131"/>
      <c r="AD31" s="131">
        <f t="shared" ref="AD31:AD41" si="33">X31*Y31</f>
        <v>0.95937390934674072</v>
      </c>
      <c r="AG31" s="134"/>
      <c r="AI31" s="129">
        <f t="shared" si="2"/>
        <v>0.759164676744573</v>
      </c>
      <c r="AJ31" s="129">
        <f t="shared" si="3"/>
        <v>0.24083532325542698</v>
      </c>
      <c r="AL31" s="129">
        <f t="shared" si="10"/>
        <v>0.3218720704312456</v>
      </c>
      <c r="AM31" s="129">
        <f t="shared" si="11"/>
        <v>0.50101610009939823</v>
      </c>
      <c r="AN31" s="129">
        <f t="shared" si="12"/>
        <v>0.82288817053064389</v>
      </c>
      <c r="AO31" s="129"/>
      <c r="AP31" s="129">
        <f t="shared" si="13"/>
        <v>0.39114922532387925</v>
      </c>
      <c r="AQ31" s="129">
        <f t="shared" si="14"/>
        <v>0.6088507746761207</v>
      </c>
      <c r="AT31" s="129" t="e">
        <f t="shared" si="15"/>
        <v>#DIV/0!</v>
      </c>
      <c r="AU31" s="129" t="e">
        <f t="shared" si="16"/>
        <v>#DIV/0!</v>
      </c>
      <c r="AW31" s="129">
        <f t="shared" si="4"/>
        <v>0.65454466933795419</v>
      </c>
      <c r="AX31" s="129">
        <f t="shared" si="5"/>
        <v>0.76588284859472133</v>
      </c>
      <c r="AY31" s="129"/>
      <c r="AZ31" s="129">
        <f t="shared" si="17"/>
        <v>0.16195912173107008</v>
      </c>
      <c r="BA31" s="129">
        <f t="shared" si="18"/>
        <v>9.6806155258508012E-2</v>
      </c>
      <c r="BB31" s="129"/>
      <c r="BC31" s="129"/>
      <c r="BD31" s="129" t="e">
        <f t="shared" si="19"/>
        <v>#DIV/0!</v>
      </c>
      <c r="BE31" s="129" t="e">
        <f t="shared" si="20"/>
        <v>#DIV/0!</v>
      </c>
      <c r="BH31" s="129" t="e">
        <f t="shared" si="21"/>
        <v>#DIV/0!</v>
      </c>
      <c r="BI31" s="129">
        <f t="shared" si="22"/>
        <v>1</v>
      </c>
      <c r="BJ31" s="129">
        <f t="shared" si="6"/>
        <v>1.1934927904088419</v>
      </c>
      <c r="BK31" s="129"/>
      <c r="BL31" s="129">
        <f t="shared" si="23"/>
        <v>1.1300825550497249</v>
      </c>
      <c r="BM31" s="129">
        <f t="shared" si="24"/>
        <v>4.51591804273811</v>
      </c>
      <c r="BN31" s="129">
        <f t="shared" si="7"/>
        <v>0.68193706832566803</v>
      </c>
      <c r="BO31" s="129"/>
      <c r="BP31" s="129" t="e">
        <f t="shared" si="25"/>
        <v>#DIV/0!</v>
      </c>
      <c r="BQ31" s="129">
        <f t="shared" si="26"/>
        <v>1</v>
      </c>
      <c r="BR31" s="129">
        <f t="shared" si="8"/>
        <v>0.95937390934674072</v>
      </c>
      <c r="BU31" s="155"/>
      <c r="BX31" s="157" t="s">
        <v>757</v>
      </c>
      <c r="BY31" s="157" t="s">
        <v>774</v>
      </c>
      <c r="BZ31" s="157" t="s">
        <v>775</v>
      </c>
      <c r="CA31" s="157" t="s">
        <v>776</v>
      </c>
    </row>
    <row r="32" spans="1:79" x14ac:dyDescent="0.2">
      <c r="A32" s="133" t="s">
        <v>664</v>
      </c>
      <c r="B32" s="133">
        <f t="shared" si="9"/>
        <v>1971</v>
      </c>
      <c r="D32" s="5">
        <f>Passenger_Total!G32</f>
        <v>12063.045171865282</v>
      </c>
      <c r="E32" s="5">
        <f>Freight_Total!I31</f>
        <v>3782.4519701028103</v>
      </c>
      <c r="F32" s="5">
        <f t="shared" si="0"/>
        <v>15845.497141968091</v>
      </c>
      <c r="G32" s="5"/>
      <c r="H32" s="5">
        <f>Passenger_Total!L32</f>
        <v>2361158.1459861388</v>
      </c>
      <c r="I32" s="5">
        <f>Freight_Total!P31</f>
        <v>2255023.3463733937</v>
      </c>
      <c r="J32" s="263">
        <f t="shared" ref="J32:J62" si="34">BN32</f>
        <v>0.71329863032904883</v>
      </c>
      <c r="L32" s="138">
        <f t="shared" ref="L32:L41" si="35">D32/H32*1000000</f>
        <v>5108.9526520584441</v>
      </c>
      <c r="M32" s="138">
        <f t="shared" ref="M32:M41" si="36">E32/I32*1000000</f>
        <v>1677.3449269099056</v>
      </c>
      <c r="N32" s="138">
        <f t="shared" ref="N32:N64" si="37">F32/J32*1</f>
        <v>22214.39446008535</v>
      </c>
      <c r="P32" s="509">
        <f>Passenger_Total!AE32</f>
        <v>1.2650123231521695</v>
      </c>
      <c r="Q32" s="509">
        <f>Freight_Total!AO31</f>
        <v>0.97428160987882351</v>
      </c>
      <c r="R32" s="129"/>
      <c r="S32" s="509">
        <f>Passenger_Total!AI32</f>
        <v>0.96808331667432368</v>
      </c>
      <c r="T32" s="509">
        <f>Freight_Total!AS31</f>
        <v>0.97368324789262395</v>
      </c>
      <c r="V32" s="131">
        <f t="shared" si="27"/>
        <v>0.71329863032904883</v>
      </c>
      <c r="W32" s="147">
        <f t="shared" si="28"/>
        <v>1.1461205045674439</v>
      </c>
      <c r="X32" s="131">
        <v>1</v>
      </c>
      <c r="Y32" s="131">
        <f t="shared" si="29"/>
        <v>0.96959186211407933</v>
      </c>
      <c r="Z32" s="131">
        <f t="shared" si="30"/>
        <v>1.1820648969438168</v>
      </c>
      <c r="AA32" s="131">
        <f t="shared" si="31"/>
        <v>0.81752618609999517</v>
      </c>
      <c r="AB32" s="131">
        <f t="shared" si="32"/>
        <v>0.81752618609999606</v>
      </c>
      <c r="AC32" s="131"/>
      <c r="AD32" s="131">
        <f t="shared" si="33"/>
        <v>0.96959186211407933</v>
      </c>
      <c r="AG32" s="134"/>
      <c r="AI32" s="129">
        <f t="shared" si="2"/>
        <v>0.76129168203346065</v>
      </c>
      <c r="AJ32" s="129">
        <f t="shared" si="3"/>
        <v>0.23870831796653938</v>
      </c>
      <c r="AL32" s="129">
        <f t="shared" si="10"/>
        <v>0.76022768346842662</v>
      </c>
      <c r="AM32" s="129">
        <f t="shared" si="11"/>
        <v>0.23977024822185916</v>
      </c>
      <c r="AN32" s="129">
        <f t="shared" si="12"/>
        <v>0.99999793169028584</v>
      </c>
      <c r="AO32" s="129"/>
      <c r="AP32" s="129">
        <f t="shared" si="13"/>
        <v>0.76022925585798151</v>
      </c>
      <c r="AQ32" s="129">
        <f t="shared" si="14"/>
        <v>0.23977074414201843</v>
      </c>
      <c r="AT32" s="129">
        <f t="shared" si="15"/>
        <v>-8.5827493475416541E-3</v>
      </c>
      <c r="AU32" s="129">
        <f t="shared" si="16"/>
        <v>-1.2914198928712938E-2</v>
      </c>
      <c r="AW32" s="129">
        <f t="shared" si="4"/>
        <v>0.6916901603657839</v>
      </c>
      <c r="AX32" s="129">
        <f t="shared" si="5"/>
        <v>0.77552394319024065</v>
      </c>
      <c r="AY32" s="129"/>
      <c r="AZ32" s="129">
        <f t="shared" si="17"/>
        <v>5.5198277631248238E-2</v>
      </c>
      <c r="BA32" s="129">
        <f t="shared" si="18"/>
        <v>1.2509637787138888E-2</v>
      </c>
      <c r="BB32" s="129"/>
      <c r="BC32" s="129"/>
      <c r="BD32" s="129">
        <f t="shared" si="19"/>
        <v>2.1181394558730695E-3</v>
      </c>
      <c r="BE32" s="129">
        <f t="shared" si="20"/>
        <v>3.7469361651410057E-2</v>
      </c>
      <c r="BH32" s="129">
        <f t="shared" si="21"/>
        <v>0.9904248324272571</v>
      </c>
      <c r="BI32" s="129">
        <f t="shared" si="22"/>
        <v>0.9904248324272571</v>
      </c>
      <c r="BJ32" s="129">
        <f t="shared" si="6"/>
        <v>1.1820648969438168</v>
      </c>
      <c r="BK32" s="129"/>
      <c r="BL32" s="129">
        <f t="shared" si="23"/>
        <v>1.0459889386573185</v>
      </c>
      <c r="BM32" s="129">
        <f t="shared" si="24"/>
        <v>4.7236003205870709</v>
      </c>
      <c r="BN32" s="129">
        <f t="shared" si="7"/>
        <v>0.71329863032904883</v>
      </c>
      <c r="BO32" s="129"/>
      <c r="BP32" s="129">
        <f t="shared" si="25"/>
        <v>1.0106506469143988</v>
      </c>
      <c r="BQ32" s="129">
        <f t="shared" si="26"/>
        <v>1.0106506469143988</v>
      </c>
      <c r="BR32" s="129">
        <f t="shared" si="8"/>
        <v>0.96959186211407933</v>
      </c>
      <c r="BU32" s="155"/>
      <c r="BW32">
        <v>1985</v>
      </c>
      <c r="BX32" s="129">
        <f t="shared" ref="BX32:BX46" si="38">V46</f>
        <v>1</v>
      </c>
      <c r="BY32" s="156">
        <f t="shared" ref="BY32:BY46" si="39">AD46</f>
        <v>1</v>
      </c>
      <c r="BZ32" s="129">
        <f t="shared" ref="BZ32:BZ46" si="40">Z46</f>
        <v>1</v>
      </c>
      <c r="CA32" s="129">
        <f t="shared" ref="CA32:CA46" si="41">AB46</f>
        <v>1</v>
      </c>
    </row>
    <row r="33" spans="1:79" x14ac:dyDescent="0.2">
      <c r="A33" s="133" t="s">
        <v>664</v>
      </c>
      <c r="B33" s="133">
        <f t="shared" si="9"/>
        <v>1972</v>
      </c>
      <c r="D33" s="5">
        <f>Passenger_Total!G33</f>
        <v>12885.735643850458</v>
      </c>
      <c r="E33" s="5">
        <f>Freight_Total!I32</f>
        <v>4054.4995862072383</v>
      </c>
      <c r="F33" s="5">
        <f t="shared" si="0"/>
        <v>16940.235230057697</v>
      </c>
      <c r="G33" s="5"/>
      <c r="H33" s="5">
        <f>Passenger_Total!L33</f>
        <v>2524062.8195058405</v>
      </c>
      <c r="I33" s="5">
        <f>Freight_Total!P32</f>
        <v>2346091.7872843868</v>
      </c>
      <c r="J33" s="263">
        <f t="shared" si="34"/>
        <v>0.75758347402363191</v>
      </c>
      <c r="L33" s="138">
        <f t="shared" si="35"/>
        <v>5105.1564740267513</v>
      </c>
      <c r="M33" s="138">
        <f t="shared" si="36"/>
        <v>1728.1930776034735</v>
      </c>
      <c r="N33" s="138">
        <f t="shared" si="37"/>
        <v>22360.882742182501</v>
      </c>
      <c r="P33" s="509">
        <f>Passenger_Total!AE33</f>
        <v>1.2579240626678765</v>
      </c>
      <c r="Q33" s="509">
        <f>Freight_Total!AO32</f>
        <v>0.99095338643512765</v>
      </c>
      <c r="R33" s="129"/>
      <c r="S33" s="509">
        <f>Passenger_Total!AI33</f>
        <v>0.97281497507816528</v>
      </c>
      <c r="T33" s="509">
        <f>Freight_Total!AS32</f>
        <v>0.98632231454950425</v>
      </c>
      <c r="V33" s="131">
        <f t="shared" si="27"/>
        <v>0.75758347402363191</v>
      </c>
      <c r="W33" s="147">
        <f t="shared" si="28"/>
        <v>1.1536783618879336</v>
      </c>
      <c r="X33" s="131">
        <v>1</v>
      </c>
      <c r="Y33" s="131">
        <f t="shared" si="29"/>
        <v>0.97620078296171153</v>
      </c>
      <c r="Z33" s="131">
        <f t="shared" si="30"/>
        <v>1.1818043808444494</v>
      </c>
      <c r="AA33" s="131">
        <f t="shared" si="31"/>
        <v>0.87400766130495255</v>
      </c>
      <c r="AB33" s="131">
        <f t="shared" si="32"/>
        <v>0.87400766130495355</v>
      </c>
      <c r="AC33" s="131"/>
      <c r="AD33" s="131">
        <f t="shared" si="33"/>
        <v>0.97620078296171153</v>
      </c>
      <c r="AG33" s="134"/>
      <c r="AI33" s="129">
        <f t="shared" si="2"/>
        <v>0.76065860177589573</v>
      </c>
      <c r="AJ33" s="129">
        <f t="shared" si="3"/>
        <v>0.23934139822410419</v>
      </c>
      <c r="AL33" s="129">
        <f t="shared" si="10"/>
        <v>0.76097509801463648</v>
      </c>
      <c r="AM33" s="129">
        <f t="shared" si="11"/>
        <v>0.23902471836411057</v>
      </c>
      <c r="AN33" s="129">
        <f t="shared" si="12"/>
        <v>0.99999981637874702</v>
      </c>
      <c r="AO33" s="129"/>
      <c r="AP33" s="129">
        <f t="shared" si="13"/>
        <v>0.76097523774586306</v>
      </c>
      <c r="AQ33" s="129">
        <f t="shared" si="14"/>
        <v>0.23902476225413691</v>
      </c>
      <c r="AT33" s="129">
        <f t="shared" si="15"/>
        <v>-5.6190708370544547E-3</v>
      </c>
      <c r="AU33" s="129">
        <f t="shared" si="16"/>
        <v>1.6967107287797989E-2</v>
      </c>
      <c r="AW33" s="129">
        <f t="shared" si="4"/>
        <v>0.7394123173685786</v>
      </c>
      <c r="AX33" s="129">
        <f t="shared" si="5"/>
        <v>0.80684324483253345</v>
      </c>
      <c r="AY33" s="129"/>
      <c r="AZ33" s="129">
        <f t="shared" si="17"/>
        <v>6.6717594749690093E-2</v>
      </c>
      <c r="BA33" s="129">
        <f t="shared" si="18"/>
        <v>3.9590548420596894E-2</v>
      </c>
      <c r="BB33" s="129"/>
      <c r="BC33" s="129"/>
      <c r="BD33" s="129">
        <f t="shared" si="19"/>
        <v>4.8757503654168208E-3</v>
      </c>
      <c r="BE33" s="129">
        <f t="shared" si="20"/>
        <v>1.2897148960574993E-2</v>
      </c>
      <c r="BH33" s="129">
        <f t="shared" si="21"/>
        <v>0.99977960930906518</v>
      </c>
      <c r="BI33" s="129">
        <f t="shared" si="22"/>
        <v>0.99020655201411945</v>
      </c>
      <c r="BJ33" s="129">
        <f t="shared" si="6"/>
        <v>1.1818043808444494</v>
      </c>
      <c r="BK33" s="129"/>
      <c r="BL33" s="129">
        <f t="shared" si="23"/>
        <v>1.0620845769382092</v>
      </c>
      <c r="BM33" s="129">
        <f t="shared" si="24"/>
        <v>5.0168630481159084</v>
      </c>
      <c r="BN33" s="129">
        <f t="shared" si="7"/>
        <v>0.75758347402363191</v>
      </c>
      <c r="BO33" s="129"/>
      <c r="BP33" s="129">
        <f t="shared" si="25"/>
        <v>1.0068161884457469</v>
      </c>
      <c r="BQ33" s="129">
        <f t="shared" si="26"/>
        <v>1.0175394321765834</v>
      </c>
      <c r="BR33" s="129">
        <f t="shared" si="8"/>
        <v>0.97620078296171153</v>
      </c>
      <c r="BU33" s="155"/>
      <c r="BW33">
        <f>BW32+1</f>
        <v>1986</v>
      </c>
      <c r="BX33" s="129">
        <f t="shared" si="38"/>
        <v>1.0164849796307009</v>
      </c>
      <c r="BY33" s="156">
        <f t="shared" si="39"/>
        <v>1.0066120725388663</v>
      </c>
      <c r="BZ33" s="129">
        <f t="shared" si="40"/>
        <v>1.0076372215364484</v>
      </c>
      <c r="CA33" s="129">
        <f t="shared" si="41"/>
        <v>1.0310205033476332</v>
      </c>
    </row>
    <row r="34" spans="1:79" x14ac:dyDescent="0.2">
      <c r="A34" s="133" t="s">
        <v>664</v>
      </c>
      <c r="B34" s="133">
        <f t="shared" si="9"/>
        <v>1973</v>
      </c>
      <c r="D34" s="5">
        <f>Passenger_Total!G34</f>
        <v>13423.713506694865</v>
      </c>
      <c r="E34" s="5">
        <f>Freight_Total!I33</f>
        <v>4272.5052145707396</v>
      </c>
      <c r="F34" s="5">
        <f t="shared" si="0"/>
        <v>17696.218721265606</v>
      </c>
      <c r="G34" s="5"/>
      <c r="H34" s="5">
        <f>Passenger_Total!L34</f>
        <v>2610994.3611098933</v>
      </c>
      <c r="I34" s="5">
        <f>Freight_Total!P33</f>
        <v>2452197.1902387678</v>
      </c>
      <c r="J34" s="263">
        <f t="shared" si="34"/>
        <v>0.78563192137415572</v>
      </c>
      <c r="L34" s="138">
        <f t="shared" si="35"/>
        <v>5141.2265405999005</v>
      </c>
      <c r="M34" s="138">
        <f t="shared" si="36"/>
        <v>1742.3171478941017</v>
      </c>
      <c r="N34" s="138">
        <f t="shared" si="37"/>
        <v>22524.821407858522</v>
      </c>
      <c r="P34" s="509">
        <f>Passenger_Total!AE34</f>
        <v>1.2634151079599454</v>
      </c>
      <c r="Q34" s="509">
        <f>Freight_Total!AO33</f>
        <v>0.99146496979463183</v>
      </c>
      <c r="R34" s="129"/>
      <c r="S34" s="509">
        <f>Passenger_Total!AI34</f>
        <v>0.97543040587127661</v>
      </c>
      <c r="T34" s="509">
        <f>Freight_Total!AS33</f>
        <v>0.99387017984647652</v>
      </c>
      <c r="V34" s="131">
        <f t="shared" si="27"/>
        <v>0.78563192137415572</v>
      </c>
      <c r="W34" s="147">
        <f t="shared" si="28"/>
        <v>1.1621365472577991</v>
      </c>
      <c r="X34" s="131">
        <v>1</v>
      </c>
      <c r="Y34" s="131">
        <f t="shared" si="29"/>
        <v>0.97998802154816</v>
      </c>
      <c r="Z34" s="131">
        <f t="shared" si="30"/>
        <v>1.1858681144100962</v>
      </c>
      <c r="AA34" s="131">
        <f t="shared" si="31"/>
        <v>0.91301156852127063</v>
      </c>
      <c r="AB34" s="131">
        <f t="shared" si="32"/>
        <v>0.91301156852127197</v>
      </c>
      <c r="AC34" s="131"/>
      <c r="AD34" s="131">
        <f t="shared" si="33"/>
        <v>0.97998802154816</v>
      </c>
      <c r="AG34" s="134"/>
      <c r="AI34" s="129">
        <f t="shared" si="2"/>
        <v>0.75856394623804813</v>
      </c>
      <c r="AJ34" s="129">
        <f t="shared" si="3"/>
        <v>0.24143605376195174</v>
      </c>
      <c r="AL34" s="129">
        <f t="shared" si="10"/>
        <v>0.75961079266604192</v>
      </c>
      <c r="AM34" s="129">
        <f t="shared" si="11"/>
        <v>0.24038720498297114</v>
      </c>
      <c r="AN34" s="129">
        <f t="shared" si="12"/>
        <v>0.99999799764901309</v>
      </c>
      <c r="AO34" s="129"/>
      <c r="AP34" s="129">
        <f t="shared" si="13"/>
        <v>0.75961231367650783</v>
      </c>
      <c r="AQ34" s="129">
        <f t="shared" si="14"/>
        <v>0.24038768632349208</v>
      </c>
      <c r="AT34" s="129">
        <f t="shared" si="15"/>
        <v>4.3556646700226081E-3</v>
      </c>
      <c r="AU34" s="129">
        <f t="shared" si="16"/>
        <v>5.1612049419629501E-4</v>
      </c>
      <c r="AW34" s="129">
        <f t="shared" si="4"/>
        <v>0.7648785031279568</v>
      </c>
      <c r="AX34" s="129">
        <f t="shared" si="5"/>
        <v>0.84333390051701151</v>
      </c>
      <c r="AY34" s="129"/>
      <c r="AZ34" s="129">
        <f t="shared" si="17"/>
        <v>3.3861296809388576E-2</v>
      </c>
      <c r="BA34" s="129">
        <f t="shared" si="18"/>
        <v>4.4233560522488856E-2</v>
      </c>
      <c r="BB34" s="129"/>
      <c r="BC34" s="129"/>
      <c r="BD34" s="129">
        <f t="shared" si="19"/>
        <v>2.6849106276345459E-3</v>
      </c>
      <c r="BE34" s="129">
        <f t="shared" si="20"/>
        <v>7.6234021417342403E-3</v>
      </c>
      <c r="BH34" s="129">
        <f t="shared" si="21"/>
        <v>1.0034385839412299</v>
      </c>
      <c r="BI34" s="129">
        <f t="shared" si="22"/>
        <v>0.9936114603623758</v>
      </c>
      <c r="BJ34" s="129">
        <f t="shared" si="6"/>
        <v>1.1858681144100962</v>
      </c>
      <c r="BK34" s="129"/>
      <c r="BL34" s="129">
        <f t="shared" si="23"/>
        <v>1.0370235733912656</v>
      </c>
      <c r="BM34" s="129">
        <f t="shared" si="24"/>
        <v>5.2026052453717559</v>
      </c>
      <c r="BN34" s="129">
        <f t="shared" si="7"/>
        <v>0.78563192137415572</v>
      </c>
      <c r="BO34" s="129"/>
      <c r="BP34" s="129">
        <f t="shared" si="25"/>
        <v>1.0038795692981912</v>
      </c>
      <c r="BQ34" s="129">
        <f t="shared" si="26"/>
        <v>1.0214870469173545</v>
      </c>
      <c r="BR34" s="129">
        <f t="shared" si="8"/>
        <v>0.97998802154816</v>
      </c>
      <c r="BU34" s="155"/>
      <c r="BW34">
        <f t="shared" ref="BW34:BW46" si="42">BW33+1</f>
        <v>1987</v>
      </c>
      <c r="BX34" s="129">
        <f t="shared" si="38"/>
        <v>1.0584149691674531</v>
      </c>
      <c r="BY34" s="156">
        <f t="shared" si="39"/>
        <v>1.008249059701241</v>
      </c>
      <c r="BZ34" s="129">
        <f t="shared" si="40"/>
        <v>0.98888140040758443</v>
      </c>
      <c r="CA34" s="129">
        <f t="shared" si="41"/>
        <v>1.0552807294965139</v>
      </c>
    </row>
    <row r="35" spans="1:79" x14ac:dyDescent="0.2">
      <c r="A35" s="133" t="s">
        <v>664</v>
      </c>
      <c r="B35" s="133">
        <f t="shared" si="9"/>
        <v>1974</v>
      </c>
      <c r="D35" s="5">
        <f>Passenger_Total!G35</f>
        <v>12892.816046349339</v>
      </c>
      <c r="E35" s="5">
        <f>Freight_Total!I34</f>
        <v>4207.6962302170105</v>
      </c>
      <c r="F35" s="5">
        <f t="shared" si="0"/>
        <v>17100.512276566347</v>
      </c>
      <c r="G35" s="5"/>
      <c r="H35" s="5">
        <f>Passenger_Total!L35</f>
        <v>2552817.5527093699</v>
      </c>
      <c r="I35" s="5">
        <f>Freight_Total!P34</f>
        <v>2430091.7876400719</v>
      </c>
      <c r="J35" s="263">
        <f t="shared" si="34"/>
        <v>0.77065445171387126</v>
      </c>
      <c r="L35" s="138">
        <f t="shared" si="35"/>
        <v>5050.4259627429574</v>
      </c>
      <c r="M35" s="138">
        <f t="shared" si="36"/>
        <v>1731.4968313617562</v>
      </c>
      <c r="N35" s="138">
        <f t="shared" si="37"/>
        <v>22189.597735452295</v>
      </c>
      <c r="P35" s="509">
        <f>Passenger_Total!AE35</f>
        <v>1.2396436941349878</v>
      </c>
      <c r="Q35" s="509">
        <f>Freight_Total!AO34</f>
        <v>0.99061757870186251</v>
      </c>
      <c r="R35" s="129"/>
      <c r="S35" s="509">
        <f>Passenger_Total!AI35</f>
        <v>0.97657757536861878</v>
      </c>
      <c r="T35" s="509">
        <f>Freight_Total!AS34</f>
        <v>0.98854283897677309</v>
      </c>
      <c r="V35" s="131">
        <f t="shared" si="27"/>
        <v>0.77065445171387126</v>
      </c>
      <c r="W35" s="147">
        <f t="shared" si="28"/>
        <v>1.1448411523618671</v>
      </c>
      <c r="X35" s="131">
        <v>1</v>
      </c>
      <c r="Y35" s="131">
        <f t="shared" si="29"/>
        <v>0.97957540613371152</v>
      </c>
      <c r="Z35" s="131">
        <f t="shared" si="30"/>
        <v>1.1687116123917829</v>
      </c>
      <c r="AA35" s="131">
        <f t="shared" si="31"/>
        <v>0.88227693057291001</v>
      </c>
      <c r="AB35" s="131">
        <f t="shared" si="32"/>
        <v>0.88227693057291134</v>
      </c>
      <c r="AC35" s="131"/>
      <c r="AD35" s="131">
        <f t="shared" si="33"/>
        <v>0.97957540613371152</v>
      </c>
      <c r="AG35" s="134"/>
      <c r="AI35" s="129">
        <f t="shared" si="2"/>
        <v>0.75394326426214631</v>
      </c>
      <c r="AJ35" s="129">
        <f t="shared" si="3"/>
        <v>0.2460567357378538</v>
      </c>
      <c r="AL35" s="129">
        <f t="shared" si="10"/>
        <v>0.75625125256103076</v>
      </c>
      <c r="AM35" s="129">
        <f t="shared" si="11"/>
        <v>0.24373909508177932</v>
      </c>
      <c r="AN35" s="129">
        <f t="shared" si="12"/>
        <v>0.99999034764281003</v>
      </c>
      <c r="AO35" s="129"/>
      <c r="AP35" s="129">
        <f t="shared" si="13"/>
        <v>0.75625855223870497</v>
      </c>
      <c r="AQ35" s="129">
        <f t="shared" si="14"/>
        <v>0.24374144776129511</v>
      </c>
      <c r="AT35" s="129">
        <f t="shared" si="15"/>
        <v>-1.8994462700887508E-2</v>
      </c>
      <c r="AU35" s="129">
        <f t="shared" si="16"/>
        <v>-8.5505131462898444E-4</v>
      </c>
      <c r="AW35" s="129">
        <f t="shared" si="4"/>
        <v>0.74783588105686249</v>
      </c>
      <c r="AX35" s="129">
        <f t="shared" si="5"/>
        <v>0.83573164264384192</v>
      </c>
      <c r="AY35" s="129"/>
      <c r="AZ35" s="129">
        <f t="shared" si="17"/>
        <v>-2.2533458224097188E-2</v>
      </c>
      <c r="BA35" s="129">
        <f t="shared" si="18"/>
        <v>-9.0554056725921112E-3</v>
      </c>
      <c r="BB35" s="129"/>
      <c r="BC35" s="129"/>
      <c r="BD35" s="129">
        <f t="shared" si="19"/>
        <v>1.1753739128480907E-3</v>
      </c>
      <c r="BE35" s="129">
        <f t="shared" si="20"/>
        <v>-5.3746153229708195E-3</v>
      </c>
      <c r="BH35" s="129">
        <f t="shared" si="21"/>
        <v>0.98553253788525397</v>
      </c>
      <c r="BI35" s="129">
        <f t="shared" si="22"/>
        <v>0.97923642420280566</v>
      </c>
      <c r="BJ35" s="129">
        <f t="shared" si="6"/>
        <v>1.1687116123917829</v>
      </c>
      <c r="BK35" s="129"/>
      <c r="BL35" s="129">
        <f t="shared" si="23"/>
        <v>0.98093576743408384</v>
      </c>
      <c r="BM35" s="129">
        <f t="shared" si="24"/>
        <v>5.1034215690253335</v>
      </c>
      <c r="BN35" s="129">
        <f t="shared" si="7"/>
        <v>0.77065445171387126</v>
      </c>
      <c r="BO35" s="129"/>
      <c r="BP35" s="129">
        <f t="shared" si="25"/>
        <v>0.99957895871645797</v>
      </c>
      <c r="BQ35" s="129">
        <f t="shared" si="26"/>
        <v>1.0210569586999989</v>
      </c>
      <c r="BR35" s="129">
        <f t="shared" si="8"/>
        <v>0.97957540613371152</v>
      </c>
      <c r="BU35" s="155"/>
      <c r="BW35">
        <f t="shared" si="42"/>
        <v>1988</v>
      </c>
      <c r="BX35" s="129">
        <f t="shared" si="38"/>
        <v>1.0991398319654007</v>
      </c>
      <c r="BY35" s="156">
        <f t="shared" si="39"/>
        <v>1.012366337615753</v>
      </c>
      <c r="BZ35" s="129">
        <f t="shared" si="40"/>
        <v>0.97402907385998705</v>
      </c>
      <c r="CA35" s="129">
        <f t="shared" si="41"/>
        <v>1.0838334813120365</v>
      </c>
    </row>
    <row r="36" spans="1:79" x14ac:dyDescent="0.2">
      <c r="A36" s="133" t="s">
        <v>664</v>
      </c>
      <c r="B36" s="133">
        <f t="shared" si="9"/>
        <v>1975</v>
      </c>
      <c r="D36" s="5">
        <f>Passenger_Total!G36</f>
        <v>13209.319650123274</v>
      </c>
      <c r="E36" s="5">
        <f>Freight_Total!I35</f>
        <v>4090.5707356044463</v>
      </c>
      <c r="F36" s="5">
        <f t="shared" si="0"/>
        <v>17299.890385727722</v>
      </c>
      <c r="G36" s="5"/>
      <c r="H36" s="5">
        <f>Passenger_Total!L36</f>
        <v>2633675.4000000493</v>
      </c>
      <c r="I36" s="5">
        <f>Freight_Total!P35</f>
        <v>2249247.9100658325</v>
      </c>
      <c r="J36" s="263">
        <f t="shared" si="34"/>
        <v>0.77452140459660235</v>
      </c>
      <c r="L36" s="138">
        <f t="shared" si="35"/>
        <v>5015.5458224362155</v>
      </c>
      <c r="M36" s="138">
        <f t="shared" si="36"/>
        <v>1818.6393404205589</v>
      </c>
      <c r="N36" s="138">
        <f t="shared" si="37"/>
        <v>22336.232779438942</v>
      </c>
      <c r="P36" s="509">
        <f>Passenger_Total!AE36</f>
        <v>1.2275752702939975</v>
      </c>
      <c r="Q36" s="509">
        <f>Freight_Total!AO35</f>
        <v>1.0134910514757969</v>
      </c>
      <c r="R36" s="129"/>
      <c r="S36" s="509">
        <f>Passenger_Total!AI36</f>
        <v>0.9793674951508774</v>
      </c>
      <c r="T36" s="509">
        <f>Freight_Total!AS35</f>
        <v>1.0148608205659135</v>
      </c>
      <c r="V36" s="131">
        <f t="shared" si="27"/>
        <v>0.77452140459660235</v>
      </c>
      <c r="W36" s="147">
        <f t="shared" si="28"/>
        <v>1.1524065816560674</v>
      </c>
      <c r="X36" s="131">
        <v>1</v>
      </c>
      <c r="Y36" s="131">
        <f t="shared" si="29"/>
        <v>0.98794015026700865</v>
      </c>
      <c r="Z36" s="131">
        <f t="shared" si="30"/>
        <v>1.1664740838244174</v>
      </c>
      <c r="AA36" s="131">
        <f t="shared" si="31"/>
        <v>0.89256356429062544</v>
      </c>
      <c r="AB36" s="131">
        <f t="shared" si="32"/>
        <v>0.89256356429062644</v>
      </c>
      <c r="AC36" s="131"/>
      <c r="AD36" s="131">
        <f t="shared" si="33"/>
        <v>0.98794015026700865</v>
      </c>
      <c r="AG36" s="134"/>
      <c r="AI36" s="129">
        <f t="shared" si="2"/>
        <v>0.76354932635994399</v>
      </c>
      <c r="AJ36" s="129">
        <f t="shared" si="3"/>
        <v>0.2364506736400559</v>
      </c>
      <c r="AL36" s="129">
        <f t="shared" si="10"/>
        <v>0.75873616045485326</v>
      </c>
      <c r="AM36" s="129">
        <f t="shared" si="11"/>
        <v>0.24122182739465453</v>
      </c>
      <c r="AN36" s="129">
        <f t="shared" si="12"/>
        <v>0.99995798784950773</v>
      </c>
      <c r="AO36" s="129"/>
      <c r="AP36" s="129">
        <f t="shared" si="13"/>
        <v>0.75876803793185155</v>
      </c>
      <c r="AQ36" s="129">
        <f t="shared" si="14"/>
        <v>0.24123196206814848</v>
      </c>
      <c r="AT36" s="129">
        <f t="shared" si="15"/>
        <v>-9.7830960847288487E-3</v>
      </c>
      <c r="AU36" s="129">
        <f t="shared" si="16"/>
        <v>2.2827571018463718E-2</v>
      </c>
      <c r="AW36" s="129">
        <f t="shared" si="4"/>
        <v>0.77152280666766848</v>
      </c>
      <c r="AX36" s="129">
        <f t="shared" si="5"/>
        <v>0.77353771579880937</v>
      </c>
      <c r="AY36" s="129"/>
      <c r="AZ36" s="129">
        <f t="shared" si="17"/>
        <v>3.1182689279224889E-2</v>
      </c>
      <c r="BA36" s="129">
        <f t="shared" si="18"/>
        <v>-7.7333131185168241E-2</v>
      </c>
      <c r="BB36" s="129"/>
      <c r="BC36" s="129"/>
      <c r="BD36" s="129">
        <f t="shared" si="19"/>
        <v>2.8527607614305234E-3</v>
      </c>
      <c r="BE36" s="129">
        <f t="shared" si="20"/>
        <v>2.6274780450559154E-2</v>
      </c>
      <c r="BH36" s="129">
        <f t="shared" si="21"/>
        <v>0.99808547417203597</v>
      </c>
      <c r="BI36" s="129">
        <f t="shared" si="22"/>
        <v>0.97736165077698622</v>
      </c>
      <c r="BJ36" s="129">
        <f t="shared" si="6"/>
        <v>1.1664740838244174</v>
      </c>
      <c r="BK36" s="129"/>
      <c r="BL36" s="129">
        <f t="shared" si="23"/>
        <v>1.0050177519563162</v>
      </c>
      <c r="BM36" s="129">
        <f t="shared" si="24"/>
        <v>5.1290292725872169</v>
      </c>
      <c r="BN36" s="129">
        <f t="shared" si="7"/>
        <v>0.77452140459660235</v>
      </c>
      <c r="BO36" s="129"/>
      <c r="BP36" s="129">
        <f t="shared" si="25"/>
        <v>1.0085391528624752</v>
      </c>
      <c r="BQ36" s="129">
        <f t="shared" si="26"/>
        <v>1.0297759201516323</v>
      </c>
      <c r="BR36" s="129">
        <f t="shared" si="8"/>
        <v>0.98794015026700865</v>
      </c>
      <c r="BU36" s="155"/>
      <c r="BW36">
        <f t="shared" si="42"/>
        <v>1989</v>
      </c>
      <c r="BX36" s="129">
        <f t="shared" si="38"/>
        <v>1.1129082704181696</v>
      </c>
      <c r="BY36" s="156">
        <f t="shared" si="39"/>
        <v>1.0221551717222097</v>
      </c>
      <c r="BZ36" s="129">
        <f t="shared" si="40"/>
        <v>0.96511721846800635</v>
      </c>
      <c r="CA36" s="129">
        <f t="shared" si="41"/>
        <v>1.0978835148312631</v>
      </c>
    </row>
    <row r="37" spans="1:79" x14ac:dyDescent="0.2">
      <c r="A37" s="133" t="s">
        <v>664</v>
      </c>
      <c r="B37" s="133">
        <f t="shared" si="9"/>
        <v>1976</v>
      </c>
      <c r="D37" s="5">
        <f>Passenger_Total!G37</f>
        <v>13941.874982055751</v>
      </c>
      <c r="E37" s="5">
        <f>Freight_Total!I36</f>
        <v>4248.7377090447326</v>
      </c>
      <c r="F37" s="5">
        <f t="shared" si="0"/>
        <v>18190.612691100483</v>
      </c>
      <c r="G37" s="5"/>
      <c r="H37" s="5">
        <f>Passenger_Total!L37</f>
        <v>2786313.4960847469</v>
      </c>
      <c r="I37" s="5">
        <f>Freight_Total!P36</f>
        <v>2392175.3505920316</v>
      </c>
      <c r="J37" s="263">
        <f t="shared" si="34"/>
        <v>0.82042491580161059</v>
      </c>
      <c r="L37" s="138">
        <f t="shared" si="35"/>
        <v>5003.6993330601526</v>
      </c>
      <c r="M37" s="138">
        <f t="shared" si="36"/>
        <v>1776.0979386369927</v>
      </c>
      <c r="N37" s="138">
        <f t="shared" si="37"/>
        <v>22172.184609151009</v>
      </c>
      <c r="P37" s="509">
        <f>Passenger_Total!AE37</f>
        <v>1.2189768579541542</v>
      </c>
      <c r="Q37" s="509">
        <f>Freight_Total!AO36</f>
        <v>0.97557971532643428</v>
      </c>
      <c r="R37" s="129"/>
      <c r="S37" s="509">
        <f>Passenger_Total!AI37</f>
        <v>0.98394621414179462</v>
      </c>
      <c r="T37" s="509">
        <f>Freight_Total!AS36</f>
        <v>1.0296366008106235</v>
      </c>
      <c r="V37" s="131">
        <f t="shared" si="27"/>
        <v>0.82042491580161059</v>
      </c>
      <c r="W37" s="147">
        <f t="shared" si="28"/>
        <v>1.1439427465494385</v>
      </c>
      <c r="X37" s="131">
        <v>1</v>
      </c>
      <c r="Y37" s="131">
        <f t="shared" si="29"/>
        <v>0.99484521397153858</v>
      </c>
      <c r="Z37" s="131">
        <f t="shared" si="30"/>
        <v>1.1498700807763698</v>
      </c>
      <c r="AA37" s="131">
        <f t="shared" si="31"/>
        <v>0.9385191315196858</v>
      </c>
      <c r="AB37" s="131">
        <f t="shared" si="32"/>
        <v>0.93851913151968624</v>
      </c>
      <c r="AC37" s="131"/>
      <c r="AD37" s="131">
        <f t="shared" si="33"/>
        <v>0.99484521397153858</v>
      </c>
      <c r="AG37" s="134"/>
      <c r="AI37" s="129">
        <f t="shared" si="2"/>
        <v>0.76643240218492636</v>
      </c>
      <c r="AJ37" s="129">
        <f t="shared" si="3"/>
        <v>0.23356759781507366</v>
      </c>
      <c r="AL37" s="129">
        <f t="shared" si="10"/>
        <v>0.76498995880037557</v>
      </c>
      <c r="AM37" s="129">
        <f t="shared" si="11"/>
        <v>0.23500618825008787</v>
      </c>
      <c r="AN37" s="129">
        <f t="shared" si="12"/>
        <v>0.99999614705046347</v>
      </c>
      <c r="AO37" s="129"/>
      <c r="AP37" s="129">
        <f t="shared" si="13"/>
        <v>0.76499290627943928</v>
      </c>
      <c r="AQ37" s="129">
        <f t="shared" si="14"/>
        <v>0.23500709372056069</v>
      </c>
      <c r="AT37" s="129">
        <f t="shared" si="15"/>
        <v>-7.0290329337899483E-3</v>
      </c>
      <c r="AU37" s="129">
        <f t="shared" si="16"/>
        <v>-3.8124262397520758E-2</v>
      </c>
      <c r="AW37" s="129">
        <f t="shared" si="4"/>
        <v>0.81623741815535333</v>
      </c>
      <c r="AX37" s="129">
        <f t="shared" si="5"/>
        <v>0.82269181987725681</v>
      </c>
      <c r="AY37" s="129"/>
      <c r="AZ37" s="129">
        <f t="shared" si="17"/>
        <v>5.6339033439125503E-2</v>
      </c>
      <c r="BA37" s="129">
        <f t="shared" si="18"/>
        <v>6.1607242359936858E-2</v>
      </c>
      <c r="BB37" s="129"/>
      <c r="BC37" s="129"/>
      <c r="BD37" s="129">
        <f t="shared" si="19"/>
        <v>4.6642849487474533E-3</v>
      </c>
      <c r="BE37" s="129">
        <f t="shared" si="20"/>
        <v>1.4454444744381904E-2</v>
      </c>
      <c r="BH37" s="129">
        <f t="shared" si="21"/>
        <v>0.98576564770851194</v>
      </c>
      <c r="BI37" s="129">
        <f t="shared" si="22"/>
        <v>0.96344954072363631</v>
      </c>
      <c r="BJ37" s="129">
        <f t="shared" si="6"/>
        <v>1.1498700807763698</v>
      </c>
      <c r="BK37" s="129"/>
      <c r="BL37" s="129">
        <f t="shared" si="23"/>
        <v>1.0592669368884859</v>
      </c>
      <c r="BM37" s="129">
        <f t="shared" si="24"/>
        <v>5.43301112678484</v>
      </c>
      <c r="BN37" s="129">
        <f t="shared" si="7"/>
        <v>0.82042491580161059</v>
      </c>
      <c r="BO37" s="129"/>
      <c r="BP37" s="129">
        <f t="shared" si="25"/>
        <v>1.0069893542667172</v>
      </c>
      <c r="BQ37" s="129">
        <f t="shared" si="26"/>
        <v>1.0369733888729067</v>
      </c>
      <c r="BR37" s="129">
        <f t="shared" si="8"/>
        <v>0.99484521397153858</v>
      </c>
      <c r="BU37" s="155"/>
      <c r="BW37">
        <f t="shared" si="42"/>
        <v>1990</v>
      </c>
      <c r="BX37" s="129">
        <f t="shared" si="38"/>
        <v>1.1281809015259485</v>
      </c>
      <c r="BY37" s="156">
        <f t="shared" si="39"/>
        <v>1.0229895758226804</v>
      </c>
      <c r="BZ37" s="129">
        <f t="shared" si="40"/>
        <v>0.95515668919483165</v>
      </c>
      <c r="CA37" s="129">
        <f t="shared" si="41"/>
        <v>1.102362861028408</v>
      </c>
    </row>
    <row r="38" spans="1:79" x14ac:dyDescent="0.2">
      <c r="A38" s="133" t="s">
        <v>664</v>
      </c>
      <c r="B38" s="133">
        <f t="shared" si="9"/>
        <v>1977</v>
      </c>
      <c r="D38" s="5">
        <f>Passenger_Total!G38</f>
        <v>14194.574690435886</v>
      </c>
      <c r="E38" s="5">
        <f>Freight_Total!I37</f>
        <v>4525.1902627624622</v>
      </c>
      <c r="F38" s="5">
        <f t="shared" si="0"/>
        <v>18719.764953198348</v>
      </c>
      <c r="G38" s="5"/>
      <c r="H38" s="5">
        <f>Passenger_Total!L38</f>
        <v>2912472.6143958615</v>
      </c>
      <c r="I38" s="5">
        <f>Freight_Total!P37</f>
        <v>2491257.5927025345</v>
      </c>
      <c r="J38" s="263">
        <f t="shared" si="34"/>
        <v>0.85681885206776398</v>
      </c>
      <c r="L38" s="138">
        <f t="shared" si="35"/>
        <v>4873.7195399793609</v>
      </c>
      <c r="M38" s="138">
        <f t="shared" si="36"/>
        <v>1816.4280867694224</v>
      </c>
      <c r="N38" s="138">
        <f t="shared" si="37"/>
        <v>21847.984446212722</v>
      </c>
      <c r="P38" s="509">
        <f>Passenger_Total!AE38</f>
        <v>1.1838941838936499</v>
      </c>
      <c r="Q38" s="509">
        <f>Freight_Total!AO37</f>
        <v>0.98013652057804246</v>
      </c>
      <c r="R38" s="129"/>
      <c r="S38" s="509">
        <f>Passenger_Total!AI38</f>
        <v>0.98678664039040831</v>
      </c>
      <c r="T38" s="509">
        <f>Freight_Total!AS37</f>
        <v>1.0481210919878972</v>
      </c>
      <c r="V38" s="131">
        <f t="shared" si="27"/>
        <v>0.85681885206776398</v>
      </c>
      <c r="W38" s="147">
        <f t="shared" si="28"/>
        <v>1.1272160941531593</v>
      </c>
      <c r="X38" s="131">
        <v>1</v>
      </c>
      <c r="Y38" s="131">
        <f t="shared" si="29"/>
        <v>1.001258552650897</v>
      </c>
      <c r="Z38" s="131">
        <f t="shared" si="30"/>
        <v>1.1257992165647734</v>
      </c>
      <c r="AA38" s="131">
        <f t="shared" si="31"/>
        <v>0.96581999982461808</v>
      </c>
      <c r="AB38" s="131">
        <f t="shared" si="32"/>
        <v>0.96581999982461852</v>
      </c>
      <c r="AC38" s="131"/>
      <c r="AD38" s="131">
        <f t="shared" si="33"/>
        <v>1.001258552650897</v>
      </c>
      <c r="AG38" s="134"/>
      <c r="AI38" s="129">
        <f t="shared" si="2"/>
        <v>0.75826671573729798</v>
      </c>
      <c r="AJ38" s="129">
        <f t="shared" si="3"/>
        <v>0.24173328426270196</v>
      </c>
      <c r="AL38" s="129">
        <f t="shared" si="10"/>
        <v>0.76234227020663214</v>
      </c>
      <c r="AM38" s="129">
        <f t="shared" si="11"/>
        <v>0.23762705806661796</v>
      </c>
      <c r="AN38" s="129">
        <f t="shared" si="12"/>
        <v>0.99996932827325014</v>
      </c>
      <c r="AO38" s="129"/>
      <c r="AP38" s="129">
        <f t="shared" si="13"/>
        <v>0.76236565327763295</v>
      </c>
      <c r="AQ38" s="129">
        <f t="shared" si="14"/>
        <v>0.23763434672236702</v>
      </c>
      <c r="AT38" s="129">
        <f t="shared" si="15"/>
        <v>-2.9202705111384338E-2</v>
      </c>
      <c r="AU38" s="129">
        <f t="shared" si="16"/>
        <v>4.6599945473431003E-3</v>
      </c>
      <c r="AW38" s="129">
        <f t="shared" si="4"/>
        <v>0.8531951377916106</v>
      </c>
      <c r="AX38" s="129">
        <f t="shared" si="5"/>
        <v>0.85676714385350083</v>
      </c>
      <c r="AY38" s="129"/>
      <c r="AZ38" s="129">
        <f t="shared" si="17"/>
        <v>4.4283021522998005E-2</v>
      </c>
      <c r="BA38" s="129">
        <f t="shared" si="18"/>
        <v>4.0584499783112342E-2</v>
      </c>
      <c r="BB38" s="129"/>
      <c r="BC38" s="129"/>
      <c r="BD38" s="129">
        <f t="shared" si="19"/>
        <v>2.8826111148910335E-3</v>
      </c>
      <c r="BE38" s="129">
        <f t="shared" si="20"/>
        <v>1.7793199773117094E-2</v>
      </c>
      <c r="BH38" s="129">
        <f t="shared" si="21"/>
        <v>0.97906644879798588</v>
      </c>
      <c r="BI38" s="129">
        <f t="shared" si="22"/>
        <v>0.94328112043234102</v>
      </c>
      <c r="BJ38" s="129">
        <f t="shared" si="6"/>
        <v>1.1257992165647734</v>
      </c>
      <c r="BK38" s="129"/>
      <c r="BL38" s="129">
        <f t="shared" si="23"/>
        <v>1.0443598622679493</v>
      </c>
      <c r="BM38" s="129">
        <f t="shared" si="24"/>
        <v>5.6740187520692515</v>
      </c>
      <c r="BN38" s="129">
        <f t="shared" si="7"/>
        <v>0.85681885206776398</v>
      </c>
      <c r="BO38" s="129"/>
      <c r="BP38" s="129">
        <f t="shared" si="25"/>
        <v>1.0064465693650531</v>
      </c>
      <c r="BQ38" s="129">
        <f t="shared" si="26"/>
        <v>1.04365830975399</v>
      </c>
      <c r="BR38" s="129">
        <f t="shared" si="8"/>
        <v>1.001258552650897</v>
      </c>
      <c r="BU38" s="155"/>
      <c r="BW38">
        <f t="shared" si="42"/>
        <v>1991</v>
      </c>
      <c r="BX38" s="129">
        <f t="shared" si="38"/>
        <v>1.1387410050538485</v>
      </c>
      <c r="BY38" s="156">
        <f t="shared" si="39"/>
        <v>1.0269882151215839</v>
      </c>
      <c r="BZ38" s="129">
        <f t="shared" si="40"/>
        <v>0.91712551484643423</v>
      </c>
      <c r="CA38" s="129">
        <f t="shared" si="41"/>
        <v>1.0725540704062735</v>
      </c>
    </row>
    <row r="39" spans="1:79" x14ac:dyDescent="0.2">
      <c r="A39" s="133" t="s">
        <v>664</v>
      </c>
      <c r="B39" s="133">
        <f t="shared" si="9"/>
        <v>1978</v>
      </c>
      <c r="D39" s="5">
        <f>Passenger_Total!G39</f>
        <v>14713.514135389027</v>
      </c>
      <c r="E39" s="5">
        <f>Freight_Total!I38</f>
        <v>4917.7057249396848</v>
      </c>
      <c r="F39" s="5">
        <f t="shared" si="0"/>
        <v>19631.219860328711</v>
      </c>
      <c r="G39" s="5"/>
      <c r="H39" s="5">
        <f>Passenger_Total!L39</f>
        <v>3056317.6527466327</v>
      </c>
      <c r="I39" s="5">
        <f>Freight_Total!P38</f>
        <v>2819582.6663448736</v>
      </c>
      <c r="J39" s="263">
        <f t="shared" si="34"/>
        <v>0.91602019497620724</v>
      </c>
      <c r="L39" s="138">
        <f t="shared" si="35"/>
        <v>4814.1311889378958</v>
      </c>
      <c r="M39" s="138">
        <f t="shared" si="36"/>
        <v>1744.1253926116249</v>
      </c>
      <c r="N39" s="138">
        <f t="shared" si="37"/>
        <v>21430.990242347892</v>
      </c>
      <c r="P39" s="509">
        <f>Passenger_Total!AE39</f>
        <v>1.163624049082058</v>
      </c>
      <c r="Q39" s="509">
        <f>Freight_Total!AO38</f>
        <v>0.98650712386202355</v>
      </c>
      <c r="R39" s="129"/>
      <c r="S39" s="509">
        <f>Passenger_Total!AI39</f>
        <v>0.99170121841612657</v>
      </c>
      <c r="T39" s="509">
        <f>Freight_Total!AS38</f>
        <v>0.99990169107085347</v>
      </c>
      <c r="V39" s="131">
        <f t="shared" si="27"/>
        <v>0.91602019497620724</v>
      </c>
      <c r="W39" s="147">
        <f t="shared" si="28"/>
        <v>1.1057018634504503</v>
      </c>
      <c r="X39" s="131">
        <v>1</v>
      </c>
      <c r="Y39" s="131">
        <f t="shared" si="29"/>
        <v>0.99343406014476054</v>
      </c>
      <c r="Z39" s="131">
        <f t="shared" si="30"/>
        <v>1.1130098189801645</v>
      </c>
      <c r="AA39" s="131">
        <f t="shared" si="31"/>
        <v>1.0128452365434366</v>
      </c>
      <c r="AB39" s="131">
        <f t="shared" si="32"/>
        <v>1.0128452365434371</v>
      </c>
      <c r="AC39" s="131"/>
      <c r="AD39" s="131">
        <f t="shared" si="33"/>
        <v>0.99343406014476054</v>
      </c>
      <c r="AG39" s="134"/>
      <c r="AI39" s="129">
        <f t="shared" si="2"/>
        <v>0.74949566252489919</v>
      </c>
      <c r="AJ39" s="129">
        <f t="shared" si="3"/>
        <v>0.25050433747510081</v>
      </c>
      <c r="AL39" s="129">
        <f t="shared" si="10"/>
        <v>0.75387268513097772</v>
      </c>
      <c r="AM39" s="129">
        <f t="shared" si="11"/>
        <v>0.24609276047988268</v>
      </c>
      <c r="AN39" s="129">
        <f t="shared" si="12"/>
        <v>0.99996544561086043</v>
      </c>
      <c r="AO39" s="129"/>
      <c r="AP39" s="129">
        <f t="shared" si="13"/>
        <v>0.75389873564126086</v>
      </c>
      <c r="AQ39" s="129">
        <f t="shared" si="14"/>
        <v>0.24610126435873908</v>
      </c>
      <c r="AT39" s="129">
        <f t="shared" si="15"/>
        <v>-1.7269845505384119E-2</v>
      </c>
      <c r="AU39" s="129">
        <f t="shared" si="16"/>
        <v>6.4786781122213302E-3</v>
      </c>
      <c r="AW39" s="129">
        <f t="shared" si="4"/>
        <v>0.8953338644219323</v>
      </c>
      <c r="AX39" s="129">
        <f t="shared" si="5"/>
        <v>0.96968125455165743</v>
      </c>
      <c r="AY39" s="129"/>
      <c r="AZ39" s="129">
        <f t="shared" si="17"/>
        <v>4.8208393798993492E-2</v>
      </c>
      <c r="BA39" s="129">
        <f t="shared" si="18"/>
        <v>0.1238012430521227</v>
      </c>
      <c r="BB39" s="129"/>
      <c r="BC39" s="129"/>
      <c r="BD39" s="129">
        <f t="shared" si="19"/>
        <v>4.9680245567407175E-3</v>
      </c>
      <c r="BE39" s="129">
        <f t="shared" si="20"/>
        <v>-4.709743877571404E-2</v>
      </c>
      <c r="BH39" s="129">
        <f t="shared" si="21"/>
        <v>0.98863971710369969</v>
      </c>
      <c r="BI39" s="129">
        <f t="shared" si="22"/>
        <v>0.93256518005349054</v>
      </c>
      <c r="BJ39" s="129">
        <f t="shared" si="6"/>
        <v>1.1130098189801645</v>
      </c>
      <c r="BK39" s="129"/>
      <c r="BL39" s="129">
        <f t="shared" si="23"/>
        <v>1.069094351467142</v>
      </c>
      <c r="BM39" s="129">
        <f t="shared" si="24"/>
        <v>6.0660613979558793</v>
      </c>
      <c r="BN39" s="129">
        <f t="shared" si="7"/>
        <v>0.91602019497620724</v>
      </c>
      <c r="BO39" s="129"/>
      <c r="BP39" s="129">
        <f t="shared" si="25"/>
        <v>0.9921853426515852</v>
      </c>
      <c r="BQ39" s="129">
        <f t="shared" si="26"/>
        <v>1.0355024776744368</v>
      </c>
      <c r="BR39" s="129">
        <f t="shared" si="8"/>
        <v>0.99343406014476054</v>
      </c>
      <c r="BU39" s="155"/>
      <c r="BW39">
        <f t="shared" si="42"/>
        <v>1992</v>
      </c>
      <c r="BX39" s="129">
        <f t="shared" si="38"/>
        <v>1.1743557038530226</v>
      </c>
      <c r="BY39" s="156">
        <f t="shared" si="39"/>
        <v>1.0290448673490344</v>
      </c>
      <c r="BZ39" s="129">
        <f t="shared" si="40"/>
        <v>0.9168561266835954</v>
      </c>
      <c r="CA39" s="129">
        <f t="shared" si="41"/>
        <v>1.1079882727786654</v>
      </c>
    </row>
    <row r="40" spans="1:79" x14ac:dyDescent="0.2">
      <c r="A40" s="133" t="s">
        <v>664</v>
      </c>
      <c r="B40" s="133">
        <f t="shared" si="9"/>
        <v>1979</v>
      </c>
      <c r="D40" s="5">
        <f>Passenger_Total!G40</f>
        <v>14334.815434928501</v>
      </c>
      <c r="E40" s="5">
        <f>Freight_Total!I39</f>
        <v>5109.2119779293553</v>
      </c>
      <c r="F40" s="5">
        <f t="shared" si="0"/>
        <v>19444.027412857857</v>
      </c>
      <c r="G40" s="5"/>
      <c r="H40" s="5">
        <f>Passenger_Total!L40</f>
        <v>3047485.134732537</v>
      </c>
      <c r="I40" s="5">
        <f>Freight_Total!P39</f>
        <v>2893652.8610711549</v>
      </c>
      <c r="J40" s="263">
        <f t="shared" si="34"/>
        <v>0.92015382081904729</v>
      </c>
      <c r="L40" s="138">
        <f t="shared" si="35"/>
        <v>4703.8180011291834</v>
      </c>
      <c r="M40" s="138">
        <f t="shared" si="36"/>
        <v>1765.6616820436636</v>
      </c>
      <c r="N40" s="138">
        <f t="shared" si="37"/>
        <v>21131.279328439174</v>
      </c>
      <c r="P40" s="509">
        <f>Passenger_Total!AE40</f>
        <v>1.1352974857388176</v>
      </c>
      <c r="Q40" s="509">
        <f>Freight_Total!AO39</f>
        <v>1.0118903227897342</v>
      </c>
      <c r="R40" s="129"/>
      <c r="S40" s="509">
        <f>Passenger_Total!AI40</f>
        <v>0.99315366128499327</v>
      </c>
      <c r="T40" s="509">
        <f>Freight_Total!AS39</f>
        <v>0.98685619841940297</v>
      </c>
      <c r="V40" s="131">
        <f t="shared" si="27"/>
        <v>0.92015382081904729</v>
      </c>
      <c r="W40" s="147">
        <f t="shared" si="28"/>
        <v>1.0902386994875235</v>
      </c>
      <c r="X40" s="131">
        <v>1</v>
      </c>
      <c r="Y40" s="131">
        <f t="shared" si="29"/>
        <v>0.99116973880962289</v>
      </c>
      <c r="Z40" s="131">
        <f t="shared" si="30"/>
        <v>1.0999515590507036</v>
      </c>
      <c r="AA40" s="131">
        <f t="shared" si="31"/>
        <v>1.0031873049382338</v>
      </c>
      <c r="AB40" s="131">
        <f t="shared" si="32"/>
        <v>1.0031873049382338</v>
      </c>
      <c r="AC40" s="131"/>
      <c r="AD40" s="131">
        <f t="shared" si="33"/>
        <v>0.99116973880962289</v>
      </c>
      <c r="AG40" s="134"/>
      <c r="AI40" s="129">
        <f t="shared" si="2"/>
        <v>0.7372348912370511</v>
      </c>
      <c r="AJ40" s="129">
        <f t="shared" si="3"/>
        <v>0.26276510876294895</v>
      </c>
      <c r="AL40" s="129">
        <f t="shared" si="10"/>
        <v>0.74334842455148031</v>
      </c>
      <c r="AM40" s="129">
        <f t="shared" si="11"/>
        <v>0.25658590230477174</v>
      </c>
      <c r="AN40" s="129">
        <f t="shared" si="12"/>
        <v>0.99993432685625205</v>
      </c>
      <c r="AO40" s="129"/>
      <c r="AP40" s="129">
        <f t="shared" si="13"/>
        <v>0.74339724578566457</v>
      </c>
      <c r="AQ40" s="129">
        <f t="shared" si="14"/>
        <v>0.25660275421433537</v>
      </c>
      <c r="AT40" s="129">
        <f t="shared" si="15"/>
        <v>-2.4644596687924798E-2</v>
      </c>
      <c r="AU40" s="129">
        <f t="shared" si="16"/>
        <v>2.5404920497399043E-2</v>
      </c>
      <c r="AW40" s="129">
        <f t="shared" si="4"/>
        <v>0.89274641986130887</v>
      </c>
      <c r="AX40" s="129">
        <f t="shared" si="5"/>
        <v>0.99515469791062616</v>
      </c>
      <c r="AY40" s="129"/>
      <c r="AZ40" s="129">
        <f t="shared" si="17"/>
        <v>-2.8941053591040374E-3</v>
      </c>
      <c r="BA40" s="129">
        <f t="shared" si="18"/>
        <v>2.5930786420166982E-2</v>
      </c>
      <c r="BB40" s="129"/>
      <c r="BC40" s="129"/>
      <c r="BD40" s="129">
        <f t="shared" si="19"/>
        <v>1.4635257650023781E-3</v>
      </c>
      <c r="BE40" s="129">
        <f t="shared" si="20"/>
        <v>-1.3132632025212976E-2</v>
      </c>
      <c r="BH40" s="129">
        <f t="shared" si="21"/>
        <v>0.98826761479837977</v>
      </c>
      <c r="BI40" s="129">
        <f t="shared" si="22"/>
        <v>0.9216239661354847</v>
      </c>
      <c r="BJ40" s="129">
        <f t="shared" si="6"/>
        <v>1.0999515590507036</v>
      </c>
      <c r="BK40" s="129"/>
      <c r="BL40" s="129">
        <f t="shared" si="23"/>
        <v>1.0045125924794129</v>
      </c>
      <c r="BM40" s="129">
        <f t="shared" si="24"/>
        <v>6.0934350609999521</v>
      </c>
      <c r="BN40" s="129">
        <f t="shared" si="7"/>
        <v>0.92015382081904729</v>
      </c>
      <c r="BO40" s="129"/>
      <c r="BP40" s="129">
        <f t="shared" si="25"/>
        <v>0.9977207130035306</v>
      </c>
      <c r="BQ40" s="129">
        <f t="shared" si="26"/>
        <v>1.0331422703422617</v>
      </c>
      <c r="BR40" s="129">
        <f t="shared" si="8"/>
        <v>0.99116973880962289</v>
      </c>
      <c r="BU40" s="155"/>
      <c r="BW40">
        <f t="shared" si="42"/>
        <v>1993</v>
      </c>
      <c r="BX40" s="129">
        <f t="shared" si="38"/>
        <v>1.1928861897329768</v>
      </c>
      <c r="BY40" s="156">
        <f t="shared" si="39"/>
        <v>1.0382272741535608</v>
      </c>
      <c r="BZ40" s="129">
        <f t="shared" si="40"/>
        <v>0.92060839512767934</v>
      </c>
      <c r="CA40" s="129">
        <f t="shared" si="41"/>
        <v>1.1401615084131307</v>
      </c>
    </row>
    <row r="41" spans="1:79" x14ac:dyDescent="0.2">
      <c r="A41" s="133" t="s">
        <v>664</v>
      </c>
      <c r="B41" s="133">
        <f t="shared" si="9"/>
        <v>1980</v>
      </c>
      <c r="D41" s="5">
        <f>Passenger_Total!G41</f>
        <v>13370.07943361296</v>
      </c>
      <c r="E41" s="5">
        <f>Freight_Total!I40</f>
        <v>5153.4902735759251</v>
      </c>
      <c r="F41" s="5">
        <f t="shared" si="0"/>
        <v>18523.569707188886</v>
      </c>
      <c r="G41" s="5"/>
      <c r="H41" s="5">
        <f>Passenger_Total!L41</f>
        <v>3028037.7500000494</v>
      </c>
      <c r="I41" s="5">
        <f>Freight_Total!P40</f>
        <v>2922081.5896190791</v>
      </c>
      <c r="J41" s="263">
        <f t="shared" si="34"/>
        <v>0.91829096619781136</v>
      </c>
      <c r="L41" s="138">
        <f t="shared" si="35"/>
        <v>4415.4269323798035</v>
      </c>
      <c r="M41" s="138">
        <f t="shared" si="36"/>
        <v>1763.6366800585233</v>
      </c>
      <c r="N41" s="138">
        <f t="shared" si="37"/>
        <v>20171.786927062807</v>
      </c>
      <c r="P41" s="509">
        <f>Passenger_Total!AE41</f>
        <v>1.0660392799120582</v>
      </c>
      <c r="Q41" s="509">
        <f>Freight_Total!AO40</f>
        <v>1.0642401165256488</v>
      </c>
      <c r="R41" s="129"/>
      <c r="S41" s="509">
        <f>Passenger_Total!AI41</f>
        <v>0.99283049772099019</v>
      </c>
      <c r="T41" s="509">
        <f>Freight_Total!AS40</f>
        <v>0.93723677444023334</v>
      </c>
      <c r="V41" s="131">
        <f t="shared" si="27"/>
        <v>0.91829096619781136</v>
      </c>
      <c r="W41" s="147">
        <f t="shared" si="28"/>
        <v>1.0407350356730527</v>
      </c>
      <c r="X41" s="131">
        <v>1</v>
      </c>
      <c r="Y41" s="131">
        <f t="shared" si="29"/>
        <v>0.97720521209100131</v>
      </c>
      <c r="Z41" s="131">
        <f t="shared" si="30"/>
        <v>1.0650117526963567</v>
      </c>
      <c r="AA41" s="131">
        <f t="shared" si="31"/>
        <v>0.95569758146412098</v>
      </c>
      <c r="AB41" s="131">
        <f t="shared" si="32"/>
        <v>0.9556975814641212</v>
      </c>
      <c r="AC41" s="131"/>
      <c r="AD41" s="131">
        <f t="shared" si="33"/>
        <v>0.97720521209100131</v>
      </c>
      <c r="AG41" s="134"/>
      <c r="AI41" s="129">
        <f t="shared" si="2"/>
        <v>0.72178741165770621</v>
      </c>
      <c r="AJ41" s="129">
        <f t="shared" si="3"/>
        <v>0.27821258834229379</v>
      </c>
      <c r="AL41" s="129">
        <f t="shared" si="10"/>
        <v>0.72948389212466447</v>
      </c>
      <c r="AM41" s="129">
        <f t="shared" si="11"/>
        <v>0.27041531609042441</v>
      </c>
      <c r="AN41" s="129">
        <f t="shared" si="12"/>
        <v>0.99989920821508882</v>
      </c>
      <c r="AO41" s="129"/>
      <c r="AP41" s="129">
        <f t="shared" si="13"/>
        <v>0.72955742551977776</v>
      </c>
      <c r="AQ41" s="129">
        <f t="shared" si="14"/>
        <v>0.27044257448022224</v>
      </c>
      <c r="AT41" s="129">
        <f t="shared" si="15"/>
        <v>-6.2944545550865733E-2</v>
      </c>
      <c r="AU41" s="129">
        <f t="shared" si="16"/>
        <v>5.0440850583287039E-2</v>
      </c>
      <c r="AW41" s="129">
        <f t="shared" si="4"/>
        <v>0.88704940008007294</v>
      </c>
      <c r="AX41" s="129">
        <f t="shared" si="5"/>
        <v>1.0049316076259194</v>
      </c>
      <c r="AY41" s="129"/>
      <c r="AZ41" s="129">
        <f t="shared" si="17"/>
        <v>-6.4019020325577075E-3</v>
      </c>
      <c r="BA41" s="129">
        <f t="shared" si="18"/>
        <v>9.7765657033885827E-3</v>
      </c>
      <c r="BB41" s="129"/>
      <c r="BC41" s="129"/>
      <c r="BD41" s="129">
        <f t="shared" si="19"/>
        <v>-3.2544425431580055E-4</v>
      </c>
      <c r="BE41" s="129">
        <f t="shared" si="20"/>
        <v>-5.158838870536965E-2</v>
      </c>
      <c r="BH41" s="129">
        <f t="shared" si="21"/>
        <v>0.9682351408415647</v>
      </c>
      <c r="BI41" s="129">
        <f t="shared" si="22"/>
        <v>0.89234871065415244</v>
      </c>
      <c r="BJ41" s="129">
        <f t="shared" si="6"/>
        <v>1.0650117526963567</v>
      </c>
      <c r="BK41" s="129"/>
      <c r="BL41" s="129">
        <f t="shared" si="23"/>
        <v>0.99797549651037942</v>
      </c>
      <c r="BM41" s="129">
        <f t="shared" si="24"/>
        <v>6.0810988804551815</v>
      </c>
      <c r="BN41" s="129">
        <f t="shared" si="7"/>
        <v>0.91829096619781136</v>
      </c>
      <c r="BO41" s="129"/>
      <c r="BP41" s="129">
        <f t="shared" si="25"/>
        <v>0.98591106429924624</v>
      </c>
      <c r="BQ41" s="129">
        <f t="shared" si="26"/>
        <v>1.0185863953256789</v>
      </c>
      <c r="BR41" s="129">
        <f t="shared" si="8"/>
        <v>0.97720521209100131</v>
      </c>
      <c r="BU41" s="155"/>
      <c r="BW41">
        <f t="shared" si="42"/>
        <v>1994</v>
      </c>
      <c r="BX41" s="129">
        <f t="shared" si="38"/>
        <v>1.2351947387818187</v>
      </c>
      <c r="BY41" s="156">
        <f t="shared" si="39"/>
        <v>1.0389767434336543</v>
      </c>
      <c r="BZ41" s="129">
        <f t="shared" si="40"/>
        <v>0.91767019977188213</v>
      </c>
      <c r="CA41" s="129">
        <f t="shared" si="41"/>
        <v>1.1776815960496221</v>
      </c>
    </row>
    <row r="42" spans="1:79" x14ac:dyDescent="0.2">
      <c r="A42" s="133" t="s">
        <v>664</v>
      </c>
      <c r="B42" s="133">
        <f t="shared" si="9"/>
        <v>1981</v>
      </c>
      <c r="D42" s="5">
        <f>Passenger_Total!G42</f>
        <v>13283.719043579749</v>
      </c>
      <c r="E42" s="5">
        <f>Freight_Total!I41</f>
        <v>5204.0380369669447</v>
      </c>
      <c r="F42" s="5">
        <f t="shared" ref="F42:F68" si="43">D42+E42</f>
        <v>18487.757080546693</v>
      </c>
      <c r="G42" s="5"/>
      <c r="H42" s="5">
        <f>Passenger_Total!L42</f>
        <v>3058631.4855531841</v>
      </c>
      <c r="I42" s="5">
        <f>Freight_Total!P41</f>
        <v>2881982.0211295919</v>
      </c>
      <c r="J42" s="263">
        <f t="shared" si="34"/>
        <v>0.92139324235246656</v>
      </c>
      <c r="L42" s="138">
        <f t="shared" ref="L42:L68" si="44">D42/H42*1000000</f>
        <v>4343.0269734430776</v>
      </c>
      <c r="M42" s="138">
        <f t="shared" ref="M42:M68" si="45">E42/I42*1000000</f>
        <v>1805.7149554761008</v>
      </c>
      <c r="N42" s="138">
        <f t="shared" si="37"/>
        <v>20065.001815451182</v>
      </c>
      <c r="P42" s="509">
        <f>Passenger_Total!AE42</f>
        <v>1.0482237123309395</v>
      </c>
      <c r="Q42" s="509">
        <f>Freight_Total!AO41</f>
        <v>1.1013753069747634</v>
      </c>
      <c r="R42" s="129"/>
      <c r="S42" s="509">
        <f>Passenger_Total!AI42</f>
        <v>0.99314843153817867</v>
      </c>
      <c r="T42" s="509">
        <f>Freight_Total!AS41</f>
        <v>0.92724325610874048</v>
      </c>
      <c r="V42" s="131">
        <f t="shared" si="27"/>
        <v>0.92139324235246656</v>
      </c>
      <c r="W42" s="147">
        <f t="shared" si="28"/>
        <v>1.0352256077109034</v>
      </c>
      <c r="X42" s="131">
        <v>1</v>
      </c>
      <c r="Y42" s="131">
        <f t="shared" ref="Y42:Y71" si="46">BR42</f>
        <v>0.97450269902441289</v>
      </c>
      <c r="Z42" s="131">
        <f t="shared" ref="Z42:Z71" si="47">BJ42</f>
        <v>1.0623116885641064</v>
      </c>
      <c r="AA42" s="131">
        <f t="shared" ref="AA42:AA71" si="48">V42*X42*Y42*Z42</f>
        <v>0.95384987925505171</v>
      </c>
      <c r="AB42" s="131">
        <f t="shared" si="32"/>
        <v>0.95384987925505194</v>
      </c>
      <c r="AC42" s="131"/>
      <c r="AD42" s="131">
        <f t="shared" ref="AD42:AD71" si="49">X42*Y42</f>
        <v>0.97450269902441289</v>
      </c>
      <c r="AG42" s="134"/>
      <c r="AI42" s="129">
        <f t="shared" ref="AI42:AI71" si="50">D42/F42</f>
        <v>0.71851436524754153</v>
      </c>
      <c r="AJ42" s="129">
        <f t="shared" ref="AJ42:AJ71" si="51">E42/F42</f>
        <v>0.28148563475245847</v>
      </c>
      <c r="AL42" s="129">
        <f t="shared" si="10"/>
        <v>0.72014964879950449</v>
      </c>
      <c r="AM42" s="129">
        <f t="shared" si="11"/>
        <v>0.27984592145610537</v>
      </c>
      <c r="AN42" s="129">
        <f t="shared" si="12"/>
        <v>0.99999557025560981</v>
      </c>
      <c r="AO42" s="129"/>
      <c r="AP42" s="129">
        <f t="shared" si="13"/>
        <v>0.7201528388925027</v>
      </c>
      <c r="AQ42" s="129">
        <f t="shared" si="14"/>
        <v>0.27984716110749741</v>
      </c>
      <c r="AT42" s="129">
        <f t="shared" si="15"/>
        <v>-1.6853143929435429E-2</v>
      </c>
      <c r="AU42" s="129">
        <f t="shared" si="16"/>
        <v>3.4298639038888266E-2</v>
      </c>
      <c r="AW42" s="129">
        <f t="shared" ref="AW42:AW72" si="52">H42/H$74</f>
        <v>0.89601169084696186</v>
      </c>
      <c r="AX42" s="129">
        <f t="shared" ref="AX42:AX72" si="53">I42/I$74</f>
        <v>0.99114098522495508</v>
      </c>
      <c r="AY42" s="129"/>
      <c r="AZ42" s="129">
        <f t="shared" si="17"/>
        <v>1.0052786512681742E-2</v>
      </c>
      <c r="BA42" s="129">
        <f t="shared" si="18"/>
        <v>-1.3817976237323342E-2</v>
      </c>
      <c r="BB42" s="129"/>
      <c r="BC42" s="129"/>
      <c r="BD42" s="129">
        <f t="shared" si="19"/>
        <v>3.2017844219850829E-4</v>
      </c>
      <c r="BE42" s="129">
        <f t="shared" si="20"/>
        <v>-1.0720001148683838E-2</v>
      </c>
      <c r="BH42" s="129">
        <f t="shared" si="21"/>
        <v>0.99746475649173405</v>
      </c>
      <c r="BI42" s="129">
        <f t="shared" si="22"/>
        <v>0.89008638937835705</v>
      </c>
      <c r="BJ42" s="129">
        <f t="shared" ref="BJ42:BJ72" si="54">BI42/BI$74</f>
        <v>1.0623116885641064</v>
      </c>
      <c r="BK42" s="129"/>
      <c r="BL42" s="129">
        <f t="shared" si="23"/>
        <v>1.0033783150100017</v>
      </c>
      <c r="BM42" s="129">
        <f t="shared" si="24"/>
        <v>6.1016427480803284</v>
      </c>
      <c r="BN42" s="129">
        <f t="shared" ref="BN42:BN72" si="55">BM42/BM$74</f>
        <v>0.92139324235246656</v>
      </c>
      <c r="BO42" s="129"/>
      <c r="BP42" s="129">
        <f t="shared" si="25"/>
        <v>0.99723444673324502</v>
      </c>
      <c r="BQ42" s="129">
        <f t="shared" si="26"/>
        <v>1.0157694403926136</v>
      </c>
      <c r="BR42" s="129">
        <f t="shared" ref="BR42:BR72" si="56">BQ42/BQ$74</f>
        <v>0.97450269902441289</v>
      </c>
      <c r="BU42" s="155"/>
      <c r="BW42">
        <f t="shared" si="42"/>
        <v>1995</v>
      </c>
      <c r="BX42" s="129">
        <f t="shared" si="38"/>
        <v>1.2729453420385728</v>
      </c>
      <c r="BY42" s="156">
        <f t="shared" si="39"/>
        <v>1.0376006639713391</v>
      </c>
      <c r="BZ42" s="129">
        <f t="shared" si="40"/>
        <v>0.91260196733691934</v>
      </c>
      <c r="CA42" s="129">
        <f t="shared" si="41"/>
        <v>1.2053728299092168</v>
      </c>
    </row>
    <row r="43" spans="1:79" x14ac:dyDescent="0.2">
      <c r="A43" s="133" t="s">
        <v>664</v>
      </c>
      <c r="B43" s="133">
        <f t="shared" ref="B43:B72" si="57">B42+1</f>
        <v>1982</v>
      </c>
      <c r="D43" s="5">
        <f>Passenger_Total!G43</f>
        <v>13162.362377573201</v>
      </c>
      <c r="E43" s="5">
        <f>Freight_Total!I42</f>
        <v>5039.4895660630591</v>
      </c>
      <c r="F43" s="5">
        <f t="shared" si="43"/>
        <v>18201.851943636262</v>
      </c>
      <c r="G43" s="5"/>
      <c r="H43" s="5">
        <f>Passenger_Total!L43</f>
        <v>3123825.3323887098</v>
      </c>
      <c r="I43" s="5">
        <f>Freight_Total!P42</f>
        <v>2701827.581182498</v>
      </c>
      <c r="J43" s="263">
        <f t="shared" si="34"/>
        <v>0.91880064372129211</v>
      </c>
      <c r="L43" s="138">
        <f t="shared" si="44"/>
        <v>4213.5398036190063</v>
      </c>
      <c r="M43" s="138">
        <f t="shared" si="45"/>
        <v>1865.2150866923366</v>
      </c>
      <c r="N43" s="138">
        <f t="shared" si="37"/>
        <v>19810.447530724185</v>
      </c>
      <c r="P43" s="509">
        <f>Passenger_Total!AE43</f>
        <v>1.0164366247954264</v>
      </c>
      <c r="Q43" s="509">
        <f>Freight_Total!AO42</f>
        <v>1.0928981040766685</v>
      </c>
      <c r="R43" s="129"/>
      <c r="S43" s="509">
        <f>Passenger_Total!AI43</f>
        <v>0.99367052978167725</v>
      </c>
      <c r="T43" s="509">
        <f>Freight_Total!AS42</f>
        <v>0.96522613066772189</v>
      </c>
      <c r="V43" s="131">
        <f t="shared" si="27"/>
        <v>0.91880064372129211</v>
      </c>
      <c r="W43" s="147">
        <f t="shared" si="28"/>
        <v>1.0220922366538925</v>
      </c>
      <c r="X43" s="131">
        <v>1</v>
      </c>
      <c r="Y43" s="131">
        <f t="shared" si="46"/>
        <v>0.98585955999683084</v>
      </c>
      <c r="Z43" s="131">
        <f t="shared" si="47"/>
        <v>1.0367523713592406</v>
      </c>
      <c r="AA43" s="131">
        <f t="shared" si="48"/>
        <v>0.9390990049801311</v>
      </c>
      <c r="AB43" s="131">
        <f t="shared" si="32"/>
        <v>0.93909900498013155</v>
      </c>
      <c r="AC43" s="131"/>
      <c r="AD43" s="131">
        <f t="shared" si="49"/>
        <v>0.98585955999683084</v>
      </c>
      <c r="AG43" s="134"/>
      <c r="AI43" s="129">
        <f t="shared" si="50"/>
        <v>0.72313314152492214</v>
      </c>
      <c r="AJ43" s="129">
        <f t="shared" si="51"/>
        <v>0.27686685847507769</v>
      </c>
      <c r="AL43" s="129">
        <f t="shared" ref="AL43:AL71" si="58">(AI43-AI42)/LN(AI43/AI42)</f>
        <v>0.72082128709301851</v>
      </c>
      <c r="AM43" s="129">
        <f t="shared" ref="AM43:AM71" si="59">(AJ43-AJ42)/LN(AJ43/AJ42)</f>
        <v>0.27916987862823645</v>
      </c>
      <c r="AN43" s="129">
        <f t="shared" ref="AN43:AN71" si="60">AL43+AM43</f>
        <v>0.99999116572125502</v>
      </c>
      <c r="AO43" s="129"/>
      <c r="AP43" s="129">
        <f t="shared" ref="AP43:AP71" si="61">AL43/AN43</f>
        <v>0.72082765508545066</v>
      </c>
      <c r="AQ43" s="129">
        <f t="shared" ref="AQ43:AQ71" si="62">AM43/AN43</f>
        <v>0.27917234491454929</v>
      </c>
      <c r="AT43" s="129">
        <f t="shared" ref="AT43:AT71" si="63">LN(P43/P42)</f>
        <v>-3.0794023427758301E-2</v>
      </c>
      <c r="AU43" s="129">
        <f t="shared" ref="AU43:AU71" si="64">LN(Q43/Q42)</f>
        <v>-7.726698989075749E-3</v>
      </c>
      <c r="AW43" s="129">
        <f t="shared" si="52"/>
        <v>0.9151099212849293</v>
      </c>
      <c r="AX43" s="129">
        <f t="shared" si="53"/>
        <v>0.92918416252700275</v>
      </c>
      <c r="AY43" s="129"/>
      <c r="AZ43" s="129">
        <f t="shared" ref="AZ43:AZ71" si="65">LN(AW43/AW42)</f>
        <v>2.1090729901941104E-2</v>
      </c>
      <c r="BA43" s="129">
        <f t="shared" ref="BA43:BA71" si="66">LN(AX43/AX42)</f>
        <v>-6.4549833278226373E-2</v>
      </c>
      <c r="BB43" s="129"/>
      <c r="BC43" s="129"/>
      <c r="BD43" s="129">
        <f t="shared" ref="BD43:BD71" si="67">LN(S43/S42)</f>
        <v>5.2556198192248659E-4</v>
      </c>
      <c r="BE43" s="129">
        <f t="shared" ref="BE43:BE71" si="68">LN(T43/T42)</f>
        <v>4.0146462844534131E-2</v>
      </c>
      <c r="BH43" s="129">
        <f t="shared" ref="BH43:BH71" si="69">EXP(SUMPRODUCT($AP43:$AQ43,AT43:AU43))</f>
        <v>0.97593990776905282</v>
      </c>
      <c r="BI43" s="129">
        <f t="shared" ref="BI43:BI71" si="70">IF(ISERR(BH43),BI42,BH43*BI42)</f>
        <v>0.868670828756403</v>
      </c>
      <c r="BJ43" s="129">
        <f t="shared" si="54"/>
        <v>1.0367523713592406</v>
      </c>
      <c r="BK43" s="129"/>
      <c r="BL43" s="129">
        <f t="shared" ref="BL43:BL71" si="71">EXP(SUMPRODUCT($AP43:$AQ43,AZ43:BA43))</f>
        <v>0.99718621918199113</v>
      </c>
      <c r="BM43" s="129">
        <f t="shared" ref="BM43:BM71" si="72">IF(ISERR(BL43),BM42,BL43*BM42)</f>
        <v>6.0844740627574367</v>
      </c>
      <c r="BN43" s="129">
        <f t="shared" si="55"/>
        <v>0.91880064372129211</v>
      </c>
      <c r="BO43" s="129"/>
      <c r="BP43" s="129">
        <f t="shared" ref="BP43:BP71" si="73">EXP(SUMPRODUCT($AP43:$AQ43,BD43:BE43))</f>
        <v>1.0116540066885269</v>
      </c>
      <c r="BQ43" s="129">
        <f t="shared" ref="BQ43:BQ71" si="74">IF(ISERR(BP43),BQ42,BP43*BQ42)</f>
        <v>1.0276072242449503</v>
      </c>
      <c r="BR43" s="129">
        <f t="shared" si="56"/>
        <v>0.98585955999683084</v>
      </c>
      <c r="BU43" s="155"/>
      <c r="BW43">
        <f t="shared" si="42"/>
        <v>1996</v>
      </c>
      <c r="BX43" s="129">
        <f t="shared" si="38"/>
        <v>1.3079839647165596</v>
      </c>
      <c r="BY43" s="156">
        <f t="shared" si="39"/>
        <v>1.0419402995770661</v>
      </c>
      <c r="BZ43" s="129">
        <f t="shared" si="40"/>
        <v>0.90593073042817418</v>
      </c>
      <c r="CA43" s="129">
        <f t="shared" si="41"/>
        <v>1.2346397274324545</v>
      </c>
    </row>
    <row r="44" spans="1:79" x14ac:dyDescent="0.2">
      <c r="A44" s="133" t="s">
        <v>664</v>
      </c>
      <c r="B44" s="133">
        <f t="shared" si="57"/>
        <v>1983</v>
      </c>
      <c r="D44" s="5">
        <f>Passenger_Total!G44</f>
        <v>13417.086511513669</v>
      </c>
      <c r="E44" s="5">
        <f>Freight_Total!I43</f>
        <v>4999.1054393366876</v>
      </c>
      <c r="F44" s="5">
        <f t="shared" si="43"/>
        <v>18416.191950850356</v>
      </c>
      <c r="G44" s="5"/>
      <c r="H44" s="5">
        <f>Passenger_Total!L44</f>
        <v>3236151.8801341457</v>
      </c>
      <c r="I44" s="5">
        <f>Freight_Total!P43</f>
        <v>2825468.8886136552</v>
      </c>
      <c r="J44" s="263">
        <f t="shared" si="34"/>
        <v>0.95430002937887426</v>
      </c>
      <c r="L44" s="138">
        <f t="shared" si="44"/>
        <v>4146.0002522988816</v>
      </c>
      <c r="M44" s="138">
        <f t="shared" si="45"/>
        <v>1769.3011802333272</v>
      </c>
      <c r="N44" s="138">
        <f t="shared" si="37"/>
        <v>19298.115250857649</v>
      </c>
      <c r="P44" s="509">
        <f>Passenger_Total!AE44</f>
        <v>0.9991527466048743</v>
      </c>
      <c r="Q44" s="509">
        <f>Freight_Total!AO43</f>
        <v>1.025458348496173</v>
      </c>
      <c r="R44" s="129"/>
      <c r="S44" s="509">
        <f>Passenger_Total!AI44</f>
        <v>0.99465633238252527</v>
      </c>
      <c r="T44" s="509">
        <f>Freight_Total!AS43</f>
        <v>0.97580618327606949</v>
      </c>
      <c r="V44" s="131">
        <f t="shared" si="27"/>
        <v>0.95430002937887426</v>
      </c>
      <c r="W44" s="147">
        <f t="shared" si="28"/>
        <v>0.99565917172556906</v>
      </c>
      <c r="X44" s="131">
        <v>1</v>
      </c>
      <c r="Y44" s="131">
        <f t="shared" si="46"/>
        <v>0.98952235828338286</v>
      </c>
      <c r="Z44" s="131">
        <f t="shared" si="47"/>
        <v>1.0062017936136707</v>
      </c>
      <c r="AA44" s="131">
        <f t="shared" si="48"/>
        <v>0.95015757682905622</v>
      </c>
      <c r="AB44" s="131">
        <f t="shared" si="32"/>
        <v>0.95015757682905622</v>
      </c>
      <c r="AC44" s="131"/>
      <c r="AD44" s="131">
        <f t="shared" si="49"/>
        <v>0.98952235828338286</v>
      </c>
      <c r="AG44" s="134"/>
      <c r="AI44" s="129">
        <f t="shared" si="50"/>
        <v>0.72854836370741372</v>
      </c>
      <c r="AJ44" s="129">
        <f t="shared" si="51"/>
        <v>0.2714516362925864</v>
      </c>
      <c r="AL44" s="129">
        <f t="shared" si="58"/>
        <v>0.72583738586067592</v>
      </c>
      <c r="AM44" s="129">
        <f t="shared" si="59"/>
        <v>0.27415033364898328</v>
      </c>
      <c r="AN44" s="129">
        <f t="shared" si="60"/>
        <v>0.99998771950965915</v>
      </c>
      <c r="AO44" s="129"/>
      <c r="AP44" s="129">
        <f t="shared" si="61"/>
        <v>0.72584629960914726</v>
      </c>
      <c r="AQ44" s="129">
        <f t="shared" si="62"/>
        <v>0.27415370039085285</v>
      </c>
      <c r="AT44" s="129">
        <f t="shared" si="63"/>
        <v>-1.7150618172254554E-2</v>
      </c>
      <c r="AU44" s="129">
        <f t="shared" si="64"/>
        <v>-6.3693297030659041E-2</v>
      </c>
      <c r="AW44" s="129">
        <f t="shared" si="52"/>
        <v>0.94801545451041591</v>
      </c>
      <c r="AX44" s="129">
        <f t="shared" si="53"/>
        <v>0.97170558228720894</v>
      </c>
      <c r="AY44" s="129"/>
      <c r="AZ44" s="129">
        <f t="shared" si="65"/>
        <v>3.5326613736299667E-2</v>
      </c>
      <c r="BA44" s="129">
        <f t="shared" si="66"/>
        <v>4.4745903147371986E-2</v>
      </c>
      <c r="BB44" s="129"/>
      <c r="BC44" s="129"/>
      <c r="BD44" s="129">
        <f t="shared" si="67"/>
        <v>9.9159016596418845E-4</v>
      </c>
      <c r="BE44" s="129">
        <f t="shared" si="68"/>
        <v>1.0901577798371524E-2</v>
      </c>
      <c r="BH44" s="129">
        <f t="shared" si="69"/>
        <v>0.97053242549566932</v>
      </c>
      <c r="BI44" s="129">
        <f t="shared" si="70"/>
        <v>0.84307320639028505</v>
      </c>
      <c r="BJ44" s="129">
        <f t="shared" si="54"/>
        <v>1.0062017936136707</v>
      </c>
      <c r="BK44" s="129"/>
      <c r="BL44" s="129">
        <f t="shared" si="71"/>
        <v>1.0386366573643264</v>
      </c>
      <c r="BM44" s="129">
        <f t="shared" si="72"/>
        <v>6.3195578023623273</v>
      </c>
      <c r="BN44" s="129">
        <f t="shared" si="55"/>
        <v>0.95430002937887426</v>
      </c>
      <c r="BO44" s="129"/>
      <c r="BP44" s="129">
        <f t="shared" si="73"/>
        <v>1.0037153347547432</v>
      </c>
      <c r="BQ44" s="129">
        <f t="shared" si="74"/>
        <v>1.0314251290794128</v>
      </c>
      <c r="BR44" s="129">
        <f t="shared" si="56"/>
        <v>0.98952235828338286</v>
      </c>
      <c r="BU44" s="155"/>
      <c r="BW44">
        <f t="shared" si="42"/>
        <v>1997</v>
      </c>
      <c r="BX44" s="129">
        <f t="shared" si="38"/>
        <v>1.3374430898950085</v>
      </c>
      <c r="BY44" s="156">
        <f t="shared" si="39"/>
        <v>1.0545660502797622</v>
      </c>
      <c r="BZ44" s="129">
        <f t="shared" si="40"/>
        <v>0.89476708570107855</v>
      </c>
      <c r="CA44" s="129">
        <f t="shared" si="41"/>
        <v>1.2619992512529643</v>
      </c>
    </row>
    <row r="45" spans="1:79" x14ac:dyDescent="0.2">
      <c r="A45" s="133" t="s">
        <v>664</v>
      </c>
      <c r="B45" s="133">
        <f t="shared" si="57"/>
        <v>1984</v>
      </c>
      <c r="D45" s="5">
        <f>Passenger_Total!G45</f>
        <v>13835.607414588496</v>
      </c>
      <c r="E45" s="5">
        <f>Freight_Total!I44</f>
        <v>5205.3888975008222</v>
      </c>
      <c r="F45" s="5">
        <f t="shared" si="43"/>
        <v>19040.996312089319</v>
      </c>
      <c r="G45" s="5"/>
      <c r="H45" s="5">
        <f>Passenger_Total!L45</f>
        <v>3330890.5562231336</v>
      </c>
      <c r="I45" s="5">
        <f>Freight_Total!P44</f>
        <v>2945585.0396100949</v>
      </c>
      <c r="J45" s="263">
        <f t="shared" si="34"/>
        <v>0.9856623894086658</v>
      </c>
      <c r="L45" s="138">
        <f t="shared" si="44"/>
        <v>4153.7262125707803</v>
      </c>
      <c r="M45" s="138">
        <f t="shared" si="45"/>
        <v>1767.1833701972685</v>
      </c>
      <c r="N45" s="138">
        <f t="shared" si="37"/>
        <v>19317.969841085949</v>
      </c>
      <c r="P45" s="509">
        <f>Passenger_Total!AE45</f>
        <v>0.99759649851624588</v>
      </c>
      <c r="Q45" s="509">
        <f>Freight_Total!AO44</f>
        <v>1.0134658118772026</v>
      </c>
      <c r="R45" s="129"/>
      <c r="S45" s="509">
        <f>Passenger_Total!AI45</f>
        <v>0.9980644006967776</v>
      </c>
      <c r="T45" s="509">
        <f>Freight_Total!AS44</f>
        <v>0.98617124885676266</v>
      </c>
      <c r="V45" s="131">
        <f t="shared" si="27"/>
        <v>0.9856623894086658</v>
      </c>
      <c r="W45" s="147">
        <f t="shared" si="28"/>
        <v>0.99668354144275073</v>
      </c>
      <c r="X45" s="131">
        <v>1</v>
      </c>
      <c r="Y45" s="131">
        <f t="shared" si="46"/>
        <v>0.99484746146333647</v>
      </c>
      <c r="Z45" s="131">
        <f t="shared" si="47"/>
        <v>1.0018455894501788</v>
      </c>
      <c r="AA45" s="131">
        <f t="shared" si="48"/>
        <v>0.98239348094275236</v>
      </c>
      <c r="AB45" s="131">
        <f t="shared" si="32"/>
        <v>0.98239348094275258</v>
      </c>
      <c r="AC45" s="131"/>
      <c r="AD45" s="131">
        <f t="shared" si="49"/>
        <v>0.99484746146333647</v>
      </c>
      <c r="AG45" s="134"/>
      <c r="AI45" s="129">
        <f t="shared" si="50"/>
        <v>0.72662203110685597</v>
      </c>
      <c r="AJ45" s="129">
        <f t="shared" si="51"/>
        <v>0.27337796889314392</v>
      </c>
      <c r="AL45" s="129">
        <f t="shared" si="58"/>
        <v>0.72758477239859731</v>
      </c>
      <c r="AM45" s="129">
        <f t="shared" si="59"/>
        <v>0.27241366744601309</v>
      </c>
      <c r="AN45" s="129">
        <f t="shared" si="60"/>
        <v>0.99999843984461045</v>
      </c>
      <c r="AO45" s="129"/>
      <c r="AP45" s="129">
        <f t="shared" si="61"/>
        <v>0.72758590754567232</v>
      </c>
      <c r="AQ45" s="129">
        <f t="shared" si="62"/>
        <v>0.27241409245432763</v>
      </c>
      <c r="AT45" s="129">
        <f t="shared" si="63"/>
        <v>-1.5587820128595562E-3</v>
      </c>
      <c r="AU45" s="129">
        <f t="shared" si="64"/>
        <v>-1.1763728294523851E-2</v>
      </c>
      <c r="AW45" s="129">
        <f t="shared" si="52"/>
        <v>0.97576870355399725</v>
      </c>
      <c r="AX45" s="129">
        <f t="shared" si="53"/>
        <v>1.0130146672735816</v>
      </c>
      <c r="AY45" s="129"/>
      <c r="AZ45" s="129">
        <f t="shared" si="65"/>
        <v>2.8854769916085609E-2</v>
      </c>
      <c r="BA45" s="129">
        <f t="shared" si="66"/>
        <v>4.1633123494011763E-2</v>
      </c>
      <c r="BB45" s="129"/>
      <c r="BC45" s="129"/>
      <c r="BD45" s="129">
        <f t="shared" si="67"/>
        <v>3.4205210800830181E-3</v>
      </c>
      <c r="BE45" s="129">
        <f t="shared" si="68"/>
        <v>1.0566035920065758E-2</v>
      </c>
      <c r="BH45" s="129">
        <f t="shared" si="69"/>
        <v>0.99567064559898355</v>
      </c>
      <c r="BI45" s="129">
        <f t="shared" si="70"/>
        <v>0.83942324369382026</v>
      </c>
      <c r="BJ45" s="129">
        <f t="shared" si="54"/>
        <v>1.0018455894501788</v>
      </c>
      <c r="BK45" s="129"/>
      <c r="BL45" s="129">
        <f t="shared" si="71"/>
        <v>1.0328642555425722</v>
      </c>
      <c r="BM45" s="129">
        <f t="shared" si="72"/>
        <v>6.5272453648952187</v>
      </c>
      <c r="BN45" s="129">
        <f t="shared" si="55"/>
        <v>0.9856623894086658</v>
      </c>
      <c r="BO45" s="129"/>
      <c r="BP45" s="129">
        <f t="shared" si="73"/>
        <v>1.0053814884882355</v>
      </c>
      <c r="BQ45" s="129">
        <f t="shared" si="74"/>
        <v>1.0369757315380304</v>
      </c>
      <c r="BR45" s="129">
        <f t="shared" si="56"/>
        <v>0.99484746146333647</v>
      </c>
      <c r="BU45" s="155"/>
      <c r="BW45">
        <f t="shared" si="42"/>
        <v>1998</v>
      </c>
      <c r="BX45" s="129">
        <f t="shared" si="38"/>
        <v>1.3675717880848217</v>
      </c>
      <c r="BY45" s="156">
        <f t="shared" si="39"/>
        <v>1.0578740715371109</v>
      </c>
      <c r="BZ45" s="129">
        <f t="shared" si="40"/>
        <v>0.89522062609407849</v>
      </c>
      <c r="CA45" s="129">
        <f t="shared" si="41"/>
        <v>1.2951324522484764</v>
      </c>
    </row>
    <row r="46" spans="1:79" x14ac:dyDescent="0.2">
      <c r="A46" s="133" t="s">
        <v>664</v>
      </c>
      <c r="B46" s="133">
        <f t="shared" si="57"/>
        <v>1985</v>
      </c>
      <c r="D46" s="5">
        <f>Passenger_Total!G46</f>
        <v>14240.914019945387</v>
      </c>
      <c r="E46" s="5">
        <f>Freight_Total!I45</f>
        <v>5141.3362509100898</v>
      </c>
      <c r="F46" s="5">
        <f t="shared" si="43"/>
        <v>19382.250270855475</v>
      </c>
      <c r="G46" s="5"/>
      <c r="H46" s="5">
        <f>Passenger_Total!L46</f>
        <v>3413606.6714285719</v>
      </c>
      <c r="I46" s="5">
        <f>Freight_Total!P45</f>
        <v>2907741.7482392583</v>
      </c>
      <c r="J46" s="263">
        <f t="shared" si="34"/>
        <v>1</v>
      </c>
      <c r="L46" s="138">
        <f t="shared" si="44"/>
        <v>4171.8087028420468</v>
      </c>
      <c r="M46" s="138">
        <f t="shared" si="45"/>
        <v>1768.154360346256</v>
      </c>
      <c r="N46" s="138">
        <f t="shared" si="37"/>
        <v>19382.250270855475</v>
      </c>
      <c r="P46" s="509">
        <f>Passenger_Total!AE46</f>
        <v>1</v>
      </c>
      <c r="Q46" s="509">
        <f>Freight_Total!AO45</f>
        <v>1</v>
      </c>
      <c r="R46" s="129"/>
      <c r="S46" s="509">
        <f>Passenger_Total!AI46</f>
        <v>1</v>
      </c>
      <c r="T46" s="509">
        <f>Freight_Total!AS45</f>
        <v>1</v>
      </c>
      <c r="V46" s="131">
        <f t="shared" si="27"/>
        <v>1</v>
      </c>
      <c r="W46" s="147">
        <f t="shared" si="28"/>
        <v>1</v>
      </c>
      <c r="X46" s="131">
        <v>1</v>
      </c>
      <c r="Y46" s="131">
        <f t="shared" si="46"/>
        <v>1</v>
      </c>
      <c r="Z46" s="131">
        <f t="shared" si="47"/>
        <v>1</v>
      </c>
      <c r="AA46" s="131">
        <f t="shared" si="48"/>
        <v>1</v>
      </c>
      <c r="AB46" s="131">
        <f t="shared" si="32"/>
        <v>1</v>
      </c>
      <c r="AC46" s="131"/>
      <c r="AD46" s="131">
        <f t="shared" si="49"/>
        <v>1</v>
      </c>
      <c r="AG46" s="134"/>
      <c r="AI46" s="129">
        <f t="shared" si="50"/>
        <v>0.73473997192983487</v>
      </c>
      <c r="AJ46" s="129">
        <f t="shared" si="51"/>
        <v>0.26526002807016519</v>
      </c>
      <c r="AL46" s="129">
        <f t="shared" si="58"/>
        <v>0.73067348552693545</v>
      </c>
      <c r="AM46" s="129">
        <f t="shared" si="59"/>
        <v>0.26929860601158634</v>
      </c>
      <c r="AN46" s="129">
        <f t="shared" si="60"/>
        <v>0.99997209153852173</v>
      </c>
      <c r="AO46" s="129"/>
      <c r="AP46" s="129">
        <f t="shared" si="61"/>
        <v>0.73069387806888397</v>
      </c>
      <c r="AQ46" s="129">
        <f t="shared" si="62"/>
        <v>0.26930612193111614</v>
      </c>
      <c r="AT46" s="129">
        <f t="shared" si="63"/>
        <v>2.4063945300022336E-3</v>
      </c>
      <c r="AU46" s="129">
        <f t="shared" si="64"/>
        <v>-1.3375953610026459E-2</v>
      </c>
      <c r="AW46" s="129">
        <f t="shared" si="52"/>
        <v>1</v>
      </c>
      <c r="AX46" s="129">
        <f t="shared" si="53"/>
        <v>1</v>
      </c>
      <c r="AY46" s="129"/>
      <c r="AZ46" s="129">
        <f t="shared" si="65"/>
        <v>2.4529704717732484E-2</v>
      </c>
      <c r="BA46" s="129">
        <f t="shared" si="66"/>
        <v>-1.2930704207709746E-2</v>
      </c>
      <c r="BB46" s="129"/>
      <c r="BC46" s="129"/>
      <c r="BD46" s="129">
        <f t="shared" si="67"/>
        <v>1.9374749963381097E-3</v>
      </c>
      <c r="BE46" s="129">
        <f t="shared" si="68"/>
        <v>1.3925259078080818E-2</v>
      </c>
      <c r="BH46" s="129">
        <f t="shared" si="69"/>
        <v>0.99815781047537311</v>
      </c>
      <c r="BI46" s="129">
        <f t="shared" si="70"/>
        <v>0.83787686698755914</v>
      </c>
      <c r="BJ46" s="129">
        <f t="shared" si="54"/>
        <v>1</v>
      </c>
      <c r="BK46" s="129"/>
      <c r="BL46" s="129">
        <f t="shared" si="71"/>
        <v>1.0145461678820229</v>
      </c>
      <c r="BM46" s="129">
        <f t="shared" si="72"/>
        <v>6.6221917717801402</v>
      </c>
      <c r="BN46" s="129">
        <f t="shared" si="55"/>
        <v>1</v>
      </c>
      <c r="BO46" s="129"/>
      <c r="BP46" s="129">
        <f t="shared" si="73"/>
        <v>1.0051792246914764</v>
      </c>
      <c r="BQ46" s="129">
        <f t="shared" si="74"/>
        <v>1.0423464618512739</v>
      </c>
      <c r="BR46" s="129">
        <f t="shared" si="56"/>
        <v>1</v>
      </c>
      <c r="BU46" s="155"/>
      <c r="BW46">
        <f t="shared" si="42"/>
        <v>1999</v>
      </c>
      <c r="BX46" s="129">
        <f t="shared" si="38"/>
        <v>1.4042865844576962</v>
      </c>
      <c r="BY46" s="156">
        <f t="shared" si="39"/>
        <v>1.0584350998453786</v>
      </c>
      <c r="BZ46" s="129">
        <f t="shared" si="40"/>
        <v>0.90243289468672849</v>
      </c>
      <c r="CA46" s="129">
        <f t="shared" si="41"/>
        <v>1.3413277139087507</v>
      </c>
    </row>
    <row r="47" spans="1:79" x14ac:dyDescent="0.2">
      <c r="A47" s="133" t="s">
        <v>664</v>
      </c>
      <c r="B47" s="133">
        <f t="shared" si="57"/>
        <v>1986</v>
      </c>
      <c r="D47" s="5">
        <f>Passenger_Total!G47</f>
        <v>14779.687962320004</v>
      </c>
      <c r="E47" s="5">
        <f>Freight_Total!I46</f>
        <v>5203.8094679472106</v>
      </c>
      <c r="F47" s="5">
        <f t="shared" si="43"/>
        <v>19983.497430267213</v>
      </c>
      <c r="G47" s="5"/>
      <c r="H47" s="5">
        <f>Passenger_Total!L47</f>
        <v>3496312.8785984544</v>
      </c>
      <c r="I47" s="5">
        <f>Freight_Total!P46</f>
        <v>2893428.1571062668</v>
      </c>
      <c r="J47" s="263">
        <f t="shared" si="34"/>
        <v>1.0164849796307009</v>
      </c>
      <c r="L47" s="138">
        <f t="shared" si="44"/>
        <v>4227.2212114622444</v>
      </c>
      <c r="M47" s="138">
        <f t="shared" si="45"/>
        <v>1798.4927170790959</v>
      </c>
      <c r="N47" s="138">
        <f t="shared" si="37"/>
        <v>19659.412417021071</v>
      </c>
      <c r="P47" s="509">
        <f>Passenger_Total!AE47</f>
        <v>1.0114284553295805</v>
      </c>
      <c r="Q47" s="509">
        <f>Freight_Total!AO46</f>
        <v>0.99707933305078211</v>
      </c>
      <c r="R47" s="129"/>
      <c r="S47" s="509">
        <f>Passenger_Total!AI47</f>
        <v>1.0018332041289146</v>
      </c>
      <c r="T47" s="509">
        <f>Freight_Total!AS46</f>
        <v>1.0201376884178959</v>
      </c>
      <c r="V47" s="131">
        <f t="shared" si="27"/>
        <v>1.0164849796307009</v>
      </c>
      <c r="W47" s="147">
        <f t="shared" si="28"/>
        <v>1.0142997919381094</v>
      </c>
      <c r="X47" s="131">
        <v>1</v>
      </c>
      <c r="Y47" s="131">
        <f t="shared" si="46"/>
        <v>1.0066120725388663</v>
      </c>
      <c r="Z47" s="131">
        <f t="shared" si="47"/>
        <v>1.0076372215364484</v>
      </c>
      <c r="AA47" s="131">
        <f t="shared" si="48"/>
        <v>1.031020503347633</v>
      </c>
      <c r="AB47" s="131">
        <f t="shared" si="32"/>
        <v>1.0310205033476332</v>
      </c>
      <c r="AC47" s="131"/>
      <c r="AD47" s="131">
        <f t="shared" si="49"/>
        <v>1.0066120725388663</v>
      </c>
      <c r="AG47" s="134"/>
      <c r="AI47" s="129">
        <f t="shared" si="50"/>
        <v>0.73959465873749086</v>
      </c>
      <c r="AJ47" s="129">
        <f t="shared" si="51"/>
        <v>0.26040534126250925</v>
      </c>
      <c r="AL47" s="129">
        <f t="shared" si="58"/>
        <v>0.73716465107507501</v>
      </c>
      <c r="AM47" s="129">
        <f t="shared" si="59"/>
        <v>0.26282521206702558</v>
      </c>
      <c r="AN47" s="129">
        <f t="shared" si="60"/>
        <v>0.99998986314210059</v>
      </c>
      <c r="AO47" s="129"/>
      <c r="AP47" s="129">
        <f t="shared" si="61"/>
        <v>0.7371721236841402</v>
      </c>
      <c r="AQ47" s="129">
        <f t="shared" si="62"/>
        <v>0.2628278763158598</v>
      </c>
      <c r="AT47" s="129">
        <f t="shared" si="63"/>
        <v>1.1363643863170554E-2</v>
      </c>
      <c r="AU47" s="129">
        <f t="shared" si="64"/>
        <v>-2.9249404198834158E-3</v>
      </c>
      <c r="AW47" s="129">
        <f t="shared" si="52"/>
        <v>1.0242283939336427</v>
      </c>
      <c r="AX47" s="129">
        <f t="shared" si="53"/>
        <v>0.9950774200832454</v>
      </c>
      <c r="AY47" s="129"/>
      <c r="AZ47" s="129">
        <f t="shared" si="65"/>
        <v>2.3939542698204093E-2</v>
      </c>
      <c r="BA47" s="129">
        <f t="shared" si="66"/>
        <v>-4.9347357216276847E-3</v>
      </c>
      <c r="BB47" s="129"/>
      <c r="BC47" s="129"/>
      <c r="BD47" s="129">
        <f t="shared" si="67"/>
        <v>1.8315258609842686E-3</v>
      </c>
      <c r="BE47" s="129">
        <f t="shared" si="68"/>
        <v>1.9937606831028361E-2</v>
      </c>
      <c r="BH47" s="129">
        <f t="shared" si="69"/>
        <v>1.0076372215364484</v>
      </c>
      <c r="BI47" s="129">
        <f t="shared" si="70"/>
        <v>0.84427591824100845</v>
      </c>
      <c r="BJ47" s="129">
        <f t="shared" si="54"/>
        <v>1.0076372215364484</v>
      </c>
      <c r="BK47" s="129"/>
      <c r="BL47" s="129">
        <f t="shared" si="71"/>
        <v>1.0164849796307009</v>
      </c>
      <c r="BM47" s="129">
        <f t="shared" si="72"/>
        <v>6.7313584682485308</v>
      </c>
      <c r="BN47" s="129">
        <f t="shared" si="55"/>
        <v>1.0164849796307009</v>
      </c>
      <c r="BO47" s="129"/>
      <c r="BP47" s="129">
        <f t="shared" si="73"/>
        <v>1.0066120725388663</v>
      </c>
      <c r="BQ47" s="129">
        <f t="shared" si="74"/>
        <v>1.0492385322676652</v>
      </c>
      <c r="BR47" s="129">
        <f t="shared" si="56"/>
        <v>1.0066120725388663</v>
      </c>
      <c r="BU47" s="155"/>
      <c r="BX47" s="129"/>
      <c r="BY47" s="156"/>
      <c r="BZ47" s="129"/>
      <c r="CA47" s="129"/>
    </row>
    <row r="48" spans="1:79" x14ac:dyDescent="0.2">
      <c r="A48" s="133" t="s">
        <v>664</v>
      </c>
      <c r="B48" s="133">
        <f t="shared" si="57"/>
        <v>1987</v>
      </c>
      <c r="D48" s="5">
        <f>Passenger_Total!G48</f>
        <v>15061.108317473432</v>
      </c>
      <c r="E48" s="5">
        <f>Freight_Total!I47</f>
        <v>5392.6068876389372</v>
      </c>
      <c r="F48" s="5">
        <f t="shared" si="43"/>
        <v>20453.71520511237</v>
      </c>
      <c r="G48" s="5"/>
      <c r="H48" s="5">
        <f>Passenger_Total!L48</f>
        <v>3624585.2963454491</v>
      </c>
      <c r="I48" s="5">
        <f>Freight_Total!P47</f>
        <v>3050271.9721829384</v>
      </c>
      <c r="J48" s="263">
        <f t="shared" si="34"/>
        <v>1.0584149691674531</v>
      </c>
      <c r="L48" s="138">
        <f t="shared" si="44"/>
        <v>4155.2638677475888</v>
      </c>
      <c r="M48" s="138">
        <f t="shared" si="45"/>
        <v>1767.9101853267523</v>
      </c>
      <c r="N48" s="138">
        <f t="shared" si="37"/>
        <v>19324.854429450497</v>
      </c>
      <c r="P48" s="509">
        <f>Passenger_Total!AE48</f>
        <v>0.9934296637720017</v>
      </c>
      <c r="Q48" s="509">
        <f>Freight_Total!AO47</f>
        <v>0.97622588106667141</v>
      </c>
      <c r="R48" s="129"/>
      <c r="S48" s="509">
        <f>Passenger_Total!AI48</f>
        <v>1.0026216954565474</v>
      </c>
      <c r="T48" s="509">
        <f>Freight_Total!AS47</f>
        <v>1.0242116331946314</v>
      </c>
      <c r="V48" s="131">
        <f t="shared" si="27"/>
        <v>1.0584149691674531</v>
      </c>
      <c r="W48" s="147">
        <f t="shared" si="28"/>
        <v>0.99703874211699339</v>
      </c>
      <c r="X48" s="131">
        <v>1</v>
      </c>
      <c r="Y48" s="131">
        <f t="shared" si="46"/>
        <v>1.008249059701241</v>
      </c>
      <c r="Z48" s="131">
        <f t="shared" si="47"/>
        <v>0.98888140040758443</v>
      </c>
      <c r="AA48" s="131">
        <f t="shared" si="48"/>
        <v>1.0552807294965139</v>
      </c>
      <c r="AB48" s="131">
        <f t="shared" si="32"/>
        <v>1.0552807294965139</v>
      </c>
      <c r="AC48" s="131"/>
      <c r="AD48" s="131">
        <f t="shared" si="49"/>
        <v>1.008249059701241</v>
      </c>
      <c r="AG48" s="134"/>
      <c r="AI48" s="129">
        <f t="shared" si="50"/>
        <v>0.73635073953258789</v>
      </c>
      <c r="AJ48" s="129">
        <f t="shared" si="51"/>
        <v>0.26364926046741205</v>
      </c>
      <c r="AL48" s="129">
        <f t="shared" si="58"/>
        <v>0.73797151085425539</v>
      </c>
      <c r="AM48" s="129">
        <f t="shared" si="59"/>
        <v>0.26202395416556018</v>
      </c>
      <c r="AN48" s="129">
        <f t="shared" si="60"/>
        <v>0.99999546501981551</v>
      </c>
      <c r="AO48" s="129"/>
      <c r="AP48" s="129">
        <f t="shared" si="61"/>
        <v>0.7379748575556111</v>
      </c>
      <c r="AQ48" s="129">
        <f t="shared" si="62"/>
        <v>0.26202514244438901</v>
      </c>
      <c r="AT48" s="129">
        <f t="shared" si="63"/>
        <v>-1.7955659764248223E-2</v>
      </c>
      <c r="AU48" s="129">
        <f t="shared" si="64"/>
        <v>-2.113634340709902E-2</v>
      </c>
      <c r="AW48" s="129">
        <f t="shared" si="52"/>
        <v>1.0618051946882867</v>
      </c>
      <c r="AX48" s="129">
        <f t="shared" si="53"/>
        <v>1.0490174975236324</v>
      </c>
      <c r="AY48" s="129"/>
      <c r="AZ48" s="129">
        <f t="shared" si="65"/>
        <v>3.6030930798839816E-2</v>
      </c>
      <c r="BA48" s="129">
        <f t="shared" si="66"/>
        <v>5.2788745190795364E-2</v>
      </c>
      <c r="BB48" s="129"/>
      <c r="BC48" s="129"/>
      <c r="BD48" s="129">
        <f t="shared" si="67"/>
        <v>7.8673894679909696E-4</v>
      </c>
      <c r="BE48" s="129">
        <f t="shared" si="68"/>
        <v>3.9855714739889777E-3</v>
      </c>
      <c r="BH48" s="129">
        <f t="shared" si="69"/>
        <v>0.98138633555014465</v>
      </c>
      <c r="BI48" s="129">
        <f t="shared" si="70"/>
        <v>0.8285608495957768</v>
      </c>
      <c r="BJ48" s="129">
        <f t="shared" si="54"/>
        <v>0.98888140040758443</v>
      </c>
      <c r="BK48" s="129"/>
      <c r="BL48" s="129">
        <f t="shared" si="71"/>
        <v>1.0412499843844085</v>
      </c>
      <c r="BM48" s="129">
        <f t="shared" si="72"/>
        <v>7.0090268999496388</v>
      </c>
      <c r="BN48" s="129">
        <f t="shared" si="55"/>
        <v>1.0584149691674531</v>
      </c>
      <c r="BO48" s="129"/>
      <c r="BP48" s="129">
        <f t="shared" si="73"/>
        <v>1.0016262343826712</v>
      </c>
      <c r="BQ48" s="129">
        <f t="shared" si="74"/>
        <v>1.0509448400444623</v>
      </c>
      <c r="BR48" s="129">
        <f t="shared" si="56"/>
        <v>1.008249059701241</v>
      </c>
      <c r="BU48" s="155"/>
    </row>
    <row r="49" spans="1:73" x14ac:dyDescent="0.2">
      <c r="A49" s="133" t="s">
        <v>664</v>
      </c>
      <c r="B49" s="133">
        <f t="shared" si="57"/>
        <v>1988</v>
      </c>
      <c r="D49" s="5">
        <f>Passenger_Total!G49</f>
        <v>15401.20121373543</v>
      </c>
      <c r="E49" s="5">
        <f>Freight_Total!I48</f>
        <v>5605.9305729870175</v>
      </c>
      <c r="F49" s="5">
        <f t="shared" si="43"/>
        <v>21007.13178672245</v>
      </c>
      <c r="G49" s="5"/>
      <c r="H49" s="5">
        <f>Passenger_Total!L49</f>
        <v>3767834.8516137186</v>
      </c>
      <c r="I49" s="5">
        <f>Freight_Total!P48</f>
        <v>3158830.051689845</v>
      </c>
      <c r="J49" s="263">
        <f t="shared" si="34"/>
        <v>1.0991398319654007</v>
      </c>
      <c r="L49" s="138">
        <f t="shared" si="44"/>
        <v>4087.5467795886229</v>
      </c>
      <c r="M49" s="138">
        <f t="shared" si="45"/>
        <v>1774.6857163107188</v>
      </c>
      <c r="N49" s="138">
        <f t="shared" si="37"/>
        <v>19112.337826169987</v>
      </c>
      <c r="P49" s="509">
        <f>Passenger_Total!AE49</f>
        <v>0.97562398390608562</v>
      </c>
      <c r="Q49" s="509">
        <f>Freight_Total!AO48</f>
        <v>0.96946066196849845</v>
      </c>
      <c r="R49" s="129"/>
      <c r="S49" s="509">
        <f>Passenger_Total!AI49</f>
        <v>1.0042824701172397</v>
      </c>
      <c r="T49" s="509">
        <f>Freight_Total!AS48</f>
        <v>1.035311614727191</v>
      </c>
      <c r="V49" s="131">
        <f t="shared" si="27"/>
        <v>1.0991398319654007</v>
      </c>
      <c r="W49" s="147">
        <f t="shared" si="28"/>
        <v>0.98607424623489937</v>
      </c>
      <c r="X49" s="131">
        <v>1</v>
      </c>
      <c r="Y49" s="131">
        <f t="shared" si="46"/>
        <v>1.012366337615753</v>
      </c>
      <c r="Z49" s="131">
        <f t="shared" si="47"/>
        <v>0.97402907385998705</v>
      </c>
      <c r="AA49" s="131">
        <f t="shared" si="48"/>
        <v>1.0838334813120358</v>
      </c>
      <c r="AB49" s="131">
        <f t="shared" si="32"/>
        <v>1.0838334813120365</v>
      </c>
      <c r="AC49" s="131"/>
      <c r="AD49" s="131">
        <f t="shared" si="49"/>
        <v>1.012366337615753</v>
      </c>
      <c r="AG49" s="134"/>
      <c r="AI49" s="129">
        <f t="shared" si="50"/>
        <v>0.73314155259737812</v>
      </c>
      <c r="AJ49" s="129">
        <f t="shared" si="51"/>
        <v>0.26685844740262182</v>
      </c>
      <c r="AL49" s="129">
        <f t="shared" si="58"/>
        <v>0.73474497798651617</v>
      </c>
      <c r="AM49" s="129">
        <f t="shared" si="59"/>
        <v>0.26525061836114183</v>
      </c>
      <c r="AN49" s="129">
        <f t="shared" si="60"/>
        <v>0.999995596347658</v>
      </c>
      <c r="AO49" s="129"/>
      <c r="AP49" s="129">
        <f t="shared" si="61"/>
        <v>0.73474821356220765</v>
      </c>
      <c r="AQ49" s="129">
        <f t="shared" si="62"/>
        <v>0.2652517864377924</v>
      </c>
      <c r="AT49" s="129">
        <f t="shared" si="63"/>
        <v>-1.8086013291894302E-2</v>
      </c>
      <c r="AU49" s="129">
        <f t="shared" si="64"/>
        <v>-6.954096882561646E-3</v>
      </c>
      <c r="AW49" s="129">
        <f t="shared" si="52"/>
        <v>1.1037694773536708</v>
      </c>
      <c r="AX49" s="129">
        <f t="shared" si="53"/>
        <v>1.08635165196587</v>
      </c>
      <c r="AY49" s="129"/>
      <c r="AZ49" s="129">
        <f t="shared" si="65"/>
        <v>3.8760645809832933E-2</v>
      </c>
      <c r="BA49" s="129">
        <f t="shared" si="66"/>
        <v>3.4970964385916348E-2</v>
      </c>
      <c r="BB49" s="129"/>
      <c r="BC49" s="129"/>
      <c r="BD49" s="129">
        <f t="shared" si="67"/>
        <v>1.655061630031484E-3</v>
      </c>
      <c r="BE49" s="129">
        <f t="shared" si="68"/>
        <v>1.077928012882338E-2</v>
      </c>
      <c r="BH49" s="129">
        <f t="shared" si="69"/>
        <v>0.98498067964320524</v>
      </c>
      <c r="BI49" s="129">
        <f t="shared" si="70"/>
        <v>0.81611642876059975</v>
      </c>
      <c r="BJ49" s="129">
        <f t="shared" si="54"/>
        <v>0.97402907385998705</v>
      </c>
      <c r="BK49" s="129"/>
      <c r="BL49" s="129">
        <f t="shared" si="71"/>
        <v>1.0384772173337473</v>
      </c>
      <c r="BM49" s="129">
        <f t="shared" si="72"/>
        <v>7.2787147512770822</v>
      </c>
      <c r="BN49" s="129">
        <f t="shared" si="55"/>
        <v>1.0991398319654007</v>
      </c>
      <c r="BO49" s="129"/>
      <c r="BP49" s="129">
        <f t="shared" si="73"/>
        <v>1.0040835921193243</v>
      </c>
      <c r="BQ49" s="129">
        <f t="shared" si="74"/>
        <v>1.0552364701111123</v>
      </c>
      <c r="BR49" s="129">
        <f t="shared" si="56"/>
        <v>1.012366337615753</v>
      </c>
      <c r="BU49" s="155"/>
    </row>
    <row r="50" spans="1:73" x14ac:dyDescent="0.2">
      <c r="A50" s="133" t="s">
        <v>664</v>
      </c>
      <c r="B50" s="133">
        <f t="shared" si="57"/>
        <v>1989</v>
      </c>
      <c r="D50" s="5">
        <f>Passenger_Total!G50</f>
        <v>15556.21705145015</v>
      </c>
      <c r="E50" s="5">
        <f>Freight_Total!I49</f>
        <v>5723.236001255862</v>
      </c>
      <c r="F50" s="5">
        <f t="shared" si="43"/>
        <v>21279.453052706012</v>
      </c>
      <c r="G50" s="5"/>
      <c r="H50" s="5">
        <f>Passenger_Total!L50</f>
        <v>3839091.7595757437</v>
      </c>
      <c r="I50" s="5">
        <f>Freight_Total!P49</f>
        <v>3143923.580376497</v>
      </c>
      <c r="J50" s="263">
        <f t="shared" si="34"/>
        <v>1.1129082704181696</v>
      </c>
      <c r="L50" s="138">
        <f t="shared" si="44"/>
        <v>4052.056586730102</v>
      </c>
      <c r="M50" s="138">
        <f t="shared" si="45"/>
        <v>1820.4119327132253</v>
      </c>
      <c r="N50" s="138">
        <f t="shared" si="37"/>
        <v>19120.581289876089</v>
      </c>
      <c r="P50" s="509">
        <f>Passenger_Total!AE50</f>
        <v>0.96640614607228315</v>
      </c>
      <c r="Q50" s="509">
        <f>Freight_Total!AO49</f>
        <v>0.96138228603499831</v>
      </c>
      <c r="R50" s="129"/>
      <c r="S50" s="509">
        <f>Passenger_Total!AI50</f>
        <v>1.0050587123220136</v>
      </c>
      <c r="T50" s="509">
        <f>Freight_Total!AS49</f>
        <v>1.070911004930911</v>
      </c>
      <c r="V50" s="131">
        <f t="shared" si="27"/>
        <v>1.1129082704181696</v>
      </c>
      <c r="W50" s="147">
        <f t="shared" si="28"/>
        <v>0.98649955617522644</v>
      </c>
      <c r="X50" s="131">
        <v>1</v>
      </c>
      <c r="Y50" s="131">
        <f t="shared" si="46"/>
        <v>1.0221551717222097</v>
      </c>
      <c r="Z50" s="131">
        <f t="shared" si="47"/>
        <v>0.96511721846800635</v>
      </c>
      <c r="AA50" s="131">
        <f t="shared" si="48"/>
        <v>1.0978835148312631</v>
      </c>
      <c r="AB50" s="131">
        <f t="shared" si="32"/>
        <v>1.0978835148312631</v>
      </c>
      <c r="AC50" s="131"/>
      <c r="AD50" s="131">
        <f t="shared" si="49"/>
        <v>1.0221551717222097</v>
      </c>
      <c r="AG50" s="134"/>
      <c r="AI50" s="129">
        <f t="shared" si="50"/>
        <v>0.73104402697380122</v>
      </c>
      <c r="AJ50" s="129">
        <f t="shared" si="51"/>
        <v>0.26895597302619878</v>
      </c>
      <c r="AL50" s="129">
        <f t="shared" si="58"/>
        <v>0.73209228898202894</v>
      </c>
      <c r="AM50" s="129">
        <f t="shared" si="59"/>
        <v>0.26790584169589821</v>
      </c>
      <c r="AN50" s="129">
        <f t="shared" si="60"/>
        <v>0.99999813067792709</v>
      </c>
      <c r="AO50" s="129"/>
      <c r="AP50" s="129">
        <f t="shared" si="61"/>
        <v>0.7320936575008623</v>
      </c>
      <c r="AQ50" s="129">
        <f t="shared" si="62"/>
        <v>0.2679063424991377</v>
      </c>
      <c r="AT50" s="129">
        <f t="shared" si="63"/>
        <v>-9.4930628686109922E-3</v>
      </c>
      <c r="AU50" s="129">
        <f t="shared" si="64"/>
        <v>-8.3677681593055612E-3</v>
      </c>
      <c r="AW50" s="129">
        <f t="shared" si="52"/>
        <v>1.1246438529981866</v>
      </c>
      <c r="AX50" s="129">
        <f t="shared" si="53"/>
        <v>1.0812251749249242</v>
      </c>
      <c r="AY50" s="129"/>
      <c r="AZ50" s="129">
        <f t="shared" si="65"/>
        <v>1.8735291116304516E-2</v>
      </c>
      <c r="BA50" s="129">
        <f t="shared" si="66"/>
        <v>-4.7301544617143112E-3</v>
      </c>
      <c r="BB50" s="129"/>
      <c r="BC50" s="129"/>
      <c r="BD50" s="129">
        <f t="shared" si="67"/>
        <v>7.7263358773866004E-4</v>
      </c>
      <c r="BE50" s="129">
        <f t="shared" si="68"/>
        <v>3.3807234276560849E-2</v>
      </c>
      <c r="BH50" s="129">
        <f t="shared" si="69"/>
        <v>0.99085052424907205</v>
      </c>
      <c r="BI50" s="129">
        <f t="shared" si="70"/>
        <v>0.80864939128572078</v>
      </c>
      <c r="BJ50" s="129">
        <f t="shared" si="54"/>
        <v>0.96511721846800635</v>
      </c>
      <c r="BK50" s="129"/>
      <c r="BL50" s="129">
        <f t="shared" si="71"/>
        <v>1.0125265576338447</v>
      </c>
      <c r="BM50" s="129">
        <f t="shared" si="72"/>
        <v>7.3698919911092702</v>
      </c>
      <c r="BN50" s="129">
        <f t="shared" si="55"/>
        <v>1.1129082704181696</v>
      </c>
      <c r="BO50" s="129"/>
      <c r="BP50" s="129">
        <f t="shared" si="73"/>
        <v>1.0096692607633622</v>
      </c>
      <c r="BQ50" s="129">
        <f t="shared" si="74"/>
        <v>1.0654398267076266</v>
      </c>
      <c r="BR50" s="129">
        <f t="shared" si="56"/>
        <v>1.0221551717222097</v>
      </c>
      <c r="BU50" s="155"/>
    </row>
    <row r="51" spans="1:73" x14ac:dyDescent="0.2">
      <c r="A51" s="133" t="s">
        <v>664</v>
      </c>
      <c r="B51" s="133">
        <f t="shared" si="57"/>
        <v>1990</v>
      </c>
      <c r="D51" s="5">
        <f>Passenger_Total!G51</f>
        <v>15421.949899929692</v>
      </c>
      <c r="E51" s="5">
        <f>Freight_Total!I50</f>
        <v>5944.3229618191854</v>
      </c>
      <c r="F51" s="5">
        <f t="shared" si="43"/>
        <v>21366.272861748876</v>
      </c>
      <c r="G51" s="5"/>
      <c r="H51" s="5">
        <f>Passenger_Total!L51</f>
        <v>3882764.6469999999</v>
      </c>
      <c r="I51" s="5">
        <f>Freight_Total!P50</f>
        <v>3206747.9194085747</v>
      </c>
      <c r="J51" s="263">
        <f t="shared" si="34"/>
        <v>1.1281809015259485</v>
      </c>
      <c r="L51" s="138">
        <f t="shared" si="44"/>
        <v>3971.8992269710166</v>
      </c>
      <c r="M51" s="138">
        <f t="shared" si="45"/>
        <v>1853.6919992499772</v>
      </c>
      <c r="N51" s="138">
        <f t="shared" si="37"/>
        <v>18938.693992115452</v>
      </c>
      <c r="P51" s="509">
        <f>Passenger_Total!AE51</f>
        <v>0.94568804030853193</v>
      </c>
      <c r="Q51" s="509">
        <f>Freight_Total!AO50</f>
        <v>0.9804355191978964</v>
      </c>
      <c r="R51" s="129"/>
      <c r="S51" s="509">
        <f>Passenger_Total!AI51</f>
        <v>1.0067599691182305</v>
      </c>
      <c r="T51" s="509">
        <f>Freight_Total!AS50</f>
        <v>1.0692970351191116</v>
      </c>
      <c r="V51" s="131">
        <f t="shared" si="27"/>
        <v>1.1281809015259485</v>
      </c>
      <c r="W51" s="147">
        <f t="shared" si="28"/>
        <v>0.97711533632361636</v>
      </c>
      <c r="X51" s="131">
        <v>1</v>
      </c>
      <c r="Y51" s="131">
        <f t="shared" si="46"/>
        <v>1.0229895758226804</v>
      </c>
      <c r="Z51" s="131">
        <f t="shared" si="47"/>
        <v>0.95515668919483165</v>
      </c>
      <c r="AA51" s="131">
        <f t="shared" si="48"/>
        <v>1.102362861028408</v>
      </c>
      <c r="AB51" s="131">
        <f t="shared" si="32"/>
        <v>1.102362861028408</v>
      </c>
      <c r="AC51" s="131"/>
      <c r="AD51" s="131">
        <f t="shared" si="49"/>
        <v>1.0229895758226804</v>
      </c>
      <c r="AG51" s="134"/>
      <c r="AI51" s="129">
        <f t="shared" si="50"/>
        <v>0.72178942952371206</v>
      </c>
      <c r="AJ51" s="129">
        <f t="shared" si="51"/>
        <v>0.278210570476288</v>
      </c>
      <c r="AL51" s="129">
        <f t="shared" si="58"/>
        <v>0.72640690279349984</v>
      </c>
      <c r="AM51" s="129">
        <f t="shared" si="59"/>
        <v>0.27355718155083819</v>
      </c>
      <c r="AN51" s="129">
        <f t="shared" si="60"/>
        <v>0.99996408434433803</v>
      </c>
      <c r="AO51" s="129"/>
      <c r="AP51" s="129">
        <f t="shared" si="61"/>
        <v>0.72643299311074194</v>
      </c>
      <c r="AQ51" s="129">
        <f t="shared" si="62"/>
        <v>0.27356700688925811</v>
      </c>
      <c r="AT51" s="129">
        <f t="shared" si="63"/>
        <v>-2.1671439369524443E-2</v>
      </c>
      <c r="AU51" s="129">
        <f t="shared" si="64"/>
        <v>1.9624750176425048E-2</v>
      </c>
      <c r="AW51" s="129">
        <f t="shared" si="52"/>
        <v>1.1374376197170626</v>
      </c>
      <c r="AX51" s="129">
        <f t="shared" si="53"/>
        <v>1.1028310617166657</v>
      </c>
      <c r="AY51" s="129"/>
      <c r="AZ51" s="129">
        <f t="shared" si="65"/>
        <v>1.1311620106854225E-2</v>
      </c>
      <c r="BA51" s="129">
        <f t="shared" si="66"/>
        <v>1.9785746605861521E-2</v>
      </c>
      <c r="BB51" s="129"/>
      <c r="BC51" s="129"/>
      <c r="BD51" s="129">
        <f t="shared" si="67"/>
        <v>1.6912629527008707E-3</v>
      </c>
      <c r="BE51" s="129">
        <f t="shared" si="68"/>
        <v>-1.5082366644258969E-3</v>
      </c>
      <c r="BH51" s="129">
        <f t="shared" si="69"/>
        <v>0.98967946164199028</v>
      </c>
      <c r="BI51" s="129">
        <f t="shared" si="70"/>
        <v>0.80030369422477532</v>
      </c>
      <c r="BJ51" s="129">
        <f t="shared" si="54"/>
        <v>0.95515668919483165</v>
      </c>
      <c r="BK51" s="129"/>
      <c r="BL51" s="129">
        <f t="shared" si="71"/>
        <v>1.0137231715440844</v>
      </c>
      <c r="BM51" s="129">
        <f t="shared" si="72"/>
        <v>7.4710302831646365</v>
      </c>
      <c r="BN51" s="129">
        <f t="shared" si="55"/>
        <v>1.1281809015259485</v>
      </c>
      <c r="BO51" s="129"/>
      <c r="BP51" s="129">
        <f t="shared" si="73"/>
        <v>1.0008163184255721</v>
      </c>
      <c r="BQ51" s="129">
        <f t="shared" si="74"/>
        <v>1.0663095648695062</v>
      </c>
      <c r="BR51" s="129">
        <f t="shared" si="56"/>
        <v>1.0229895758226804</v>
      </c>
      <c r="BU51" s="155"/>
    </row>
    <row r="52" spans="1:73" x14ac:dyDescent="0.2">
      <c r="A52" s="133" t="s">
        <v>664</v>
      </c>
      <c r="B52" s="133">
        <f t="shared" si="57"/>
        <v>1991</v>
      </c>
      <c r="D52" s="5">
        <f>Passenger_Total!G52</f>
        <v>14903.040200286165</v>
      </c>
      <c r="E52" s="5">
        <f>Freight_Total!I51</f>
        <v>5885.4712213529747</v>
      </c>
      <c r="F52" s="5">
        <f t="shared" si="43"/>
        <v>20788.511421639138</v>
      </c>
      <c r="G52" s="5"/>
      <c r="H52" s="5">
        <f>Passenger_Total!L52</f>
        <v>3908959.3655885761</v>
      </c>
      <c r="I52" s="5">
        <f>Freight_Total!P51</f>
        <v>3258347.3550803135</v>
      </c>
      <c r="J52" s="263">
        <f t="shared" si="34"/>
        <v>1.1387410050538485</v>
      </c>
      <c r="L52" s="138">
        <f t="shared" si="44"/>
        <v>3812.5339269271731</v>
      </c>
      <c r="M52" s="138">
        <f t="shared" si="45"/>
        <v>1806.2749547486187</v>
      </c>
      <c r="N52" s="138">
        <f t="shared" si="37"/>
        <v>18255.697590038129</v>
      </c>
      <c r="P52" s="509">
        <f>Passenger_Total!AE52</f>
        <v>0.90399721943488731</v>
      </c>
      <c r="Q52" s="509">
        <f>Freight_Total!AO51</f>
        <v>0.95220974347568466</v>
      </c>
      <c r="R52" s="129"/>
      <c r="S52" s="509">
        <f>Passenger_Total!AI52</f>
        <v>1.0109326814721447</v>
      </c>
      <c r="T52" s="509">
        <f>Freight_Total!AS51</f>
        <v>1.072830378868596</v>
      </c>
      <c r="V52" s="131">
        <f t="shared" si="27"/>
        <v>1.1387410050538485</v>
      </c>
      <c r="W52" s="147">
        <f t="shared" si="28"/>
        <v>0.94187709553460308</v>
      </c>
      <c r="X52" s="131">
        <v>1</v>
      </c>
      <c r="Y52" s="131">
        <f t="shared" si="46"/>
        <v>1.0269882151215839</v>
      </c>
      <c r="Z52" s="131">
        <f t="shared" si="47"/>
        <v>0.91712551484643423</v>
      </c>
      <c r="AA52" s="131">
        <f t="shared" si="48"/>
        <v>1.0725540704062737</v>
      </c>
      <c r="AB52" s="131">
        <f t="shared" si="32"/>
        <v>1.0725540704062735</v>
      </c>
      <c r="AC52" s="131"/>
      <c r="AD52" s="131">
        <f t="shared" si="49"/>
        <v>1.0269882151215839</v>
      </c>
      <c r="AG52" s="134"/>
      <c r="AI52" s="129">
        <f t="shared" si="50"/>
        <v>0.71688828016677142</v>
      </c>
      <c r="AJ52" s="129">
        <f t="shared" si="51"/>
        <v>0.28311171983322869</v>
      </c>
      <c r="AL52" s="129">
        <f t="shared" si="58"/>
        <v>0.71933607204229622</v>
      </c>
      <c r="AM52" s="129">
        <f t="shared" si="59"/>
        <v>0.28065401266486067</v>
      </c>
      <c r="AN52" s="129">
        <f t="shared" si="60"/>
        <v>0.99999008470715689</v>
      </c>
      <c r="AO52" s="129"/>
      <c r="AP52" s="129">
        <f t="shared" si="61"/>
        <v>0.7193432045408239</v>
      </c>
      <c r="AQ52" s="129">
        <f t="shared" si="62"/>
        <v>0.28065679545917604</v>
      </c>
      <c r="AT52" s="129">
        <f t="shared" si="63"/>
        <v>-4.5086463009947134E-2</v>
      </c>
      <c r="AU52" s="129">
        <f t="shared" si="64"/>
        <v>-2.9211550987985061E-2</v>
      </c>
      <c r="AW52" s="129">
        <f t="shared" si="52"/>
        <v>1.1451112391787956</v>
      </c>
      <c r="AX52" s="129">
        <f t="shared" si="53"/>
        <v>1.1205765976477655</v>
      </c>
      <c r="AY52" s="129"/>
      <c r="AZ52" s="129">
        <f t="shared" si="65"/>
        <v>6.7237538784247815E-3</v>
      </c>
      <c r="BA52" s="129">
        <f t="shared" si="66"/>
        <v>1.5962806162128272E-2</v>
      </c>
      <c r="BB52" s="129"/>
      <c r="BC52" s="129"/>
      <c r="BD52" s="129">
        <f t="shared" si="67"/>
        <v>4.1361287621637629E-3</v>
      </c>
      <c r="BE52" s="129">
        <f t="shared" si="68"/>
        <v>3.2989139028900029E-3</v>
      </c>
      <c r="BH52" s="129">
        <f t="shared" si="69"/>
        <v>0.96018331360851739</v>
      </c>
      <c r="BI52" s="129">
        <f t="shared" si="70"/>
        <v>0.76843825301388247</v>
      </c>
      <c r="BJ52" s="129">
        <f t="shared" si="54"/>
        <v>0.91712551484643423</v>
      </c>
      <c r="BK52" s="129"/>
      <c r="BL52" s="129">
        <f t="shared" si="71"/>
        <v>1.0093602927629928</v>
      </c>
      <c r="BM52" s="129">
        <f t="shared" si="72"/>
        <v>7.5409613138562426</v>
      </c>
      <c r="BN52" s="129">
        <f t="shared" si="55"/>
        <v>1.1387410050538485</v>
      </c>
      <c r="BO52" s="129"/>
      <c r="BP52" s="129">
        <f t="shared" si="73"/>
        <v>1.0039087781473119</v>
      </c>
      <c r="BQ52" s="129">
        <f t="shared" si="74"/>
        <v>1.0704775323949378</v>
      </c>
      <c r="BR52" s="129">
        <f t="shared" si="56"/>
        <v>1.0269882151215839</v>
      </c>
      <c r="BU52" s="155"/>
    </row>
    <row r="53" spans="1:73" x14ac:dyDescent="0.2">
      <c r="A53" s="133" t="s">
        <v>664</v>
      </c>
      <c r="B53" s="133">
        <f t="shared" si="57"/>
        <v>1992</v>
      </c>
      <c r="D53" s="5">
        <f>Passenger_Total!G53</f>
        <v>15492.957408993871</v>
      </c>
      <c r="E53" s="5">
        <f>Freight_Total!I52</f>
        <v>5982.3485911751068</v>
      </c>
      <c r="F53" s="5">
        <f t="shared" si="43"/>
        <v>21475.306000168977</v>
      </c>
      <c r="G53" s="5"/>
      <c r="H53" s="5">
        <f>Passenger_Total!L53</f>
        <v>4045067.5939984596</v>
      </c>
      <c r="I53" s="5">
        <f>Freight_Total!P52</f>
        <v>3330862.4242041884</v>
      </c>
      <c r="J53" s="263">
        <f t="shared" si="34"/>
        <v>1.1743557038530226</v>
      </c>
      <c r="L53" s="138">
        <f t="shared" si="44"/>
        <v>3830.0861602363057</v>
      </c>
      <c r="M53" s="138">
        <f t="shared" si="45"/>
        <v>1796.0359298251151</v>
      </c>
      <c r="N53" s="138">
        <f t="shared" si="37"/>
        <v>18286.883547897116</v>
      </c>
      <c r="P53" s="509">
        <f>Passenger_Total!AE53</f>
        <v>0.90696264337629329</v>
      </c>
      <c r="Q53" s="509">
        <f>Freight_Total!AO52</f>
        <v>0.94327015685300253</v>
      </c>
      <c r="R53" s="129"/>
      <c r="S53" s="509">
        <f>Passenger_Total!AI53</f>
        <v>1.0122662532470388</v>
      </c>
      <c r="T53" s="509">
        <f>Freight_Total!AS52</f>
        <v>1.0768587709133601</v>
      </c>
      <c r="V53" s="131">
        <f t="shared" si="27"/>
        <v>1.1743557038530226</v>
      </c>
      <c r="W53" s="147">
        <f t="shared" si="28"/>
        <v>0.94348609126126959</v>
      </c>
      <c r="X53" s="131">
        <v>1</v>
      </c>
      <c r="Y53" s="131">
        <f t="shared" si="46"/>
        <v>1.0290448673490344</v>
      </c>
      <c r="Z53" s="131">
        <f t="shared" si="47"/>
        <v>0.9168561266835954</v>
      </c>
      <c r="AA53" s="131">
        <f t="shared" si="48"/>
        <v>1.1079882727786656</v>
      </c>
      <c r="AB53" s="131">
        <f t="shared" si="32"/>
        <v>1.1079882727786654</v>
      </c>
      <c r="AC53" s="131"/>
      <c r="AD53" s="131">
        <f t="shared" si="49"/>
        <v>1.0290448673490344</v>
      </c>
      <c r="AG53" s="134"/>
      <c r="AI53" s="129">
        <f t="shared" si="50"/>
        <v>0.7214312759441921</v>
      </c>
      <c r="AJ53" s="129">
        <f t="shared" si="51"/>
        <v>0.27856872405580785</v>
      </c>
      <c r="AL53" s="129">
        <f t="shared" si="58"/>
        <v>0.7191573865070281</v>
      </c>
      <c r="AM53" s="129">
        <f t="shared" si="59"/>
        <v>0.28083409771174483</v>
      </c>
      <c r="AN53" s="129">
        <f t="shared" si="60"/>
        <v>0.99999148421877293</v>
      </c>
      <c r="AO53" s="129"/>
      <c r="AP53" s="129">
        <f t="shared" si="61"/>
        <v>0.71916351074615215</v>
      </c>
      <c r="AQ53" s="129">
        <f t="shared" si="62"/>
        <v>0.28083648925384791</v>
      </c>
      <c r="AT53" s="129">
        <f t="shared" si="63"/>
        <v>3.2749777096310229E-3</v>
      </c>
      <c r="AU53" s="129">
        <f t="shared" si="64"/>
        <v>-9.4326011091666762E-3</v>
      </c>
      <c r="AW53" s="129">
        <f t="shared" si="52"/>
        <v>1.1849835037689405</v>
      </c>
      <c r="AX53" s="129">
        <f t="shared" si="53"/>
        <v>1.1455152185441313</v>
      </c>
      <c r="AY53" s="129"/>
      <c r="AZ53" s="129">
        <f t="shared" si="65"/>
        <v>3.4227069211645741E-2</v>
      </c>
      <c r="BA53" s="129">
        <f t="shared" si="66"/>
        <v>2.2011136165190244E-2</v>
      </c>
      <c r="BB53" s="129"/>
      <c r="BC53" s="129"/>
      <c r="BD53" s="129">
        <f t="shared" si="67"/>
        <v>1.3182806150594428E-3</v>
      </c>
      <c r="BE53" s="129">
        <f t="shared" si="68"/>
        <v>3.7478876986720556E-3</v>
      </c>
      <c r="BH53" s="129">
        <f t="shared" si="69"/>
        <v>0.99970626903463267</v>
      </c>
      <c r="BI53" s="129">
        <f t="shared" si="70"/>
        <v>0.76821253890399954</v>
      </c>
      <c r="BJ53" s="129">
        <f t="shared" si="54"/>
        <v>0.9168561266835954</v>
      </c>
      <c r="BK53" s="129"/>
      <c r="BL53" s="129">
        <f t="shared" si="71"/>
        <v>1.0312755039478796</v>
      </c>
      <c r="BM53" s="129">
        <f t="shared" si="72"/>
        <v>7.7768086791985604</v>
      </c>
      <c r="BN53" s="129">
        <f t="shared" si="55"/>
        <v>1.1743557038530226</v>
      </c>
      <c r="BO53" s="129"/>
      <c r="BP53" s="129">
        <f t="shared" si="73"/>
        <v>1.002002605479954</v>
      </c>
      <c r="BQ53" s="129">
        <f t="shared" si="74"/>
        <v>1.0726212765674796</v>
      </c>
      <c r="BR53" s="129">
        <f t="shared" si="56"/>
        <v>1.0290448673490344</v>
      </c>
      <c r="BU53" s="155"/>
    </row>
    <row r="54" spans="1:73" x14ac:dyDescent="0.2">
      <c r="A54" s="133" t="s">
        <v>664</v>
      </c>
      <c r="B54" s="133">
        <f t="shared" si="57"/>
        <v>1993</v>
      </c>
      <c r="D54" s="5">
        <f>Passenger_Total!G54</f>
        <v>15926.825860878404</v>
      </c>
      <c r="E54" s="5">
        <f>Freight_Total!I53</f>
        <v>6172.0698443809888</v>
      </c>
      <c r="F54" s="5">
        <f t="shared" si="43"/>
        <v>22098.895705259391</v>
      </c>
      <c r="G54" s="5"/>
      <c r="H54" s="5">
        <f>Passenger_Total!L54</f>
        <v>4116069.8656020695</v>
      </c>
      <c r="I54" s="5">
        <f>Freight_Total!P53</f>
        <v>3368197.4666882055</v>
      </c>
      <c r="J54" s="263">
        <f t="shared" si="34"/>
        <v>1.1928861897329768</v>
      </c>
      <c r="L54" s="138">
        <f t="shared" si="44"/>
        <v>3869.4255396339681</v>
      </c>
      <c r="M54" s="138">
        <f t="shared" si="45"/>
        <v>1832.4548680483697</v>
      </c>
      <c r="N54" s="138">
        <f t="shared" si="37"/>
        <v>18525.569241610676</v>
      </c>
      <c r="P54" s="509">
        <f>Passenger_Total!AE54</f>
        <v>0.91612629206741147</v>
      </c>
      <c r="Q54" s="509">
        <f>Freight_Total!AO53</f>
        <v>0.93262847092491707</v>
      </c>
      <c r="R54" s="129"/>
      <c r="S54" s="509">
        <f>Passenger_Total!AI54</f>
        <v>1.0124340920085939</v>
      </c>
      <c r="T54" s="509">
        <f>Freight_Total!AS53</f>
        <v>1.1112312380786342</v>
      </c>
      <c r="V54" s="131">
        <f t="shared" si="27"/>
        <v>1.1928861897329768</v>
      </c>
      <c r="W54" s="147">
        <f t="shared" si="28"/>
        <v>0.95580074463629405</v>
      </c>
      <c r="X54" s="131">
        <v>1</v>
      </c>
      <c r="Y54" s="131">
        <f t="shared" si="46"/>
        <v>1.0382272741535608</v>
      </c>
      <c r="Z54" s="131">
        <f t="shared" si="47"/>
        <v>0.92060839512767934</v>
      </c>
      <c r="AA54" s="131">
        <f t="shared" si="48"/>
        <v>1.1401615084131316</v>
      </c>
      <c r="AB54" s="131">
        <f t="shared" si="32"/>
        <v>1.1401615084131307</v>
      </c>
      <c r="AC54" s="131"/>
      <c r="AD54" s="131">
        <f t="shared" si="49"/>
        <v>1.0382272741535608</v>
      </c>
      <c r="AG54" s="134"/>
      <c r="AI54" s="129">
        <f t="shared" si="50"/>
        <v>0.72070686577736665</v>
      </c>
      <c r="AJ54" s="129">
        <f t="shared" si="51"/>
        <v>0.27929313422263347</v>
      </c>
      <c r="AL54" s="129">
        <f t="shared" si="58"/>
        <v>0.72106901021354142</v>
      </c>
      <c r="AM54" s="129">
        <f t="shared" si="59"/>
        <v>0.27893077235898051</v>
      </c>
      <c r="AN54" s="129">
        <f t="shared" si="60"/>
        <v>0.99999978257252198</v>
      </c>
      <c r="AO54" s="129"/>
      <c r="AP54" s="129">
        <f t="shared" si="61"/>
        <v>0.72106916699379187</v>
      </c>
      <c r="AQ54" s="129">
        <f t="shared" si="62"/>
        <v>0.27893083300620808</v>
      </c>
      <c r="AT54" s="129">
        <f t="shared" si="63"/>
        <v>1.0052966355786778E-2</v>
      </c>
      <c r="AU54" s="129">
        <f t="shared" si="64"/>
        <v>-1.1345815735198548E-2</v>
      </c>
      <c r="AW54" s="129">
        <f t="shared" si="52"/>
        <v>1.2057832848913204</v>
      </c>
      <c r="AX54" s="129">
        <f t="shared" si="53"/>
        <v>1.158355094199053</v>
      </c>
      <c r="AY54" s="129"/>
      <c r="AZ54" s="129">
        <f t="shared" si="65"/>
        <v>1.7400531100652827E-2</v>
      </c>
      <c r="BA54" s="129">
        <f t="shared" si="66"/>
        <v>1.114646820452906E-2</v>
      </c>
      <c r="BB54" s="129"/>
      <c r="BC54" s="129"/>
      <c r="BD54" s="129">
        <f t="shared" si="67"/>
        <v>1.6579121185311866E-4</v>
      </c>
      <c r="BE54" s="129">
        <f t="shared" si="68"/>
        <v>3.1420366437132696E-2</v>
      </c>
      <c r="BH54" s="129">
        <f t="shared" si="69"/>
        <v>1.0040925378964924</v>
      </c>
      <c r="BI54" s="129">
        <f t="shared" si="70"/>
        <v>0.77135647783202488</v>
      </c>
      <c r="BJ54" s="129">
        <f t="shared" si="54"/>
        <v>0.92060839512767934</v>
      </c>
      <c r="BK54" s="129"/>
      <c r="BL54" s="129">
        <f t="shared" si="71"/>
        <v>1.0157792786454363</v>
      </c>
      <c r="BM54" s="129">
        <f t="shared" si="72"/>
        <v>7.8995211103198821</v>
      </c>
      <c r="BN54" s="129">
        <f t="shared" si="55"/>
        <v>1.1928861897329768</v>
      </c>
      <c r="BO54" s="129"/>
      <c r="BP54" s="129">
        <f t="shared" si="73"/>
        <v>1.0089232326945874</v>
      </c>
      <c r="BQ54" s="129">
        <f t="shared" si="74"/>
        <v>1.0821925258114566</v>
      </c>
      <c r="BR54" s="129">
        <f t="shared" si="56"/>
        <v>1.0382272741535608</v>
      </c>
      <c r="BU54" s="155"/>
    </row>
    <row r="55" spans="1:73" x14ac:dyDescent="0.2">
      <c r="A55" s="133" t="s">
        <v>664</v>
      </c>
      <c r="B55" s="133">
        <f t="shared" si="57"/>
        <v>1994</v>
      </c>
      <c r="D55" s="5">
        <f>Passenger_Total!G55</f>
        <v>16254.107362562243</v>
      </c>
      <c r="E55" s="5">
        <f>Freight_Total!I54</f>
        <v>6572.0120714520526</v>
      </c>
      <c r="F55" s="5">
        <f t="shared" si="43"/>
        <v>22826.119434014297</v>
      </c>
      <c r="G55" s="5"/>
      <c r="H55" s="5">
        <f>Passenger_Total!L55</f>
        <v>4221176.8579999991</v>
      </c>
      <c r="I55" s="5">
        <f>Freight_Total!P54</f>
        <v>3573614.1038725181</v>
      </c>
      <c r="J55" s="263">
        <f t="shared" si="34"/>
        <v>1.2351947387818187</v>
      </c>
      <c r="L55" s="138">
        <f t="shared" si="44"/>
        <v>3850.6103651538228</v>
      </c>
      <c r="M55" s="138">
        <f t="shared" si="45"/>
        <v>1839.0379823972444</v>
      </c>
      <c r="N55" s="138">
        <f t="shared" si="37"/>
        <v>18479.773850499081</v>
      </c>
      <c r="P55" s="509">
        <f>Passenger_Total!AE55</f>
        <v>0.913318574182166</v>
      </c>
      <c r="Q55" s="509">
        <f>Freight_Total!AO54</f>
        <v>0.92935321842630925</v>
      </c>
      <c r="R55" s="129"/>
      <c r="S55" s="509">
        <f>Passenger_Total!AI55</f>
        <v>1.0106083908996841</v>
      </c>
      <c r="T55" s="509">
        <f>Freight_Total!AS54</f>
        <v>1.1191536497610237</v>
      </c>
      <c r="V55" s="131">
        <f t="shared" si="27"/>
        <v>1.2351947387818187</v>
      </c>
      <c r="W55" s="147">
        <f t="shared" si="28"/>
        <v>0.95343799570510024</v>
      </c>
      <c r="X55" s="131">
        <v>1</v>
      </c>
      <c r="Y55" s="131">
        <f t="shared" si="46"/>
        <v>1.0389767434336543</v>
      </c>
      <c r="Z55" s="131">
        <f t="shared" si="47"/>
        <v>0.91767019977188213</v>
      </c>
      <c r="AA55" s="131">
        <f t="shared" si="48"/>
        <v>1.1776815960496232</v>
      </c>
      <c r="AB55" s="131">
        <f t="shared" si="32"/>
        <v>1.1776815960496221</v>
      </c>
      <c r="AC55" s="131"/>
      <c r="AD55" s="131">
        <f t="shared" si="49"/>
        <v>1.0389767434336543</v>
      </c>
      <c r="AG55" s="134"/>
      <c r="AI55" s="129">
        <f t="shared" si="50"/>
        <v>0.71208369033332997</v>
      </c>
      <c r="AJ55" s="129">
        <f t="shared" si="51"/>
        <v>0.28791630966666992</v>
      </c>
      <c r="AL55" s="129">
        <f t="shared" si="58"/>
        <v>0.71638662828297428</v>
      </c>
      <c r="AM55" s="129">
        <f t="shared" si="59"/>
        <v>0.28358287118649322</v>
      </c>
      <c r="AN55" s="129">
        <f t="shared" si="60"/>
        <v>0.99996949946946745</v>
      </c>
      <c r="AO55" s="129"/>
      <c r="AP55" s="129">
        <f t="shared" si="61"/>
        <v>0.7164084791216655</v>
      </c>
      <c r="AQ55" s="129">
        <f t="shared" si="62"/>
        <v>0.28359152087833456</v>
      </c>
      <c r="AT55" s="129">
        <f t="shared" si="63"/>
        <v>-3.0694776776255569E-3</v>
      </c>
      <c r="AU55" s="129">
        <f t="shared" si="64"/>
        <v>-3.5180323151039268E-3</v>
      </c>
      <c r="AW55" s="129">
        <f t="shared" si="52"/>
        <v>1.2365738833740516</v>
      </c>
      <c r="AX55" s="129">
        <f t="shared" si="53"/>
        <v>1.2289998264242239</v>
      </c>
      <c r="AY55" s="129"/>
      <c r="AZ55" s="129">
        <f t="shared" si="65"/>
        <v>2.5215173494563148E-2</v>
      </c>
      <c r="BA55" s="129">
        <f t="shared" si="66"/>
        <v>5.9199712819467759E-2</v>
      </c>
      <c r="BB55" s="129"/>
      <c r="BC55" s="129"/>
      <c r="BD55" s="129">
        <f t="shared" si="67"/>
        <v>-1.8049068370681438E-3</v>
      </c>
      <c r="BE55" s="129">
        <f t="shared" si="68"/>
        <v>7.1041057037179254E-3</v>
      </c>
      <c r="BH55" s="129">
        <f t="shared" si="69"/>
        <v>0.99680841998471059</v>
      </c>
      <c r="BI55" s="129">
        <f t="shared" si="70"/>
        <v>0.76889463191271212</v>
      </c>
      <c r="BJ55" s="129">
        <f t="shared" si="54"/>
        <v>0.91767019977188213</v>
      </c>
      <c r="BK55" s="129"/>
      <c r="BL55" s="129">
        <f t="shared" si="71"/>
        <v>1.0354673810569577</v>
      </c>
      <c r="BM55" s="129">
        <f t="shared" si="72"/>
        <v>8.1796964357070792</v>
      </c>
      <c r="BN55" s="129">
        <f t="shared" si="55"/>
        <v>1.2351947387818187</v>
      </c>
      <c r="BO55" s="129"/>
      <c r="BP55" s="129">
        <f t="shared" si="73"/>
        <v>1.0007218740046147</v>
      </c>
      <c r="BQ55" s="129">
        <f t="shared" si="74"/>
        <v>1.0829737324638282</v>
      </c>
      <c r="BR55" s="129">
        <f t="shared" si="56"/>
        <v>1.0389767434336543</v>
      </c>
      <c r="BU55" s="155"/>
    </row>
    <row r="56" spans="1:73" x14ac:dyDescent="0.2">
      <c r="A56" s="133" t="s">
        <v>664</v>
      </c>
      <c r="B56" s="133">
        <f t="shared" si="57"/>
        <v>1995</v>
      </c>
      <c r="D56" s="5">
        <f>Passenger_Total!G56</f>
        <v>16525.16810769591</v>
      </c>
      <c r="E56" s="5">
        <f>Freight_Total!I55</f>
        <v>6837.6697512938354</v>
      </c>
      <c r="F56" s="5">
        <f t="shared" si="43"/>
        <v>23362.837858989747</v>
      </c>
      <c r="G56" s="5"/>
      <c r="H56" s="5">
        <f>Passenger_Total!L56</f>
        <v>4324251.6178422142</v>
      </c>
      <c r="I56" s="5">
        <f>Freight_Total!P55</f>
        <v>3737067.7492729113</v>
      </c>
      <c r="J56" s="263">
        <f t="shared" si="34"/>
        <v>1.2729453420385728</v>
      </c>
      <c r="L56" s="138">
        <f t="shared" si="44"/>
        <v>3821.5093773710396</v>
      </c>
      <c r="M56" s="138">
        <f t="shared" si="45"/>
        <v>1829.6884643378971</v>
      </c>
      <c r="N56" s="138">
        <f t="shared" si="37"/>
        <v>18353.370790905337</v>
      </c>
      <c r="P56" s="509">
        <f>Passenger_Total!AE56</f>
        <v>0.90659156808585362</v>
      </c>
      <c r="Q56" s="509">
        <f>Freight_Total!AO55</f>
        <v>0.92842025236398729</v>
      </c>
      <c r="R56" s="129"/>
      <c r="S56" s="509">
        <f>Passenger_Total!AI56</f>
        <v>1.0104128676637203</v>
      </c>
      <c r="T56" s="509">
        <f>Freight_Total!AS55</f>
        <v>1.1145828803247302</v>
      </c>
      <c r="V56" s="131">
        <f t="shared" si="27"/>
        <v>1.2729453420385728</v>
      </c>
      <c r="W56" s="147">
        <f t="shared" si="28"/>
        <v>0.94691640725033699</v>
      </c>
      <c r="X56" s="131">
        <v>1</v>
      </c>
      <c r="Y56" s="131">
        <f t="shared" si="46"/>
        <v>1.0376006639713391</v>
      </c>
      <c r="Z56" s="131">
        <f t="shared" si="47"/>
        <v>0.91260196733691934</v>
      </c>
      <c r="AA56" s="131">
        <f t="shared" si="48"/>
        <v>1.2053728299092177</v>
      </c>
      <c r="AB56" s="131">
        <f t="shared" si="32"/>
        <v>1.2053728299092168</v>
      </c>
      <c r="AC56" s="131"/>
      <c r="AD56" s="131">
        <f t="shared" si="49"/>
        <v>1.0376006639713391</v>
      </c>
      <c r="AG56" s="134"/>
      <c r="AI56" s="129">
        <f t="shared" si="50"/>
        <v>0.70732708960428015</v>
      </c>
      <c r="AJ56" s="129">
        <f t="shared" si="51"/>
        <v>0.29267291039571974</v>
      </c>
      <c r="AL56" s="129">
        <f t="shared" si="58"/>
        <v>0.70970273331265599</v>
      </c>
      <c r="AM56" s="129">
        <f t="shared" si="59"/>
        <v>0.29028811500433588</v>
      </c>
      <c r="AN56" s="129">
        <f t="shared" si="60"/>
        <v>0.99999084831699192</v>
      </c>
      <c r="AO56" s="129"/>
      <c r="AP56" s="129">
        <f t="shared" si="61"/>
        <v>0.70970922834654171</v>
      </c>
      <c r="AQ56" s="129">
        <f t="shared" si="62"/>
        <v>0.29029077165345823</v>
      </c>
      <c r="AT56" s="129">
        <f t="shared" si="63"/>
        <v>-7.3927130545520647E-3</v>
      </c>
      <c r="AU56" s="129">
        <f t="shared" si="64"/>
        <v>-1.0043917145147381E-3</v>
      </c>
      <c r="AW56" s="129">
        <f t="shared" si="52"/>
        <v>1.2667691488992032</v>
      </c>
      <c r="AX56" s="129">
        <f t="shared" si="53"/>
        <v>1.2852130872818535</v>
      </c>
      <c r="AY56" s="129"/>
      <c r="AZ56" s="129">
        <f t="shared" si="65"/>
        <v>2.4125123601798585E-2</v>
      </c>
      <c r="BA56" s="129">
        <f t="shared" si="66"/>
        <v>4.4723841927397763E-2</v>
      </c>
      <c r="BB56" s="129"/>
      <c r="BC56" s="129"/>
      <c r="BD56" s="129">
        <f t="shared" si="67"/>
        <v>-1.9348953975157121E-4</v>
      </c>
      <c r="BE56" s="129">
        <f t="shared" si="68"/>
        <v>-4.0924932320264536E-3</v>
      </c>
      <c r="BH56" s="129">
        <f t="shared" si="69"/>
        <v>0.99447706546837555</v>
      </c>
      <c r="BI56" s="129">
        <f t="shared" si="70"/>
        <v>0.76464807719894079</v>
      </c>
      <c r="BJ56" s="129">
        <f t="shared" si="54"/>
        <v>0.91260196733691934</v>
      </c>
      <c r="BK56" s="129"/>
      <c r="BL56" s="129">
        <f t="shared" si="71"/>
        <v>1.0305624708974916</v>
      </c>
      <c r="BM56" s="129">
        <f t="shared" si="72"/>
        <v>8.4296881699736925</v>
      </c>
      <c r="BN56" s="129">
        <f t="shared" si="55"/>
        <v>1.2729453420385728</v>
      </c>
      <c r="BO56" s="129"/>
      <c r="BP56" s="129">
        <f t="shared" si="73"/>
        <v>0.99867554353741617</v>
      </c>
      <c r="BQ56" s="129">
        <f t="shared" si="74"/>
        <v>1.081539380905058</v>
      </c>
      <c r="BR56" s="129">
        <f t="shared" si="56"/>
        <v>1.0376006639713391</v>
      </c>
      <c r="BU56" s="155"/>
    </row>
    <row r="57" spans="1:73" x14ac:dyDescent="0.2">
      <c r="A57" s="133" t="s">
        <v>664</v>
      </c>
      <c r="B57" s="133">
        <f t="shared" si="57"/>
        <v>1996</v>
      </c>
      <c r="D57" s="5">
        <f>Passenger_Total!G57</f>
        <v>16960.667998800764</v>
      </c>
      <c r="E57" s="5">
        <f>Freight_Total!I56</f>
        <v>6969.4281926358553</v>
      </c>
      <c r="F57" s="5">
        <f t="shared" si="43"/>
        <v>23930.09619143662</v>
      </c>
      <c r="G57" s="5"/>
      <c r="H57" s="5">
        <f>Passenger_Total!L57</f>
        <v>4469332.4431278957</v>
      </c>
      <c r="I57" s="5">
        <f>Freight_Total!P56</f>
        <v>3785873.0080900108</v>
      </c>
      <c r="J57" s="263">
        <f t="shared" si="34"/>
        <v>1.3079839647165596</v>
      </c>
      <c r="L57" s="138">
        <f t="shared" si="44"/>
        <v>3794.8996219513074</v>
      </c>
      <c r="M57" s="138">
        <f t="shared" si="45"/>
        <v>1840.9038490575156</v>
      </c>
      <c r="N57" s="138">
        <f t="shared" si="37"/>
        <v>18295.404865014745</v>
      </c>
      <c r="P57" s="509">
        <f>Passenger_Total!AE57</f>
        <v>0.8994038467482065</v>
      </c>
      <c r="Q57" s="509">
        <f>Freight_Total!AO56</f>
        <v>0.92302670620667715</v>
      </c>
      <c r="R57" s="129"/>
      <c r="S57" s="509">
        <f>Passenger_Total!AI57</f>
        <v>1.0113958481440359</v>
      </c>
      <c r="T57" s="509">
        <f>Freight_Total!AS56</f>
        <v>1.1279676976095676</v>
      </c>
      <c r="V57" s="131">
        <f t="shared" si="27"/>
        <v>1.3079839647165596</v>
      </c>
      <c r="W57" s="147">
        <f t="shared" si="28"/>
        <v>0.94392573665840096</v>
      </c>
      <c r="X57" s="131">
        <v>1</v>
      </c>
      <c r="Y57" s="131">
        <f t="shared" si="46"/>
        <v>1.0419402995770661</v>
      </c>
      <c r="Z57" s="131">
        <f t="shared" si="47"/>
        <v>0.90593073042817418</v>
      </c>
      <c r="AA57" s="131">
        <f t="shared" si="48"/>
        <v>1.2346397274324561</v>
      </c>
      <c r="AB57" s="131">
        <f t="shared" si="32"/>
        <v>1.2346397274324545</v>
      </c>
      <c r="AC57" s="131"/>
      <c r="AD57" s="131">
        <f t="shared" si="49"/>
        <v>1.0419402995770661</v>
      </c>
      <c r="AG57" s="134"/>
      <c r="AI57" s="129">
        <f t="shared" si="50"/>
        <v>0.7087588726396401</v>
      </c>
      <c r="AJ57" s="129">
        <f t="shared" si="51"/>
        <v>0.2912411273603599</v>
      </c>
      <c r="AL57" s="129">
        <f t="shared" si="58"/>
        <v>0.70804273984621635</v>
      </c>
      <c r="AM57" s="129">
        <f t="shared" si="59"/>
        <v>0.29195643374455221</v>
      </c>
      <c r="AN57" s="129">
        <f t="shared" si="60"/>
        <v>0.99999917359076851</v>
      </c>
      <c r="AO57" s="129"/>
      <c r="AP57" s="129">
        <f t="shared" si="61"/>
        <v>0.70804332497975642</v>
      </c>
      <c r="AQ57" s="129">
        <f t="shared" si="62"/>
        <v>0.29195667502024364</v>
      </c>
      <c r="AT57" s="129">
        <f t="shared" si="63"/>
        <v>-7.9598865308443036E-3</v>
      </c>
      <c r="AU57" s="129">
        <f t="shared" si="64"/>
        <v>-5.8263202083971679E-3</v>
      </c>
      <c r="AW57" s="129">
        <f t="shared" si="52"/>
        <v>1.3092698934928872</v>
      </c>
      <c r="AX57" s="129">
        <f t="shared" si="53"/>
        <v>1.3019976792583083</v>
      </c>
      <c r="AY57" s="129"/>
      <c r="AZ57" s="129">
        <f t="shared" si="65"/>
        <v>3.2999966816518719E-2</v>
      </c>
      <c r="BA57" s="129">
        <f t="shared" si="66"/>
        <v>1.2975230063148911E-2</v>
      </c>
      <c r="BB57" s="129"/>
      <c r="BC57" s="129"/>
      <c r="BD57" s="129">
        <f t="shared" si="67"/>
        <v>9.7237740650957987E-4</v>
      </c>
      <c r="BE57" s="129">
        <f t="shared" si="68"/>
        <v>1.1937279238511381E-2</v>
      </c>
      <c r="BH57" s="129">
        <f t="shared" si="69"/>
        <v>0.99268987231288508</v>
      </c>
      <c r="BI57" s="129">
        <f t="shared" si="70"/>
        <v>0.75905840211890963</v>
      </c>
      <c r="BJ57" s="129">
        <f t="shared" si="54"/>
        <v>0.90593073042817418</v>
      </c>
      <c r="BK57" s="129"/>
      <c r="BL57" s="129">
        <f t="shared" si="71"/>
        <v>1.0275256301436115</v>
      </c>
      <c r="BM57" s="129">
        <f t="shared" si="72"/>
        <v>8.6617206487663658</v>
      </c>
      <c r="BN57" s="129">
        <f t="shared" si="55"/>
        <v>1.3079839647165596</v>
      </c>
      <c r="BO57" s="129"/>
      <c r="BP57" s="129">
        <f t="shared" si="73"/>
        <v>1.0041823755095889</v>
      </c>
      <c r="BQ57" s="129">
        <f t="shared" si="74"/>
        <v>1.0860627847244113</v>
      </c>
      <c r="BR57" s="129">
        <f t="shared" si="56"/>
        <v>1.0419402995770661</v>
      </c>
      <c r="BU57" s="155"/>
    </row>
    <row r="58" spans="1:73" x14ac:dyDescent="0.2">
      <c r="A58" s="133" t="s">
        <v>664</v>
      </c>
      <c r="B58" s="133">
        <f t="shared" si="57"/>
        <v>1997</v>
      </c>
      <c r="D58" s="5">
        <f>Passenger_Total!G58</f>
        <v>17366.040871023451</v>
      </c>
      <c r="E58" s="5">
        <f>Freight_Total!I57</f>
        <v>7094.3444583937244</v>
      </c>
      <c r="F58" s="5">
        <f t="shared" si="43"/>
        <v>24460.385329417175</v>
      </c>
      <c r="G58" s="5"/>
      <c r="H58" s="5">
        <f>Passenger_Total!L58</f>
        <v>4611534.9694817821</v>
      </c>
      <c r="I58" s="5">
        <f>Freight_Total!P57</f>
        <v>3786579.1347635915</v>
      </c>
      <c r="J58" s="263">
        <f t="shared" si="34"/>
        <v>1.3374430898950085</v>
      </c>
      <c r="L58" s="138">
        <f t="shared" si="44"/>
        <v>3765.7831906184042</v>
      </c>
      <c r="M58" s="138">
        <f t="shared" si="45"/>
        <v>1873.5497677210562</v>
      </c>
      <c r="N58" s="138">
        <f t="shared" si="37"/>
        <v>18288.916750347376</v>
      </c>
      <c r="P58" s="509">
        <f>Passenger_Total!AE58</f>
        <v>0.89053869068887681</v>
      </c>
      <c r="Q58" s="509">
        <f>Freight_Total!AO57</f>
        <v>0.90612033080496157</v>
      </c>
      <c r="R58" s="129"/>
      <c r="S58" s="509">
        <f>Passenger_Total!AI58</f>
        <v>1.0136269153004613</v>
      </c>
      <c r="T58" s="509">
        <f>Freight_Total!AS57</f>
        <v>1.1693894803389011</v>
      </c>
      <c r="V58" s="131">
        <f t="shared" si="27"/>
        <v>1.3374430898950085</v>
      </c>
      <c r="W58" s="147">
        <f t="shared" si="28"/>
        <v>0.94359099148811876</v>
      </c>
      <c r="X58" s="131">
        <v>1</v>
      </c>
      <c r="Y58" s="131">
        <f t="shared" si="46"/>
        <v>1.0545660502797622</v>
      </c>
      <c r="Z58" s="131">
        <f t="shared" si="47"/>
        <v>0.89476708570107855</v>
      </c>
      <c r="AA58" s="131">
        <f t="shared" si="48"/>
        <v>1.2619992512529659</v>
      </c>
      <c r="AB58" s="131">
        <f t="shared" si="32"/>
        <v>1.2619992512529643</v>
      </c>
      <c r="AC58" s="131"/>
      <c r="AD58" s="131">
        <f t="shared" si="49"/>
        <v>1.0545660502797622</v>
      </c>
      <c r="AG58" s="134"/>
      <c r="AI58" s="129">
        <f t="shared" si="50"/>
        <v>0.70996595667437257</v>
      </c>
      <c r="AJ58" s="129">
        <f t="shared" si="51"/>
        <v>0.29003404332562749</v>
      </c>
      <c r="AL58" s="129">
        <f t="shared" si="58"/>
        <v>0.70936224348775312</v>
      </c>
      <c r="AM58" s="129">
        <f t="shared" si="59"/>
        <v>0.29063716756795499</v>
      </c>
      <c r="AN58" s="129">
        <f t="shared" si="60"/>
        <v>0.99999941105570811</v>
      </c>
      <c r="AO58" s="129"/>
      <c r="AP58" s="129">
        <f t="shared" si="61"/>
        <v>0.70936266126284331</v>
      </c>
      <c r="AQ58" s="129">
        <f t="shared" si="62"/>
        <v>0.29063733873715664</v>
      </c>
      <c r="AT58" s="129">
        <f t="shared" si="63"/>
        <v>-9.9056012826231419E-3</v>
      </c>
      <c r="AU58" s="129">
        <f t="shared" si="64"/>
        <v>-1.8486055537544056E-2</v>
      </c>
      <c r="AW58" s="129">
        <f t="shared" si="52"/>
        <v>1.3509274539681764</v>
      </c>
      <c r="AX58" s="129">
        <f t="shared" si="53"/>
        <v>1.3022405229269418</v>
      </c>
      <c r="AY58" s="129"/>
      <c r="AZ58" s="129">
        <f t="shared" si="65"/>
        <v>3.1321710877596283E-2</v>
      </c>
      <c r="BA58" s="129">
        <f t="shared" si="66"/>
        <v>1.8649881499600436E-4</v>
      </c>
      <c r="BB58" s="129"/>
      <c r="BC58" s="129"/>
      <c r="BD58" s="129">
        <f t="shared" si="67"/>
        <v>2.2034992390495421E-3</v>
      </c>
      <c r="BE58" s="129">
        <f t="shared" si="68"/>
        <v>3.6064285147546324E-2</v>
      </c>
      <c r="BH58" s="129">
        <f t="shared" si="69"/>
        <v>0.98767715416627999</v>
      </c>
      <c r="BI58" s="129">
        <f t="shared" si="70"/>
        <v>0.74970464245080848</v>
      </c>
      <c r="BJ58" s="129">
        <f t="shared" si="54"/>
        <v>0.89476708570107855</v>
      </c>
      <c r="BK58" s="129"/>
      <c r="BL58" s="129">
        <f t="shared" si="71"/>
        <v>1.0225225430686629</v>
      </c>
      <c r="BM58" s="129">
        <f t="shared" si="72"/>
        <v>8.8568046251269319</v>
      </c>
      <c r="BN58" s="129">
        <f t="shared" si="55"/>
        <v>1.3374430898950085</v>
      </c>
      <c r="BO58" s="129"/>
      <c r="BP58" s="129">
        <f t="shared" si="73"/>
        <v>1.0121175375478046</v>
      </c>
      <c r="BQ58" s="129">
        <f t="shared" si="74"/>
        <v>1.0992231912975827</v>
      </c>
      <c r="BR58" s="129">
        <f t="shared" si="56"/>
        <v>1.0545660502797622</v>
      </c>
      <c r="BU58" s="155"/>
    </row>
    <row r="59" spans="1:73" x14ac:dyDescent="0.2">
      <c r="A59" s="133" t="s">
        <v>664</v>
      </c>
      <c r="B59" s="133">
        <f t="shared" si="57"/>
        <v>1998</v>
      </c>
      <c r="D59" s="5">
        <f>Passenger_Total!G59</f>
        <v>17810.322679285957</v>
      </c>
      <c r="E59" s="5">
        <f>Freight_Total!I58</f>
        <v>7292.258644100787</v>
      </c>
      <c r="F59" s="5">
        <f t="shared" si="43"/>
        <v>25102.581323386745</v>
      </c>
      <c r="G59" s="5"/>
      <c r="H59" s="5">
        <f>Passenger_Total!L59</f>
        <v>4746371.7761782957</v>
      </c>
      <c r="I59" s="5">
        <f>Freight_Total!P58</f>
        <v>3810432.3190172198</v>
      </c>
      <c r="J59" s="263">
        <f t="shared" si="34"/>
        <v>1.3675717880848217</v>
      </c>
      <c r="L59" s="138">
        <f t="shared" si="44"/>
        <v>3752.4078431181279</v>
      </c>
      <c r="M59" s="138">
        <f t="shared" si="45"/>
        <v>1913.7614930742541</v>
      </c>
      <c r="N59" s="138">
        <f t="shared" si="37"/>
        <v>18355.585821597684</v>
      </c>
      <c r="P59" s="509">
        <f>Passenger_Total!AE59</f>
        <v>0.88697174962960545</v>
      </c>
      <c r="Q59" s="509">
        <f>Freight_Total!AO58</f>
        <v>0.91665501968409024</v>
      </c>
      <c r="R59" s="129"/>
      <c r="S59" s="509">
        <f>Passenger_Total!AI59</f>
        <v>1.0140885091537211</v>
      </c>
      <c r="T59" s="509">
        <f>Freight_Total!AS58</f>
        <v>1.1807602233084546</v>
      </c>
      <c r="V59" s="131">
        <f t="shared" si="27"/>
        <v>1.3675717880848217</v>
      </c>
      <c r="W59" s="147">
        <f t="shared" si="28"/>
        <v>0.94703068865014317</v>
      </c>
      <c r="X59" s="131">
        <v>1</v>
      </c>
      <c r="Y59" s="131">
        <f t="shared" si="46"/>
        <v>1.0578740715371109</v>
      </c>
      <c r="Z59" s="131">
        <f t="shared" si="47"/>
        <v>0.89522062609407849</v>
      </c>
      <c r="AA59" s="131">
        <f t="shared" si="48"/>
        <v>1.295132452248478</v>
      </c>
      <c r="AB59" s="131">
        <f t="shared" si="32"/>
        <v>1.2951324522484764</v>
      </c>
      <c r="AC59" s="131"/>
      <c r="AD59" s="131">
        <f t="shared" si="49"/>
        <v>1.0578740715371109</v>
      </c>
      <c r="AG59" s="134"/>
      <c r="AI59" s="129">
        <f t="shared" si="50"/>
        <v>0.70950164247423519</v>
      </c>
      <c r="AJ59" s="129">
        <f t="shared" si="51"/>
        <v>0.29049835752576475</v>
      </c>
      <c r="AL59" s="129">
        <f t="shared" si="58"/>
        <v>0.70973377426115303</v>
      </c>
      <c r="AM59" s="129">
        <f t="shared" si="59"/>
        <v>0.29026613853200089</v>
      </c>
      <c r="AN59" s="129">
        <f t="shared" si="60"/>
        <v>0.99999991279315392</v>
      </c>
      <c r="AO59" s="129"/>
      <c r="AP59" s="129">
        <f t="shared" si="61"/>
        <v>0.70973383615480246</v>
      </c>
      <c r="AQ59" s="129">
        <f t="shared" si="62"/>
        <v>0.29026616384519754</v>
      </c>
      <c r="AT59" s="129">
        <f t="shared" si="63"/>
        <v>-4.0134176050323602E-3</v>
      </c>
      <c r="AU59" s="129">
        <f t="shared" si="64"/>
        <v>1.1559083430811339E-2</v>
      </c>
      <c r="AW59" s="129">
        <f t="shared" si="52"/>
        <v>1.3904272615544104</v>
      </c>
      <c r="AX59" s="129">
        <f t="shared" si="53"/>
        <v>1.3104438595086971</v>
      </c>
      <c r="AY59" s="129"/>
      <c r="AZ59" s="129">
        <f t="shared" si="65"/>
        <v>2.8819722812314826E-2</v>
      </c>
      <c r="BA59" s="129">
        <f t="shared" si="66"/>
        <v>6.279643721504715E-3</v>
      </c>
      <c r="BB59" s="129"/>
      <c r="BC59" s="129"/>
      <c r="BD59" s="129">
        <f t="shared" si="67"/>
        <v>4.552846574685976E-4</v>
      </c>
      <c r="BE59" s="129">
        <f t="shared" si="68"/>
        <v>9.6766871317430815E-3</v>
      </c>
      <c r="BH59" s="129">
        <f t="shared" si="69"/>
        <v>1.0005068809528734</v>
      </c>
      <c r="BI59" s="129">
        <f t="shared" si="70"/>
        <v>0.75008465345434761</v>
      </c>
      <c r="BJ59" s="129">
        <f t="shared" si="54"/>
        <v>0.89522062609407849</v>
      </c>
      <c r="BK59" s="129"/>
      <c r="BL59" s="129">
        <f t="shared" si="71"/>
        <v>1.0225270880065471</v>
      </c>
      <c r="BM59" s="129">
        <f t="shared" si="72"/>
        <v>9.05632264237396</v>
      </c>
      <c r="BN59" s="129">
        <f t="shared" si="55"/>
        <v>1.3675717880848217</v>
      </c>
      <c r="BO59" s="129"/>
      <c r="BP59" s="129">
        <f t="shared" si="73"/>
        <v>1.003136855445395</v>
      </c>
      <c r="BQ59" s="129">
        <f t="shared" si="74"/>
        <v>1.102671295550909</v>
      </c>
      <c r="BR59" s="129">
        <f t="shared" si="56"/>
        <v>1.0578740715371109</v>
      </c>
      <c r="BU59" s="155"/>
    </row>
    <row r="60" spans="1:73" x14ac:dyDescent="0.2">
      <c r="A60" s="133" t="s">
        <v>664</v>
      </c>
      <c r="B60" s="133">
        <f t="shared" si="57"/>
        <v>1999</v>
      </c>
      <c r="D60" s="5">
        <f>Passenger_Total!G60</f>
        <v>18461.908575448215</v>
      </c>
      <c r="E60" s="5">
        <f>Freight_Total!I59</f>
        <v>7536.0408707656234</v>
      </c>
      <c r="F60" s="5">
        <f t="shared" si="43"/>
        <v>25997.949446213839</v>
      </c>
      <c r="G60" s="5"/>
      <c r="H60" s="5">
        <f>Passenger_Total!L60</f>
        <v>4881452.6196800051</v>
      </c>
      <c r="I60" s="5">
        <f>Freight_Total!P59</f>
        <v>3897735.2945011016</v>
      </c>
      <c r="J60" s="263">
        <f t="shared" si="34"/>
        <v>1.4042865844576962</v>
      </c>
      <c r="L60" s="138">
        <f t="shared" si="44"/>
        <v>3782.052190984587</v>
      </c>
      <c r="M60" s="138">
        <f t="shared" si="45"/>
        <v>1933.4409089805094</v>
      </c>
      <c r="N60" s="138">
        <f t="shared" si="37"/>
        <v>18513.279079892131</v>
      </c>
      <c r="P60" s="509">
        <f>Passenger_Total!AE60</f>
        <v>0.89276271881835545</v>
      </c>
      <c r="Q60" s="509">
        <f>Freight_Total!AO59</f>
        <v>0.92747390352672687</v>
      </c>
      <c r="R60" s="129"/>
      <c r="S60" s="509">
        <f>Passenger_Total!AI60</f>
        <v>1.0154699724158402</v>
      </c>
      <c r="T60" s="509">
        <f>Freight_Total!AS59</f>
        <v>1.1789870326280358</v>
      </c>
      <c r="V60" s="131">
        <f t="shared" si="27"/>
        <v>1.4042865844576962</v>
      </c>
      <c r="W60" s="147">
        <f t="shared" si="28"/>
        <v>0.95516665099150067</v>
      </c>
      <c r="X60" s="131">
        <v>1</v>
      </c>
      <c r="Y60" s="131">
        <f t="shared" si="46"/>
        <v>1.0584350998453786</v>
      </c>
      <c r="Z60" s="131">
        <f t="shared" si="47"/>
        <v>0.90243289468672849</v>
      </c>
      <c r="AA60" s="131">
        <f t="shared" si="48"/>
        <v>1.3413277139087521</v>
      </c>
      <c r="AB60" s="131">
        <f t="shared" si="32"/>
        <v>1.3413277139087507</v>
      </c>
      <c r="AC60" s="131"/>
      <c r="AD60" s="131">
        <f t="shared" si="49"/>
        <v>1.0584350998453786</v>
      </c>
      <c r="AG60" s="134"/>
      <c r="AI60" s="129">
        <f t="shared" si="50"/>
        <v>0.71012941284632269</v>
      </c>
      <c r="AJ60" s="129">
        <f t="shared" si="51"/>
        <v>0.28987058715367725</v>
      </c>
      <c r="AL60" s="129">
        <f t="shared" si="58"/>
        <v>0.70981548139287287</v>
      </c>
      <c r="AM60" s="129">
        <f t="shared" si="59"/>
        <v>0.29018435916579866</v>
      </c>
      <c r="AN60" s="129">
        <f t="shared" si="60"/>
        <v>0.99999984055867153</v>
      </c>
      <c r="AO60" s="129"/>
      <c r="AP60" s="129">
        <f t="shared" si="61"/>
        <v>0.7098155945668142</v>
      </c>
      <c r="AQ60" s="129">
        <f t="shared" si="62"/>
        <v>0.29018440543318574</v>
      </c>
      <c r="AT60" s="129">
        <f t="shared" si="63"/>
        <v>6.5077007034228035E-3</v>
      </c>
      <c r="AU60" s="129">
        <f t="shared" si="64"/>
        <v>1.1733461613817739E-2</v>
      </c>
      <c r="AW60" s="129">
        <f t="shared" si="52"/>
        <v>1.4299985585735773</v>
      </c>
      <c r="AX60" s="129">
        <f t="shared" si="53"/>
        <v>1.3404681818326265</v>
      </c>
      <c r="AY60" s="129"/>
      <c r="AZ60" s="129">
        <f t="shared" si="65"/>
        <v>2.806235395725248E-2</v>
      </c>
      <c r="BA60" s="129">
        <f t="shared" si="66"/>
        <v>2.265303849028652E-2</v>
      </c>
      <c r="BB60" s="129"/>
      <c r="BC60" s="129"/>
      <c r="BD60" s="129">
        <f t="shared" si="67"/>
        <v>1.3613438469645051E-3</v>
      </c>
      <c r="BE60" s="129">
        <f t="shared" si="68"/>
        <v>-1.5028651985524934E-3</v>
      </c>
      <c r="BH60" s="129">
        <f t="shared" si="69"/>
        <v>1.0080564146786002</v>
      </c>
      <c r="BI60" s="129">
        <f t="shared" si="70"/>
        <v>0.75612764646663</v>
      </c>
      <c r="BJ60" s="129">
        <f t="shared" si="54"/>
        <v>0.90243289468672849</v>
      </c>
      <c r="BK60" s="129"/>
      <c r="BL60" s="129">
        <f t="shared" si="71"/>
        <v>1.0268467050086567</v>
      </c>
      <c r="BM60" s="129">
        <f t="shared" si="72"/>
        <v>9.2994550648169927</v>
      </c>
      <c r="BN60" s="129">
        <f t="shared" si="55"/>
        <v>1.4042865844576962</v>
      </c>
      <c r="BO60" s="129"/>
      <c r="BP60" s="129">
        <f t="shared" si="73"/>
        <v>1.0005303356262929</v>
      </c>
      <c r="BQ60" s="129">
        <f t="shared" si="74"/>
        <v>1.1032560814230303</v>
      </c>
      <c r="BR60" s="129">
        <f t="shared" si="56"/>
        <v>1.0584350998453786</v>
      </c>
      <c r="BU60" s="155"/>
    </row>
    <row r="61" spans="1:73" x14ac:dyDescent="0.2">
      <c r="A61" s="133" t="s">
        <v>664</v>
      </c>
      <c r="B61" s="133">
        <f t="shared" si="57"/>
        <v>2000</v>
      </c>
      <c r="D61" s="5">
        <f>Passenger_Total!G61</f>
        <v>18477.054400263198</v>
      </c>
      <c r="E61" s="5">
        <f>Freight_Total!I60</f>
        <v>7803.3511523802717</v>
      </c>
      <c r="F61" s="5">
        <f t="shared" si="43"/>
        <v>26280.405552643468</v>
      </c>
      <c r="G61" s="5"/>
      <c r="H61" s="5">
        <f>Passenger_Total!L61</f>
        <v>5028061.1765421517</v>
      </c>
      <c r="I61" s="5">
        <f>Freight_Total!P60</f>
        <v>3955038.8556391047</v>
      </c>
      <c r="J61" s="263">
        <f t="shared" si="34"/>
        <v>1.4401122757567597</v>
      </c>
      <c r="L61" s="138">
        <f t="shared" si="44"/>
        <v>3674.78711008247</v>
      </c>
      <c r="M61" s="138">
        <f t="shared" si="45"/>
        <v>1973.0150416232277</v>
      </c>
      <c r="N61" s="138">
        <f t="shared" si="37"/>
        <v>18248.858783481632</v>
      </c>
      <c r="P61" s="509">
        <f>Passenger_Total!AE61</f>
        <v>0.86757402620813218</v>
      </c>
      <c r="Q61" s="509">
        <f>Freight_Total!AO60</f>
        <v>0.93825285980950979</v>
      </c>
      <c r="R61" s="129"/>
      <c r="S61" s="509">
        <f>Passenger_Total!AI61</f>
        <v>1.0153160631567082</v>
      </c>
      <c r="T61" s="509">
        <f>Freight_Total!AS60</f>
        <v>1.1892969989794111</v>
      </c>
      <c r="V61" s="131">
        <f t="shared" si="27"/>
        <v>1.4401122757567597</v>
      </c>
      <c r="W61" s="147">
        <f t="shared" si="28"/>
        <v>0.94152425690849262</v>
      </c>
      <c r="X61" s="131">
        <v>1</v>
      </c>
      <c r="Y61" s="131">
        <f t="shared" si="46"/>
        <v>1.0610286564513156</v>
      </c>
      <c r="Z61" s="131">
        <f t="shared" si="47"/>
        <v>0.88736930071001807</v>
      </c>
      <c r="AA61" s="131">
        <f t="shared" si="48"/>
        <v>1.3559006402966833</v>
      </c>
      <c r="AB61" s="131">
        <f t="shared" si="32"/>
        <v>1.3559006402966816</v>
      </c>
      <c r="AC61" s="131"/>
      <c r="AD61" s="131">
        <f t="shared" si="49"/>
        <v>1.0610286564513156</v>
      </c>
      <c r="AE61" s="129"/>
      <c r="AG61" s="134"/>
      <c r="AI61" s="129">
        <f t="shared" si="50"/>
        <v>0.70307341198563222</v>
      </c>
      <c r="AJ61" s="129">
        <f t="shared" si="51"/>
        <v>0.29692658801436783</v>
      </c>
      <c r="AL61" s="129">
        <f t="shared" si="58"/>
        <v>0.70659554070878916</v>
      </c>
      <c r="AM61" s="129">
        <f t="shared" si="59"/>
        <v>0.29338444610832026</v>
      </c>
      <c r="AN61" s="129">
        <f t="shared" si="60"/>
        <v>0.99997998681710942</v>
      </c>
      <c r="AO61" s="129"/>
      <c r="AP61" s="129">
        <f t="shared" si="61"/>
        <v>0.70660968221759168</v>
      </c>
      <c r="AQ61" s="129">
        <f t="shared" si="62"/>
        <v>0.29339031778240837</v>
      </c>
      <c r="AT61" s="129">
        <f t="shared" si="63"/>
        <v>-2.8619992174104849E-2</v>
      </c>
      <c r="AU61" s="129">
        <f t="shared" si="64"/>
        <v>1.1554828309110718E-2</v>
      </c>
      <c r="AW61" s="129">
        <f t="shared" si="52"/>
        <v>1.4729468449386236</v>
      </c>
      <c r="AX61" s="129">
        <f t="shared" si="53"/>
        <v>1.3601754206796468</v>
      </c>
      <c r="AY61" s="129"/>
      <c r="AZ61" s="129">
        <f t="shared" si="65"/>
        <v>2.9591614288296968E-2</v>
      </c>
      <c r="BA61" s="129">
        <f t="shared" si="66"/>
        <v>1.4594734855985857E-2</v>
      </c>
      <c r="BB61" s="129"/>
      <c r="BC61" s="129"/>
      <c r="BD61" s="129">
        <f t="shared" si="67"/>
        <v>-1.5157604664477436E-4</v>
      </c>
      <c r="BE61" s="129">
        <f t="shared" si="68"/>
        <v>8.7067525219038395E-3</v>
      </c>
      <c r="BH61" s="129">
        <f t="shared" si="69"/>
        <v>0.98330779599746343</v>
      </c>
      <c r="BI61" s="129">
        <f t="shared" si="70"/>
        <v>0.74350620953985114</v>
      </c>
      <c r="BJ61" s="129">
        <f t="shared" si="54"/>
        <v>0.88736930071001807</v>
      </c>
      <c r="BK61" s="129"/>
      <c r="BL61" s="129">
        <f t="shared" si="71"/>
        <v>1.0255116667036297</v>
      </c>
      <c r="BM61" s="129">
        <f t="shared" si="72"/>
        <v>9.5366996629559857</v>
      </c>
      <c r="BN61" s="129">
        <f t="shared" si="55"/>
        <v>1.4401122757567597</v>
      </c>
      <c r="BO61" s="129"/>
      <c r="BP61" s="129">
        <f t="shared" si="73"/>
        <v>1.0024503690460718</v>
      </c>
      <c r="BQ61" s="129">
        <f t="shared" si="74"/>
        <v>1.1059594659748397</v>
      </c>
      <c r="BR61" s="129">
        <f t="shared" si="56"/>
        <v>1.0610286564513156</v>
      </c>
      <c r="BU61" s="155"/>
    </row>
    <row r="62" spans="1:73" x14ac:dyDescent="0.2">
      <c r="A62" s="133" t="s">
        <v>664</v>
      </c>
      <c r="B62" s="133">
        <f t="shared" si="57"/>
        <v>2001</v>
      </c>
      <c r="D62" s="5">
        <f>Passenger_Total!G62</f>
        <v>18484.508464306633</v>
      </c>
      <c r="E62" s="5">
        <f>Freight_Total!I61</f>
        <v>7739.2709949981145</v>
      </c>
      <c r="F62" s="5">
        <f t="shared" si="43"/>
        <v>26223.779459304747</v>
      </c>
      <c r="G62" s="5"/>
      <c r="H62" s="5">
        <f>Passenger_Total!L62</f>
        <v>5081213.7816400416</v>
      </c>
      <c r="I62" s="5">
        <f>Freight_Total!P61</f>
        <v>3973183.254831213</v>
      </c>
      <c r="J62" s="263">
        <f t="shared" si="34"/>
        <v>1.4527798151403946</v>
      </c>
      <c r="L62">
        <f t="shared" si="44"/>
        <v>3637.8135734215198</v>
      </c>
      <c r="M62">
        <f t="shared" si="45"/>
        <v>1947.8766768654598</v>
      </c>
      <c r="N62" s="138">
        <f t="shared" si="37"/>
        <v>18050.7597820462</v>
      </c>
      <c r="P62" s="509">
        <f>Passenger_Total!AE62</f>
        <v>0.85739132371352822</v>
      </c>
      <c r="Q62" s="509">
        <f>Freight_Total!AO61</f>
        <v>0.92378946671681728</v>
      </c>
      <c r="R62" s="129"/>
      <c r="S62" s="509">
        <f>Passenger_Total!AI62</f>
        <v>1.0170375057950132</v>
      </c>
      <c r="T62" s="509">
        <f>Freight_Total!AS61</f>
        <v>1.1925271496647518</v>
      </c>
      <c r="V62" s="131">
        <f t="shared" si="27"/>
        <v>1.4527798151403946</v>
      </c>
      <c r="W62" s="147">
        <f t="shared" si="28"/>
        <v>0.93130361695868724</v>
      </c>
      <c r="X62" s="131">
        <v>1</v>
      </c>
      <c r="Y62" s="131">
        <f t="shared" si="46"/>
        <v>1.0631480317122799</v>
      </c>
      <c r="Z62" s="131">
        <f t="shared" si="47"/>
        <v>0.87598677623355403</v>
      </c>
      <c r="AA62" s="131">
        <f t="shared" si="48"/>
        <v>1.3529790964848241</v>
      </c>
      <c r="AB62" s="131">
        <f t="shared" si="32"/>
        <v>1.3529790964848225</v>
      </c>
      <c r="AC62" s="131"/>
      <c r="AD62" s="131">
        <f t="shared" si="49"/>
        <v>1.0631480317122799</v>
      </c>
      <c r="AG62" s="134"/>
      <c r="AI62" s="129">
        <f t="shared" si="50"/>
        <v>0.70487583580359703</v>
      </c>
      <c r="AJ62" s="129">
        <f t="shared" si="51"/>
        <v>0.29512416419640297</v>
      </c>
      <c r="AL62" s="129">
        <f t="shared" si="58"/>
        <v>0.70397423932431213</v>
      </c>
      <c r="AM62" s="129">
        <f t="shared" si="59"/>
        <v>0.29602446156114265</v>
      </c>
      <c r="AN62" s="129">
        <f t="shared" si="60"/>
        <v>0.99999870088545473</v>
      </c>
      <c r="AO62" s="129"/>
      <c r="AP62" s="129">
        <f t="shared" si="61"/>
        <v>0.70397515386867404</v>
      </c>
      <c r="AQ62" s="129">
        <f t="shared" si="62"/>
        <v>0.29602484613132601</v>
      </c>
      <c r="AT62" s="129">
        <f t="shared" si="63"/>
        <v>-1.1806406170892177E-2</v>
      </c>
      <c r="AU62" s="129">
        <f t="shared" si="64"/>
        <v>-1.5535290229158397E-2</v>
      </c>
      <c r="AW62" s="129">
        <f t="shared" si="52"/>
        <v>1.4885176503107744</v>
      </c>
      <c r="AX62" s="129">
        <f t="shared" si="53"/>
        <v>1.3664154518664244</v>
      </c>
      <c r="AY62" s="129"/>
      <c r="AZ62" s="129">
        <f t="shared" si="65"/>
        <v>1.0515708617815008E-2</v>
      </c>
      <c r="BA62" s="129">
        <f t="shared" si="66"/>
        <v>4.5771752146141651E-3</v>
      </c>
      <c r="BB62" s="129"/>
      <c r="BC62" s="129"/>
      <c r="BD62" s="129">
        <f t="shared" si="67"/>
        <v>1.694038947043253E-3</v>
      </c>
      <c r="BE62" s="129">
        <f t="shared" si="68"/>
        <v>2.7123351381475192E-3</v>
      </c>
      <c r="BH62" s="129">
        <f t="shared" si="69"/>
        <v>0.98717273127732008</v>
      </c>
      <c r="BI62" s="129">
        <f t="shared" si="70"/>
        <v>0.73396905559310233</v>
      </c>
      <c r="BJ62" s="129">
        <f t="shared" si="54"/>
        <v>0.87598677623355403</v>
      </c>
      <c r="BK62" s="129"/>
      <c r="BL62" s="129">
        <f t="shared" si="71"/>
        <v>1.0087962165151174</v>
      </c>
      <c r="BM62" s="129">
        <f t="shared" si="72"/>
        <v>9.6205865380309934</v>
      </c>
      <c r="BN62" s="129">
        <f t="shared" si="55"/>
        <v>1.4527798151403946</v>
      </c>
      <c r="BO62" s="129"/>
      <c r="BP62" s="129">
        <f t="shared" si="73"/>
        <v>1.0019974722153617</v>
      </c>
      <c r="BQ62" s="129">
        <f t="shared" si="74"/>
        <v>1.1081685892794408</v>
      </c>
      <c r="BR62" s="129">
        <f t="shared" si="56"/>
        <v>1.0631480317122799</v>
      </c>
      <c r="BU62" s="155"/>
    </row>
    <row r="63" spans="1:73" x14ac:dyDescent="0.2">
      <c r="A63" s="133" t="s">
        <v>664</v>
      </c>
      <c r="B63" s="133">
        <f t="shared" si="57"/>
        <v>2002</v>
      </c>
      <c r="D63" s="5">
        <f>Passenger_Total!G63</f>
        <v>18700.860099590176</v>
      </c>
      <c r="E63" s="5">
        <f>Freight_Total!I62</f>
        <v>8080.6388805517354</v>
      </c>
      <c r="F63" s="5">
        <f>D63+E63</f>
        <v>26781.498980141911</v>
      </c>
      <c r="G63" s="5"/>
      <c r="H63" s="5">
        <f>Passenger_Total!L63</f>
        <v>5173994.8806540929</v>
      </c>
      <c r="I63" s="5">
        <f>Freight_Total!P62</f>
        <v>4033981.6140035447</v>
      </c>
      <c r="J63" s="263">
        <f t="shared" ref="J63:J68" si="75">BN63</f>
        <v>1.4780235734489733</v>
      </c>
      <c r="L63">
        <f t="shared" ref="L63:M65" si="76">D63/H63*1000000</f>
        <v>3614.3947821660827</v>
      </c>
      <c r="M63">
        <f t="shared" si="76"/>
        <v>2003.142218720245</v>
      </c>
      <c r="N63" s="138">
        <f t="shared" si="37"/>
        <v>18119.80502966349</v>
      </c>
      <c r="P63" s="509">
        <f>Passenger_Total!AE63</f>
        <v>0.85178116634457823</v>
      </c>
      <c r="Q63" s="509">
        <f>Freight_Total!AO62</f>
        <v>0.93263899682568752</v>
      </c>
      <c r="R63" s="129"/>
      <c r="S63" s="509">
        <f>Passenger_Total!AI63</f>
        <v>1.0171457005030939</v>
      </c>
      <c r="T63" s="509">
        <f>Freight_Total!AS62</f>
        <v>1.2147251886647978</v>
      </c>
      <c r="V63" s="131">
        <f>BN63</f>
        <v>1.4780235734489733</v>
      </c>
      <c r="W63" s="147">
        <f t="shared" si="28"/>
        <v>0.93486590960543492</v>
      </c>
      <c r="X63" s="131">
        <v>1</v>
      </c>
      <c r="Y63" s="131">
        <f>BR63</f>
        <v>1.0690952605453683</v>
      </c>
      <c r="Z63" s="131">
        <f>BJ63</f>
        <v>0.87444584604045528</v>
      </c>
      <c r="AA63" s="131">
        <f>V63*X63*Y63*Z63</f>
        <v>1.3817538524106505</v>
      </c>
      <c r="AB63" s="131">
        <f t="shared" si="32"/>
        <v>1.3817538524106496</v>
      </c>
      <c r="AC63" s="131"/>
      <c r="AD63" s="131">
        <f>X63*Y63</f>
        <v>1.0690952605453683</v>
      </c>
      <c r="AG63" s="134"/>
      <c r="AI63" s="129">
        <f>D63/F63</f>
        <v>0.69827533229027205</v>
      </c>
      <c r="AJ63" s="129">
        <f>E63/F63</f>
        <v>0.30172466770972795</v>
      </c>
      <c r="AL63" s="129">
        <f>(AI63-AI62)/LN(AI63/AI62)</f>
        <v>0.70157040915859281</v>
      </c>
      <c r="AM63" s="129">
        <f>(AJ63-AJ62)/LN(AJ63/AJ62)</f>
        <v>0.29841224981616815</v>
      </c>
      <c r="AN63" s="129">
        <f>AL63+AM63</f>
        <v>0.99998265897476091</v>
      </c>
      <c r="AO63" s="129"/>
      <c r="AP63" s="129">
        <f>AL63/AN63</f>
        <v>0.70158257531973878</v>
      </c>
      <c r="AQ63" s="129">
        <f>AM63/AN63</f>
        <v>0.29841742468026133</v>
      </c>
      <c r="AT63" s="129">
        <f>LN(P63/P62)</f>
        <v>-6.5647879891821605E-3</v>
      </c>
      <c r="AU63" s="129">
        <f>LN(Q63/Q62)</f>
        <v>9.5340028616185193E-3</v>
      </c>
      <c r="AW63" s="129">
        <f t="shared" si="52"/>
        <v>1.5156974363683235</v>
      </c>
      <c r="AX63" s="129">
        <f t="shared" si="53"/>
        <v>1.3873245849450919</v>
      </c>
      <c r="AY63" s="129"/>
      <c r="AZ63" s="129">
        <f>LN(AW63/AW62)</f>
        <v>1.809492788250424E-2</v>
      </c>
      <c r="BA63" s="129">
        <f>LN(AX63/AX62)</f>
        <v>1.5186280942826133E-2</v>
      </c>
      <c r="BB63" s="129"/>
      <c r="BC63" s="129"/>
      <c r="BD63" s="129">
        <f>LN(S63/S62)</f>
        <v>1.0637656219726987E-4</v>
      </c>
      <c r="BE63" s="129">
        <f>LN(T63/T62)</f>
        <v>1.8443158504915076E-2</v>
      </c>
      <c r="BH63" s="129">
        <f>EXP(SUMPRODUCT($AP63:$AQ63,AT63:AU63))</f>
        <v>0.99824092071375292</v>
      </c>
      <c r="BI63" s="129">
        <f>IF(ISERR(BH63),BI62,BH63*BI62)</f>
        <v>0.73267794583066215</v>
      </c>
      <c r="BJ63" s="129">
        <f t="shared" si="54"/>
        <v>0.87444584604045528</v>
      </c>
      <c r="BK63" s="129"/>
      <c r="BL63" s="129">
        <f>EXP(SUMPRODUCT($AP63:$AQ63,AZ63:BA63))</f>
        <v>1.0173761763795839</v>
      </c>
      <c r="BM63" s="129">
        <f>IF(ISERR(BL63),BM62,BL63*BM62)</f>
        <v>9.787755546590871</v>
      </c>
      <c r="BN63" s="129">
        <f t="shared" si="55"/>
        <v>1.4780235734489733</v>
      </c>
      <c r="BO63" s="129"/>
      <c r="BP63" s="129">
        <f>EXP(SUMPRODUCT($AP63:$AQ63,BD63:BE63))</f>
        <v>1.0055939800062557</v>
      </c>
      <c r="BQ63" s="129">
        <f>IF(ISERR(BP63),BQ62,BP63*BQ62)</f>
        <v>1.1143676622114305</v>
      </c>
      <c r="BR63" s="129">
        <f t="shared" si="56"/>
        <v>1.0690952605453683</v>
      </c>
      <c r="BU63" s="155"/>
    </row>
    <row r="64" spans="1:73" x14ac:dyDescent="0.2">
      <c r="A64" s="133" t="s">
        <v>664</v>
      </c>
      <c r="B64" s="133">
        <f t="shared" si="57"/>
        <v>2003</v>
      </c>
      <c r="D64" s="5">
        <f>Passenger_Total!G64</f>
        <v>19325.957693211803</v>
      </c>
      <c r="E64" s="5">
        <f>Freight_Total!I63</f>
        <v>7764.6392802448772</v>
      </c>
      <c r="F64" s="5">
        <f>D64+E64</f>
        <v>27090.596973456682</v>
      </c>
      <c r="G64" s="5"/>
      <c r="H64" s="5">
        <f>Passenger_Total!L64</f>
        <v>5266547.2066607894</v>
      </c>
      <c r="I64" s="5">
        <f>Freight_Total!P63</f>
        <v>4082530.2855402208</v>
      </c>
      <c r="J64" s="263">
        <f t="shared" si="75"/>
        <v>1.5019127170393012</v>
      </c>
      <c r="L64">
        <f t="shared" si="76"/>
        <v>3669.5688721387664</v>
      </c>
      <c r="M64">
        <f t="shared" si="76"/>
        <v>1901.9183538567238</v>
      </c>
      <c r="N64" s="138">
        <f t="shared" si="37"/>
        <v>18037.397690366444</v>
      </c>
      <c r="P64" s="509">
        <f>Passenger_Total!AE64</f>
        <v>0.8650363298961703</v>
      </c>
      <c r="Q64" s="509">
        <f>Freight_Total!AO63</f>
        <v>0.8847358087418512</v>
      </c>
      <c r="R64" s="129"/>
      <c r="S64" s="509">
        <f>Passenger_Total!AI64</f>
        <v>1.016848635045386</v>
      </c>
      <c r="T64" s="509">
        <f>Freight_Total!AS63</f>
        <v>1.215788658881354</v>
      </c>
      <c r="V64" s="131">
        <f>BN64</f>
        <v>1.5019127170393012</v>
      </c>
      <c r="W64" s="147">
        <f t="shared" si="28"/>
        <v>0.93061421859198434</v>
      </c>
      <c r="X64" s="131">
        <v>1</v>
      </c>
      <c r="Y64" s="131">
        <f>BR64</f>
        <v>1.0691500122453954</v>
      </c>
      <c r="Z64" s="131">
        <f>BJ64</f>
        <v>0.87042436321684946</v>
      </c>
      <c r="AA64" s="131">
        <f>V64*X64*Y64*Z64</f>
        <v>1.3977013295608944</v>
      </c>
      <c r="AB64" s="131">
        <f t="shared" si="32"/>
        <v>1.3977013295608933</v>
      </c>
      <c r="AC64" s="131"/>
      <c r="AD64" s="131">
        <f>X64*Y64</f>
        <v>1.0691500122453954</v>
      </c>
      <c r="AG64" s="134"/>
      <c r="AI64" s="129">
        <f>D64/F64</f>
        <v>0.71338249622728289</v>
      </c>
      <c r="AJ64" s="129">
        <f>E64/F64</f>
        <v>0.28661750377271705</v>
      </c>
      <c r="AL64" s="129">
        <f>(AI64-AI63)/LN(AI64/AI63)</f>
        <v>0.70580196800119976</v>
      </c>
      <c r="AM64" s="129">
        <f>(AJ64-AJ63)/LN(AJ64/AJ63)</f>
        <v>0.29410642196944037</v>
      </c>
      <c r="AN64" s="129">
        <f>AL64+AM64</f>
        <v>0.99990838997064013</v>
      </c>
      <c r="AO64" s="129"/>
      <c r="AP64" s="129">
        <f>AL64/AN64</f>
        <v>0.70586663246412396</v>
      </c>
      <c r="AQ64" s="129">
        <f>AM64/AN64</f>
        <v>0.29413336753587604</v>
      </c>
      <c r="AT64" s="129">
        <f>LN(P64/P63)</f>
        <v>1.5441859104808086E-2</v>
      </c>
      <c r="AU64" s="129">
        <f>LN(Q64/Q63)</f>
        <v>-5.2729119422042732E-2</v>
      </c>
      <c r="AW64" s="129">
        <f t="shared" si="52"/>
        <v>1.5428102044506418</v>
      </c>
      <c r="AX64" s="129">
        <f t="shared" si="53"/>
        <v>1.4040209341191801</v>
      </c>
      <c r="AY64" s="129"/>
      <c r="AZ64" s="129">
        <f>LN(AW64/AW63)</f>
        <v>1.7729874501401271E-2</v>
      </c>
      <c r="BA64" s="129">
        <f>LN(AX64/AX63)</f>
        <v>1.1963082452451082E-2</v>
      </c>
      <c r="BB64" s="129"/>
      <c r="BC64" s="129"/>
      <c r="BD64" s="129">
        <f>LN(S64/S63)</f>
        <v>-2.9210057730081961E-4</v>
      </c>
      <c r="BE64" s="129">
        <f>LN(T64/T63)</f>
        <v>8.7509913633856821E-4</v>
      </c>
      <c r="BH64" s="129">
        <f>EXP(SUMPRODUCT($AP64:$AQ64,AT64:AU64))</f>
        <v>0.99540110706475959</v>
      </c>
      <c r="BI64" s="129">
        <f>IF(ISERR(BH64),BI63,BH64*BI63)</f>
        <v>0.72930843840177506</v>
      </c>
      <c r="BJ64" s="129">
        <f t="shared" si="54"/>
        <v>0.87042436321684946</v>
      </c>
      <c r="BK64" s="129"/>
      <c r="BL64" s="129">
        <f>EXP(SUMPRODUCT($AP64:$AQ64,AZ64:BA64))</f>
        <v>1.0161628975474202</v>
      </c>
      <c r="BM64" s="129">
        <f>IF(ISERR(BL64),BM63,BL64*BM63)</f>
        <v>9.9459540367096135</v>
      </c>
      <c r="BN64" s="129">
        <f t="shared" si="55"/>
        <v>1.5019127170393012</v>
      </c>
      <c r="BO64" s="129"/>
      <c r="BP64" s="129">
        <f>EXP(SUMPRODUCT($AP64:$AQ64,BD64:BE64))</f>
        <v>1.0000512131164057</v>
      </c>
      <c r="BQ64" s="129">
        <f>IF(ISERR(BP64),BQ63,BP64*BQ63)</f>
        <v>1.1144247324522341</v>
      </c>
      <c r="BR64" s="129">
        <f t="shared" si="56"/>
        <v>1.0691500122453954</v>
      </c>
      <c r="BU64" s="155"/>
    </row>
    <row r="65" spans="1:73" x14ac:dyDescent="0.2">
      <c r="A65" s="133" t="s">
        <v>664</v>
      </c>
      <c r="B65" s="133">
        <f t="shared" si="57"/>
        <v>2004</v>
      </c>
      <c r="D65" s="5">
        <f>Passenger_Total!G65</f>
        <v>19709.887133720273</v>
      </c>
      <c r="E65" s="5">
        <f>Freight_Total!I64</f>
        <v>7893.9992326389302</v>
      </c>
      <c r="F65" s="5">
        <f>D65+E65</f>
        <v>27603.886366359202</v>
      </c>
      <c r="G65" s="5"/>
      <c r="H65" s="5">
        <f>Passenger_Total!L65</f>
        <v>5487037.2837454751</v>
      </c>
      <c r="I65" s="5">
        <f>Freight_Total!P64</f>
        <v>4239425.3370911153</v>
      </c>
      <c r="J65" s="263">
        <f t="shared" si="75"/>
        <v>1.5633131281393231</v>
      </c>
      <c r="L65">
        <f t="shared" si="76"/>
        <v>3592.0818675877886</v>
      </c>
      <c r="M65">
        <f t="shared" si="76"/>
        <v>1862.0446416578252</v>
      </c>
      <c r="N65" s="138">
        <f t="shared" ref="N65:N71" si="77">F65/J65*1</f>
        <v>17657.298380916003</v>
      </c>
      <c r="P65" s="509">
        <f>Passenger_Total!AE65</f>
        <v>0.84645621310091668</v>
      </c>
      <c r="Q65" s="509">
        <f>Freight_Total!AO64</f>
        <v>0.87642993164642391</v>
      </c>
      <c r="R65" s="129"/>
      <c r="S65" s="509">
        <f>Passenger_Total!AI65</f>
        <v>1.0172257451874909</v>
      </c>
      <c r="T65" s="509">
        <f>Freight_Total!AS64</f>
        <v>1.2015800563111487</v>
      </c>
      <c r="V65" s="131">
        <f>BN65</f>
        <v>1.5633131281393231</v>
      </c>
      <c r="W65" s="147">
        <f t="shared" si="28"/>
        <v>0.91100352818510288</v>
      </c>
      <c r="X65" s="131">
        <v>1</v>
      </c>
      <c r="Y65" s="131">
        <f>BR65</f>
        <v>1.0658397859426922</v>
      </c>
      <c r="Z65" s="131">
        <f>BJ65</f>
        <v>0.85472839370446074</v>
      </c>
      <c r="AA65" s="131">
        <f>V65*X65*Y65*Z65</f>
        <v>1.4241837753930144</v>
      </c>
      <c r="AB65" s="131">
        <f t="shared" si="32"/>
        <v>1.4241837753930131</v>
      </c>
      <c r="AC65" s="131"/>
      <c r="AD65" s="131">
        <f>X65*Y65</f>
        <v>1.0658397859426922</v>
      </c>
      <c r="AG65" s="134"/>
      <c r="AI65" s="129">
        <f t="shared" si="50"/>
        <v>0.71402580318330355</v>
      </c>
      <c r="AJ65" s="129">
        <f t="shared" si="51"/>
        <v>0.28597419681669645</v>
      </c>
      <c r="AL65" s="129">
        <f t="shared" si="58"/>
        <v>0.71370410138409779</v>
      </c>
      <c r="AM65" s="129">
        <f t="shared" si="59"/>
        <v>0.28629572983540141</v>
      </c>
      <c r="AN65" s="129">
        <f t="shared" si="60"/>
        <v>0.9999998312194992</v>
      </c>
      <c r="AO65" s="129"/>
      <c r="AP65" s="129">
        <f t="shared" si="61"/>
        <v>0.71370422184345372</v>
      </c>
      <c r="AQ65" s="129">
        <f t="shared" si="62"/>
        <v>0.28629577815654622</v>
      </c>
      <c r="AT65" s="129">
        <f t="shared" si="63"/>
        <v>-2.1713032686991467E-2</v>
      </c>
      <c r="AU65" s="129">
        <f t="shared" si="64"/>
        <v>-9.4323191566556327E-3</v>
      </c>
      <c r="AW65" s="129">
        <f t="shared" si="52"/>
        <v>1.6074017342628364</v>
      </c>
      <c r="AX65" s="129">
        <f t="shared" si="53"/>
        <v>1.4579786322696089</v>
      </c>
      <c r="AY65" s="129"/>
      <c r="AZ65" s="129">
        <f t="shared" si="65"/>
        <v>4.1013484149327185E-2</v>
      </c>
      <c r="BA65" s="129">
        <f t="shared" si="66"/>
        <v>3.771076213750281E-2</v>
      </c>
      <c r="BB65" s="129"/>
      <c r="BC65" s="129"/>
      <c r="BD65" s="129">
        <f t="shared" si="67"/>
        <v>3.7079287767481645E-4</v>
      </c>
      <c r="BE65" s="129">
        <f t="shared" si="68"/>
        <v>-1.1755563897485671E-2</v>
      </c>
      <c r="BH65" s="129">
        <f t="shared" si="69"/>
        <v>0.98196745153779841</v>
      </c>
      <c r="BI65" s="129">
        <f t="shared" si="70"/>
        <v>0.71615714864240254</v>
      </c>
      <c r="BJ65" s="129">
        <f t="shared" si="54"/>
        <v>0.85472839370446074</v>
      </c>
      <c r="BK65" s="129"/>
      <c r="BL65" s="129">
        <f t="shared" si="71"/>
        <v>1.0408814776008155</v>
      </c>
      <c r="BM65" s="129">
        <f t="shared" si="72"/>
        <v>10.352559333880098</v>
      </c>
      <c r="BN65" s="129">
        <f t="shared" si="55"/>
        <v>1.5633131281393231</v>
      </c>
      <c r="BO65" s="129"/>
      <c r="BP65" s="129">
        <f t="shared" si="73"/>
        <v>0.99690387105196665</v>
      </c>
      <c r="BQ65" s="129">
        <f t="shared" si="74"/>
        <v>1.1109743297776844</v>
      </c>
      <c r="BR65" s="129">
        <f t="shared" si="56"/>
        <v>1.0658397859426922</v>
      </c>
      <c r="BU65" s="155"/>
    </row>
    <row r="66" spans="1:73" x14ac:dyDescent="0.2">
      <c r="A66" s="133" t="s">
        <v>664</v>
      </c>
      <c r="B66" s="133">
        <f t="shared" si="57"/>
        <v>2005</v>
      </c>
      <c r="D66" s="5">
        <f>Passenger_Total!G66</f>
        <v>19550.41258503875</v>
      </c>
      <c r="E66" s="5">
        <f>Freight_Total!I65</f>
        <v>8087.4920787847987</v>
      </c>
      <c r="F66" s="5">
        <f>D66+E66</f>
        <v>27637.904663823549</v>
      </c>
      <c r="G66" s="5"/>
      <c r="H66" s="5">
        <f>Passenger_Total!L66</f>
        <v>5591722.2599417903</v>
      </c>
      <c r="I66" s="5">
        <f>Freight_Total!P65</f>
        <v>4254197.7999518495</v>
      </c>
      <c r="J66" s="263">
        <f t="shared" si="75"/>
        <v>1.5860478109791885</v>
      </c>
      <c r="L66">
        <f>D66/H66*1000000</f>
        <v>3496.313242360909</v>
      </c>
      <c r="M66">
        <f>E66/I66*1000000</f>
        <v>1901.0616005857405</v>
      </c>
      <c r="N66" s="138">
        <f t="shared" si="77"/>
        <v>17425.644089985257</v>
      </c>
      <c r="P66" s="509">
        <f>Passenger_Total!AE66</f>
        <v>0.82277940105024827</v>
      </c>
      <c r="Q66" s="509">
        <f>Freight_Total!AO65</f>
        <v>0.89139258422749901</v>
      </c>
      <c r="R66" s="129"/>
      <c r="S66" s="509">
        <f>Passenger_Total!AI66</f>
        <v>1.0185973432595219</v>
      </c>
      <c r="T66" s="509">
        <f>Freight_Total!AS65</f>
        <v>1.2061657621449682</v>
      </c>
      <c r="V66" s="131">
        <f>BN66</f>
        <v>1.5860478109791885</v>
      </c>
      <c r="W66" s="147">
        <f t="shared" si="28"/>
        <v>0.89905165016817945</v>
      </c>
      <c r="X66" s="131">
        <v>1</v>
      </c>
      <c r="Y66" s="131">
        <f>BR66</f>
        <v>1.0680372541707976</v>
      </c>
      <c r="Z66" s="131">
        <f>BJ66</f>
        <v>0.84177929810714847</v>
      </c>
      <c r="AA66" s="131">
        <f>V66*X66*Y66*Z66</f>
        <v>1.4259389017064692</v>
      </c>
      <c r="AB66" s="131">
        <f t="shared" si="32"/>
        <v>1.4259389017064681</v>
      </c>
      <c r="AC66" s="131"/>
      <c r="AD66" s="131">
        <f>X66*Y66</f>
        <v>1.0680372541707976</v>
      </c>
      <c r="AG66" s="134"/>
      <c r="AI66" s="129">
        <f>D66/F66</f>
        <v>0.70737680091317245</v>
      </c>
      <c r="AJ66" s="129">
        <f>E66/F66</f>
        <v>0.2926231990868276</v>
      </c>
      <c r="AL66" s="129">
        <f>(AI66-AI65)/LN(AI66/AI65)</f>
        <v>0.71069611826133983</v>
      </c>
      <c r="AM66" s="129">
        <f>(AJ66-AJ65)/LN(AJ66/AJ65)</f>
        <v>0.28928596290535591</v>
      </c>
      <c r="AN66" s="129">
        <f>AL66+AM66</f>
        <v>0.99998208116669574</v>
      </c>
      <c r="AO66" s="129"/>
      <c r="AP66" s="129">
        <f>AL66/AN66</f>
        <v>0.7107088533348106</v>
      </c>
      <c r="AQ66" s="129">
        <f>AM66/AN66</f>
        <v>0.2892911466651894</v>
      </c>
      <c r="AT66" s="129">
        <f>LN(P66/P65)</f>
        <v>-2.8370350961899948E-2</v>
      </c>
      <c r="AU66" s="129">
        <f>LN(Q66/Q65)</f>
        <v>1.6928181146342043E-2</v>
      </c>
      <c r="AW66" s="129">
        <f t="shared" si="52"/>
        <v>1.6380687050865446</v>
      </c>
      <c r="AX66" s="129">
        <f t="shared" si="53"/>
        <v>1.4630590225311166</v>
      </c>
      <c r="AY66" s="129"/>
      <c r="AZ66" s="129">
        <f>LN(AW66/AW65)</f>
        <v>1.8898883328364802E-2</v>
      </c>
      <c r="BA66" s="129">
        <f>LN(AX66/AX65)</f>
        <v>3.4784867465359921E-3</v>
      </c>
      <c r="BB66" s="129"/>
      <c r="BC66" s="129"/>
      <c r="BD66" s="129">
        <f>LN(S66/S65)</f>
        <v>1.347463134045246E-3</v>
      </c>
      <c r="BE66" s="129">
        <f>LN(T66/T65)</f>
        <v>3.8091324618695884E-3</v>
      </c>
      <c r="BH66" s="129">
        <f>EXP(SUMPRODUCT($AP66:$AQ66,AT66:AU66))</f>
        <v>0.98485004629226147</v>
      </c>
      <c r="BI66" s="129">
        <f>IF(ISERR(BH66),BI65,BH66*BI65)</f>
        <v>0.70530740099300415</v>
      </c>
      <c r="BJ66" s="129">
        <f t="shared" si="54"/>
        <v>0.84177929810714847</v>
      </c>
      <c r="BK66" s="129"/>
      <c r="BL66" s="129">
        <f>EXP(SUMPRODUCT($AP66:$AQ66,AZ66:BA66))</f>
        <v>1.0145426290041615</v>
      </c>
      <c r="BM66" s="129">
        <f>IF(ISERR(BL66),BM65,BL66*BM65)</f>
        <v>10.503112763516285</v>
      </c>
      <c r="BN66" s="129">
        <f t="shared" si="55"/>
        <v>1.5860478109791885</v>
      </c>
      <c r="BO66" s="129"/>
      <c r="BP66" s="129">
        <f>EXP(SUMPRODUCT($AP66:$AQ66,BD66:BE66))</f>
        <v>1.0020617247142467</v>
      </c>
      <c r="BQ66" s="129">
        <f>IF(ISERR(BP66),BQ65,BP66*BQ65)</f>
        <v>1.1132648530102807</v>
      </c>
      <c r="BR66" s="129">
        <f t="shared" si="56"/>
        <v>1.0680372541707976</v>
      </c>
      <c r="BU66" s="155"/>
    </row>
    <row r="67" spans="1:73" x14ac:dyDescent="0.2">
      <c r="A67" s="133" t="s">
        <v>664</v>
      </c>
      <c r="B67" s="133">
        <f t="shared" si="57"/>
        <v>2006</v>
      </c>
      <c r="D67" s="5">
        <f>Passenger_Total!G67</f>
        <v>19614.334799340722</v>
      </c>
      <c r="E67" s="5">
        <f>Freight_Total!I66</f>
        <v>8238.7469516025758</v>
      </c>
      <c r="F67" s="5">
        <f>D67+E67</f>
        <v>27853.081750943296</v>
      </c>
      <c r="G67" s="5"/>
      <c r="H67" s="5">
        <f>Passenger_Total!L67</f>
        <v>5679510.4408086967</v>
      </c>
      <c r="I67" s="5">
        <f>Freight_Total!P66</f>
        <v>4286919.0020897361</v>
      </c>
      <c r="J67" s="263">
        <f t="shared" si="75"/>
        <v>1.6072009796026876</v>
      </c>
      <c r="L67">
        <f>D67/H67*1000000</f>
        <v>3453.5256169980503</v>
      </c>
      <c r="M67">
        <f>E67/I67*1000000</f>
        <v>1921.8340602158451</v>
      </c>
      <c r="N67" s="138">
        <f t="shared" si="77"/>
        <v>17330.179675368785</v>
      </c>
      <c r="P67" s="509">
        <f>Passenger_Total!AE67</f>
        <v>0.81202732503651909</v>
      </c>
      <c r="Q67" s="509">
        <f>Freight_Total!AO66</f>
        <v>0.90699703960999467</v>
      </c>
      <c r="R67" s="129"/>
      <c r="S67" s="509">
        <f>Passenger_Total!AI67</f>
        <v>1.0194540425689942</v>
      </c>
      <c r="T67" s="509">
        <f>Freight_Total!AS66</f>
        <v>1.1983669971409114</v>
      </c>
      <c r="V67" s="131">
        <f>BN67</f>
        <v>1.6072009796026876</v>
      </c>
      <c r="W67" s="147">
        <f t="shared" si="28"/>
        <v>0.89412629767905083</v>
      </c>
      <c r="X67" s="131">
        <v>1</v>
      </c>
      <c r="Y67" s="131">
        <f>BR67</f>
        <v>1.0666336253272477</v>
      </c>
      <c r="Z67" s="131">
        <f>BJ67</f>
        <v>0.838269370520482</v>
      </c>
      <c r="AA67" s="131">
        <f>V67*X67*Y67*Z67</f>
        <v>1.4370406615182958</v>
      </c>
      <c r="AB67" s="131">
        <f t="shared" si="32"/>
        <v>1.4370406615182947</v>
      </c>
      <c r="AC67" s="131"/>
      <c r="AD67" s="131">
        <f>X67*Y67</f>
        <v>1.0666336253272477</v>
      </c>
      <c r="AG67" s="134"/>
      <c r="AI67" s="129">
        <f>D67/F67</f>
        <v>0.70420698774836454</v>
      </c>
      <c r="AJ67" s="129">
        <f>E67/F67</f>
        <v>0.29579301225163551</v>
      </c>
      <c r="AL67" s="129">
        <f>(AI67-AI66)/LN(AI67/AI66)</f>
        <v>0.70579070798850418</v>
      </c>
      <c r="AM67" s="129">
        <f>(AJ67-AJ66)/LN(AJ67/AJ66)</f>
        <v>0.29420525966979189</v>
      </c>
      <c r="AN67" s="129">
        <f>AL67+AM67</f>
        <v>0.99999596765829613</v>
      </c>
      <c r="AO67" s="129"/>
      <c r="AP67" s="129">
        <f>AL67/AN67</f>
        <v>0.70579355398928623</v>
      </c>
      <c r="AQ67" s="129">
        <f>AM67/AN67</f>
        <v>0.29420644601071366</v>
      </c>
      <c r="AT67" s="129">
        <f>LN(P67/P66)</f>
        <v>-1.3154131162698382E-2</v>
      </c>
      <c r="AU67" s="129">
        <f>LN(Q67/Q66)</f>
        <v>1.7354244938105123E-2</v>
      </c>
      <c r="AW67" s="129">
        <f t="shared" si="52"/>
        <v>1.6637858392841314</v>
      </c>
      <c r="AX67" s="129">
        <f t="shared" si="53"/>
        <v>1.4743121546766038</v>
      </c>
      <c r="AY67" s="129"/>
      <c r="AZ67" s="129">
        <f>LN(AW67/AW66)</f>
        <v>1.5577702714360124E-2</v>
      </c>
      <c r="BA67" s="129">
        <f>LN(AX67/AX66)</f>
        <v>7.6620804931531753E-3</v>
      </c>
      <c r="BB67" s="129"/>
      <c r="BC67" s="129"/>
      <c r="BD67" s="129">
        <f>LN(S67/S66)</f>
        <v>8.4070437662927004E-4</v>
      </c>
      <c r="BE67" s="129">
        <f>LN(T67/T66)</f>
        <v>-6.4867424410645783E-3</v>
      </c>
      <c r="BH67" s="129">
        <f>EXP(SUMPRODUCT($AP67:$AQ67,AT67:AU67))</f>
        <v>0.99583034698696082</v>
      </c>
      <c r="BI67" s="129">
        <f>IF(ISERR(BH67),BI66,BH67*BI66)</f>
        <v>0.70236651386333482</v>
      </c>
      <c r="BJ67" s="129">
        <f t="shared" si="54"/>
        <v>0.838269370520482</v>
      </c>
      <c r="BK67" s="129"/>
      <c r="BL67" s="129">
        <f>EXP(SUMPRODUCT($AP67:$AQ67,AZ67:BA67))</f>
        <v>1.0133370308745231</v>
      </c>
      <c r="BM67" s="129">
        <f>IF(ISERR(BL67),BM66,BL67*BM66)</f>
        <v>10.643193102721899</v>
      </c>
      <c r="BN67" s="129">
        <f t="shared" si="55"/>
        <v>1.6072009796026876</v>
      </c>
      <c r="BO67" s="129"/>
      <c r="BP67" s="129">
        <f>EXP(SUMPRODUCT($AP67:$AQ67,BD67:BE67))</f>
        <v>0.99868578662582352</v>
      </c>
      <c r="BQ67" s="129">
        <f>IF(ISERR(BP67),BQ66,BP67*BQ66)</f>
        <v>1.1118017854514539</v>
      </c>
      <c r="BR67" s="129">
        <f t="shared" si="56"/>
        <v>1.0666336253272477</v>
      </c>
      <c r="BU67" s="155"/>
    </row>
    <row r="68" spans="1:73" x14ac:dyDescent="0.2">
      <c r="A68" s="133" t="s">
        <v>664</v>
      </c>
      <c r="B68" s="133">
        <f t="shared" si="57"/>
        <v>2007</v>
      </c>
      <c r="D68" s="5">
        <f>Passenger_Total!G68</f>
        <v>19708.593695568172</v>
      </c>
      <c r="E68" s="5">
        <f>Freight_Total!I67</f>
        <v>8340.9005427876618</v>
      </c>
      <c r="F68" s="5">
        <f t="shared" si="43"/>
        <v>28049.494238355834</v>
      </c>
      <c r="G68" s="5"/>
      <c r="H68" s="5">
        <f>Passenger_Total!L68</f>
        <v>5764375.8771046866</v>
      </c>
      <c r="I68" s="5">
        <f>Freight_Total!P67</f>
        <v>4320671.5449547097</v>
      </c>
      <c r="J68" s="263">
        <f t="shared" si="75"/>
        <v>1.6278385950555496</v>
      </c>
      <c r="L68">
        <f t="shared" si="44"/>
        <v>3419.0334072155169</v>
      </c>
      <c r="M68">
        <f t="shared" si="45"/>
        <v>1930.4639234906465</v>
      </c>
      <c r="N68" s="138">
        <f t="shared" si="77"/>
        <v>17231.12741248075</v>
      </c>
      <c r="P68" s="509">
        <f>Passenger_Total!AE68</f>
        <v>0.80480197919421437</v>
      </c>
      <c r="Q68" s="509">
        <f>Freight_Total!AO67</f>
        <v>0.90297902181467271</v>
      </c>
      <c r="R68" s="129"/>
      <c r="S68" s="509">
        <f>Passenger_Total!AI68</f>
        <v>1.0183332464127912</v>
      </c>
      <c r="T68" s="509">
        <f>Freight_Total!AS67</f>
        <v>1.2091045424731937</v>
      </c>
      <c r="V68" s="131">
        <f t="shared" si="27"/>
        <v>1.6278385950555496</v>
      </c>
      <c r="W68" s="147">
        <f t="shared" si="28"/>
        <v>0.88901583519384708</v>
      </c>
      <c r="X68" s="131">
        <v>1</v>
      </c>
      <c r="Y68" s="131">
        <f t="shared" si="46"/>
        <v>1.068631992193769</v>
      </c>
      <c r="Z68" s="131">
        <f t="shared" si="47"/>
        <v>0.83191953983036648</v>
      </c>
      <c r="AA68" s="131">
        <f t="shared" si="48"/>
        <v>1.4471742881440899</v>
      </c>
      <c r="AB68" s="131">
        <f t="shared" si="32"/>
        <v>1.4471742881440883</v>
      </c>
      <c r="AC68" s="131"/>
      <c r="AD68" s="131">
        <f t="shared" si="49"/>
        <v>1.068631992193769</v>
      </c>
      <c r="AG68" s="134"/>
      <c r="AI68" s="129">
        <f t="shared" si="50"/>
        <v>0.70263633019870886</v>
      </c>
      <c r="AJ68" s="129">
        <f t="shared" si="51"/>
        <v>0.29736366980129114</v>
      </c>
      <c r="AL68" s="129">
        <f t="shared" si="58"/>
        <v>0.70342136671569055</v>
      </c>
      <c r="AM68" s="129">
        <f t="shared" si="59"/>
        <v>0.296577647851054</v>
      </c>
      <c r="AN68" s="129">
        <f t="shared" si="60"/>
        <v>0.99999901456674456</v>
      </c>
      <c r="AO68" s="129"/>
      <c r="AP68" s="129">
        <f t="shared" si="61"/>
        <v>0.70342205989118101</v>
      </c>
      <c r="AQ68" s="129">
        <f t="shared" si="62"/>
        <v>0.29657794010881899</v>
      </c>
      <c r="AT68" s="129">
        <f t="shared" si="63"/>
        <v>-8.9377325384901365E-3</v>
      </c>
      <c r="AU68" s="129">
        <f t="shared" si="64"/>
        <v>-4.4398646825797835E-3</v>
      </c>
      <c r="AW68" s="129">
        <f t="shared" si="52"/>
        <v>1.6886467692226337</v>
      </c>
      <c r="AX68" s="129">
        <f t="shared" si="53"/>
        <v>1.4859199746920548</v>
      </c>
      <c r="AY68" s="129"/>
      <c r="AZ68" s="129">
        <f t="shared" si="65"/>
        <v>1.4831848147361642E-2</v>
      </c>
      <c r="BA68" s="129">
        <f t="shared" si="66"/>
        <v>7.8425468027755654E-3</v>
      </c>
      <c r="BB68" s="129"/>
      <c r="BC68" s="129"/>
      <c r="BD68" s="129">
        <f t="shared" si="67"/>
        <v>-1.1000130143899813E-3</v>
      </c>
      <c r="BE68" s="129">
        <f t="shared" si="68"/>
        <v>8.9202437952416915E-3</v>
      </c>
      <c r="BH68" s="129">
        <f t="shared" si="69"/>
        <v>0.99242507132740287</v>
      </c>
      <c r="BI68" s="129">
        <f t="shared" si="70"/>
        <v>0.69704613761879941</v>
      </c>
      <c r="BJ68" s="129">
        <f t="shared" si="54"/>
        <v>0.83191953983036648</v>
      </c>
      <c r="BK68" s="129"/>
      <c r="BL68" s="129">
        <f t="shared" si="71"/>
        <v>1.0128407185627548</v>
      </c>
      <c r="BM68" s="129">
        <f t="shared" si="72"/>
        <v>10.779859349963004</v>
      </c>
      <c r="BN68" s="129">
        <f t="shared" si="55"/>
        <v>1.6278385950555496</v>
      </c>
      <c r="BO68" s="129"/>
      <c r="BP68" s="129">
        <f t="shared" si="73"/>
        <v>1.0018735269722143</v>
      </c>
      <c r="BQ68" s="129">
        <f t="shared" si="74"/>
        <v>1.1138847760842532</v>
      </c>
      <c r="BR68" s="129">
        <f t="shared" si="56"/>
        <v>1.068631992193769</v>
      </c>
      <c r="BU68" s="155"/>
    </row>
    <row r="69" spans="1:73" x14ac:dyDescent="0.2">
      <c r="A69" s="133" t="s">
        <v>664</v>
      </c>
      <c r="B69" s="133">
        <f t="shared" si="57"/>
        <v>2008</v>
      </c>
      <c r="D69" s="5">
        <f>Passenger_Total!G69</f>
        <v>19161.478956442093</v>
      </c>
      <c r="E69" s="5">
        <f>Freight_Total!I68</f>
        <v>8356.3945667276566</v>
      </c>
      <c r="F69" s="5">
        <f>D69+E69</f>
        <v>27517.87352316975</v>
      </c>
      <c r="G69" s="5"/>
      <c r="H69" s="5">
        <f>Passenger_Total!L69</f>
        <v>5631962.0042070709</v>
      </c>
      <c r="I69" s="5">
        <f>Freight_Total!P68</f>
        <v>4310506.4766576653</v>
      </c>
      <c r="J69" s="263">
        <f>BN69</f>
        <v>1.6004580311312939</v>
      </c>
      <c r="L69">
        <f t="shared" ref="L69:M71" si="78">D69/H69*1000000</f>
        <v>3402.2741883074646</v>
      </c>
      <c r="M69">
        <f t="shared" si="78"/>
        <v>1938.6108365639536</v>
      </c>
      <c r="N69" s="138">
        <f t="shared" si="77"/>
        <v>17193.748906816734</v>
      </c>
      <c r="P69" s="509">
        <f>Passenger_Total!AE69</f>
        <v>0.79928663653977283</v>
      </c>
      <c r="Q69" s="509">
        <f>Freight_Total!AO68</f>
        <v>0.89784752734590734</v>
      </c>
      <c r="R69" s="129"/>
      <c r="S69" s="509">
        <f>Passenger_Total!AI69</f>
        <v>1.0203340328993</v>
      </c>
      <c r="T69" s="509">
        <f>Freight_Total!AS68</f>
        <v>1.2211467803498721</v>
      </c>
      <c r="V69" s="131">
        <f>BN69</f>
        <v>1.6004580311312939</v>
      </c>
      <c r="W69" s="147">
        <f t="shared" si="28"/>
        <v>0.88708734365433684</v>
      </c>
      <c r="X69" s="131">
        <v>1</v>
      </c>
      <c r="Y69" s="131">
        <f>BR69</f>
        <v>1.0732919109268</v>
      </c>
      <c r="Z69" s="131">
        <f>BJ69</f>
        <v>0.82651078855921678</v>
      </c>
      <c r="AA69" s="131">
        <f>V69*X69*Y69*Z69</f>
        <v>1.4197460634665116</v>
      </c>
      <c r="AB69" s="131">
        <f t="shared" si="32"/>
        <v>1.4197460634665096</v>
      </c>
      <c r="AC69" s="131"/>
      <c r="AD69" s="131">
        <f>X69*Y69</f>
        <v>1.0732919109268</v>
      </c>
      <c r="AE69" s="129"/>
      <c r="AG69" s="134"/>
      <c r="AI69" s="129">
        <f>D69/F69</f>
        <v>0.69632847684645172</v>
      </c>
      <c r="AJ69" s="129">
        <f>E69/F69</f>
        <v>0.30367152315354828</v>
      </c>
      <c r="AL69" s="129">
        <f>(AI69-AI68)/LN(AI69/AI68)</f>
        <v>0.69947766320443028</v>
      </c>
      <c r="AM69" s="129">
        <f>(AJ69-AJ68)/LN(AJ69/AJ68)</f>
        <v>0.30050656268574288</v>
      </c>
      <c r="AN69" s="129">
        <f>AL69+AM69</f>
        <v>0.99998422589017322</v>
      </c>
      <c r="AO69" s="129"/>
      <c r="AP69" s="129">
        <f>AL69/AN69</f>
        <v>0.69948869701595962</v>
      </c>
      <c r="AQ69" s="129">
        <f>AM69/AN69</f>
        <v>0.30051130298404033</v>
      </c>
      <c r="AT69" s="129">
        <f>LN(P69/P68)</f>
        <v>-6.8766330419536385E-3</v>
      </c>
      <c r="AU69" s="129">
        <f>LN(Q69/Q68)</f>
        <v>-5.6990589794270585E-3</v>
      </c>
      <c r="AW69" s="129">
        <f t="shared" si="52"/>
        <v>1.6498567486833895</v>
      </c>
      <c r="AX69" s="129">
        <f t="shared" si="53"/>
        <v>1.4824241111741892</v>
      </c>
      <c r="AY69" s="129"/>
      <c r="AZ69" s="129">
        <f>LN(AW69/AW68)</f>
        <v>-2.3239014746493852E-2</v>
      </c>
      <c r="BA69" s="129">
        <f>LN(AX69/AX68)</f>
        <v>-2.3554311986819002E-3</v>
      </c>
      <c r="BB69" s="129"/>
      <c r="BC69" s="129"/>
      <c r="BD69" s="129">
        <f>LN(S69/S68)</f>
        <v>1.9628383200996856E-3</v>
      </c>
      <c r="BE69" s="129">
        <f>LN(T69/T68)</f>
        <v>9.9103630348191911E-3</v>
      </c>
      <c r="BH69" s="129">
        <f>EXP(SUMPRODUCT($AP69:$AQ69,AT69:AU69))</f>
        <v>0.99349846828666544</v>
      </c>
      <c r="BI69" s="129">
        <f>IF(ISERR(BH69),BI68,BH69*BI68)</f>
        <v>0.69251427004941346</v>
      </c>
      <c r="BJ69" s="129">
        <f t="shared" si="54"/>
        <v>0.82651078855921678</v>
      </c>
      <c r="BK69" s="129"/>
      <c r="BL69" s="129">
        <f>EXP(SUMPRODUCT($AP69:$AQ69,AZ69:BA69))</f>
        <v>0.98317980418487283</v>
      </c>
      <c r="BM69" s="129">
        <f>IF(ISERR(BL69),BM68,BL69*BM68)</f>
        <v>10.598540004837098</v>
      </c>
      <c r="BN69" s="129">
        <f t="shared" si="55"/>
        <v>1.6004580311312939</v>
      </c>
      <c r="BO69" s="129"/>
      <c r="BP69" s="129">
        <f>EXP(SUMPRODUCT($AP69:$AQ69,BD69:BE69))</f>
        <v>1.0043606393660973</v>
      </c>
      <c r="BQ69" s="129">
        <f>IF(ISERR(BP69),BQ68,BP69*BQ68)</f>
        <v>1.1187420258881426</v>
      </c>
      <c r="BR69" s="129">
        <f t="shared" si="56"/>
        <v>1.0732919109268</v>
      </c>
      <c r="BU69" s="155"/>
    </row>
    <row r="70" spans="1:73" x14ac:dyDescent="0.2">
      <c r="A70" s="133" t="s">
        <v>664</v>
      </c>
      <c r="B70" s="133">
        <f t="shared" si="57"/>
        <v>2009</v>
      </c>
      <c r="D70" s="5">
        <f>Passenger_Total!G70</f>
        <v>18983.742744936262</v>
      </c>
      <c r="E70" s="5">
        <f>Freight_Total!I69</f>
        <v>7718.039284240891</v>
      </c>
      <c r="F70" s="5">
        <f>D70+E70</f>
        <v>26701.782029177153</v>
      </c>
      <c r="G70" s="5"/>
      <c r="H70" s="5">
        <f>Passenger_Total!L70</f>
        <v>5603626.0092331748</v>
      </c>
      <c r="I70" s="5">
        <f>Freight_Total!P69</f>
        <v>3879729.832871777</v>
      </c>
      <c r="J70" s="263">
        <f>BN70</f>
        <v>1.5457985245593699</v>
      </c>
      <c r="L70">
        <f t="shared" si="78"/>
        <v>3387.760481098574</v>
      </c>
      <c r="M70">
        <f t="shared" si="78"/>
        <v>1989.3239005583014</v>
      </c>
      <c r="N70" s="138">
        <f t="shared" si="77"/>
        <v>17273.778959511234</v>
      </c>
      <c r="P70" s="509">
        <f>Passenger_Total!AE70</f>
        <v>0.79590585718743001</v>
      </c>
      <c r="Q70" s="509">
        <f>Freight_Total!AO69</f>
        <v>0.89861332960903328</v>
      </c>
      <c r="R70" s="129"/>
      <c r="S70" s="509">
        <f>Passenger_Total!AI70</f>
        <v>1.0202970032569871</v>
      </c>
      <c r="T70" s="509">
        <f>Freight_Total!AS69</f>
        <v>1.2520234630503084</v>
      </c>
      <c r="V70" s="131">
        <f t="shared" si="27"/>
        <v>1.5457985245593699</v>
      </c>
      <c r="W70" s="147">
        <f t="shared" si="28"/>
        <v>0.89121638190201846</v>
      </c>
      <c r="X70" s="131">
        <v>1</v>
      </c>
      <c r="Y70" s="131">
        <f t="shared" si="46"/>
        <v>1.0812354558026858</v>
      </c>
      <c r="Z70" s="131">
        <f t="shared" si="47"/>
        <v>0.82425745208327461</v>
      </c>
      <c r="AA70" s="131">
        <f t="shared" si="48"/>
        <v>1.3776409682072823</v>
      </c>
      <c r="AB70" s="131">
        <f t="shared" si="32"/>
        <v>1.3776409682072801</v>
      </c>
      <c r="AC70" s="131"/>
      <c r="AD70" s="131">
        <f t="shared" si="49"/>
        <v>1.0812354558026858</v>
      </c>
      <c r="AG70" s="134"/>
      <c r="AI70" s="129">
        <f t="shared" si="50"/>
        <v>0.71095414995870476</v>
      </c>
      <c r="AJ70" s="129">
        <f t="shared" si="51"/>
        <v>0.28904585004129524</v>
      </c>
      <c r="AL70" s="129">
        <f t="shared" si="58"/>
        <v>0.70361597894221095</v>
      </c>
      <c r="AM70" s="129">
        <f t="shared" si="59"/>
        <v>0.29629852721755845</v>
      </c>
      <c r="AN70" s="129">
        <f t="shared" si="60"/>
        <v>0.9999145061597694</v>
      </c>
      <c r="AO70" s="129"/>
      <c r="AP70" s="129">
        <f t="shared" si="61"/>
        <v>0.70367613891760561</v>
      </c>
      <c r="AQ70" s="129">
        <f>AM70/AN70</f>
        <v>0.29632386108239434</v>
      </c>
      <c r="AT70" s="129">
        <f>LN(P70/P69)</f>
        <v>-4.2387165529276689E-3</v>
      </c>
      <c r="AU70" s="129">
        <f>LN(Q70/Q69)</f>
        <v>8.525677657244123E-4</v>
      </c>
      <c r="AW70" s="129">
        <f t="shared" si="52"/>
        <v>1.6415558523876725</v>
      </c>
      <c r="AX70" s="129">
        <f t="shared" si="53"/>
        <v>1.3342759325930826</v>
      </c>
      <c r="AY70" s="129"/>
      <c r="AZ70" s="129">
        <f>LN(AW70/AW69)</f>
        <v>-5.0439825697488937E-3</v>
      </c>
      <c r="BA70" s="129">
        <f>LN(AX70/AX69)</f>
        <v>-0.10528988868949923</v>
      </c>
      <c r="BB70" s="129"/>
      <c r="BC70" s="129"/>
      <c r="BD70" s="129">
        <f>LN(S70/S69)</f>
        <v>-3.6292344535466425E-5</v>
      </c>
      <c r="BE70" s="129">
        <f>LN(T70/T69)</f>
        <v>2.4970611827529424E-2</v>
      </c>
      <c r="BH70" s="129">
        <f>EXP(SUMPRODUCT($AP70:$AQ70,AT70:AU70))</f>
        <v>0.99727367566505676</v>
      </c>
      <c r="BI70" s="129">
        <f>IF(ISERR(BH70),BI69,BH70*BI69)</f>
        <v>0.69062625154268231</v>
      </c>
      <c r="BJ70" s="129">
        <f t="shared" si="54"/>
        <v>0.82425745208327461</v>
      </c>
      <c r="BK70" s="129"/>
      <c r="BL70" s="129">
        <f>EXP(SUMPRODUCT($AP70:$AQ70,AZ70:BA70))</f>
        <v>0.96584758518579361</v>
      </c>
      <c r="BM70" s="129">
        <f>IF(ISERR(BL70),BM69,BL70*BM69)</f>
        <v>10.23657427016694</v>
      </c>
      <c r="BN70" s="129">
        <f t="shared" si="55"/>
        <v>1.5457985245593699</v>
      </c>
      <c r="BO70" s="129"/>
      <c r="BP70" s="129">
        <f>EXP(SUMPRODUCT($AP70:$AQ70,BD70:BE70))</f>
        <v>1.0074011038329977</v>
      </c>
      <c r="BQ70" s="129">
        <f>IF(ISERR(BP70),BQ69,BP70*BQ69)</f>
        <v>1.1270219517840789</v>
      </c>
      <c r="BR70" s="129">
        <f t="shared" si="56"/>
        <v>1.0812354558026858</v>
      </c>
      <c r="BU70" s="155"/>
    </row>
    <row r="71" spans="1:73" x14ac:dyDescent="0.2">
      <c r="A71" s="133" t="s">
        <v>664</v>
      </c>
      <c r="B71" s="133">
        <f t="shared" si="57"/>
        <v>2010</v>
      </c>
      <c r="D71" s="5">
        <f>Passenger_Total!G71</f>
        <v>19169.73090992964</v>
      </c>
      <c r="E71" s="5">
        <f>Freight_Total!I70</f>
        <v>7906.3449356460424</v>
      </c>
      <c r="F71" s="5">
        <f>D71+E71</f>
        <v>27076.07584557568</v>
      </c>
      <c r="G71" s="5"/>
      <c r="H71" s="5">
        <f>Passenger_Total!L71</f>
        <v>5654105.7249981323</v>
      </c>
      <c r="I71" s="5">
        <f>Freight_Total!P70</f>
        <v>4110568.6010160716</v>
      </c>
      <c r="J71" s="263">
        <f>BN71</f>
        <v>1.5820070462690683</v>
      </c>
      <c r="L71">
        <f t="shared" si="78"/>
        <v>3390.4089952148838</v>
      </c>
      <c r="M71">
        <f t="shared" si="78"/>
        <v>1923.4188023748616</v>
      </c>
      <c r="N71" s="138">
        <f t="shared" si="77"/>
        <v>17115.015959903994</v>
      </c>
      <c r="P71" s="509">
        <f>Passenger_Total!AE71</f>
        <v>0.79627439075489825</v>
      </c>
      <c r="Q71" s="509">
        <f>Freight_Total!AO70</f>
        <v>0.90289090714267362</v>
      </c>
      <c r="R71" s="129"/>
      <c r="S71" s="509">
        <f>Passenger_Total!AI71</f>
        <v>1.020622074894348</v>
      </c>
      <c r="T71" s="509">
        <f>Freight_Total!AS70</f>
        <v>1.2048095504021683</v>
      </c>
      <c r="V71" s="131">
        <f t="shared" si="27"/>
        <v>1.5820070462690683</v>
      </c>
      <c r="W71" s="147">
        <f t="shared" si="28"/>
        <v>0.88302522775899484</v>
      </c>
      <c r="X71" s="131">
        <v>1</v>
      </c>
      <c r="Y71" s="131">
        <f t="shared" si="46"/>
        <v>1.0694695098582792</v>
      </c>
      <c r="Z71" s="131">
        <f t="shared" si="47"/>
        <v>0.82566657545572286</v>
      </c>
      <c r="AA71" s="131">
        <f t="shared" si="48"/>
        <v>1.3969521323480802</v>
      </c>
      <c r="AB71" s="131">
        <f t="shared" si="32"/>
        <v>1.3969521323480787</v>
      </c>
      <c r="AC71" s="131"/>
      <c r="AD71" s="131">
        <f t="shared" si="49"/>
        <v>1.0694695098582792</v>
      </c>
      <c r="AG71" s="134"/>
      <c r="AI71" s="129">
        <f t="shared" si="50"/>
        <v>0.70799516958296738</v>
      </c>
      <c r="AJ71" s="129">
        <f t="shared" si="51"/>
        <v>0.29200483041703273</v>
      </c>
      <c r="AL71" s="129">
        <f t="shared" si="58"/>
        <v>0.70947363136025354</v>
      </c>
      <c r="AM71" s="129">
        <f t="shared" si="59"/>
        <v>0.29052282879435942</v>
      </c>
      <c r="AN71" s="129">
        <f t="shared" si="60"/>
        <v>0.99999646015461296</v>
      </c>
      <c r="AO71" s="129"/>
      <c r="AP71" s="129">
        <f t="shared" si="61"/>
        <v>0.70947614279610483</v>
      </c>
      <c r="AQ71" s="129">
        <f t="shared" si="62"/>
        <v>0.29052385720389517</v>
      </c>
      <c r="AT71" s="129">
        <f t="shared" si="63"/>
        <v>4.6292946357805984E-4</v>
      </c>
      <c r="AU71" s="129">
        <f t="shared" si="64"/>
        <v>4.7489042605605748E-3</v>
      </c>
      <c r="AW71" s="129">
        <f t="shared" si="52"/>
        <v>1.6563436474161584</v>
      </c>
      <c r="AX71" s="129">
        <f t="shared" si="53"/>
        <v>1.4136635770715085</v>
      </c>
      <c r="AY71" s="129"/>
      <c r="AZ71" s="129">
        <f t="shared" si="65"/>
        <v>8.9680683961464846E-3</v>
      </c>
      <c r="BA71" s="129">
        <f t="shared" si="66"/>
        <v>5.7795844177554075E-2</v>
      </c>
      <c r="BB71" s="129"/>
      <c r="BC71" s="129"/>
      <c r="BD71" s="129">
        <f t="shared" si="67"/>
        <v>3.1855416864850269E-4</v>
      </c>
      <c r="BE71" s="129">
        <f t="shared" si="68"/>
        <v>-3.8439507965119628E-2</v>
      </c>
      <c r="BH71" s="129">
        <f t="shared" si="69"/>
        <v>1.0017095670398692</v>
      </c>
      <c r="BI71" s="129">
        <f t="shared" si="70"/>
        <v>0.69180692341918815</v>
      </c>
      <c r="BJ71" s="129">
        <f t="shared" si="54"/>
        <v>0.82566657545572286</v>
      </c>
      <c r="BK71" s="129"/>
      <c r="BL71" s="129">
        <f t="shared" si="71"/>
        <v>1.0234238299069536</v>
      </c>
      <c r="BM71" s="129">
        <f t="shared" si="72"/>
        <v>10.476354044701228</v>
      </c>
      <c r="BN71" s="129">
        <f t="shared" si="55"/>
        <v>1.5820070462690683</v>
      </c>
      <c r="BO71" s="129"/>
      <c r="BP71" s="129">
        <f t="shared" si="73"/>
        <v>0.98911805390651775</v>
      </c>
      <c r="BQ71" s="129">
        <f t="shared" si="74"/>
        <v>1.1147577596585934</v>
      </c>
      <c r="BR71" s="129">
        <f t="shared" si="56"/>
        <v>1.0694695098582792</v>
      </c>
      <c r="BU71" s="155"/>
    </row>
    <row r="72" spans="1:73" x14ac:dyDescent="0.2">
      <c r="A72" s="133" t="s">
        <v>664</v>
      </c>
      <c r="B72" s="133">
        <f t="shared" si="57"/>
        <v>2011</v>
      </c>
      <c r="D72" s="5">
        <f>Passenger_Total!G72</f>
        <v>19364.254803685013</v>
      </c>
      <c r="E72" s="5">
        <f>Freight_Total!I71</f>
        <v>7585.3585510493385</v>
      </c>
      <c r="F72" s="5">
        <f>D72+E72</f>
        <v>26949.613354734352</v>
      </c>
      <c r="G72" s="5"/>
      <c r="H72" s="5">
        <f>Passenger_Total!L72</f>
        <v>5670378.7188604381</v>
      </c>
      <c r="I72" s="5">
        <f>Freight_Total!P71</f>
        <v>4043159.8917871253</v>
      </c>
      <c r="J72" s="263">
        <f>BN72</f>
        <v>1.5777558350752059</v>
      </c>
      <c r="L72">
        <f t="shared" ref="L72" si="79">D72/H72*1000000</f>
        <v>3414.9843888340142</v>
      </c>
      <c r="M72">
        <f t="shared" ref="M72" si="80">E72/I72*1000000</f>
        <v>1876.0966061365727</v>
      </c>
      <c r="N72" s="138">
        <f t="shared" ref="N72" si="81">F72/J72*1</f>
        <v>17080.978409723175</v>
      </c>
      <c r="P72" s="509">
        <f>Passenger_Total!AE72</f>
        <v>0.80246055044982545</v>
      </c>
      <c r="Q72" s="509">
        <f>Freight_Total!AO71</f>
        <v>0.91143678448002097</v>
      </c>
      <c r="R72" s="129"/>
      <c r="S72" s="509">
        <f>Passenger_Total!AI72</f>
        <v>1.0200950627257281</v>
      </c>
      <c r="T72" s="509">
        <f>Freight_Total!AS71</f>
        <v>1.1641487314755643</v>
      </c>
      <c r="V72" s="131">
        <f t="shared" ref="V72" si="82">BN72</f>
        <v>1.5777558350752059</v>
      </c>
      <c r="W72" s="607">
        <f t="shared" si="28"/>
        <v>0.88126910812865444</v>
      </c>
      <c r="X72" s="131">
        <v>1</v>
      </c>
      <c r="Y72" s="131">
        <f t="shared" ref="Y72" si="83">BR72</f>
        <v>1.0586039328172128</v>
      </c>
      <c r="Z72" s="131">
        <f t="shared" ref="Z72" si="84">BJ72</f>
        <v>0.83248236739814063</v>
      </c>
      <c r="AA72" s="131">
        <f t="shared" ref="AA72" si="85">V72*X72*Y72*Z72</f>
        <v>1.3904274776215086</v>
      </c>
      <c r="AB72" s="131">
        <f t="shared" si="32"/>
        <v>1.3904274776215071</v>
      </c>
      <c r="AC72" s="131"/>
      <c r="AD72" s="131">
        <f t="shared" ref="AD72" si="86">X72*Y72</f>
        <v>1.0586039328172128</v>
      </c>
      <c r="AG72" s="134"/>
      <c r="AI72" s="129">
        <f t="shared" ref="AI72" si="87">D72/F72</f>
        <v>0.71853553328560882</v>
      </c>
      <c r="AJ72" s="129">
        <f t="shared" ref="AJ72" si="88">E72/F72</f>
        <v>0.28146446671439118</v>
      </c>
      <c r="AL72" s="129">
        <f t="shared" ref="AL72" si="89">(AI72-AI71)/LN(AI72/AI71)</f>
        <v>0.71325237112194795</v>
      </c>
      <c r="AM72" s="129">
        <f t="shared" ref="AM72" si="90">(AJ72-AJ71)/LN(AJ72/AJ71)</f>
        <v>0.28670235701501312</v>
      </c>
      <c r="AN72" s="129">
        <f t="shared" ref="AN72" si="91">AL72+AM72</f>
        <v>0.99995472813696107</v>
      </c>
      <c r="AO72" s="129"/>
      <c r="AP72" s="129">
        <f t="shared" ref="AP72" si="92">AL72/AN72</f>
        <v>0.71328466284751213</v>
      </c>
      <c r="AQ72" s="129">
        <f t="shared" ref="AQ72" si="93">AM72/AN72</f>
        <v>0.28671533715248787</v>
      </c>
      <c r="AT72" s="129">
        <f t="shared" ref="AT72" si="94">LN(P72/P71)</f>
        <v>7.7388570293952692E-3</v>
      </c>
      <c r="AU72" s="129">
        <f t="shared" ref="AU72" si="95">LN(Q72/Q71)</f>
        <v>9.4205038898685627E-3</v>
      </c>
      <c r="AW72" s="129">
        <f t="shared" si="52"/>
        <v>1.6611107443399218</v>
      </c>
      <c r="AX72" s="129">
        <f t="shared" si="53"/>
        <v>1.390481081834521</v>
      </c>
      <c r="AY72" s="129"/>
      <c r="AZ72" s="129">
        <f t="shared" ref="AZ72" si="96">LN(AW72/AW71)</f>
        <v>2.8739507116054609E-3</v>
      </c>
      <c r="BA72" s="129">
        <f t="shared" ref="BA72" si="97">LN(AX72/AX71)</f>
        <v>-1.6534827000768946E-2</v>
      </c>
      <c r="BB72" s="129"/>
      <c r="BC72" s="129"/>
      <c r="BD72" s="129">
        <f t="shared" ref="BD72" si="98">LN(S72/S71)</f>
        <v>-5.1649703981053929E-4</v>
      </c>
      <c r="BE72" s="129">
        <f t="shared" ref="BE72" si="99">LN(T72/T71)</f>
        <v>-3.4331387664383553E-2</v>
      </c>
      <c r="BH72" s="129">
        <f t="shared" ref="BH72" si="100">EXP(SUMPRODUCT($AP72:$AQ72,AT72:AU72))</f>
        <v>1.0082548962802036</v>
      </c>
      <c r="BI72" s="129">
        <f t="shared" ref="BI72" si="101">IF(ISERR(BH72),BI71,BH72*BI71)</f>
        <v>0.69751771781794025</v>
      </c>
      <c r="BJ72" s="129">
        <f t="shared" si="54"/>
        <v>0.83248236739814063</v>
      </c>
      <c r="BK72" s="129"/>
      <c r="BL72" s="129">
        <f t="shared" ref="BL72" si="102">EXP(SUMPRODUCT($AP72:$AQ72,AZ72:BA72))</f>
        <v>0.99731277354049186</v>
      </c>
      <c r="BM72" s="129">
        <f t="shared" ref="BM72" si="103">IF(ISERR(BL72),BM71,BL72*BM71)</f>
        <v>10.448201708913132</v>
      </c>
      <c r="BN72" s="129">
        <f t="shared" si="55"/>
        <v>1.5777558350752059</v>
      </c>
      <c r="BO72" s="129"/>
      <c r="BP72" s="129">
        <f t="shared" ref="BP72" si="104">EXP(SUMPRODUCT($AP72:$AQ72,BD72:BE72))</f>
        <v>0.9898402180324839</v>
      </c>
      <c r="BQ72" s="129">
        <f t="shared" ref="BQ72" si="105">IF(ISERR(BP72),BQ71,BP72*BQ71)</f>
        <v>1.1034320638738653</v>
      </c>
      <c r="BR72" s="129">
        <f t="shared" si="56"/>
        <v>1.0586039328172128</v>
      </c>
      <c r="BU72" s="155"/>
    </row>
    <row r="73" spans="1:73" x14ac:dyDescent="0.2">
      <c r="A73" s="133"/>
      <c r="B73" s="133"/>
      <c r="D73" s="510"/>
      <c r="E73" s="510"/>
      <c r="F73" s="510"/>
      <c r="G73" s="510"/>
      <c r="H73" s="5"/>
      <c r="I73" s="5"/>
      <c r="J73" s="5"/>
      <c r="P73" s="129">
        <f>0.71*P71+0.29*Q71</f>
        <v>0.82719318050735302</v>
      </c>
      <c r="AG73" s="134"/>
      <c r="BH73" s="129"/>
      <c r="BI73" s="129"/>
      <c r="BJ73" s="129"/>
      <c r="BK73" s="129"/>
      <c r="BL73" s="129"/>
      <c r="BM73" s="129"/>
      <c r="BN73" s="129"/>
      <c r="BO73" s="129"/>
      <c r="BP73" s="129"/>
      <c r="BQ73" s="129"/>
      <c r="BR73" s="129"/>
      <c r="BU73" s="155"/>
    </row>
    <row r="74" spans="1:73" hidden="1" x14ac:dyDescent="0.2">
      <c r="A74" s="133" t="s">
        <v>684</v>
      </c>
      <c r="B74" s="133">
        <f>Base_year</f>
        <v>1985</v>
      </c>
      <c r="D74" s="5">
        <f>INDEX(D10:D71,Base_row,0)</f>
        <v>14240.914019945387</v>
      </c>
      <c r="E74" s="5">
        <f>INDEX(E10:E71,Base_row,0)</f>
        <v>5141.3362509100898</v>
      </c>
      <c r="F74" s="5">
        <f>INDEX(F10:F71,Base_row,0)</f>
        <v>19382.250270855475</v>
      </c>
      <c r="G74" s="5"/>
      <c r="H74" s="5">
        <f>INDEX(H10:H71,Base_row,0)</f>
        <v>3413606.6714285719</v>
      </c>
      <c r="I74" s="5">
        <f>INDEX(I10:I71,Base_row,0)</f>
        <v>2907741.7482392583</v>
      </c>
      <c r="J74" s="5">
        <f>INDEX(J10:J71,Base_row,0)</f>
        <v>1</v>
      </c>
      <c r="L74" s="129">
        <f>INDEX(L10:L71,Base_row,0)</f>
        <v>4171.8087028420468</v>
      </c>
      <c r="M74" s="129">
        <f>INDEX(M10:M71,Base_row,0)</f>
        <v>1768.154360346256</v>
      </c>
      <c r="N74" s="129">
        <f>INDEX(N10:N71,Base_row,0)</f>
        <v>19382.250270855475</v>
      </c>
      <c r="Z74" s="129">
        <v>0.8244804493360075</v>
      </c>
      <c r="AG74" s="134"/>
      <c r="BH74" s="129"/>
      <c r="BI74" s="129">
        <f>INDEX(BI10:BI71,Base_row,1)</f>
        <v>0.83787686698755914</v>
      </c>
      <c r="BJ74" s="129"/>
      <c r="BK74" s="129"/>
      <c r="BL74" s="129"/>
      <c r="BM74" s="129">
        <f>INDEX(BM10:BM71,Base_row,1)</f>
        <v>6.6221917717801402</v>
      </c>
      <c r="BN74" s="129"/>
      <c r="BO74" s="129"/>
      <c r="BP74" s="129"/>
      <c r="BQ74" s="129">
        <f>INDEX(BQ10:BQ71,Base_row,1)</f>
        <v>1.0423464618512739</v>
      </c>
      <c r="BR74" s="129"/>
      <c r="BU74" s="155"/>
    </row>
    <row r="75" spans="1:73" hidden="1" x14ac:dyDescent="0.2">
      <c r="A75" s="133" t="s">
        <v>683</v>
      </c>
      <c r="B75" s="133">
        <f>Base_year2</f>
        <v>1996</v>
      </c>
      <c r="D75" s="5"/>
      <c r="E75" s="5"/>
      <c r="F75" s="5"/>
      <c r="G75" s="5"/>
      <c r="H75" s="5"/>
      <c r="I75" s="5"/>
      <c r="J75" s="5">
        <f>INDEX(J10:J71,Base_row2,0)</f>
        <v>1.3079839647165596</v>
      </c>
      <c r="L75" s="129">
        <f>INDEX(L10:L71,Base_row2,0)</f>
        <v>3794.8996219513074</v>
      </c>
      <c r="M75" s="129">
        <f>INDEX(M10:M71,Base_row2,0)</f>
        <v>1840.9038490575156</v>
      </c>
      <c r="N75" s="129">
        <f>INDEX(N10:N71,Base_row2,0)</f>
        <v>18295.404865014745</v>
      </c>
      <c r="Z75" s="129">
        <v>0.82584115146442827</v>
      </c>
      <c r="AG75" s="134"/>
      <c r="BU75" s="155"/>
    </row>
    <row r="76" spans="1:73" hidden="1" x14ac:dyDescent="0.2">
      <c r="A76" s="133" t="s">
        <v>507</v>
      </c>
      <c r="B76" s="133"/>
      <c r="Z76" s="129">
        <v>0.83283169670826518</v>
      </c>
      <c r="AG76" s="134"/>
      <c r="BU76" s="155"/>
    </row>
    <row r="77" spans="1:73" x14ac:dyDescent="0.2">
      <c r="A77" s="133"/>
      <c r="B77" s="133"/>
      <c r="O77" t="s">
        <v>0</v>
      </c>
      <c r="P77" s="129">
        <f>LN(P65)/19</f>
        <v>-8.7735160915396737E-3</v>
      </c>
      <c r="Q77" s="129">
        <f>LN(Q65)/19</f>
        <v>-6.9420273101491164E-3</v>
      </c>
      <c r="AG77" s="134"/>
      <c r="BU77" s="155"/>
    </row>
    <row r="78" spans="1:73" x14ac:dyDescent="0.2">
      <c r="A78" s="133"/>
      <c r="B78" s="133"/>
      <c r="V78" t="s">
        <v>175</v>
      </c>
      <c r="AG78" s="134"/>
      <c r="BU78" s="155"/>
    </row>
    <row r="79" spans="1:73" x14ac:dyDescent="0.2">
      <c r="A79" s="133"/>
      <c r="B79" s="133"/>
      <c r="V79" t="s">
        <v>309</v>
      </c>
      <c r="AG79" s="134"/>
      <c r="BU79" s="155"/>
    </row>
    <row r="80" spans="1:73" ht="25.5" x14ac:dyDescent="0.2">
      <c r="A80" s="133"/>
      <c r="B80" s="133"/>
      <c r="H80" s="279"/>
      <c r="I80" s="279"/>
      <c r="P80" s="126" t="str">
        <f t="shared" ref="P80:Q80" si="106">P7</f>
        <v>All Passenger</v>
      </c>
      <c r="Q80" s="126" t="str">
        <f t="shared" si="106"/>
        <v>All Freight</v>
      </c>
      <c r="V80" t="s">
        <v>122</v>
      </c>
      <c r="AG80" s="134"/>
      <c r="BU80" s="155"/>
    </row>
    <row r="81" spans="1:73" x14ac:dyDescent="0.2">
      <c r="A81" s="133"/>
      <c r="B81" s="133"/>
      <c r="O81">
        <f>1970</f>
        <v>1970</v>
      </c>
      <c r="P81" s="136">
        <f>P31</f>
        <v>1.2759163330998435</v>
      </c>
      <c r="Q81" s="136">
        <f>Q31</f>
        <v>0.98694527092068007</v>
      </c>
      <c r="AG81" s="134"/>
      <c r="BU81" s="155"/>
    </row>
    <row r="82" spans="1:73" x14ac:dyDescent="0.2">
      <c r="A82" s="133"/>
      <c r="B82" s="133"/>
      <c r="F82" s="136"/>
      <c r="O82">
        <f>O81+1</f>
        <v>1971</v>
      </c>
      <c r="P82" s="136">
        <f t="shared" ref="P82:Q82" si="107">P32</f>
        <v>1.2650123231521695</v>
      </c>
      <c r="Q82" s="136">
        <f t="shared" si="107"/>
        <v>0.97428160987882351</v>
      </c>
      <c r="AG82" s="134"/>
      <c r="BU82" s="155"/>
    </row>
    <row r="83" spans="1:73" x14ac:dyDescent="0.2">
      <c r="A83" s="133"/>
      <c r="B83" s="133"/>
      <c r="H83" s="136"/>
      <c r="I83" s="136"/>
      <c r="J83" s="136"/>
      <c r="K83" s="136"/>
      <c r="O83">
        <f t="shared" ref="O83:O122" si="108">O82+1</f>
        <v>1972</v>
      </c>
      <c r="P83" s="136">
        <f t="shared" ref="P83:Q83" si="109">P33</f>
        <v>1.2579240626678765</v>
      </c>
      <c r="Q83" s="136">
        <f t="shared" si="109"/>
        <v>0.99095338643512765</v>
      </c>
      <c r="V83" s="136"/>
      <c r="AG83" s="134"/>
      <c r="BU83" s="155"/>
    </row>
    <row r="84" spans="1:73" x14ac:dyDescent="0.2">
      <c r="A84" s="133"/>
      <c r="B84" s="133"/>
      <c r="O84">
        <f t="shared" si="108"/>
        <v>1973</v>
      </c>
      <c r="P84" s="136">
        <f t="shared" ref="P84:Q84" si="110">P34</f>
        <v>1.2634151079599454</v>
      </c>
      <c r="Q84" s="136">
        <f t="shared" si="110"/>
        <v>0.99146496979463183</v>
      </c>
      <c r="AG84" s="134"/>
      <c r="BU84" s="155"/>
    </row>
    <row r="85" spans="1:73" x14ac:dyDescent="0.2">
      <c r="A85" s="133"/>
      <c r="B85" s="133"/>
      <c r="O85">
        <f t="shared" si="108"/>
        <v>1974</v>
      </c>
      <c r="P85" s="136">
        <f t="shared" ref="P85:Q85" si="111">P35</f>
        <v>1.2396436941349878</v>
      </c>
      <c r="Q85" s="136">
        <f t="shared" si="111"/>
        <v>0.99061757870186251</v>
      </c>
      <c r="AG85" s="134"/>
      <c r="BU85" s="155"/>
    </row>
    <row r="86" spans="1:73" x14ac:dyDescent="0.2">
      <c r="A86" s="133"/>
      <c r="B86" s="133"/>
      <c r="O86">
        <f t="shared" si="108"/>
        <v>1975</v>
      </c>
      <c r="P86" s="136">
        <f t="shared" ref="P86:Q86" si="112">P36</f>
        <v>1.2275752702939975</v>
      </c>
      <c r="Q86" s="136">
        <f t="shared" si="112"/>
        <v>1.0134910514757969</v>
      </c>
      <c r="AG86" s="134"/>
      <c r="BU86" s="155"/>
    </row>
    <row r="87" spans="1:73" x14ac:dyDescent="0.2">
      <c r="A87" s="133"/>
      <c r="B87" s="133"/>
      <c r="O87">
        <f t="shared" si="108"/>
        <v>1976</v>
      </c>
      <c r="P87" s="136">
        <f t="shared" ref="P87:Q87" si="113">P37</f>
        <v>1.2189768579541542</v>
      </c>
      <c r="Q87" s="136">
        <f t="shared" si="113"/>
        <v>0.97557971532643428</v>
      </c>
      <c r="AG87" s="134"/>
      <c r="BU87" s="155"/>
    </row>
    <row r="88" spans="1:73" x14ac:dyDescent="0.2">
      <c r="A88" s="133"/>
      <c r="B88" s="133"/>
      <c r="O88">
        <f t="shared" si="108"/>
        <v>1977</v>
      </c>
      <c r="P88" s="136">
        <f t="shared" ref="P88:Q88" si="114">P38</f>
        <v>1.1838941838936499</v>
      </c>
      <c r="Q88" s="136">
        <f t="shared" si="114"/>
        <v>0.98013652057804246</v>
      </c>
      <c r="AG88" s="134"/>
      <c r="BU88" s="155"/>
    </row>
    <row r="89" spans="1:73" x14ac:dyDescent="0.2">
      <c r="A89" s="133"/>
      <c r="B89" s="133"/>
      <c r="O89">
        <f t="shared" si="108"/>
        <v>1978</v>
      </c>
      <c r="P89" s="136">
        <f t="shared" ref="P89:Q89" si="115">P39</f>
        <v>1.163624049082058</v>
      </c>
      <c r="Q89" s="136">
        <f t="shared" si="115"/>
        <v>0.98650712386202355</v>
      </c>
      <c r="AG89" s="134"/>
      <c r="BU89" s="155"/>
    </row>
    <row r="90" spans="1:73" x14ac:dyDescent="0.2">
      <c r="A90" s="133"/>
      <c r="B90" s="133"/>
      <c r="O90">
        <f t="shared" si="108"/>
        <v>1979</v>
      </c>
      <c r="P90" s="136">
        <f t="shared" ref="P90:Q90" si="116">P40</f>
        <v>1.1352974857388176</v>
      </c>
      <c r="Q90" s="136">
        <f t="shared" si="116"/>
        <v>1.0118903227897342</v>
      </c>
      <c r="AG90" s="134"/>
      <c r="BU90" s="155"/>
    </row>
    <row r="91" spans="1:73" x14ac:dyDescent="0.2">
      <c r="A91" s="133"/>
      <c r="B91" s="133"/>
      <c r="O91">
        <f t="shared" si="108"/>
        <v>1980</v>
      </c>
      <c r="P91" s="136">
        <f t="shared" ref="P91:Q91" si="117">P41</f>
        <v>1.0660392799120582</v>
      </c>
      <c r="Q91" s="136">
        <f t="shared" si="117"/>
        <v>1.0642401165256488</v>
      </c>
      <c r="AG91" s="134"/>
      <c r="BU91" s="155"/>
    </row>
    <row r="92" spans="1:73" x14ac:dyDescent="0.2">
      <c r="A92" s="133"/>
      <c r="B92" s="133"/>
      <c r="O92">
        <f t="shared" si="108"/>
        <v>1981</v>
      </c>
      <c r="P92" s="136">
        <f t="shared" ref="P92:Q92" si="118">P42</f>
        <v>1.0482237123309395</v>
      </c>
      <c r="Q92" s="136">
        <f t="shared" si="118"/>
        <v>1.1013753069747634</v>
      </c>
      <c r="AG92" s="134"/>
      <c r="BU92" s="155"/>
    </row>
    <row r="93" spans="1:73" x14ac:dyDescent="0.2">
      <c r="A93" s="133"/>
      <c r="B93" s="133"/>
      <c r="O93">
        <f t="shared" si="108"/>
        <v>1982</v>
      </c>
      <c r="P93" s="136">
        <f t="shared" ref="P93:Q93" si="119">P43</f>
        <v>1.0164366247954264</v>
      </c>
      <c r="Q93" s="136">
        <f t="shared" si="119"/>
        <v>1.0928981040766685</v>
      </c>
      <c r="AG93" s="134"/>
      <c r="BU93" s="155"/>
    </row>
    <row r="94" spans="1:73" x14ac:dyDescent="0.2">
      <c r="A94" s="133"/>
      <c r="B94" s="133"/>
      <c r="O94">
        <f t="shared" si="108"/>
        <v>1983</v>
      </c>
      <c r="P94" s="136">
        <f t="shared" ref="P94:Q94" si="120">P44</f>
        <v>0.9991527466048743</v>
      </c>
      <c r="Q94" s="136">
        <f t="shared" si="120"/>
        <v>1.025458348496173</v>
      </c>
      <c r="AG94" s="134"/>
      <c r="BU94" s="155"/>
    </row>
    <row r="95" spans="1:73" x14ac:dyDescent="0.2">
      <c r="A95" s="133"/>
      <c r="B95" s="133"/>
      <c r="O95">
        <f t="shared" si="108"/>
        <v>1984</v>
      </c>
      <c r="P95" s="136">
        <f t="shared" ref="P95:Q95" si="121">P45</f>
        <v>0.99759649851624588</v>
      </c>
      <c r="Q95" s="136">
        <f t="shared" si="121"/>
        <v>1.0134658118772026</v>
      </c>
      <c r="AG95" s="134"/>
      <c r="BU95" s="155"/>
    </row>
    <row r="96" spans="1:73" x14ac:dyDescent="0.2">
      <c r="A96" s="133"/>
      <c r="B96" s="133"/>
      <c r="O96">
        <f t="shared" si="108"/>
        <v>1985</v>
      </c>
      <c r="P96" s="136">
        <f t="shared" ref="P96:Q96" si="122">P46</f>
        <v>1</v>
      </c>
      <c r="Q96" s="136">
        <f t="shared" si="122"/>
        <v>1</v>
      </c>
      <c r="S96" s="136"/>
      <c r="T96" s="136"/>
      <c r="AG96" s="134"/>
      <c r="BU96" s="155"/>
    </row>
    <row r="97" spans="1:73" x14ac:dyDescent="0.2">
      <c r="A97" s="133"/>
      <c r="B97" s="133"/>
      <c r="O97">
        <f t="shared" si="108"/>
        <v>1986</v>
      </c>
      <c r="P97" s="136">
        <f t="shared" ref="P97:Q97" si="123">P47</f>
        <v>1.0114284553295805</v>
      </c>
      <c r="Q97" s="136">
        <f t="shared" si="123"/>
        <v>0.99707933305078211</v>
      </c>
      <c r="AG97" s="134"/>
      <c r="BU97" s="155"/>
    </row>
    <row r="98" spans="1:73" x14ac:dyDescent="0.2">
      <c r="A98" s="133"/>
      <c r="B98" s="133"/>
      <c r="O98">
        <f t="shared" si="108"/>
        <v>1987</v>
      </c>
      <c r="P98" s="136">
        <f t="shared" ref="P98:Q98" si="124">P48</f>
        <v>0.9934296637720017</v>
      </c>
      <c r="Q98" s="136">
        <f t="shared" si="124"/>
        <v>0.97622588106667141</v>
      </c>
      <c r="AG98" s="134"/>
      <c r="BU98" s="155"/>
    </row>
    <row r="99" spans="1:73" x14ac:dyDescent="0.2">
      <c r="A99" s="133"/>
      <c r="B99" s="133"/>
      <c r="O99">
        <f t="shared" si="108"/>
        <v>1988</v>
      </c>
      <c r="P99" s="136">
        <f t="shared" ref="P99:Q99" si="125">P49</f>
        <v>0.97562398390608562</v>
      </c>
      <c r="Q99" s="136">
        <f t="shared" si="125"/>
        <v>0.96946066196849845</v>
      </c>
      <c r="AG99" s="134"/>
      <c r="BU99" s="155"/>
    </row>
    <row r="100" spans="1:73" x14ac:dyDescent="0.2">
      <c r="A100" s="133"/>
      <c r="B100" s="133"/>
      <c r="O100">
        <f t="shared" si="108"/>
        <v>1989</v>
      </c>
      <c r="P100" s="136">
        <f t="shared" ref="P100:Q100" si="126">P50</f>
        <v>0.96640614607228315</v>
      </c>
      <c r="Q100" s="136">
        <f t="shared" si="126"/>
        <v>0.96138228603499831</v>
      </c>
      <c r="AG100" s="134"/>
      <c r="BU100" s="155"/>
    </row>
    <row r="101" spans="1:73" x14ac:dyDescent="0.2">
      <c r="A101" s="133"/>
      <c r="B101" s="133"/>
      <c r="O101">
        <f t="shared" si="108"/>
        <v>1990</v>
      </c>
      <c r="P101" s="136">
        <f t="shared" ref="P101:Q101" si="127">P51</f>
        <v>0.94568804030853193</v>
      </c>
      <c r="Q101" s="136">
        <f t="shared" si="127"/>
        <v>0.9804355191978964</v>
      </c>
      <c r="AG101" s="134"/>
      <c r="BU101" s="155"/>
    </row>
    <row r="102" spans="1:73" x14ac:dyDescent="0.2">
      <c r="A102" s="133"/>
      <c r="B102" s="133"/>
      <c r="O102">
        <f t="shared" si="108"/>
        <v>1991</v>
      </c>
      <c r="P102" s="136">
        <f t="shared" ref="P102:Q102" si="128">P52</f>
        <v>0.90399721943488731</v>
      </c>
      <c r="Q102" s="136">
        <f t="shared" si="128"/>
        <v>0.95220974347568466</v>
      </c>
      <c r="AG102" s="134"/>
      <c r="BU102" s="155"/>
    </row>
    <row r="103" spans="1:73" x14ac:dyDescent="0.2">
      <c r="A103" s="133"/>
      <c r="B103" s="133"/>
      <c r="O103">
        <f t="shared" si="108"/>
        <v>1992</v>
      </c>
      <c r="P103" s="136">
        <f t="shared" ref="P103:Q103" si="129">P53</f>
        <v>0.90696264337629329</v>
      </c>
      <c r="Q103" s="136">
        <f t="shared" si="129"/>
        <v>0.94327015685300253</v>
      </c>
      <c r="AG103" s="134"/>
    </row>
    <row r="104" spans="1:73" x14ac:dyDescent="0.2">
      <c r="A104" s="133"/>
      <c r="B104" s="133"/>
      <c r="O104">
        <f t="shared" si="108"/>
        <v>1993</v>
      </c>
      <c r="P104" s="136">
        <f t="shared" ref="P104:Q104" si="130">P54</f>
        <v>0.91612629206741147</v>
      </c>
      <c r="Q104" s="136">
        <f t="shared" si="130"/>
        <v>0.93262847092491707</v>
      </c>
      <c r="AG104" s="134"/>
    </row>
    <row r="105" spans="1:73" x14ac:dyDescent="0.2">
      <c r="A105" s="133"/>
      <c r="B105" s="133"/>
      <c r="O105">
        <f t="shared" si="108"/>
        <v>1994</v>
      </c>
      <c r="P105" s="136">
        <f t="shared" ref="P105:Q105" si="131">P55</f>
        <v>0.913318574182166</v>
      </c>
      <c r="Q105" s="136">
        <f t="shared" si="131"/>
        <v>0.92935321842630925</v>
      </c>
      <c r="AG105" s="134"/>
    </row>
    <row r="106" spans="1:73" x14ac:dyDescent="0.2">
      <c r="A106" s="133"/>
      <c r="B106" s="133"/>
      <c r="O106">
        <f t="shared" si="108"/>
        <v>1995</v>
      </c>
      <c r="P106" s="136">
        <f t="shared" ref="P106:Q106" si="132">P56</f>
        <v>0.90659156808585362</v>
      </c>
      <c r="Q106" s="136">
        <f t="shared" si="132"/>
        <v>0.92842025236398729</v>
      </c>
      <c r="AG106" s="134"/>
    </row>
    <row r="107" spans="1:73" x14ac:dyDescent="0.2">
      <c r="A107" s="133"/>
      <c r="B107" s="133"/>
      <c r="O107">
        <f t="shared" si="108"/>
        <v>1996</v>
      </c>
      <c r="P107" s="136">
        <f t="shared" ref="P107:Q107" si="133">P57</f>
        <v>0.8994038467482065</v>
      </c>
      <c r="Q107" s="136">
        <f t="shared" si="133"/>
        <v>0.92302670620667715</v>
      </c>
      <c r="AG107" s="134"/>
    </row>
    <row r="108" spans="1:73" x14ac:dyDescent="0.2">
      <c r="A108" s="133"/>
      <c r="B108" s="133"/>
      <c r="O108">
        <f t="shared" si="108"/>
        <v>1997</v>
      </c>
      <c r="P108" s="136">
        <f t="shared" ref="P108:Q108" si="134">P58</f>
        <v>0.89053869068887681</v>
      </c>
      <c r="Q108" s="136">
        <f t="shared" si="134"/>
        <v>0.90612033080496157</v>
      </c>
      <c r="AG108" s="134"/>
    </row>
    <row r="109" spans="1:73" x14ac:dyDescent="0.2">
      <c r="A109" s="133"/>
      <c r="B109" s="133"/>
      <c r="O109">
        <f t="shared" si="108"/>
        <v>1998</v>
      </c>
      <c r="P109" s="136">
        <f t="shared" ref="P109:Q109" si="135">P59</f>
        <v>0.88697174962960545</v>
      </c>
      <c r="Q109" s="136">
        <f t="shared" si="135"/>
        <v>0.91665501968409024</v>
      </c>
      <c r="AG109" s="134"/>
    </row>
    <row r="110" spans="1:73" x14ac:dyDescent="0.2">
      <c r="A110" s="133"/>
      <c r="B110" s="133"/>
      <c r="O110">
        <f t="shared" si="108"/>
        <v>1999</v>
      </c>
      <c r="P110" s="136">
        <f t="shared" ref="P110:Q110" si="136">P60</f>
        <v>0.89276271881835545</v>
      </c>
      <c r="Q110" s="136">
        <f t="shared" si="136"/>
        <v>0.92747390352672687</v>
      </c>
      <c r="AG110" s="134"/>
    </row>
    <row r="111" spans="1:73" x14ac:dyDescent="0.2">
      <c r="A111" s="133"/>
      <c r="B111" s="133"/>
      <c r="O111">
        <f t="shared" si="108"/>
        <v>2000</v>
      </c>
      <c r="P111" s="136">
        <f t="shared" ref="P111:Q111" si="137">P61</f>
        <v>0.86757402620813218</v>
      </c>
      <c r="Q111" s="136">
        <f t="shared" si="137"/>
        <v>0.93825285980950979</v>
      </c>
      <c r="AG111" s="134"/>
    </row>
    <row r="112" spans="1:73" x14ac:dyDescent="0.2">
      <c r="A112" s="133"/>
      <c r="B112" s="133"/>
      <c r="O112">
        <f t="shared" si="108"/>
        <v>2001</v>
      </c>
      <c r="P112" s="136">
        <f t="shared" ref="P112:Q112" si="138">P62</f>
        <v>0.85739132371352822</v>
      </c>
      <c r="Q112" s="136">
        <f t="shared" si="138"/>
        <v>0.92378946671681728</v>
      </c>
      <c r="AG112" s="134"/>
    </row>
    <row r="113" spans="1:33" x14ac:dyDescent="0.2">
      <c r="A113" s="133"/>
      <c r="B113" s="133"/>
      <c r="O113">
        <f t="shared" si="108"/>
        <v>2002</v>
      </c>
      <c r="P113" s="136">
        <f t="shared" ref="P113:Q113" si="139">P63</f>
        <v>0.85178116634457823</v>
      </c>
      <c r="Q113" s="136">
        <f t="shared" si="139"/>
        <v>0.93263899682568752</v>
      </c>
      <c r="AG113" s="134"/>
    </row>
    <row r="114" spans="1:33" x14ac:dyDescent="0.2">
      <c r="A114" s="133"/>
      <c r="B114" s="133"/>
      <c r="O114">
        <f t="shared" si="108"/>
        <v>2003</v>
      </c>
      <c r="P114" s="136">
        <f t="shared" ref="P114:Q114" si="140">P64</f>
        <v>0.8650363298961703</v>
      </c>
      <c r="Q114" s="136">
        <f t="shared" si="140"/>
        <v>0.8847358087418512</v>
      </c>
      <c r="AG114" s="134"/>
    </row>
    <row r="115" spans="1:33" x14ac:dyDescent="0.2">
      <c r="A115" s="133"/>
      <c r="B115" s="133"/>
      <c r="O115">
        <f t="shared" si="108"/>
        <v>2004</v>
      </c>
      <c r="P115" s="136">
        <f t="shared" ref="P115:Q115" si="141">P65</f>
        <v>0.84645621310091668</v>
      </c>
      <c r="Q115" s="136">
        <f t="shared" si="141"/>
        <v>0.87642993164642391</v>
      </c>
      <c r="AG115" s="134"/>
    </row>
    <row r="116" spans="1:33" x14ac:dyDescent="0.2">
      <c r="A116" s="133"/>
      <c r="B116" s="133"/>
      <c r="O116">
        <f t="shared" si="108"/>
        <v>2005</v>
      </c>
      <c r="P116" s="136">
        <f t="shared" ref="P116:Q116" si="142">P66</f>
        <v>0.82277940105024827</v>
      </c>
      <c r="Q116" s="136">
        <f t="shared" si="142"/>
        <v>0.89139258422749901</v>
      </c>
      <c r="AG116" s="134"/>
    </row>
    <row r="117" spans="1:33" x14ac:dyDescent="0.2">
      <c r="A117" s="133"/>
      <c r="B117" s="133"/>
      <c r="O117">
        <f t="shared" si="108"/>
        <v>2006</v>
      </c>
      <c r="P117" s="136">
        <f t="shared" ref="P117:Q117" si="143">P67</f>
        <v>0.81202732503651909</v>
      </c>
      <c r="Q117" s="136">
        <f t="shared" si="143"/>
        <v>0.90699703960999467</v>
      </c>
      <c r="AG117" s="134"/>
    </row>
    <row r="118" spans="1:33" x14ac:dyDescent="0.2">
      <c r="A118" s="133"/>
      <c r="B118" s="133"/>
      <c r="O118">
        <f t="shared" si="108"/>
        <v>2007</v>
      </c>
      <c r="P118" s="136">
        <f t="shared" ref="P118:Q118" si="144">P68</f>
        <v>0.80480197919421437</v>
      </c>
      <c r="Q118" s="136">
        <f t="shared" si="144"/>
        <v>0.90297902181467271</v>
      </c>
      <c r="AG118" s="134"/>
    </row>
    <row r="119" spans="1:33" x14ac:dyDescent="0.2">
      <c r="A119" s="133"/>
      <c r="B119" s="133"/>
      <c r="O119">
        <f t="shared" si="108"/>
        <v>2008</v>
      </c>
      <c r="P119" s="136">
        <f t="shared" ref="P119:Q119" si="145">P69</f>
        <v>0.79928663653977283</v>
      </c>
      <c r="Q119" s="136">
        <f t="shared" si="145"/>
        <v>0.89784752734590734</v>
      </c>
      <c r="AG119" s="134"/>
    </row>
    <row r="120" spans="1:33" x14ac:dyDescent="0.2">
      <c r="A120" s="133"/>
      <c r="B120" s="133"/>
      <c r="O120">
        <f t="shared" si="108"/>
        <v>2009</v>
      </c>
      <c r="P120" s="136">
        <f t="shared" ref="P120:Q120" si="146">P70</f>
        <v>0.79590585718743001</v>
      </c>
      <c r="Q120" s="136">
        <f t="shared" si="146"/>
        <v>0.89861332960903328</v>
      </c>
      <c r="AG120" s="134"/>
    </row>
    <row r="121" spans="1:33" x14ac:dyDescent="0.2">
      <c r="A121" s="133"/>
      <c r="B121" s="133"/>
      <c r="O121">
        <f t="shared" si="108"/>
        <v>2010</v>
      </c>
      <c r="P121" s="136">
        <f t="shared" ref="P121:Q122" si="147">P71</f>
        <v>0.79627439075489825</v>
      </c>
      <c r="Q121" s="136">
        <f t="shared" si="147"/>
        <v>0.90289090714267362</v>
      </c>
      <c r="AG121" s="134"/>
    </row>
    <row r="122" spans="1:33" x14ac:dyDescent="0.2">
      <c r="A122" s="133"/>
      <c r="B122" s="133"/>
      <c r="O122">
        <f t="shared" si="108"/>
        <v>2011</v>
      </c>
      <c r="P122" s="136">
        <f t="shared" si="147"/>
        <v>0.80246055044982545</v>
      </c>
      <c r="Q122" s="136">
        <f t="shared" si="147"/>
        <v>0.91143678448002097</v>
      </c>
      <c r="AG122" s="134"/>
    </row>
    <row r="123" spans="1:33" x14ac:dyDescent="0.2">
      <c r="A123" s="133"/>
      <c r="B123" s="133"/>
      <c r="AG123" s="134"/>
    </row>
    <row r="124" spans="1:33" x14ac:dyDescent="0.2">
      <c r="A124" s="133"/>
      <c r="B124" s="133"/>
      <c r="AG124" s="134"/>
    </row>
    <row r="125" spans="1:33" x14ac:dyDescent="0.2">
      <c r="A125" s="133"/>
      <c r="B125" s="133"/>
      <c r="AG125" s="134"/>
    </row>
    <row r="126" spans="1:33" x14ac:dyDescent="0.2">
      <c r="A126" s="133"/>
      <c r="B126" s="133"/>
      <c r="AG126" s="134"/>
    </row>
    <row r="127" spans="1:33" x14ac:dyDescent="0.2">
      <c r="A127" s="133"/>
      <c r="B127" s="133"/>
      <c r="AG127" s="134"/>
    </row>
    <row r="128" spans="1:33" x14ac:dyDescent="0.2">
      <c r="A128" s="133"/>
      <c r="B128" s="133"/>
      <c r="W128" s="279">
        <f>1/1.27</f>
        <v>0.78740157480314954</v>
      </c>
      <c r="AG128" s="134"/>
    </row>
    <row r="129" spans="1:33" x14ac:dyDescent="0.2">
      <c r="A129" s="133"/>
      <c r="B129" s="133"/>
      <c r="AG129" s="134"/>
    </row>
    <row r="130" spans="1:33" x14ac:dyDescent="0.2">
      <c r="A130" s="133"/>
      <c r="B130" s="133"/>
      <c r="AG130" s="134"/>
    </row>
    <row r="131" spans="1:33" x14ac:dyDescent="0.2">
      <c r="A131" s="133"/>
      <c r="B131" s="133"/>
      <c r="AG131" s="134"/>
    </row>
    <row r="132" spans="1:33" x14ac:dyDescent="0.2">
      <c r="A132" s="133"/>
      <c r="B132" s="133"/>
      <c r="AG132" s="134"/>
    </row>
    <row r="133" spans="1:33" x14ac:dyDescent="0.2">
      <c r="A133" s="133"/>
      <c r="B133" s="133"/>
      <c r="AG133" s="134"/>
    </row>
    <row r="134" spans="1:33" x14ac:dyDescent="0.2">
      <c r="A134" s="133"/>
      <c r="B134" s="133"/>
      <c r="AG134" s="134"/>
    </row>
    <row r="135" spans="1:33" x14ac:dyDescent="0.2">
      <c r="A135" s="133"/>
      <c r="B135" s="133"/>
      <c r="AG135" s="134"/>
    </row>
    <row r="136" spans="1:33" x14ac:dyDescent="0.2">
      <c r="A136" s="133"/>
      <c r="B136" s="133"/>
      <c r="AG136" s="134"/>
    </row>
    <row r="137" spans="1:33" x14ac:dyDescent="0.2">
      <c r="A137" s="133"/>
      <c r="B137" s="133"/>
      <c r="AG137" s="134"/>
    </row>
    <row r="138" spans="1:33" x14ac:dyDescent="0.2">
      <c r="A138" s="133"/>
      <c r="B138" s="133"/>
      <c r="AG138" s="134"/>
    </row>
    <row r="139" spans="1:33" x14ac:dyDescent="0.2">
      <c r="A139" s="133"/>
      <c r="B139" s="133"/>
      <c r="AG139" s="134"/>
    </row>
    <row r="140" spans="1:33" x14ac:dyDescent="0.2">
      <c r="A140" s="133"/>
      <c r="B140" s="133"/>
      <c r="AG140" s="134"/>
    </row>
    <row r="141" spans="1:33" x14ac:dyDescent="0.2">
      <c r="A141" s="133"/>
      <c r="B141" s="133"/>
      <c r="AG141" s="134"/>
    </row>
    <row r="142" spans="1:33" x14ac:dyDescent="0.2">
      <c r="A142" s="133"/>
      <c r="B142" s="133"/>
      <c r="AG142" s="134"/>
    </row>
    <row r="143" spans="1:33" x14ac:dyDescent="0.2">
      <c r="A143" s="133"/>
      <c r="B143" s="133"/>
      <c r="AG143" s="134"/>
    </row>
    <row r="144" spans="1:33" x14ac:dyDescent="0.2">
      <c r="A144" s="133"/>
      <c r="B144" s="133"/>
      <c r="AG144" s="134"/>
    </row>
    <row r="145" spans="1:33" x14ac:dyDescent="0.2">
      <c r="A145" s="133"/>
      <c r="B145" s="133"/>
      <c r="AG145" s="134"/>
    </row>
    <row r="146" spans="1:33" x14ac:dyDescent="0.2">
      <c r="A146" s="133"/>
      <c r="B146" s="133"/>
      <c r="AG146" s="134"/>
    </row>
    <row r="147" spans="1:33" x14ac:dyDescent="0.2">
      <c r="A147" s="133"/>
      <c r="B147" s="133"/>
      <c r="AG147" s="134"/>
    </row>
    <row r="148" spans="1:33" x14ac:dyDescent="0.2">
      <c r="A148" s="133"/>
      <c r="B148" s="133"/>
      <c r="AG148" s="134"/>
    </row>
    <row r="149" spans="1:33" x14ac:dyDescent="0.2">
      <c r="A149" s="133"/>
      <c r="B149" s="133"/>
      <c r="AG149" s="134"/>
    </row>
    <row r="150" spans="1:33" x14ac:dyDescent="0.2">
      <c r="A150" s="133"/>
      <c r="B150" s="133"/>
      <c r="AG150" s="134"/>
    </row>
    <row r="151" spans="1:33" x14ac:dyDescent="0.2">
      <c r="A151" s="133"/>
      <c r="B151" s="133"/>
      <c r="AG151" s="134"/>
    </row>
    <row r="152" spans="1:33" x14ac:dyDescent="0.2">
      <c r="A152" s="133"/>
      <c r="B152" s="133"/>
      <c r="AG152" s="134"/>
    </row>
    <row r="153" spans="1:33" x14ac:dyDescent="0.2">
      <c r="A153" s="133"/>
      <c r="B153" s="133"/>
      <c r="AG153" s="134"/>
    </row>
    <row r="154" spans="1:33" x14ac:dyDescent="0.2">
      <c r="A154" s="133"/>
      <c r="B154" s="133"/>
      <c r="AG154" s="134"/>
    </row>
    <row r="155" spans="1:33" x14ac:dyDescent="0.2">
      <c r="A155" s="133"/>
      <c r="B155" s="133"/>
      <c r="AG155" s="134"/>
    </row>
    <row r="156" spans="1:33" x14ac:dyDescent="0.2">
      <c r="A156" s="133"/>
      <c r="B156" s="133"/>
      <c r="AG156" s="134"/>
    </row>
    <row r="157" spans="1:33" x14ac:dyDescent="0.2">
      <c r="A157" s="133"/>
      <c r="B157" s="133"/>
      <c r="AG157" s="134"/>
    </row>
    <row r="158" spans="1:33" x14ac:dyDescent="0.2">
      <c r="A158" s="133"/>
      <c r="B158" s="133"/>
      <c r="AG158" s="134"/>
    </row>
    <row r="159" spans="1:33" x14ac:dyDescent="0.2">
      <c r="A159" s="133"/>
      <c r="B159" s="133"/>
      <c r="AG159" s="134"/>
    </row>
    <row r="160" spans="1:33" x14ac:dyDescent="0.2">
      <c r="A160" s="133"/>
      <c r="B160" s="133"/>
      <c r="AG160" s="134"/>
    </row>
    <row r="161" spans="1:33" x14ac:dyDescent="0.2">
      <c r="A161" s="133"/>
      <c r="B161" s="133"/>
      <c r="AG161" s="134"/>
    </row>
    <row r="162" spans="1:33" x14ac:dyDescent="0.2">
      <c r="A162" s="133"/>
      <c r="B162" s="133"/>
      <c r="AG162" s="134"/>
    </row>
    <row r="163" spans="1:33" x14ac:dyDescent="0.2">
      <c r="A163" s="133"/>
      <c r="B163" s="133"/>
      <c r="AG163" s="134"/>
    </row>
    <row r="164" spans="1:33" x14ac:dyDescent="0.2">
      <c r="A164" s="133"/>
      <c r="B164" s="133"/>
      <c r="AG164" s="134"/>
    </row>
    <row r="165" spans="1:33" x14ac:dyDescent="0.2">
      <c r="A165" s="133"/>
      <c r="B165" s="133"/>
      <c r="AG165" s="134"/>
    </row>
    <row r="166" spans="1:33" x14ac:dyDescent="0.2">
      <c r="A166" s="133"/>
      <c r="B166" s="133"/>
      <c r="AG166" s="134"/>
    </row>
    <row r="167" spans="1:33" x14ac:dyDescent="0.2">
      <c r="A167" s="133"/>
      <c r="B167" s="133"/>
      <c r="AG167" s="134"/>
    </row>
    <row r="168" spans="1:33" x14ac:dyDescent="0.2">
      <c r="A168" s="133"/>
      <c r="B168" s="133"/>
      <c r="AG168" s="134"/>
    </row>
    <row r="169" spans="1:33" x14ac:dyDescent="0.2">
      <c r="A169" s="133"/>
      <c r="B169" s="133"/>
      <c r="AG169" s="134"/>
    </row>
    <row r="170" spans="1:33" x14ac:dyDescent="0.2">
      <c r="A170" s="133"/>
      <c r="B170" s="133"/>
      <c r="AG170" s="134"/>
    </row>
    <row r="171" spans="1:33" x14ac:dyDescent="0.2">
      <c r="A171" s="133"/>
      <c r="B171" s="133"/>
      <c r="AG171" s="134"/>
    </row>
    <row r="172" spans="1:33" x14ac:dyDescent="0.2">
      <c r="A172" s="133"/>
      <c r="B172" s="133"/>
      <c r="AG172" s="134"/>
    </row>
    <row r="173" spans="1:33" x14ac:dyDescent="0.2">
      <c r="A173" s="133"/>
      <c r="B173" s="133"/>
      <c r="AG173" s="134"/>
    </row>
    <row r="174" spans="1:33" x14ac:dyDescent="0.2">
      <c r="A174" s="133"/>
      <c r="B174" s="133"/>
      <c r="AG174" s="134"/>
    </row>
    <row r="175" spans="1:33" x14ac:dyDescent="0.2">
      <c r="A175" s="133"/>
      <c r="B175" s="133"/>
      <c r="AG175" s="134"/>
    </row>
    <row r="176" spans="1:33" x14ac:dyDescent="0.2">
      <c r="A176" s="133"/>
      <c r="B176" s="133"/>
      <c r="AG176" s="134"/>
    </row>
    <row r="177" spans="1:33" x14ac:dyDescent="0.2">
      <c r="A177" s="133"/>
      <c r="B177" s="133"/>
      <c r="AG177" s="134"/>
    </row>
    <row r="178" spans="1:33" x14ac:dyDescent="0.2">
      <c r="A178" s="133"/>
      <c r="B178" s="133"/>
      <c r="AG178" s="134"/>
    </row>
    <row r="179" spans="1:33" x14ac:dyDescent="0.2">
      <c r="A179" s="133"/>
      <c r="B179" s="133"/>
      <c r="AG179" s="134"/>
    </row>
    <row r="180" spans="1:33" x14ac:dyDescent="0.2">
      <c r="A180" s="133"/>
      <c r="B180" s="133"/>
      <c r="AG180" s="134"/>
    </row>
    <row r="181" spans="1:33" x14ac:dyDescent="0.2">
      <c r="A181" s="133"/>
      <c r="B181" s="133"/>
      <c r="AG181" s="134"/>
    </row>
    <row r="182" spans="1:33" x14ac:dyDescent="0.2">
      <c r="A182" s="133"/>
      <c r="B182" s="133"/>
      <c r="AG182" s="134"/>
    </row>
    <row r="183" spans="1:33" x14ac:dyDescent="0.2">
      <c r="A183" s="133"/>
      <c r="B183" s="133"/>
      <c r="AG183" s="134"/>
    </row>
    <row r="184" spans="1:33" x14ac:dyDescent="0.2">
      <c r="A184" s="133"/>
      <c r="B184" s="133"/>
      <c r="AG184" s="134"/>
    </row>
    <row r="185" spans="1:33" x14ac:dyDescent="0.2">
      <c r="A185" s="133"/>
      <c r="B185" s="133"/>
      <c r="AG185" s="134"/>
    </row>
    <row r="186" spans="1:33" x14ac:dyDescent="0.2">
      <c r="A186" s="133"/>
      <c r="B186" s="133"/>
      <c r="AG186" s="134"/>
    </row>
    <row r="187" spans="1:33" x14ac:dyDescent="0.2">
      <c r="A187" s="133"/>
      <c r="B187" s="133"/>
      <c r="AG187" s="134"/>
    </row>
    <row r="188" spans="1:33" x14ac:dyDescent="0.2">
      <c r="A188" s="133"/>
      <c r="B188" s="133"/>
      <c r="AG188" s="134"/>
    </row>
    <row r="189" spans="1:33" x14ac:dyDescent="0.2">
      <c r="A189" s="133"/>
      <c r="B189" s="133"/>
      <c r="AG189" s="134"/>
    </row>
    <row r="190" spans="1:33" x14ac:dyDescent="0.2">
      <c r="A190" s="133"/>
      <c r="B190" s="133"/>
      <c r="AG190" s="134"/>
    </row>
    <row r="191" spans="1:33" x14ac:dyDescent="0.2">
      <c r="A191" s="133"/>
      <c r="B191" s="133"/>
      <c r="AG191" s="134"/>
    </row>
    <row r="192" spans="1:33" x14ac:dyDescent="0.2">
      <c r="A192" s="133"/>
      <c r="B192" s="133"/>
      <c r="AG192" s="134"/>
    </row>
    <row r="193" spans="1:33" x14ac:dyDescent="0.2">
      <c r="A193" s="133"/>
      <c r="B193" s="133"/>
      <c r="AG193" s="134"/>
    </row>
    <row r="194" spans="1:33" x14ac:dyDescent="0.2">
      <c r="A194" s="133"/>
      <c r="B194" s="133"/>
      <c r="AG194" s="134"/>
    </row>
    <row r="195" spans="1:33" x14ac:dyDescent="0.2">
      <c r="A195" s="133"/>
      <c r="B195" s="133"/>
      <c r="AG195" s="134"/>
    </row>
    <row r="196" spans="1:33" x14ac:dyDescent="0.2">
      <c r="A196" s="133"/>
      <c r="B196" s="133"/>
      <c r="AG196" s="134"/>
    </row>
    <row r="197" spans="1:33" x14ac:dyDescent="0.2">
      <c r="A197" s="133"/>
      <c r="B197" s="133"/>
      <c r="AG197" s="134"/>
    </row>
    <row r="198" spans="1:33" x14ac:dyDescent="0.2">
      <c r="A198" s="133"/>
      <c r="B198" s="133"/>
      <c r="AG198" s="134"/>
    </row>
    <row r="199" spans="1:33" x14ac:dyDescent="0.2">
      <c r="A199" s="133"/>
      <c r="B199" s="133"/>
      <c r="AG199" s="134"/>
    </row>
    <row r="200" spans="1:33" x14ac:dyDescent="0.2">
      <c r="A200" s="133"/>
      <c r="B200" s="133"/>
      <c r="AG200" s="134"/>
    </row>
    <row r="201" spans="1:33" x14ac:dyDescent="0.2">
      <c r="A201" s="133"/>
      <c r="B201" s="133"/>
      <c r="AG201" s="134"/>
    </row>
    <row r="202" spans="1:33" x14ac:dyDescent="0.2">
      <c r="A202" s="133"/>
      <c r="B202" s="133"/>
      <c r="AG202" s="134"/>
    </row>
    <row r="203" spans="1:33" x14ac:dyDescent="0.2">
      <c r="A203" s="133"/>
      <c r="B203" s="133"/>
      <c r="AG203" s="134"/>
    </row>
    <row r="204" spans="1:33" x14ac:dyDescent="0.2">
      <c r="A204" s="133"/>
      <c r="B204" s="133"/>
      <c r="AG204" s="134"/>
    </row>
    <row r="205" spans="1:33" x14ac:dyDescent="0.2">
      <c r="A205" s="133"/>
      <c r="B205" s="133"/>
      <c r="AG205" s="134"/>
    </row>
    <row r="206" spans="1:33" x14ac:dyDescent="0.2">
      <c r="A206" s="133"/>
      <c r="B206" s="133"/>
      <c r="AG206" s="134"/>
    </row>
    <row r="207" spans="1:33" x14ac:dyDescent="0.2">
      <c r="A207" s="133"/>
      <c r="B207" s="133"/>
      <c r="AG207" s="134"/>
    </row>
    <row r="208" spans="1:33" x14ac:dyDescent="0.2">
      <c r="A208" s="133"/>
      <c r="B208" s="133"/>
      <c r="AG208" s="134"/>
    </row>
    <row r="209" spans="1:33" x14ac:dyDescent="0.2">
      <c r="A209" s="133"/>
      <c r="B209" s="133"/>
      <c r="AG209" s="134"/>
    </row>
    <row r="210" spans="1:33" x14ac:dyDescent="0.2">
      <c r="A210" s="133"/>
      <c r="B210" s="133"/>
      <c r="AG210" s="134"/>
    </row>
    <row r="211" spans="1:33" x14ac:dyDescent="0.2">
      <c r="A211" s="133"/>
      <c r="B211" s="133"/>
      <c r="AG211" s="134"/>
    </row>
    <row r="212" spans="1:33" x14ac:dyDescent="0.2">
      <c r="A212" s="133"/>
      <c r="B212" s="133"/>
      <c r="AG212" s="134"/>
    </row>
    <row r="213" spans="1:33" x14ac:dyDescent="0.2">
      <c r="A213" s="133"/>
      <c r="B213" s="133"/>
      <c r="AG213" s="134"/>
    </row>
    <row r="214" spans="1:33" x14ac:dyDescent="0.2">
      <c r="A214" s="133"/>
      <c r="B214" s="133"/>
      <c r="AG214" s="134"/>
    </row>
    <row r="215" spans="1:33" x14ac:dyDescent="0.2">
      <c r="A215" s="133"/>
      <c r="B215" s="133"/>
      <c r="AG215" s="134"/>
    </row>
    <row r="216" spans="1:33" x14ac:dyDescent="0.2">
      <c r="A216" s="133"/>
      <c r="B216" s="133"/>
      <c r="AG216" s="134"/>
    </row>
    <row r="217" spans="1:33" x14ac:dyDescent="0.2">
      <c r="A217" s="133"/>
      <c r="B217" s="133"/>
      <c r="AG217" s="134"/>
    </row>
    <row r="218" spans="1:33" x14ac:dyDescent="0.2">
      <c r="A218" s="133"/>
      <c r="B218" s="133"/>
      <c r="AG218" s="134"/>
    </row>
    <row r="219" spans="1:33" x14ac:dyDescent="0.2">
      <c r="A219" s="133"/>
      <c r="B219" s="133"/>
      <c r="AG219" s="134"/>
    </row>
    <row r="220" spans="1:33" x14ac:dyDescent="0.2">
      <c r="A220" s="133"/>
      <c r="B220" s="133"/>
      <c r="AG220" s="134"/>
    </row>
    <row r="221" spans="1:33" x14ac:dyDescent="0.2">
      <c r="A221" s="133"/>
      <c r="B221" s="133"/>
      <c r="AG221" s="134"/>
    </row>
    <row r="222" spans="1:33" x14ac:dyDescent="0.2">
      <c r="A222" s="133"/>
      <c r="B222" s="133"/>
      <c r="AG222" s="134"/>
    </row>
    <row r="223" spans="1:33" x14ac:dyDescent="0.2">
      <c r="A223" s="133"/>
      <c r="B223" s="133"/>
      <c r="AG223" s="134"/>
    </row>
    <row r="224" spans="1:33" x14ac:dyDescent="0.2">
      <c r="A224" s="133"/>
      <c r="B224" s="133"/>
      <c r="AG224" s="134"/>
    </row>
    <row r="225" spans="1:33" x14ac:dyDescent="0.2">
      <c r="A225" s="133"/>
      <c r="B225" s="133"/>
      <c r="AG225" s="134"/>
    </row>
    <row r="226" spans="1:33" x14ac:dyDescent="0.2">
      <c r="A226" s="133"/>
      <c r="B226" s="133"/>
      <c r="AG226" s="134"/>
    </row>
    <row r="227" spans="1:33" x14ac:dyDescent="0.2">
      <c r="A227" s="133"/>
      <c r="B227" s="133"/>
      <c r="AG227" s="134"/>
    </row>
    <row r="228" spans="1:33" x14ac:dyDescent="0.2">
      <c r="A228" s="133"/>
      <c r="B228" s="133"/>
      <c r="AG228" s="134"/>
    </row>
    <row r="229" spans="1:33" x14ac:dyDescent="0.2">
      <c r="A229" s="133"/>
      <c r="B229" s="133"/>
      <c r="AG229" s="134"/>
    </row>
    <row r="230" spans="1:33" x14ac:dyDescent="0.2">
      <c r="A230" s="133"/>
      <c r="B230" s="133"/>
      <c r="AG230" s="134"/>
    </row>
    <row r="231" spans="1:33" x14ac:dyDescent="0.2">
      <c r="A231" s="133"/>
      <c r="B231" s="133"/>
      <c r="AG231" s="134"/>
    </row>
    <row r="232" spans="1:33" x14ac:dyDescent="0.2">
      <c r="A232" s="133"/>
      <c r="B232" s="133"/>
      <c r="AG232" s="134"/>
    </row>
    <row r="233" spans="1:33" x14ac:dyDescent="0.2">
      <c r="A233" s="133"/>
      <c r="B233" s="133"/>
      <c r="AG233" s="134"/>
    </row>
    <row r="234" spans="1:33" x14ac:dyDescent="0.2">
      <c r="A234" s="133"/>
      <c r="B234" s="133"/>
      <c r="AG234" s="134"/>
    </row>
    <row r="235" spans="1:33" x14ac:dyDescent="0.2">
      <c r="A235" s="133"/>
      <c r="B235" s="133"/>
      <c r="AG235" s="134"/>
    </row>
    <row r="236" spans="1:33" x14ac:dyDescent="0.2">
      <c r="A236" s="133"/>
      <c r="B236" s="133"/>
      <c r="AG236" s="134"/>
    </row>
    <row r="237" spans="1:33" x14ac:dyDescent="0.2">
      <c r="A237" s="133"/>
      <c r="B237" s="133"/>
      <c r="AG237" s="134"/>
    </row>
    <row r="238" spans="1:33" x14ac:dyDescent="0.2">
      <c r="A238" s="133"/>
      <c r="B238" s="133"/>
      <c r="AG238" s="134"/>
    </row>
    <row r="239" spans="1:33" x14ac:dyDescent="0.2">
      <c r="A239" s="133"/>
      <c r="B239" s="133"/>
      <c r="AG239" s="134"/>
    </row>
    <row r="240" spans="1:33" x14ac:dyDescent="0.2">
      <c r="A240" s="133"/>
      <c r="B240" s="133"/>
      <c r="AG240" s="134"/>
    </row>
    <row r="241" spans="1:33" x14ac:dyDescent="0.2">
      <c r="A241" s="133"/>
      <c r="B241" s="133"/>
      <c r="AG241" s="134"/>
    </row>
    <row r="242" spans="1:33" x14ac:dyDescent="0.2">
      <c r="A242" s="133"/>
      <c r="B242" s="133"/>
      <c r="AG242" s="134"/>
    </row>
    <row r="243" spans="1:33" x14ac:dyDescent="0.2">
      <c r="A243" s="133"/>
      <c r="B243" s="133"/>
      <c r="AG243" s="134"/>
    </row>
    <row r="244" spans="1:33" x14ac:dyDescent="0.2">
      <c r="A244" s="133"/>
      <c r="B244" s="133"/>
      <c r="AG244" s="134"/>
    </row>
    <row r="245" spans="1:33" x14ac:dyDescent="0.2">
      <c r="A245" s="133"/>
      <c r="B245" s="133"/>
      <c r="AG245" s="134"/>
    </row>
    <row r="246" spans="1:33" x14ac:dyDescent="0.2">
      <c r="A246" s="133"/>
      <c r="B246" s="133"/>
      <c r="AG246" s="134"/>
    </row>
    <row r="247" spans="1:33" x14ac:dyDescent="0.2">
      <c r="A247" s="133"/>
      <c r="B247" s="133"/>
      <c r="AG247" s="134"/>
    </row>
    <row r="248" spans="1:33" x14ac:dyDescent="0.2">
      <c r="A248" s="133"/>
      <c r="B248" s="133"/>
      <c r="AG248" s="134"/>
    </row>
    <row r="249" spans="1:33" x14ac:dyDescent="0.2">
      <c r="A249" s="133"/>
      <c r="B249" s="133"/>
      <c r="AG249" s="134"/>
    </row>
    <row r="250" spans="1:33" x14ac:dyDescent="0.2">
      <c r="A250" s="133"/>
      <c r="B250" s="133"/>
      <c r="AG250" s="134"/>
    </row>
    <row r="251" spans="1:33" x14ac:dyDescent="0.2">
      <c r="A251" s="133"/>
      <c r="B251" s="133"/>
      <c r="AG251" s="134"/>
    </row>
    <row r="252" spans="1:33" x14ac:dyDescent="0.2">
      <c r="A252" s="133"/>
      <c r="B252" s="133"/>
      <c r="AG252" s="134"/>
    </row>
    <row r="253" spans="1:33" x14ac:dyDescent="0.2">
      <c r="A253" s="133"/>
      <c r="B253" s="133"/>
      <c r="AG253" s="134"/>
    </row>
    <row r="254" spans="1:33" x14ac:dyDescent="0.2">
      <c r="A254" s="133"/>
      <c r="B254" s="133"/>
      <c r="AG254" s="134"/>
    </row>
    <row r="255" spans="1:33" x14ac:dyDescent="0.2">
      <c r="A255" s="133"/>
      <c r="B255" s="133"/>
      <c r="AG255" s="134"/>
    </row>
    <row r="256" spans="1:33" x14ac:dyDescent="0.2">
      <c r="A256" s="133"/>
      <c r="B256" s="133"/>
      <c r="AG256" s="134"/>
    </row>
    <row r="257" spans="1:33" x14ac:dyDescent="0.2">
      <c r="A257" s="133"/>
      <c r="B257" s="133"/>
      <c r="AG257" s="134"/>
    </row>
    <row r="258" spans="1:33" x14ac:dyDescent="0.2">
      <c r="AG258" s="134"/>
    </row>
    <row r="259" spans="1:33" x14ac:dyDescent="0.2">
      <c r="AG259" s="134"/>
    </row>
    <row r="260" spans="1:33" x14ac:dyDescent="0.2">
      <c r="AG260" s="134"/>
    </row>
    <row r="261" spans="1:33" x14ac:dyDescent="0.2">
      <c r="AG261" s="134"/>
    </row>
    <row r="262" spans="1:33" x14ac:dyDescent="0.2">
      <c r="AG262" s="134"/>
    </row>
    <row r="263" spans="1:33" x14ac:dyDescent="0.2">
      <c r="AG263" s="134"/>
    </row>
    <row r="264" spans="1:33" x14ac:dyDescent="0.2">
      <c r="AG264" s="134"/>
    </row>
    <row r="265" spans="1:33" x14ac:dyDescent="0.2">
      <c r="AG265" s="134"/>
    </row>
    <row r="266" spans="1:33" x14ac:dyDescent="0.2">
      <c r="AG266" s="134"/>
    </row>
    <row r="267" spans="1:33" x14ac:dyDescent="0.2">
      <c r="AG267" s="134"/>
    </row>
    <row r="268" spans="1:33" x14ac:dyDescent="0.2">
      <c r="AG268" s="134"/>
    </row>
    <row r="269" spans="1:33" x14ac:dyDescent="0.2">
      <c r="AG269" s="134"/>
    </row>
    <row r="270" spans="1:33" x14ac:dyDescent="0.2">
      <c r="AG270" s="134"/>
    </row>
    <row r="271" spans="1:33" x14ac:dyDescent="0.2">
      <c r="AG271" s="134"/>
    </row>
    <row r="272" spans="1:33" x14ac:dyDescent="0.2">
      <c r="AG272" s="134"/>
    </row>
    <row r="273" spans="33:33" x14ac:dyDescent="0.2">
      <c r="AG273" s="134"/>
    </row>
    <row r="274" spans="33:33" x14ac:dyDescent="0.2">
      <c r="AG274" s="134"/>
    </row>
    <row r="275" spans="33:33" x14ac:dyDescent="0.2">
      <c r="AG275" s="134"/>
    </row>
    <row r="276" spans="33:33" x14ac:dyDescent="0.2">
      <c r="AG276" s="134"/>
    </row>
    <row r="277" spans="33:33" x14ac:dyDescent="0.2">
      <c r="AG277" s="134"/>
    </row>
    <row r="278" spans="33:33" x14ac:dyDescent="0.2">
      <c r="AG278" s="134"/>
    </row>
    <row r="279" spans="33:33" x14ac:dyDescent="0.2">
      <c r="AG279" s="134"/>
    </row>
    <row r="280" spans="33:33" x14ac:dyDescent="0.2">
      <c r="AG280" s="134"/>
    </row>
    <row r="281" spans="33:33" x14ac:dyDescent="0.2">
      <c r="AG281" s="134"/>
    </row>
    <row r="282" spans="33:33" x14ac:dyDescent="0.2">
      <c r="AG282" s="134"/>
    </row>
    <row r="283" spans="33:33" x14ac:dyDescent="0.2">
      <c r="AG283" s="134"/>
    </row>
    <row r="284" spans="33:33" x14ac:dyDescent="0.2">
      <c r="AG284" s="134"/>
    </row>
    <row r="285" spans="33:33" x14ac:dyDescent="0.2">
      <c r="AG285" s="134"/>
    </row>
    <row r="286" spans="33:33" x14ac:dyDescent="0.2">
      <c r="AG286" s="134"/>
    </row>
    <row r="287" spans="33:33" x14ac:dyDescent="0.2">
      <c r="AG287" s="134"/>
    </row>
    <row r="288" spans="33:33" x14ac:dyDescent="0.2">
      <c r="AG288" s="134"/>
    </row>
    <row r="289" spans="33:33" x14ac:dyDescent="0.2">
      <c r="AG289" s="134"/>
    </row>
    <row r="290" spans="33:33" x14ac:dyDescent="0.2">
      <c r="AG290" s="134"/>
    </row>
    <row r="291" spans="33:33" x14ac:dyDescent="0.2">
      <c r="AG291" s="134"/>
    </row>
    <row r="292" spans="33:33" x14ac:dyDescent="0.2">
      <c r="AG292" s="134"/>
    </row>
    <row r="293" spans="33:33" x14ac:dyDescent="0.2">
      <c r="AG293" s="134"/>
    </row>
    <row r="294" spans="33:33" x14ac:dyDescent="0.2">
      <c r="AG294" s="134"/>
    </row>
    <row r="295" spans="33:33" x14ac:dyDescent="0.2">
      <c r="AG295" s="134"/>
    </row>
    <row r="296" spans="33:33" x14ac:dyDescent="0.2">
      <c r="AG296" s="134"/>
    </row>
    <row r="297" spans="33:33" x14ac:dyDescent="0.2">
      <c r="AG297" s="134"/>
    </row>
    <row r="298" spans="33:33" x14ac:dyDescent="0.2">
      <c r="AG298" s="134"/>
    </row>
    <row r="299" spans="33:33" x14ac:dyDescent="0.2">
      <c r="AG299" s="134"/>
    </row>
    <row r="300" spans="33:33" x14ac:dyDescent="0.2">
      <c r="AG300" s="134"/>
    </row>
    <row r="301" spans="33:33" x14ac:dyDescent="0.2">
      <c r="AG301" s="134"/>
    </row>
    <row r="302" spans="33:33" x14ac:dyDescent="0.2">
      <c r="AG302" s="134"/>
    </row>
    <row r="303" spans="33:33" x14ac:dyDescent="0.2">
      <c r="AG303" s="134"/>
    </row>
    <row r="304" spans="33:33" x14ac:dyDescent="0.2">
      <c r="AG304" s="134"/>
    </row>
    <row r="305" spans="33:33" x14ac:dyDescent="0.2">
      <c r="AG305" s="134"/>
    </row>
    <row r="306" spans="33:33" x14ac:dyDescent="0.2">
      <c r="AG306" s="134"/>
    </row>
    <row r="307" spans="33:33" x14ac:dyDescent="0.2">
      <c r="AG307" s="134"/>
    </row>
    <row r="308" spans="33:33" x14ac:dyDescent="0.2">
      <c r="AG308" s="134"/>
    </row>
    <row r="309" spans="33:33" x14ac:dyDescent="0.2">
      <c r="AG309" s="134"/>
    </row>
    <row r="310" spans="33:33" x14ac:dyDescent="0.2">
      <c r="AG310" s="134"/>
    </row>
    <row r="311" spans="33:33" x14ac:dyDescent="0.2">
      <c r="AG311" s="134"/>
    </row>
    <row r="312" spans="33:33" x14ac:dyDescent="0.2">
      <c r="AG312" s="134"/>
    </row>
    <row r="313" spans="33:33" x14ac:dyDescent="0.2">
      <c r="AG313" s="134"/>
    </row>
    <row r="314" spans="33:33" x14ac:dyDescent="0.2">
      <c r="AG314" s="134"/>
    </row>
    <row r="315" spans="33:33" x14ac:dyDescent="0.2">
      <c r="AG315" s="134"/>
    </row>
    <row r="316" spans="33:33" x14ac:dyDescent="0.2">
      <c r="AG316" s="134"/>
    </row>
    <row r="317" spans="33:33" x14ac:dyDescent="0.2">
      <c r="AG317" s="134"/>
    </row>
    <row r="318" spans="33:33" x14ac:dyDescent="0.2">
      <c r="AG318" s="134"/>
    </row>
    <row r="319" spans="33:33" x14ac:dyDescent="0.2">
      <c r="AG319" s="134"/>
    </row>
    <row r="320" spans="33:33" x14ac:dyDescent="0.2">
      <c r="AG320" s="134"/>
    </row>
    <row r="321" spans="33:33" x14ac:dyDescent="0.2">
      <c r="AG321" s="134"/>
    </row>
    <row r="322" spans="33:33" x14ac:dyDescent="0.2">
      <c r="AG322" s="134"/>
    </row>
    <row r="323" spans="33:33" x14ac:dyDescent="0.2">
      <c r="AG323" s="134"/>
    </row>
    <row r="324" spans="33:33" x14ac:dyDescent="0.2">
      <c r="AG324" s="134"/>
    </row>
    <row r="325" spans="33:33" x14ac:dyDescent="0.2">
      <c r="AG325" s="134"/>
    </row>
    <row r="326" spans="33:33" x14ac:dyDescent="0.2">
      <c r="AG326" s="134"/>
    </row>
    <row r="327" spans="33:33" x14ac:dyDescent="0.2">
      <c r="AG327" s="134"/>
    </row>
    <row r="328" spans="33:33" x14ac:dyDescent="0.2">
      <c r="AG328" s="134"/>
    </row>
    <row r="329" spans="33:33" x14ac:dyDescent="0.2">
      <c r="AG329" s="134"/>
    </row>
    <row r="330" spans="33:33" x14ac:dyDescent="0.2">
      <c r="AG330" s="134"/>
    </row>
    <row r="331" spans="33:33" x14ac:dyDescent="0.2">
      <c r="AG331" s="134"/>
    </row>
    <row r="332" spans="33:33" x14ac:dyDescent="0.2">
      <c r="AG332" s="134"/>
    </row>
    <row r="333" spans="33:33" x14ac:dyDescent="0.2">
      <c r="AG333" s="134"/>
    </row>
    <row r="334" spans="33:33" x14ac:dyDescent="0.2">
      <c r="AG334" s="134"/>
    </row>
    <row r="335" spans="33:33" x14ac:dyDescent="0.2">
      <c r="AG335" s="134"/>
    </row>
    <row r="336" spans="33:33" x14ac:dyDescent="0.2">
      <c r="AG336" s="134"/>
    </row>
    <row r="337" spans="33:33" x14ac:dyDescent="0.2">
      <c r="AG337" s="134"/>
    </row>
    <row r="338" spans="33:33" x14ac:dyDescent="0.2">
      <c r="AG338" s="134"/>
    </row>
    <row r="339" spans="33:33" x14ac:dyDescent="0.2">
      <c r="AG339" s="134"/>
    </row>
    <row r="340" spans="33:33" x14ac:dyDescent="0.2">
      <c r="AG340" s="134"/>
    </row>
    <row r="341" spans="33:33" x14ac:dyDescent="0.2">
      <c r="AG341" s="134"/>
    </row>
    <row r="342" spans="33:33" x14ac:dyDescent="0.2">
      <c r="AG342" s="134"/>
    </row>
    <row r="343" spans="33:33" x14ac:dyDescent="0.2">
      <c r="AG343" s="134"/>
    </row>
    <row r="344" spans="33:33" x14ac:dyDescent="0.2">
      <c r="AG344" s="134"/>
    </row>
    <row r="345" spans="33:33" x14ac:dyDescent="0.2">
      <c r="AG345" s="134"/>
    </row>
    <row r="346" spans="33:33" x14ac:dyDescent="0.2">
      <c r="AG346" s="134"/>
    </row>
    <row r="347" spans="33:33" x14ac:dyDescent="0.2">
      <c r="AG347" s="134"/>
    </row>
    <row r="348" spans="33:33" x14ac:dyDescent="0.2">
      <c r="AG348" s="134"/>
    </row>
    <row r="349" spans="33:33" x14ac:dyDescent="0.2">
      <c r="AG349" s="134"/>
    </row>
    <row r="350" spans="33:33" x14ac:dyDescent="0.2">
      <c r="AG350" s="134"/>
    </row>
    <row r="351" spans="33:33" x14ac:dyDescent="0.2">
      <c r="AG351" s="134"/>
    </row>
    <row r="352" spans="33:33" x14ac:dyDescent="0.2">
      <c r="AG352" s="134"/>
    </row>
    <row r="353" spans="33:33" x14ac:dyDescent="0.2">
      <c r="AG353" s="134"/>
    </row>
    <row r="354" spans="33:33" x14ac:dyDescent="0.2">
      <c r="AG354" s="134"/>
    </row>
    <row r="355" spans="33:33" x14ac:dyDescent="0.2">
      <c r="AG355" s="134"/>
    </row>
    <row r="356" spans="33:33" x14ac:dyDescent="0.2">
      <c r="AG356" s="134"/>
    </row>
    <row r="357" spans="33:33" x14ac:dyDescent="0.2">
      <c r="AG357" s="134"/>
    </row>
    <row r="358" spans="33:33" x14ac:dyDescent="0.2">
      <c r="AG358" s="134"/>
    </row>
    <row r="359" spans="33:33" x14ac:dyDescent="0.2">
      <c r="AG359" s="134"/>
    </row>
    <row r="360" spans="33:33" x14ac:dyDescent="0.2">
      <c r="AG360" s="134"/>
    </row>
    <row r="361" spans="33:33" x14ac:dyDescent="0.2">
      <c r="AG361" s="134"/>
    </row>
    <row r="362" spans="33:33" x14ac:dyDescent="0.2">
      <c r="AG362" s="134"/>
    </row>
    <row r="363" spans="33:33" x14ac:dyDescent="0.2">
      <c r="AG363" s="134"/>
    </row>
    <row r="364" spans="33:33" x14ac:dyDescent="0.2">
      <c r="AG364" s="134"/>
    </row>
    <row r="365" spans="33:33" x14ac:dyDescent="0.2">
      <c r="AG365" s="134"/>
    </row>
    <row r="366" spans="33:33" x14ac:dyDescent="0.2">
      <c r="AG366" s="134"/>
    </row>
    <row r="367" spans="33:33" x14ac:dyDescent="0.2">
      <c r="AG367" s="134"/>
    </row>
    <row r="368" spans="33:33" x14ac:dyDescent="0.2">
      <c r="AG368" s="134"/>
    </row>
    <row r="369" spans="33:33" x14ac:dyDescent="0.2">
      <c r="AG369" s="134"/>
    </row>
    <row r="370" spans="33:33" x14ac:dyDescent="0.2">
      <c r="AG370" s="134"/>
    </row>
    <row r="371" spans="33:33" x14ac:dyDescent="0.2">
      <c r="AG371" s="134"/>
    </row>
    <row r="372" spans="33:33" x14ac:dyDescent="0.2">
      <c r="AG372" s="134"/>
    </row>
    <row r="373" spans="33:33" x14ac:dyDescent="0.2">
      <c r="AG373" s="134"/>
    </row>
    <row r="374" spans="33:33" x14ac:dyDescent="0.2">
      <c r="AG374" s="134"/>
    </row>
    <row r="375" spans="33:33" x14ac:dyDescent="0.2">
      <c r="AG375" s="134"/>
    </row>
    <row r="376" spans="33:33" x14ac:dyDescent="0.2">
      <c r="AG376" s="134"/>
    </row>
    <row r="377" spans="33:33" x14ac:dyDescent="0.2">
      <c r="AG377" s="134"/>
    </row>
    <row r="378" spans="33:33" x14ac:dyDescent="0.2">
      <c r="AG378" s="134"/>
    </row>
    <row r="379" spans="33:33" x14ac:dyDescent="0.2">
      <c r="AG379" s="134"/>
    </row>
    <row r="380" spans="33:33" x14ac:dyDescent="0.2">
      <c r="AG380" s="134"/>
    </row>
    <row r="381" spans="33:33" x14ac:dyDescent="0.2">
      <c r="AG381" s="134"/>
    </row>
    <row r="382" spans="33:33" x14ac:dyDescent="0.2">
      <c r="AG382" s="134"/>
    </row>
    <row r="383" spans="33:33" x14ac:dyDescent="0.2">
      <c r="AG383" s="134"/>
    </row>
    <row r="384" spans="33:33" x14ac:dyDescent="0.2">
      <c r="AG384" s="134"/>
    </row>
    <row r="385" spans="33:33" x14ac:dyDescent="0.2">
      <c r="AG385" s="134"/>
    </row>
    <row r="386" spans="33:33" x14ac:dyDescent="0.2">
      <c r="AG386" s="134"/>
    </row>
    <row r="387" spans="33:33" x14ac:dyDescent="0.2">
      <c r="AG387" s="134"/>
    </row>
    <row r="388" spans="33:33" x14ac:dyDescent="0.2">
      <c r="AG388" s="134"/>
    </row>
    <row r="389" spans="33:33" x14ac:dyDescent="0.2">
      <c r="AG389" s="134"/>
    </row>
    <row r="390" spans="33:33" x14ac:dyDescent="0.2">
      <c r="AG390" s="134"/>
    </row>
    <row r="391" spans="33:33" x14ac:dyDescent="0.2">
      <c r="AG391" s="134"/>
    </row>
    <row r="392" spans="33:33" x14ac:dyDescent="0.2">
      <c r="AG392" s="134"/>
    </row>
    <row r="393" spans="33:33" x14ac:dyDescent="0.2">
      <c r="AG393" s="134"/>
    </row>
    <row r="394" spans="33:33" x14ac:dyDescent="0.2">
      <c r="AG394" s="134"/>
    </row>
    <row r="395" spans="33:33" x14ac:dyDescent="0.2">
      <c r="AG395" s="134"/>
    </row>
    <row r="396" spans="33:33" x14ac:dyDescent="0.2">
      <c r="AG396" s="134"/>
    </row>
    <row r="397" spans="33:33" x14ac:dyDescent="0.2">
      <c r="AG397" s="134"/>
    </row>
    <row r="398" spans="33:33" x14ac:dyDescent="0.2">
      <c r="AG398" s="134"/>
    </row>
    <row r="399" spans="33:33" x14ac:dyDescent="0.2">
      <c r="AG399" s="134"/>
    </row>
    <row r="400" spans="33:33" x14ac:dyDescent="0.2">
      <c r="AG400" s="134"/>
    </row>
    <row r="401" spans="33:33" x14ac:dyDescent="0.2">
      <c r="AG401" s="134"/>
    </row>
    <row r="402" spans="33:33" x14ac:dyDescent="0.2">
      <c r="AG402" s="134"/>
    </row>
    <row r="403" spans="33:33" x14ac:dyDescent="0.2">
      <c r="AG403" s="134"/>
    </row>
    <row r="404" spans="33:33" x14ac:dyDescent="0.2">
      <c r="AG404" s="134"/>
    </row>
    <row r="405" spans="33:33" x14ac:dyDescent="0.2">
      <c r="AG405" s="134"/>
    </row>
    <row r="406" spans="33:33" x14ac:dyDescent="0.2">
      <c r="AG406" s="134"/>
    </row>
    <row r="407" spans="33:33" x14ac:dyDescent="0.2">
      <c r="AG407" s="134"/>
    </row>
    <row r="408" spans="33:33" x14ac:dyDescent="0.2">
      <c r="AG408" s="134"/>
    </row>
    <row r="409" spans="33:33" x14ac:dyDescent="0.2">
      <c r="AG409" s="134"/>
    </row>
    <row r="410" spans="33:33" x14ac:dyDescent="0.2">
      <c r="AG410" s="134"/>
    </row>
    <row r="411" spans="33:33" x14ac:dyDescent="0.2">
      <c r="AG411" s="134"/>
    </row>
    <row r="412" spans="33:33" x14ac:dyDescent="0.2">
      <c r="AG412" s="134"/>
    </row>
    <row r="413" spans="33:33" x14ac:dyDescent="0.2">
      <c r="AG413" s="134"/>
    </row>
    <row r="414" spans="33:33" x14ac:dyDescent="0.2">
      <c r="AG414" s="134"/>
    </row>
    <row r="415" spans="33:33" x14ac:dyDescent="0.2">
      <c r="AG415" s="134"/>
    </row>
    <row r="416" spans="33:33" x14ac:dyDescent="0.2">
      <c r="AG416" s="134"/>
    </row>
    <row r="417" spans="33:33" x14ac:dyDescent="0.2">
      <c r="AG417" s="134"/>
    </row>
    <row r="418" spans="33:33" x14ac:dyDescent="0.2">
      <c r="AG418" s="134"/>
    </row>
    <row r="419" spans="33:33" x14ac:dyDescent="0.2">
      <c r="AG419" s="134"/>
    </row>
    <row r="420" spans="33:33" x14ac:dyDescent="0.2">
      <c r="AG420" s="134"/>
    </row>
    <row r="421" spans="33:33" x14ac:dyDescent="0.2">
      <c r="AG421" s="134"/>
    </row>
    <row r="422" spans="33:33" x14ac:dyDescent="0.2">
      <c r="AG422" s="134"/>
    </row>
    <row r="423" spans="33:33" x14ac:dyDescent="0.2">
      <c r="AG423" s="134"/>
    </row>
    <row r="424" spans="33:33" x14ac:dyDescent="0.2">
      <c r="AG424" s="134"/>
    </row>
    <row r="425" spans="33:33" x14ac:dyDescent="0.2">
      <c r="AG425" s="134"/>
    </row>
    <row r="426" spans="33:33" x14ac:dyDescent="0.2">
      <c r="AG426" s="134"/>
    </row>
    <row r="427" spans="33:33" x14ac:dyDescent="0.2">
      <c r="AG427" s="134"/>
    </row>
    <row r="428" spans="33:33" x14ac:dyDescent="0.2">
      <c r="AG428" s="134"/>
    </row>
    <row r="429" spans="33:33" x14ac:dyDescent="0.2">
      <c r="AG429" s="134"/>
    </row>
    <row r="430" spans="33:33" x14ac:dyDescent="0.2">
      <c r="AG430" s="134"/>
    </row>
    <row r="431" spans="33:33" x14ac:dyDescent="0.2">
      <c r="AG431" s="134"/>
    </row>
    <row r="432" spans="33:33" x14ac:dyDescent="0.2">
      <c r="AG432" s="134"/>
    </row>
    <row r="433" spans="33:33" x14ac:dyDescent="0.2">
      <c r="AG433" s="134"/>
    </row>
    <row r="434" spans="33:33" x14ac:dyDescent="0.2">
      <c r="AG434" s="134"/>
    </row>
    <row r="435" spans="33:33" x14ac:dyDescent="0.2">
      <c r="AG435" s="134"/>
    </row>
    <row r="436" spans="33:33" x14ac:dyDescent="0.2">
      <c r="AG436" s="134"/>
    </row>
    <row r="437" spans="33:33" x14ac:dyDescent="0.2">
      <c r="AG437" s="134"/>
    </row>
    <row r="438" spans="33:33" x14ac:dyDescent="0.2">
      <c r="AG438" s="134"/>
    </row>
    <row r="439" spans="33:33" x14ac:dyDescent="0.2">
      <c r="AG439" s="134"/>
    </row>
    <row r="440" spans="33:33" x14ac:dyDescent="0.2">
      <c r="AG440" s="134"/>
    </row>
    <row r="441" spans="33:33" x14ac:dyDescent="0.2">
      <c r="AG441" s="134"/>
    </row>
    <row r="442" spans="33:33" x14ac:dyDescent="0.2">
      <c r="AG442" s="134"/>
    </row>
    <row r="443" spans="33:33" x14ac:dyDescent="0.2">
      <c r="AG443" s="134"/>
    </row>
    <row r="444" spans="33:33" x14ac:dyDescent="0.2">
      <c r="AG444" s="134"/>
    </row>
    <row r="445" spans="33:33" x14ac:dyDescent="0.2">
      <c r="AG445" s="134"/>
    </row>
    <row r="446" spans="33:33" x14ac:dyDescent="0.2">
      <c r="AG446" s="134"/>
    </row>
    <row r="447" spans="33:33" x14ac:dyDescent="0.2">
      <c r="AG447" s="134"/>
    </row>
    <row r="448" spans="33:33" x14ac:dyDescent="0.2">
      <c r="AG448" s="134"/>
    </row>
    <row r="449" spans="33:33" x14ac:dyDescent="0.2">
      <c r="AG449" s="134"/>
    </row>
    <row r="450" spans="33:33" x14ac:dyDescent="0.2">
      <c r="AG450" s="134"/>
    </row>
    <row r="451" spans="33:33" x14ac:dyDescent="0.2">
      <c r="AG451" s="134"/>
    </row>
    <row r="452" spans="33:33" x14ac:dyDescent="0.2">
      <c r="AG452" s="134"/>
    </row>
    <row r="453" spans="33:33" x14ac:dyDescent="0.2">
      <c r="AG453" s="134"/>
    </row>
    <row r="454" spans="33:33" x14ac:dyDescent="0.2">
      <c r="AG454" s="134"/>
    </row>
    <row r="455" spans="33:33" x14ac:dyDescent="0.2">
      <c r="AG455" s="134"/>
    </row>
    <row r="456" spans="33:33" x14ac:dyDescent="0.2">
      <c r="AG456" s="134"/>
    </row>
    <row r="457" spans="33:33" x14ac:dyDescent="0.2">
      <c r="AG457" s="134"/>
    </row>
    <row r="458" spans="33:33" x14ac:dyDescent="0.2">
      <c r="AG458" s="134"/>
    </row>
    <row r="459" spans="33:33" x14ac:dyDescent="0.2">
      <c r="AG459" s="134"/>
    </row>
    <row r="460" spans="33:33" x14ac:dyDescent="0.2">
      <c r="AG460" s="134"/>
    </row>
    <row r="461" spans="33:33" x14ac:dyDescent="0.2">
      <c r="AG461" s="134"/>
    </row>
    <row r="462" spans="33:33" x14ac:dyDescent="0.2">
      <c r="AG462" s="134"/>
    </row>
    <row r="463" spans="33:33" x14ac:dyDescent="0.2">
      <c r="AG463" s="134"/>
    </row>
    <row r="464" spans="33:33" x14ac:dyDescent="0.2">
      <c r="AG464" s="134"/>
    </row>
    <row r="465" spans="33:33" x14ac:dyDescent="0.2">
      <c r="AG465" s="134"/>
    </row>
    <row r="466" spans="33:33" x14ac:dyDescent="0.2">
      <c r="AG466" s="134"/>
    </row>
    <row r="467" spans="33:33" x14ac:dyDescent="0.2">
      <c r="AG467" s="134"/>
    </row>
    <row r="468" spans="33:33" x14ac:dyDescent="0.2">
      <c r="AG468" s="134"/>
    </row>
    <row r="469" spans="33:33" x14ac:dyDescent="0.2">
      <c r="AG469" s="134"/>
    </row>
    <row r="470" spans="33:33" x14ac:dyDescent="0.2">
      <c r="AG470" s="134"/>
    </row>
    <row r="471" spans="33:33" x14ac:dyDescent="0.2">
      <c r="AG471" s="134"/>
    </row>
    <row r="472" spans="33:33" x14ac:dyDescent="0.2">
      <c r="AG472" s="134"/>
    </row>
    <row r="473" spans="33:33" x14ac:dyDescent="0.2">
      <c r="AG473" s="134"/>
    </row>
    <row r="474" spans="33:33" x14ac:dyDescent="0.2">
      <c r="AG474" s="134"/>
    </row>
    <row r="475" spans="33:33" x14ac:dyDescent="0.2">
      <c r="AG475" s="134"/>
    </row>
    <row r="476" spans="33:33" x14ac:dyDescent="0.2">
      <c r="AG476" s="134"/>
    </row>
    <row r="477" spans="33:33" x14ac:dyDescent="0.2">
      <c r="AG477" s="134"/>
    </row>
    <row r="478" spans="33:33" x14ac:dyDescent="0.2">
      <c r="AG478" s="134"/>
    </row>
    <row r="479" spans="33:33" x14ac:dyDescent="0.2">
      <c r="AG479" s="134"/>
    </row>
    <row r="480" spans="33:33" x14ac:dyDescent="0.2">
      <c r="AG480" s="134"/>
    </row>
    <row r="481" spans="33:33" x14ac:dyDescent="0.2">
      <c r="AG481" s="134"/>
    </row>
    <row r="482" spans="33:33" x14ac:dyDescent="0.2">
      <c r="AG482" s="134"/>
    </row>
    <row r="483" spans="33:33" x14ac:dyDescent="0.2">
      <c r="AG483" s="134"/>
    </row>
    <row r="484" spans="33:33" x14ac:dyDescent="0.2">
      <c r="AG484" s="134"/>
    </row>
    <row r="485" spans="33:33" x14ac:dyDescent="0.2">
      <c r="AG485" s="134"/>
    </row>
    <row r="486" spans="33:33" x14ac:dyDescent="0.2">
      <c r="AG486" s="134"/>
    </row>
    <row r="487" spans="33:33" x14ac:dyDescent="0.2">
      <c r="AG487" s="134"/>
    </row>
    <row r="488" spans="33:33" x14ac:dyDescent="0.2">
      <c r="AG488" s="134"/>
    </row>
    <row r="489" spans="33:33" x14ac:dyDescent="0.2">
      <c r="AG489" s="134"/>
    </row>
    <row r="490" spans="33:33" x14ac:dyDescent="0.2">
      <c r="AG490" s="134"/>
    </row>
    <row r="491" spans="33:33" x14ac:dyDescent="0.2">
      <c r="AG491" s="134"/>
    </row>
    <row r="492" spans="33:33" x14ac:dyDescent="0.2">
      <c r="AG492" s="134"/>
    </row>
    <row r="493" spans="33:33" x14ac:dyDescent="0.2">
      <c r="AG493" s="134"/>
    </row>
    <row r="494" spans="33:33" x14ac:dyDescent="0.2">
      <c r="AG494" s="134"/>
    </row>
    <row r="495" spans="33:33" x14ac:dyDescent="0.2">
      <c r="AG495" s="134"/>
    </row>
    <row r="496" spans="33:33" x14ac:dyDescent="0.2">
      <c r="AG496" s="134"/>
    </row>
    <row r="497" spans="33:33" x14ac:dyDescent="0.2">
      <c r="AG497" s="134"/>
    </row>
    <row r="498" spans="33:33" x14ac:dyDescent="0.2">
      <c r="AG498" s="134"/>
    </row>
    <row r="499" spans="33:33" x14ac:dyDescent="0.2">
      <c r="AG499" s="134"/>
    </row>
    <row r="500" spans="33:33" x14ac:dyDescent="0.2">
      <c r="AG500" s="134"/>
    </row>
    <row r="501" spans="33:33" x14ac:dyDescent="0.2">
      <c r="AG501" s="134"/>
    </row>
    <row r="502" spans="33:33" x14ac:dyDescent="0.2">
      <c r="AG502" s="134"/>
    </row>
    <row r="503" spans="33:33" x14ac:dyDescent="0.2">
      <c r="AG503" s="134"/>
    </row>
    <row r="504" spans="33:33" x14ac:dyDescent="0.2">
      <c r="AG504" s="134"/>
    </row>
    <row r="505" spans="33:33" x14ac:dyDescent="0.2">
      <c r="AG505" s="134"/>
    </row>
    <row r="506" spans="33:33" x14ac:dyDescent="0.2">
      <c r="AG506" s="134"/>
    </row>
    <row r="507" spans="33:33" x14ac:dyDescent="0.2">
      <c r="AG507" s="134"/>
    </row>
    <row r="508" spans="33:33" x14ac:dyDescent="0.2">
      <c r="AG508" s="134"/>
    </row>
    <row r="509" spans="33:33" x14ac:dyDescent="0.2">
      <c r="AG509" s="134"/>
    </row>
    <row r="510" spans="33:33" x14ac:dyDescent="0.2">
      <c r="AG510" s="134"/>
    </row>
    <row r="511" spans="33:33" x14ac:dyDescent="0.2">
      <c r="AG511" s="134"/>
    </row>
    <row r="512" spans="33:33" x14ac:dyDescent="0.2">
      <c r="AG512" s="134"/>
    </row>
    <row r="513" spans="33:33" x14ac:dyDescent="0.2">
      <c r="AG513" s="134"/>
    </row>
    <row r="514" spans="33:33" x14ac:dyDescent="0.2">
      <c r="AG514" s="134"/>
    </row>
    <row r="515" spans="33:33" x14ac:dyDescent="0.2">
      <c r="AG515" s="134"/>
    </row>
    <row r="516" spans="33:33" x14ac:dyDescent="0.2">
      <c r="AG516" s="134"/>
    </row>
    <row r="517" spans="33:33" x14ac:dyDescent="0.2">
      <c r="AG517" s="134"/>
    </row>
    <row r="518" spans="33:33" x14ac:dyDescent="0.2">
      <c r="AG518" s="134"/>
    </row>
    <row r="519" spans="33:33" x14ac:dyDescent="0.2">
      <c r="AG519" s="134"/>
    </row>
    <row r="520" spans="33:33" x14ac:dyDescent="0.2">
      <c r="AG520" s="134"/>
    </row>
    <row r="521" spans="33:33" x14ac:dyDescent="0.2">
      <c r="AG521" s="134"/>
    </row>
    <row r="522" spans="33:33" x14ac:dyDescent="0.2">
      <c r="AG522" s="134"/>
    </row>
    <row r="523" spans="33:33" x14ac:dyDescent="0.2">
      <c r="AG523" s="134"/>
    </row>
    <row r="524" spans="33:33" x14ac:dyDescent="0.2">
      <c r="AG524" s="134"/>
    </row>
    <row r="525" spans="33:33" x14ac:dyDescent="0.2">
      <c r="AG525" s="134"/>
    </row>
    <row r="526" spans="33:33" x14ac:dyDescent="0.2">
      <c r="AG526" s="134"/>
    </row>
    <row r="527" spans="33:33" x14ac:dyDescent="0.2">
      <c r="AG527" s="134"/>
    </row>
    <row r="528" spans="33:33" x14ac:dyDescent="0.2">
      <c r="AG528" s="134"/>
    </row>
    <row r="529" spans="33:33" x14ac:dyDescent="0.2">
      <c r="AG529" s="134"/>
    </row>
    <row r="530" spans="33:33" x14ac:dyDescent="0.2">
      <c r="AG530" s="134"/>
    </row>
    <row r="531" spans="33:33" x14ac:dyDescent="0.2">
      <c r="AG531" s="134"/>
    </row>
    <row r="532" spans="33:33" x14ac:dyDescent="0.2">
      <c r="AG532" s="134"/>
    </row>
    <row r="533" spans="33:33" x14ac:dyDescent="0.2">
      <c r="AG533" s="134"/>
    </row>
    <row r="534" spans="33:33" x14ac:dyDescent="0.2">
      <c r="AG534" s="134"/>
    </row>
    <row r="535" spans="33:33" x14ac:dyDescent="0.2">
      <c r="AG535" s="134"/>
    </row>
    <row r="536" spans="33:33" x14ac:dyDescent="0.2">
      <c r="AG536" s="134"/>
    </row>
    <row r="537" spans="33:33" x14ac:dyDescent="0.2">
      <c r="AG537" s="134"/>
    </row>
    <row r="538" spans="33:33" x14ac:dyDescent="0.2">
      <c r="AG538" s="134"/>
    </row>
    <row r="539" spans="33:33" x14ac:dyDescent="0.2">
      <c r="AG539" s="134"/>
    </row>
    <row r="540" spans="33:33" x14ac:dyDescent="0.2">
      <c r="AG540" s="134"/>
    </row>
    <row r="541" spans="33:33" x14ac:dyDescent="0.2">
      <c r="AG541" s="134"/>
    </row>
    <row r="542" spans="33:33" x14ac:dyDescent="0.2">
      <c r="AG542" s="134"/>
    </row>
    <row r="543" spans="33:33" x14ac:dyDescent="0.2">
      <c r="AG543" s="134"/>
    </row>
    <row r="544" spans="33:33" x14ac:dyDescent="0.2">
      <c r="AG544" s="134"/>
    </row>
    <row r="545" spans="33:33" x14ac:dyDescent="0.2">
      <c r="AG545" s="134"/>
    </row>
    <row r="546" spans="33:33" x14ac:dyDescent="0.2">
      <c r="AG546" s="134"/>
    </row>
    <row r="547" spans="33:33" x14ac:dyDescent="0.2">
      <c r="AG547" s="134"/>
    </row>
    <row r="548" spans="33:33" x14ac:dyDescent="0.2">
      <c r="AG548" s="134"/>
    </row>
    <row r="549" spans="33:33" x14ac:dyDescent="0.2">
      <c r="AG549" s="134"/>
    </row>
    <row r="550" spans="33:33" x14ac:dyDescent="0.2">
      <c r="AG550" s="134"/>
    </row>
    <row r="551" spans="33:33" x14ac:dyDescent="0.2">
      <c r="AG551" s="134"/>
    </row>
    <row r="552" spans="33:33" x14ac:dyDescent="0.2">
      <c r="AG552" s="134"/>
    </row>
    <row r="553" spans="33:33" x14ac:dyDescent="0.2">
      <c r="AG553" s="134"/>
    </row>
    <row r="554" spans="33:33" x14ac:dyDescent="0.2">
      <c r="AG554" s="134"/>
    </row>
    <row r="555" spans="33:33" x14ac:dyDescent="0.2">
      <c r="AG555" s="134"/>
    </row>
    <row r="556" spans="33:33" x14ac:dyDescent="0.2">
      <c r="AG556" s="134"/>
    </row>
    <row r="557" spans="33:33" x14ac:dyDescent="0.2">
      <c r="AG557" s="134"/>
    </row>
    <row r="558" spans="33:33" x14ac:dyDescent="0.2">
      <c r="AG558" s="134"/>
    </row>
    <row r="559" spans="33:33" x14ac:dyDescent="0.2">
      <c r="AG559" s="134"/>
    </row>
    <row r="560" spans="33:33" x14ac:dyDescent="0.2">
      <c r="AG560" s="134"/>
    </row>
    <row r="561" spans="33:33" x14ac:dyDescent="0.2">
      <c r="AG561" s="134"/>
    </row>
    <row r="562" spans="33:33" x14ac:dyDescent="0.2">
      <c r="AG562" s="134"/>
    </row>
    <row r="563" spans="33:33" x14ac:dyDescent="0.2">
      <c r="AG563" s="134"/>
    </row>
    <row r="564" spans="33:33" x14ac:dyDescent="0.2">
      <c r="AG564" s="134"/>
    </row>
    <row r="565" spans="33:33" x14ac:dyDescent="0.2">
      <c r="AG565" s="134"/>
    </row>
    <row r="566" spans="33:33" x14ac:dyDescent="0.2">
      <c r="AG566" s="134"/>
    </row>
    <row r="567" spans="33:33" x14ac:dyDescent="0.2">
      <c r="AG567" s="134"/>
    </row>
    <row r="568" spans="33:33" x14ac:dyDescent="0.2">
      <c r="AG568" s="134"/>
    </row>
    <row r="569" spans="33:33" x14ac:dyDescent="0.2">
      <c r="AG569" s="134"/>
    </row>
    <row r="570" spans="33:33" x14ac:dyDescent="0.2">
      <c r="AG570" s="134"/>
    </row>
    <row r="571" spans="33:33" x14ac:dyDescent="0.2">
      <c r="AG571" s="134"/>
    </row>
    <row r="572" spans="33:33" x14ac:dyDescent="0.2">
      <c r="AG572" s="134"/>
    </row>
    <row r="573" spans="33:33" x14ac:dyDescent="0.2">
      <c r="AG573" s="134"/>
    </row>
    <row r="574" spans="33:33" x14ac:dyDescent="0.2">
      <c r="AG574" s="134"/>
    </row>
    <row r="575" spans="33:33" x14ac:dyDescent="0.2">
      <c r="AG575" s="134"/>
    </row>
    <row r="576" spans="33:33" x14ac:dyDescent="0.2">
      <c r="AG576" s="134"/>
    </row>
    <row r="577" spans="33:33" x14ac:dyDescent="0.2">
      <c r="AG577" s="134"/>
    </row>
    <row r="578" spans="33:33" x14ac:dyDescent="0.2">
      <c r="AG578" s="134"/>
    </row>
    <row r="579" spans="33:33" x14ac:dyDescent="0.2">
      <c r="AG579" s="134"/>
    </row>
    <row r="580" spans="33:33" x14ac:dyDescent="0.2">
      <c r="AG580" s="134"/>
    </row>
    <row r="581" spans="33:33" x14ac:dyDescent="0.2">
      <c r="AG581" s="134"/>
    </row>
    <row r="582" spans="33:33" x14ac:dyDescent="0.2">
      <c r="AG582" s="134"/>
    </row>
    <row r="583" spans="33:33" x14ac:dyDescent="0.2">
      <c r="AG583" s="134"/>
    </row>
    <row r="584" spans="33:33" x14ac:dyDescent="0.2">
      <c r="AG584" s="134"/>
    </row>
    <row r="585" spans="33:33" x14ac:dyDescent="0.2">
      <c r="AG585" s="134"/>
    </row>
    <row r="586" spans="33:33" x14ac:dyDescent="0.2">
      <c r="AG586" s="134"/>
    </row>
    <row r="587" spans="33:33" x14ac:dyDescent="0.2">
      <c r="AG587" s="134"/>
    </row>
    <row r="588" spans="33:33" x14ac:dyDescent="0.2">
      <c r="AG588" s="134"/>
    </row>
    <row r="589" spans="33:33" x14ac:dyDescent="0.2">
      <c r="AG589" s="134"/>
    </row>
    <row r="590" spans="33:33" x14ac:dyDescent="0.2">
      <c r="AG590" s="134"/>
    </row>
    <row r="591" spans="33:33" x14ac:dyDescent="0.2">
      <c r="AG591" s="134"/>
    </row>
    <row r="592" spans="33:33" x14ac:dyDescent="0.2">
      <c r="AG592" s="134"/>
    </row>
    <row r="593" spans="33:33" x14ac:dyDescent="0.2">
      <c r="AG593" s="134"/>
    </row>
    <row r="594" spans="33:33" x14ac:dyDescent="0.2">
      <c r="AG594" s="134"/>
    </row>
    <row r="595" spans="33:33" x14ac:dyDescent="0.2">
      <c r="AG595" s="134"/>
    </row>
    <row r="596" spans="33:33" x14ac:dyDescent="0.2">
      <c r="AG596" s="134"/>
    </row>
    <row r="597" spans="33:33" x14ac:dyDescent="0.2">
      <c r="AG597" s="134"/>
    </row>
    <row r="598" spans="33:33" x14ac:dyDescent="0.2">
      <c r="AG598" s="134"/>
    </row>
    <row r="599" spans="33:33" x14ac:dyDescent="0.2">
      <c r="AG599" s="134"/>
    </row>
    <row r="600" spans="33:33" x14ac:dyDescent="0.2">
      <c r="AG600" s="134"/>
    </row>
    <row r="601" spans="33:33" x14ac:dyDescent="0.2">
      <c r="AG601" s="134"/>
    </row>
    <row r="602" spans="33:33" x14ac:dyDescent="0.2">
      <c r="AG602" s="134"/>
    </row>
    <row r="603" spans="33:33" x14ac:dyDescent="0.2">
      <c r="AG603" s="134"/>
    </row>
    <row r="604" spans="33:33" x14ac:dyDescent="0.2">
      <c r="AG604" s="134"/>
    </row>
    <row r="605" spans="33:33" x14ac:dyDescent="0.2">
      <c r="AG605" s="134"/>
    </row>
    <row r="606" spans="33:33" x14ac:dyDescent="0.2">
      <c r="AG606" s="134"/>
    </row>
    <row r="607" spans="33:33" x14ac:dyDescent="0.2">
      <c r="AG607" s="134"/>
    </row>
    <row r="608" spans="33:33" x14ac:dyDescent="0.2">
      <c r="AG608" s="134"/>
    </row>
    <row r="609" spans="33:33" x14ac:dyDescent="0.2">
      <c r="AG609" s="134"/>
    </row>
    <row r="610" spans="33:33" x14ac:dyDescent="0.2">
      <c r="AG610" s="134"/>
    </row>
    <row r="611" spans="33:33" x14ac:dyDescent="0.2">
      <c r="AG611" s="134"/>
    </row>
    <row r="612" spans="33:33" x14ac:dyDescent="0.2">
      <c r="AG612" s="134"/>
    </row>
    <row r="613" spans="33:33" x14ac:dyDescent="0.2">
      <c r="AG613" s="134"/>
    </row>
    <row r="614" spans="33:33" x14ac:dyDescent="0.2">
      <c r="AG614" s="134"/>
    </row>
    <row r="615" spans="33:33" x14ac:dyDescent="0.2">
      <c r="AG615" s="134"/>
    </row>
    <row r="616" spans="33:33" x14ac:dyDescent="0.2">
      <c r="AG616" s="134"/>
    </row>
    <row r="617" spans="33:33" x14ac:dyDescent="0.2">
      <c r="AG617" s="134"/>
    </row>
    <row r="618" spans="33:33" x14ac:dyDescent="0.2">
      <c r="AG618" s="134"/>
    </row>
    <row r="619" spans="33:33" x14ac:dyDescent="0.2">
      <c r="AG619" s="134"/>
    </row>
    <row r="620" spans="33:33" x14ac:dyDescent="0.2">
      <c r="AG620" s="134"/>
    </row>
    <row r="621" spans="33:33" x14ac:dyDescent="0.2">
      <c r="AG621" s="134"/>
    </row>
    <row r="622" spans="33:33" x14ac:dyDescent="0.2">
      <c r="AG622" s="134"/>
    </row>
    <row r="623" spans="33:33" x14ac:dyDescent="0.2">
      <c r="AG623" s="134"/>
    </row>
    <row r="624" spans="33:33" x14ac:dyDescent="0.2">
      <c r="AG624" s="134"/>
    </row>
    <row r="625" spans="33:33" x14ac:dyDescent="0.2">
      <c r="AG625" s="134"/>
    </row>
    <row r="626" spans="33:33" x14ac:dyDescent="0.2">
      <c r="AG626" s="134"/>
    </row>
    <row r="627" spans="33:33" x14ac:dyDescent="0.2">
      <c r="AG627" s="134"/>
    </row>
    <row r="628" spans="33:33" x14ac:dyDescent="0.2">
      <c r="AG628" s="134"/>
    </row>
    <row r="629" spans="33:33" x14ac:dyDescent="0.2">
      <c r="AG629" s="134"/>
    </row>
    <row r="630" spans="33:33" x14ac:dyDescent="0.2">
      <c r="AG630" s="134"/>
    </row>
    <row r="631" spans="33:33" x14ac:dyDescent="0.2">
      <c r="AG631" s="134"/>
    </row>
    <row r="632" spans="33:33" x14ac:dyDescent="0.2">
      <c r="AG632" s="134"/>
    </row>
    <row r="633" spans="33:33" x14ac:dyDescent="0.2">
      <c r="AG633" s="134"/>
    </row>
    <row r="634" spans="33:33" x14ac:dyDescent="0.2">
      <c r="AG634" s="134"/>
    </row>
    <row r="635" spans="33:33" x14ac:dyDescent="0.2">
      <c r="AG635" s="134"/>
    </row>
    <row r="636" spans="33:33" x14ac:dyDescent="0.2">
      <c r="AG636" s="134"/>
    </row>
    <row r="637" spans="33:33" x14ac:dyDescent="0.2">
      <c r="AG637" s="134"/>
    </row>
    <row r="638" spans="33:33" x14ac:dyDescent="0.2">
      <c r="AG638" s="134"/>
    </row>
    <row r="639" spans="33:33" x14ac:dyDescent="0.2">
      <c r="AG639" s="134"/>
    </row>
    <row r="640" spans="33:33" x14ac:dyDescent="0.2">
      <c r="AG640" s="134"/>
    </row>
    <row r="641" spans="33:33" x14ac:dyDescent="0.2">
      <c r="AG641" s="134"/>
    </row>
    <row r="642" spans="33:33" x14ac:dyDescent="0.2">
      <c r="AG642" s="134"/>
    </row>
    <row r="643" spans="33:33" x14ac:dyDescent="0.2">
      <c r="AG643" s="134"/>
    </row>
    <row r="644" spans="33:33" x14ac:dyDescent="0.2">
      <c r="AG644" s="134"/>
    </row>
    <row r="645" spans="33:33" x14ac:dyDescent="0.2">
      <c r="AG645" s="134"/>
    </row>
    <row r="646" spans="33:33" x14ac:dyDescent="0.2">
      <c r="AG646" s="134"/>
    </row>
    <row r="647" spans="33:33" x14ac:dyDescent="0.2">
      <c r="AG647" s="134"/>
    </row>
    <row r="648" spans="33:33" x14ac:dyDescent="0.2">
      <c r="AG648" s="134"/>
    </row>
    <row r="649" spans="33:33" x14ac:dyDescent="0.2">
      <c r="AG649" s="134"/>
    </row>
    <row r="650" spans="33:33" x14ac:dyDescent="0.2">
      <c r="AG650" s="134"/>
    </row>
    <row r="651" spans="33:33" x14ac:dyDescent="0.2">
      <c r="AG651" s="134"/>
    </row>
    <row r="652" spans="33:33" x14ac:dyDescent="0.2">
      <c r="AG652" s="134"/>
    </row>
    <row r="653" spans="33:33" x14ac:dyDescent="0.2">
      <c r="AG653" s="134"/>
    </row>
    <row r="654" spans="33:33" x14ac:dyDescent="0.2">
      <c r="AG654" s="134"/>
    </row>
    <row r="655" spans="33:33" x14ac:dyDescent="0.2">
      <c r="AG655" s="134"/>
    </row>
    <row r="656" spans="33:33" x14ac:dyDescent="0.2">
      <c r="AG656" s="134"/>
    </row>
    <row r="657" spans="33:33" x14ac:dyDescent="0.2">
      <c r="AG657" s="134"/>
    </row>
    <row r="658" spans="33:33" x14ac:dyDescent="0.2">
      <c r="AG658" s="134"/>
    </row>
    <row r="659" spans="33:33" x14ac:dyDescent="0.2">
      <c r="AG659" s="134"/>
    </row>
    <row r="660" spans="33:33" x14ac:dyDescent="0.2">
      <c r="AG660" s="134"/>
    </row>
    <row r="661" spans="33:33" x14ac:dyDescent="0.2">
      <c r="AG661" s="134"/>
    </row>
    <row r="662" spans="33:33" x14ac:dyDescent="0.2">
      <c r="AG662" s="134"/>
    </row>
    <row r="663" spans="33:33" x14ac:dyDescent="0.2">
      <c r="AG663" s="134"/>
    </row>
    <row r="664" spans="33:33" x14ac:dyDescent="0.2">
      <c r="AG664" s="134"/>
    </row>
    <row r="665" spans="33:33" x14ac:dyDescent="0.2">
      <c r="AG665" s="134"/>
    </row>
    <row r="666" spans="33:33" x14ac:dyDescent="0.2">
      <c r="AG666" s="134"/>
    </row>
    <row r="667" spans="33:33" x14ac:dyDescent="0.2">
      <c r="AG667" s="134"/>
    </row>
    <row r="668" spans="33:33" x14ac:dyDescent="0.2">
      <c r="AG668" s="134"/>
    </row>
    <row r="669" spans="33:33" x14ac:dyDescent="0.2">
      <c r="AG669" s="134"/>
    </row>
    <row r="670" spans="33:33" x14ac:dyDescent="0.2">
      <c r="AG670" s="134"/>
    </row>
    <row r="671" spans="33:33" x14ac:dyDescent="0.2">
      <c r="AG671" s="134"/>
    </row>
    <row r="672" spans="33:33" x14ac:dyDescent="0.2">
      <c r="AG672" s="134"/>
    </row>
    <row r="673" spans="33:33" x14ac:dyDescent="0.2">
      <c r="AG673" s="134"/>
    </row>
    <row r="674" spans="33:33" x14ac:dyDescent="0.2">
      <c r="AG674" s="134"/>
    </row>
    <row r="675" spans="33:33" x14ac:dyDescent="0.2">
      <c r="AG675" s="134"/>
    </row>
    <row r="676" spans="33:33" x14ac:dyDescent="0.2">
      <c r="AG676" s="134"/>
    </row>
    <row r="677" spans="33:33" x14ac:dyDescent="0.2">
      <c r="AG677" s="134"/>
    </row>
    <row r="678" spans="33:33" x14ac:dyDescent="0.2">
      <c r="AG678" s="134"/>
    </row>
    <row r="679" spans="33:33" x14ac:dyDescent="0.2">
      <c r="AG679" s="134"/>
    </row>
    <row r="680" spans="33:33" x14ac:dyDescent="0.2">
      <c r="AG680" s="134"/>
    </row>
    <row r="681" spans="33:33" x14ac:dyDescent="0.2">
      <c r="AG681" s="134"/>
    </row>
    <row r="682" spans="33:33" x14ac:dyDescent="0.2">
      <c r="AG682" s="134"/>
    </row>
    <row r="683" spans="33:33" x14ac:dyDescent="0.2">
      <c r="AG683" s="134"/>
    </row>
    <row r="684" spans="33:33" x14ac:dyDescent="0.2">
      <c r="AG684" s="134"/>
    </row>
    <row r="685" spans="33:33" x14ac:dyDescent="0.2">
      <c r="AG685" s="134"/>
    </row>
    <row r="686" spans="33:33" x14ac:dyDescent="0.2">
      <c r="AG686" s="134"/>
    </row>
    <row r="687" spans="33:33" x14ac:dyDescent="0.2">
      <c r="AG687" s="134"/>
    </row>
    <row r="688" spans="33:33" x14ac:dyDescent="0.2">
      <c r="AG688" s="134"/>
    </row>
    <row r="689" spans="33:33" x14ac:dyDescent="0.2">
      <c r="AG689" s="134"/>
    </row>
    <row r="690" spans="33:33" x14ac:dyDescent="0.2">
      <c r="AG690" s="134"/>
    </row>
    <row r="691" spans="33:33" x14ac:dyDescent="0.2">
      <c r="AG691" s="134"/>
    </row>
    <row r="692" spans="33:33" x14ac:dyDescent="0.2">
      <c r="AG692" s="134"/>
    </row>
    <row r="693" spans="33:33" x14ac:dyDescent="0.2">
      <c r="AG693" s="134"/>
    </row>
    <row r="694" spans="33:33" x14ac:dyDescent="0.2">
      <c r="AG694" s="134"/>
    </row>
    <row r="695" spans="33:33" x14ac:dyDescent="0.2">
      <c r="AG695" s="134"/>
    </row>
    <row r="696" spans="33:33" x14ac:dyDescent="0.2">
      <c r="AG696" s="134"/>
    </row>
    <row r="697" spans="33:33" x14ac:dyDescent="0.2">
      <c r="AG697" s="134"/>
    </row>
    <row r="698" spans="33:33" x14ac:dyDescent="0.2">
      <c r="AG698" s="134"/>
    </row>
    <row r="699" spans="33:33" x14ac:dyDescent="0.2">
      <c r="AG699" s="134"/>
    </row>
    <row r="700" spans="33:33" x14ac:dyDescent="0.2">
      <c r="AG700" s="134"/>
    </row>
    <row r="701" spans="33:33" x14ac:dyDescent="0.2">
      <c r="AG701" s="134"/>
    </row>
    <row r="702" spans="33:33" x14ac:dyDescent="0.2">
      <c r="AG702" s="134"/>
    </row>
    <row r="703" spans="33:33" x14ac:dyDescent="0.2">
      <c r="AG703" s="134"/>
    </row>
    <row r="704" spans="33:33" x14ac:dyDescent="0.2">
      <c r="AG704" s="134"/>
    </row>
    <row r="705" spans="33:33" x14ac:dyDescent="0.2">
      <c r="AG705" s="134"/>
    </row>
    <row r="706" spans="33:33" x14ac:dyDescent="0.2">
      <c r="AG706" s="134"/>
    </row>
    <row r="707" spans="33:33" x14ac:dyDescent="0.2">
      <c r="AG707" s="134"/>
    </row>
    <row r="708" spans="33:33" x14ac:dyDescent="0.2">
      <c r="AG708" s="134"/>
    </row>
    <row r="709" spans="33:33" x14ac:dyDescent="0.2">
      <c r="AG709" s="134"/>
    </row>
    <row r="710" spans="33:33" x14ac:dyDescent="0.2">
      <c r="AG710" s="134"/>
    </row>
    <row r="711" spans="33:33" x14ac:dyDescent="0.2">
      <c r="AG711" s="134"/>
    </row>
    <row r="712" spans="33:33" x14ac:dyDescent="0.2">
      <c r="AG712" s="134"/>
    </row>
    <row r="713" spans="33:33" x14ac:dyDescent="0.2">
      <c r="AG713" s="134"/>
    </row>
    <row r="714" spans="33:33" x14ac:dyDescent="0.2">
      <c r="AG714" s="134"/>
    </row>
    <row r="715" spans="33:33" x14ac:dyDescent="0.2">
      <c r="AG715" s="134"/>
    </row>
    <row r="716" spans="33:33" x14ac:dyDescent="0.2">
      <c r="AG716" s="134"/>
    </row>
    <row r="717" spans="33:33" x14ac:dyDescent="0.2">
      <c r="AG717" s="134"/>
    </row>
    <row r="718" spans="33:33" x14ac:dyDescent="0.2">
      <c r="AG718" s="134"/>
    </row>
    <row r="719" spans="33:33" x14ac:dyDescent="0.2">
      <c r="AG719" s="134"/>
    </row>
    <row r="720" spans="33:33" x14ac:dyDescent="0.2">
      <c r="AG720" s="134"/>
    </row>
    <row r="721" spans="33:33" x14ac:dyDescent="0.2">
      <c r="AG721" s="134"/>
    </row>
    <row r="722" spans="33:33" x14ac:dyDescent="0.2">
      <c r="AG722" s="134"/>
    </row>
    <row r="723" spans="33:33" x14ac:dyDescent="0.2">
      <c r="AG723" s="134"/>
    </row>
    <row r="724" spans="33:33" x14ac:dyDescent="0.2">
      <c r="AG724" s="134"/>
    </row>
    <row r="725" spans="33:33" x14ac:dyDescent="0.2">
      <c r="AG725" s="134"/>
    </row>
    <row r="726" spans="33:33" x14ac:dyDescent="0.2">
      <c r="AG726" s="134"/>
    </row>
    <row r="727" spans="33:33" x14ac:dyDescent="0.2">
      <c r="AG727" s="134"/>
    </row>
    <row r="728" spans="33:33" x14ac:dyDescent="0.2">
      <c r="AG728" s="134"/>
    </row>
    <row r="729" spans="33:33" x14ac:dyDescent="0.2">
      <c r="AG729" s="134"/>
    </row>
    <row r="730" spans="33:33" x14ac:dyDescent="0.2">
      <c r="AG730" s="134"/>
    </row>
    <row r="731" spans="33:33" x14ac:dyDescent="0.2">
      <c r="AG731" s="134"/>
    </row>
    <row r="732" spans="33:33" x14ac:dyDescent="0.2">
      <c r="AG732" s="134"/>
    </row>
    <row r="733" spans="33:33" x14ac:dyDescent="0.2">
      <c r="AG733" s="134"/>
    </row>
    <row r="734" spans="33:33" x14ac:dyDescent="0.2">
      <c r="AG734" s="134"/>
    </row>
    <row r="735" spans="33:33" x14ac:dyDescent="0.2">
      <c r="AG735" s="134"/>
    </row>
    <row r="736" spans="33:33" x14ac:dyDescent="0.2">
      <c r="AG736" s="134"/>
    </row>
    <row r="737" spans="33:33" x14ac:dyDescent="0.2">
      <c r="AG737" s="134"/>
    </row>
  </sheetData>
  <mergeCells count="1">
    <mergeCell ref="P3:T3"/>
  </mergeCells>
  <phoneticPr fontId="0" type="noConversion"/>
  <pageMargins left="0.75" right="0.75" top="1" bottom="1" header="0.5" footer="0.5"/>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37"/>
  <sheetViews>
    <sheetView workbookViewId="0">
      <pane xSplit="2" topLeftCell="C1" activePane="topRight" state="frozen"/>
      <selection pane="topRight" activeCell="K31" sqref="K31"/>
    </sheetView>
  </sheetViews>
  <sheetFormatPr defaultRowHeight="12.75" x14ac:dyDescent="0.2"/>
  <cols>
    <col min="1" max="1" width="5.5703125" customWidth="1"/>
    <col min="2" max="2" width="6.85546875" customWidth="1"/>
    <col min="3" max="3" width="11.7109375" customWidth="1"/>
    <col min="4" max="4" width="11" customWidth="1"/>
    <col min="5" max="7" width="10.5703125" customWidth="1"/>
    <col min="9" max="9" width="12" customWidth="1"/>
    <col min="10" max="12" width="15.7109375" customWidth="1"/>
    <col min="14" max="14" width="10.7109375" customWidth="1"/>
    <col min="15" max="15" width="9.5703125" customWidth="1"/>
    <col min="16" max="17" width="9.85546875" customWidth="1"/>
    <col min="19" max="19" width="11.7109375" customWidth="1"/>
    <col min="20" max="21" width="11.140625" customWidth="1"/>
    <col min="22" max="25" width="10.140625" customWidth="1"/>
    <col min="27" max="27" width="10.140625" customWidth="1"/>
    <col min="31" max="31" width="10.42578125" customWidth="1"/>
    <col min="32" max="32" width="10.28515625" customWidth="1"/>
    <col min="34" max="34" width="5.7109375" customWidth="1"/>
    <col min="38" max="38" width="6.42578125" customWidth="1"/>
    <col min="40" max="40" width="10.28515625" customWidth="1"/>
    <col min="41" max="41" width="9.85546875" customWidth="1"/>
    <col min="42" max="42" width="9.42578125" customWidth="1"/>
    <col min="44" max="44" width="11.140625" customWidth="1"/>
    <col min="46" max="47" width="9.5703125" customWidth="1"/>
    <col min="49" max="49" width="11.42578125" customWidth="1"/>
    <col min="54" max="54" width="11.7109375" customWidth="1"/>
    <col min="55" max="56" width="10.85546875" customWidth="1"/>
    <col min="57" max="57" width="7.140625" customWidth="1"/>
    <col min="58" max="58" width="12.85546875" customWidth="1"/>
    <col min="59" max="60" width="11" customWidth="1"/>
    <col min="62" max="62" width="11.140625" customWidth="1"/>
    <col min="63" max="63" width="8.42578125" customWidth="1"/>
    <col min="66" max="66" width="10" customWidth="1"/>
    <col min="67" max="67" width="9.85546875" customWidth="1"/>
  </cols>
  <sheetData>
    <row r="1" spans="1:80" ht="15.75" x14ac:dyDescent="0.25">
      <c r="A1" s="133"/>
      <c r="B1" s="133"/>
      <c r="D1" s="137" t="s">
        <v>749</v>
      </c>
      <c r="AL1" s="134"/>
    </row>
    <row r="2" spans="1:80" x14ac:dyDescent="0.2">
      <c r="A2" s="133" t="s">
        <v>340</v>
      </c>
      <c r="B2" s="133" t="s">
        <v>750</v>
      </c>
      <c r="AL2" s="134"/>
    </row>
    <row r="3" spans="1:80" x14ac:dyDescent="0.2">
      <c r="A3" s="133"/>
      <c r="B3" s="133"/>
      <c r="S3" s="801" t="s">
        <v>727</v>
      </c>
      <c r="T3" s="802"/>
      <c r="U3" s="802"/>
      <c r="V3" s="802"/>
      <c r="W3" s="802"/>
      <c r="X3" s="802"/>
      <c r="Y3" s="140"/>
      <c r="AL3" s="134"/>
    </row>
    <row r="4" spans="1:80" x14ac:dyDescent="0.2">
      <c r="A4" s="133"/>
      <c r="B4" s="133"/>
      <c r="AL4" s="134"/>
    </row>
    <row r="5" spans="1:80" x14ac:dyDescent="0.2">
      <c r="A5" s="133"/>
      <c r="B5" s="133"/>
      <c r="D5" s="6" t="s">
        <v>760</v>
      </c>
      <c r="I5" s="6" t="s">
        <v>722</v>
      </c>
      <c r="N5" s="6" t="s">
        <v>682</v>
      </c>
      <c r="S5" s="6" t="s">
        <v>726</v>
      </c>
      <c r="W5" s="6" t="s">
        <v>728</v>
      </c>
      <c r="AA5" s="201" t="s">
        <v>109</v>
      </c>
      <c r="AB5" s="202"/>
      <c r="AC5" s="26"/>
      <c r="AD5" s="26"/>
      <c r="AE5" s="26"/>
      <c r="AF5" s="26"/>
      <c r="AG5" s="26"/>
      <c r="AH5" s="26"/>
      <c r="AI5" s="26"/>
      <c r="AL5" s="134"/>
      <c r="AN5" s="6" t="s">
        <v>694</v>
      </c>
      <c r="AR5" s="6" t="s">
        <v>695</v>
      </c>
      <c r="AW5" s="6" t="s">
        <v>696</v>
      </c>
      <c r="AX5" s="6"/>
      <c r="AY5" s="6"/>
      <c r="BB5" s="6" t="s">
        <v>698</v>
      </c>
      <c r="BF5" s="6" t="s">
        <v>699</v>
      </c>
      <c r="BJ5" s="6" t="s">
        <v>700</v>
      </c>
      <c r="BN5" s="6" t="s">
        <v>729</v>
      </c>
      <c r="BR5" s="6" t="s">
        <v>705</v>
      </c>
      <c r="BV5" s="6" t="s">
        <v>706</v>
      </c>
      <c r="BZ5" s="6" t="s">
        <v>706</v>
      </c>
    </row>
    <row r="6" spans="1:80" x14ac:dyDescent="0.2">
      <c r="A6" s="133"/>
      <c r="B6" s="133"/>
      <c r="AA6" s="203" t="s">
        <v>711</v>
      </c>
      <c r="AB6" s="191" t="s">
        <v>712</v>
      </c>
      <c r="AC6" s="196" t="s">
        <v>713</v>
      </c>
      <c r="AD6" s="196" t="s">
        <v>714</v>
      </c>
      <c r="AE6" s="196" t="s">
        <v>715</v>
      </c>
      <c r="AF6" s="196" t="s">
        <v>716</v>
      </c>
      <c r="AG6" s="196" t="s">
        <v>720</v>
      </c>
      <c r="AH6" s="196"/>
      <c r="AI6" s="196" t="s">
        <v>763</v>
      </c>
      <c r="AL6" s="134"/>
      <c r="AW6" s="6" t="s">
        <v>697</v>
      </c>
      <c r="AX6" s="6"/>
      <c r="AY6" s="6"/>
      <c r="BV6" t="s">
        <v>730</v>
      </c>
      <c r="BZ6" t="s">
        <v>742</v>
      </c>
    </row>
    <row r="7" spans="1:80" ht="51" customHeight="1" x14ac:dyDescent="0.2">
      <c r="A7" s="133"/>
      <c r="B7" s="133"/>
      <c r="D7" s="126" t="s">
        <v>312</v>
      </c>
      <c r="E7" s="126" t="s">
        <v>316</v>
      </c>
      <c r="F7" s="126" t="s">
        <v>318</v>
      </c>
      <c r="G7" s="126" t="s">
        <v>740</v>
      </c>
      <c r="H7" s="1"/>
      <c r="I7" s="126" t="str">
        <f>D7</f>
        <v>Highway</v>
      </c>
      <c r="J7" s="126" t="str">
        <f>E7</f>
        <v>Rail</v>
      </c>
      <c r="K7" s="126" t="str">
        <f>F7</f>
        <v>Air</v>
      </c>
      <c r="L7" s="126" t="s">
        <v>740</v>
      </c>
      <c r="M7" s="1"/>
      <c r="N7" s="126" t="str">
        <f>D7</f>
        <v>Highway</v>
      </c>
      <c r="O7" s="126" t="str">
        <f>E7</f>
        <v>Rail</v>
      </c>
      <c r="P7" s="126" t="str">
        <f>F7</f>
        <v>Air</v>
      </c>
      <c r="Q7" s="126" t="s">
        <v>740</v>
      </c>
      <c r="R7" s="1"/>
      <c r="S7" s="273" t="str">
        <f>D7</f>
        <v>Highway</v>
      </c>
      <c r="T7" s="273" t="str">
        <f>E7</f>
        <v>Rail</v>
      </c>
      <c r="U7" s="273" t="s">
        <v>318</v>
      </c>
      <c r="V7" s="139"/>
      <c r="W7" s="273" t="str">
        <f>D7</f>
        <v>Highway</v>
      </c>
      <c r="X7" s="273" t="str">
        <f>E7</f>
        <v>Rail</v>
      </c>
      <c r="Y7" s="273" t="s">
        <v>318</v>
      </c>
      <c r="Z7" s="1"/>
      <c r="AA7" s="272" t="s">
        <v>721</v>
      </c>
      <c r="AB7" s="272" t="s">
        <v>707</v>
      </c>
      <c r="AC7" s="272" t="s">
        <v>117</v>
      </c>
      <c r="AD7" s="272" t="s">
        <v>743</v>
      </c>
      <c r="AE7" s="272" t="s">
        <v>652</v>
      </c>
      <c r="AF7" s="272" t="s">
        <v>692</v>
      </c>
      <c r="AG7" s="272" t="s">
        <v>709</v>
      </c>
      <c r="AH7" s="272"/>
      <c r="AI7" s="272" t="s">
        <v>734</v>
      </c>
      <c r="AL7" s="134"/>
      <c r="AN7" s="126" t="str">
        <f>D7</f>
        <v>Highway</v>
      </c>
      <c r="AO7" s="126" t="str">
        <f>E7</f>
        <v>Rail</v>
      </c>
      <c r="AP7" s="126" t="s">
        <v>318</v>
      </c>
      <c r="AR7" s="126" t="str">
        <f>D7</f>
        <v>Highway</v>
      </c>
      <c r="AS7" s="126" t="str">
        <f>E7</f>
        <v>Rail</v>
      </c>
      <c r="AT7" s="126" t="str">
        <f>F7</f>
        <v>Air</v>
      </c>
      <c r="AU7" s="126" t="s">
        <v>740</v>
      </c>
      <c r="AV7" s="1"/>
      <c r="AW7" s="126" t="str">
        <f>D7</f>
        <v>Highway</v>
      </c>
      <c r="AX7" s="126" t="str">
        <f>E7</f>
        <v>Rail</v>
      </c>
      <c r="AY7" s="126" t="str">
        <f>F7</f>
        <v>Air</v>
      </c>
      <c r="AZ7" s="1"/>
      <c r="BA7" s="1"/>
      <c r="BB7" s="126" t="str">
        <f>D7</f>
        <v>Highway</v>
      </c>
      <c r="BC7" s="126" t="str">
        <f>E7</f>
        <v>Rail</v>
      </c>
      <c r="BD7" s="126" t="s">
        <v>318</v>
      </c>
      <c r="BE7" s="1"/>
      <c r="BF7" s="126" t="str">
        <f>D7</f>
        <v>Highway</v>
      </c>
      <c r="BG7" s="126" t="str">
        <f>E7</f>
        <v>Rail</v>
      </c>
      <c r="BH7" s="126" t="s">
        <v>318</v>
      </c>
      <c r="BI7" s="1"/>
      <c r="BJ7" s="126" t="str">
        <f>D7</f>
        <v>Highway</v>
      </c>
      <c r="BK7" s="126" t="str">
        <f>E7</f>
        <v>Rail</v>
      </c>
      <c r="BL7" s="126" t="s">
        <v>318</v>
      </c>
      <c r="BM7" s="1"/>
      <c r="BN7" s="126" t="str">
        <f>D7</f>
        <v>Highway</v>
      </c>
      <c r="BO7" s="126" t="str">
        <f>E7</f>
        <v>Rail</v>
      </c>
      <c r="BP7" s="126" t="s">
        <v>318</v>
      </c>
      <c r="BQ7" s="1"/>
      <c r="BR7" s="148" t="s">
        <v>701</v>
      </c>
      <c r="BS7" s="148" t="s">
        <v>702</v>
      </c>
      <c r="BT7" s="148" t="s">
        <v>702</v>
      </c>
      <c r="BV7" s="148" t="s">
        <v>701</v>
      </c>
      <c r="BW7" s="148" t="s">
        <v>702</v>
      </c>
      <c r="BX7" s="148" t="s">
        <v>702</v>
      </c>
      <c r="BZ7" s="148" t="s">
        <v>701</v>
      </c>
      <c r="CA7" s="148" t="s">
        <v>702</v>
      </c>
      <c r="CB7" s="148" t="s">
        <v>702</v>
      </c>
    </row>
    <row r="8" spans="1:80" ht="28.5" customHeight="1" x14ac:dyDescent="0.2">
      <c r="A8" s="133"/>
      <c r="B8" s="133"/>
      <c r="D8" s="135" t="s">
        <v>663</v>
      </c>
      <c r="E8" s="135" t="s">
        <v>663</v>
      </c>
      <c r="F8" s="135" t="s">
        <v>691</v>
      </c>
      <c r="G8" s="135" t="s">
        <v>691</v>
      </c>
      <c r="H8" s="1"/>
      <c r="I8" s="135"/>
      <c r="J8" s="135"/>
      <c r="K8" s="135"/>
      <c r="L8" s="135"/>
      <c r="M8" s="1"/>
      <c r="N8" s="135"/>
      <c r="O8" s="135"/>
      <c r="P8" s="135"/>
      <c r="Q8" s="135"/>
      <c r="R8" s="1"/>
      <c r="S8" s="135"/>
      <c r="T8" s="135"/>
      <c r="U8" s="135"/>
      <c r="V8" s="139"/>
      <c r="W8" s="145"/>
      <c r="X8" s="135"/>
      <c r="Y8" s="135"/>
      <c r="Z8" s="1"/>
      <c r="AA8" s="197"/>
      <c r="AB8" s="193"/>
      <c r="AC8" s="197"/>
      <c r="AD8" s="197"/>
      <c r="AE8" s="197"/>
      <c r="AF8" s="199" t="s">
        <v>733</v>
      </c>
      <c r="AG8" s="200" t="s">
        <v>719</v>
      </c>
      <c r="AH8" s="197"/>
      <c r="AI8" s="200" t="s">
        <v>735</v>
      </c>
      <c r="AL8" s="134"/>
      <c r="BR8" t="s">
        <v>703</v>
      </c>
      <c r="BS8" t="s">
        <v>703</v>
      </c>
      <c r="BT8" t="s">
        <v>704</v>
      </c>
      <c r="BV8" t="s">
        <v>703</v>
      </c>
      <c r="BW8" t="s">
        <v>703</v>
      </c>
      <c r="BX8" t="s">
        <v>704</v>
      </c>
      <c r="BZ8" t="s">
        <v>703</v>
      </c>
      <c r="CA8" t="s">
        <v>703</v>
      </c>
      <c r="CB8" t="s">
        <v>704</v>
      </c>
    </row>
    <row r="9" spans="1:80" ht="22.5" customHeight="1" thickBot="1" x14ac:dyDescent="0.25">
      <c r="A9" s="133"/>
      <c r="B9" s="133"/>
      <c r="D9" s="135" t="s">
        <v>761</v>
      </c>
      <c r="E9" s="135" t="s">
        <v>762</v>
      </c>
      <c r="F9" s="135" t="s">
        <v>762</v>
      </c>
      <c r="G9" s="135" t="s">
        <v>762</v>
      </c>
      <c r="H9" s="1"/>
      <c r="I9" s="135" t="s">
        <v>688</v>
      </c>
      <c r="J9" s="135" t="s">
        <v>687</v>
      </c>
      <c r="K9" s="135" t="s">
        <v>687</v>
      </c>
      <c r="L9" s="135"/>
      <c r="M9" s="1"/>
      <c r="N9" s="135" t="s">
        <v>686</v>
      </c>
      <c r="O9" s="135" t="s">
        <v>686</v>
      </c>
      <c r="P9" s="135" t="s">
        <v>686</v>
      </c>
      <c r="Q9" s="135"/>
      <c r="R9" s="1"/>
      <c r="S9" s="135" t="s">
        <v>689</v>
      </c>
      <c r="T9" s="135" t="s">
        <v>689</v>
      </c>
      <c r="U9" s="135" t="s">
        <v>689</v>
      </c>
      <c r="V9" s="139"/>
      <c r="W9" s="135" t="s">
        <v>689</v>
      </c>
      <c r="X9" s="135" t="s">
        <v>689</v>
      </c>
      <c r="Y9" s="135" t="s">
        <v>689</v>
      </c>
      <c r="Z9" s="1"/>
      <c r="AA9" s="198"/>
      <c r="AB9" s="194"/>
      <c r="AC9" s="198"/>
      <c r="AD9" s="198"/>
      <c r="AE9" s="198"/>
      <c r="AF9" s="198"/>
      <c r="AG9" s="198"/>
      <c r="AH9" s="198"/>
      <c r="AI9" s="198"/>
      <c r="AL9" s="134"/>
      <c r="BR9" s="130"/>
      <c r="BS9" s="130"/>
      <c r="BT9" s="130"/>
      <c r="BV9" s="130"/>
      <c r="BW9" s="130"/>
      <c r="BX9" s="130"/>
      <c r="BZ9" s="130"/>
      <c r="CA9" s="130"/>
      <c r="CB9" s="130"/>
    </row>
    <row r="10" spans="1:80" hidden="1" x14ac:dyDescent="0.2">
      <c r="A10" s="133" t="s">
        <v>664</v>
      </c>
      <c r="B10" s="133">
        <v>1949</v>
      </c>
      <c r="D10" s="5">
        <f>'Passenger-Highway'!G10</f>
        <v>0</v>
      </c>
      <c r="E10" s="5">
        <f>'Passenger-Rail'!F10</f>
        <v>0</v>
      </c>
      <c r="F10" s="5">
        <f>'Passenger-Air'!F8</f>
        <v>0</v>
      </c>
      <c r="G10" s="5">
        <f>D10+E10+F10</f>
        <v>0</v>
      </c>
      <c r="I10" s="5">
        <f>'Passenger-Highway'!L10</f>
        <v>0</v>
      </c>
      <c r="J10" s="5">
        <f>'Passenger-Rail'!J10</f>
        <v>0</v>
      </c>
      <c r="K10" s="5">
        <f>'Passenger-Air'!J8</f>
        <v>800</v>
      </c>
      <c r="L10" s="5">
        <f>I10+J10+K10</f>
        <v>800</v>
      </c>
      <c r="S10" s="129"/>
      <c r="T10" s="129"/>
      <c r="U10" s="129"/>
      <c r="V10" s="141"/>
      <c r="W10" s="142"/>
      <c r="X10" s="141"/>
      <c r="Y10" s="141"/>
      <c r="AA10" s="131"/>
      <c r="AB10" s="131"/>
      <c r="AC10" s="131"/>
      <c r="AD10" s="131"/>
      <c r="AE10" s="131"/>
      <c r="AF10" s="131"/>
      <c r="AG10" s="131"/>
      <c r="AH10" s="131"/>
      <c r="AI10" s="131"/>
      <c r="AL10" s="134"/>
      <c r="AN10" t="e">
        <f>D10/G10</f>
        <v>#DIV/0!</v>
      </c>
      <c r="AO10" t="e">
        <f>E10/G10</f>
        <v>#DIV/0!</v>
      </c>
      <c r="AP10" t="e">
        <f>F10/G10</f>
        <v>#DIV/0!</v>
      </c>
      <c r="BF10" s="129">
        <f>I10/L10</f>
        <v>0</v>
      </c>
      <c r="BG10" s="129">
        <f>J10/L10</f>
        <v>0</v>
      </c>
      <c r="BH10" s="129">
        <f>K10/L10</f>
        <v>1</v>
      </c>
      <c r="BR10" s="129"/>
      <c r="BS10" s="129">
        <v>1</v>
      </c>
      <c r="BT10" s="129">
        <f t="shared" ref="BT10:BT41" si="0">BS10/BS$74</f>
        <v>1.2759163330998435</v>
      </c>
      <c r="BU10" s="129"/>
      <c r="BV10" s="129"/>
      <c r="BW10" s="129">
        <v>1</v>
      </c>
      <c r="BX10" s="129">
        <f t="shared" ref="BX10:BX41" si="1">BW10/BW$74</f>
        <v>1.0460652460964908</v>
      </c>
      <c r="BY10" s="129"/>
      <c r="BZ10" s="129"/>
      <c r="CA10" s="129">
        <v>1</v>
      </c>
      <c r="CB10" s="129">
        <f t="shared" ref="CB10:CB41" si="2">CA10/CA$74</f>
        <v>0.97058738015186008</v>
      </c>
    </row>
    <row r="11" spans="1:80" hidden="1" x14ac:dyDescent="0.2">
      <c r="A11" s="133" t="s">
        <v>664</v>
      </c>
      <c r="B11" s="133">
        <f t="shared" ref="B11:B42" si="3">B10+1</f>
        <v>1950</v>
      </c>
      <c r="D11" s="5">
        <f>'Passenger-Highway'!G11</f>
        <v>0</v>
      </c>
      <c r="E11" s="5">
        <f>'Passenger-Rail'!F11</f>
        <v>0</v>
      </c>
      <c r="F11" s="5">
        <f>'Passenger-Air'!F9</f>
        <v>0</v>
      </c>
      <c r="G11" s="5">
        <f t="shared" ref="G11:G68" si="4">D11+E11+F11</f>
        <v>0</v>
      </c>
      <c r="I11" s="5">
        <f>'Passenger-Highway'!L11</f>
        <v>0</v>
      </c>
      <c r="J11" s="5">
        <f>'Passenger-Rail'!J11</f>
        <v>0</v>
      </c>
      <c r="K11" s="5">
        <f>'Passenger-Air'!J9</f>
        <v>800</v>
      </c>
      <c r="L11" s="5">
        <f t="shared" ref="L11:L71" si="5">I11+J11+K11</f>
        <v>800</v>
      </c>
      <c r="S11" s="129"/>
      <c r="T11" s="129"/>
      <c r="U11" s="129"/>
      <c r="V11" s="129"/>
      <c r="W11" s="142"/>
      <c r="X11" s="129"/>
      <c r="Y11" s="129"/>
      <c r="AA11" s="131"/>
      <c r="AB11" s="131"/>
      <c r="AC11" s="131"/>
      <c r="AD11" s="131"/>
      <c r="AE11" s="131"/>
      <c r="AF11" s="131"/>
      <c r="AG11" s="131"/>
      <c r="AH11" s="131"/>
      <c r="AI11" s="131"/>
      <c r="AL11" s="134"/>
      <c r="AN11" t="e">
        <f t="shared" ref="AN11:AN68" si="6">D11/G11</f>
        <v>#DIV/0!</v>
      </c>
      <c r="AO11" t="e">
        <f t="shared" ref="AO11:AO68" si="7">E11/G11</f>
        <v>#DIV/0!</v>
      </c>
      <c r="AP11" t="e">
        <f t="shared" ref="AP11:AP68" si="8">F11/G11</f>
        <v>#DIV/0!</v>
      </c>
      <c r="AR11" t="e">
        <f t="shared" ref="AR11:AR42" si="9">(AN11-AN10)/LN(AN11/AN10)</f>
        <v>#DIV/0!</v>
      </c>
      <c r="AS11" t="e">
        <f t="shared" ref="AS11:AT42" si="10">(AO11-AO10)/LN(AO11/AO10)</f>
        <v>#DIV/0!</v>
      </c>
      <c r="AT11" t="e">
        <f t="shared" si="10"/>
        <v>#DIV/0!</v>
      </c>
      <c r="AU11" t="e">
        <f>AR11+AS11+AT11</f>
        <v>#DIV/0!</v>
      </c>
      <c r="AW11" t="e">
        <f>AR11/AU11</f>
        <v>#DIV/0!</v>
      </c>
      <c r="AX11" t="e">
        <f>AS11/AU11</f>
        <v>#DIV/0!</v>
      </c>
      <c r="AY11" t="e">
        <f>AT11/AU11</f>
        <v>#DIV/0!</v>
      </c>
      <c r="BB11" s="129" t="e">
        <f t="shared" ref="BB11:BB42" si="11">LN(S11/S10)</f>
        <v>#DIV/0!</v>
      </c>
      <c r="BC11" s="129" t="e">
        <f t="shared" ref="BC11:BD42" si="12">LN(T11/T10)</f>
        <v>#DIV/0!</v>
      </c>
      <c r="BD11" s="129" t="e">
        <f t="shared" si="12"/>
        <v>#DIV/0!</v>
      </c>
      <c r="BF11" s="129">
        <f t="shared" ref="BF11:BF68" si="13">I11/L11</f>
        <v>0</v>
      </c>
      <c r="BG11" s="129">
        <f t="shared" ref="BG11:BG68" si="14">J11/L11</f>
        <v>0</v>
      </c>
      <c r="BH11" s="129">
        <f t="shared" ref="BH11:BH68" si="15">K11/L11</f>
        <v>1</v>
      </c>
      <c r="BJ11" s="129" t="e">
        <f>LN(BF11/BF10)</f>
        <v>#DIV/0!</v>
      </c>
      <c r="BK11" s="129" t="e">
        <f>LN(BG11/BG10)</f>
        <v>#DIV/0!</v>
      </c>
      <c r="BL11" s="129">
        <f>LN(BH11/BH10)</f>
        <v>0</v>
      </c>
      <c r="BN11" s="129" t="e">
        <f t="shared" ref="BN11:BN42" si="16">LN(W11/W10)</f>
        <v>#DIV/0!</v>
      </c>
      <c r="BO11" s="129" t="e">
        <f t="shared" ref="BO11:BP42" si="17">LN(X11/X10)</f>
        <v>#DIV/0!</v>
      </c>
      <c r="BP11" s="129" t="e">
        <f t="shared" si="17"/>
        <v>#DIV/0!</v>
      </c>
      <c r="BR11" s="129" t="e">
        <f>EXP(SUMPRODUCT($AW11:$AY11,BB11:BD11))</f>
        <v>#DIV/0!</v>
      </c>
      <c r="BS11" s="129">
        <f t="shared" ref="BS11:BS42" si="18">IF(ISERR(BR11),BS10,BR11*BS10)</f>
        <v>1</v>
      </c>
      <c r="BT11" s="129">
        <f t="shared" si="0"/>
        <v>1.2759163330998435</v>
      </c>
      <c r="BU11" s="129"/>
      <c r="BV11" s="129" t="e">
        <f>EXP(SUMPRODUCT($AW11:$AY11,BJ11:BL11))</f>
        <v>#DIV/0!</v>
      </c>
      <c r="BW11" s="129">
        <f t="shared" ref="BW11:BW42" si="19">IF(ISERR(BV11),BW10,BV11*BW10)</f>
        <v>1</v>
      </c>
      <c r="BX11" s="129">
        <f t="shared" si="1"/>
        <v>1.0460652460964908</v>
      </c>
      <c r="BY11" s="129"/>
      <c r="BZ11" s="129" t="e">
        <f>EXP(SUMPRODUCT($AW11:$AY11,BN11:BP11))</f>
        <v>#DIV/0!</v>
      </c>
      <c r="CA11" s="129">
        <f t="shared" ref="CA11:CA42" si="20">IF(ISERR(BZ11),CA10,BZ11*CA10)</f>
        <v>1</v>
      </c>
      <c r="CB11" s="129">
        <f t="shared" si="2"/>
        <v>0.97058738015186008</v>
      </c>
    </row>
    <row r="12" spans="1:80" hidden="1" x14ac:dyDescent="0.2">
      <c r="A12" s="133" t="s">
        <v>664</v>
      </c>
      <c r="B12" s="133">
        <f t="shared" si="3"/>
        <v>1951</v>
      </c>
      <c r="D12" s="5">
        <f>'Passenger-Highway'!G12</f>
        <v>0</v>
      </c>
      <c r="E12" s="5">
        <f>'Passenger-Rail'!F12</f>
        <v>0</v>
      </c>
      <c r="F12" s="5">
        <f>'Passenger-Air'!F10</f>
        <v>0</v>
      </c>
      <c r="G12" s="5">
        <f t="shared" si="4"/>
        <v>0</v>
      </c>
      <c r="I12" s="5">
        <f>'Passenger-Highway'!L12</f>
        <v>0</v>
      </c>
      <c r="J12" s="5">
        <f>'Passenger-Rail'!J12</f>
        <v>0</v>
      </c>
      <c r="K12" s="5">
        <f>'Passenger-Air'!J10</f>
        <v>900</v>
      </c>
      <c r="L12" s="5">
        <f t="shared" si="5"/>
        <v>900</v>
      </c>
      <c r="S12" s="129"/>
      <c r="T12" s="129"/>
      <c r="U12" s="129"/>
      <c r="V12" s="129"/>
      <c r="W12" s="141"/>
      <c r="X12" s="129"/>
      <c r="Y12" s="129"/>
      <c r="AA12" s="131"/>
      <c r="AB12" s="131"/>
      <c r="AC12" s="131"/>
      <c r="AD12" s="131"/>
      <c r="AE12" s="131"/>
      <c r="AF12" s="131"/>
      <c r="AG12" s="131"/>
      <c r="AH12" s="131"/>
      <c r="AI12" s="131"/>
      <c r="AL12" s="134"/>
      <c r="AN12" t="e">
        <f t="shared" si="6"/>
        <v>#DIV/0!</v>
      </c>
      <c r="AO12" t="e">
        <f t="shared" si="7"/>
        <v>#DIV/0!</v>
      </c>
      <c r="AP12" t="e">
        <f t="shared" si="8"/>
        <v>#DIV/0!</v>
      </c>
      <c r="AR12" t="e">
        <f t="shared" si="9"/>
        <v>#DIV/0!</v>
      </c>
      <c r="AS12" t="e">
        <f t="shared" si="10"/>
        <v>#DIV/0!</v>
      </c>
      <c r="AT12" t="e">
        <f t="shared" si="10"/>
        <v>#DIV/0!</v>
      </c>
      <c r="AU12" t="e">
        <f t="shared" ref="AU12:AU68" si="21">AR12+AS12+AT12</f>
        <v>#DIV/0!</v>
      </c>
      <c r="AW12" t="e">
        <f t="shared" ref="AW12:AW68" si="22">AR12/AU12</f>
        <v>#DIV/0!</v>
      </c>
      <c r="AX12" t="e">
        <f t="shared" ref="AX12:AX68" si="23">AS12/AU12</f>
        <v>#DIV/0!</v>
      </c>
      <c r="AY12" t="e">
        <f t="shared" ref="AY12:AY68" si="24">AT12/AU12</f>
        <v>#DIV/0!</v>
      </c>
      <c r="BB12" s="129" t="e">
        <f t="shared" si="11"/>
        <v>#DIV/0!</v>
      </c>
      <c r="BC12" s="129" t="e">
        <f t="shared" si="12"/>
        <v>#DIV/0!</v>
      </c>
      <c r="BD12" s="129" t="e">
        <f t="shared" si="12"/>
        <v>#DIV/0!</v>
      </c>
      <c r="BF12" s="129">
        <f t="shared" si="13"/>
        <v>0</v>
      </c>
      <c r="BG12" s="129">
        <f t="shared" si="14"/>
        <v>0</v>
      </c>
      <c r="BH12" s="129">
        <f t="shared" si="15"/>
        <v>1</v>
      </c>
      <c r="BJ12" s="129" t="e">
        <f t="shared" ref="BJ12:BJ68" si="25">LN(BF12/BF11)</f>
        <v>#DIV/0!</v>
      </c>
      <c r="BK12" s="129" t="e">
        <f t="shared" ref="BK12:BK68" si="26">LN(BG12/BG11)</f>
        <v>#DIV/0!</v>
      </c>
      <c r="BL12" s="129">
        <f t="shared" ref="BL12:BL68" si="27">LN(BH12/BH11)</f>
        <v>0</v>
      </c>
      <c r="BN12" s="129" t="e">
        <f t="shared" si="16"/>
        <v>#DIV/0!</v>
      </c>
      <c r="BO12" s="129" t="e">
        <f t="shared" si="17"/>
        <v>#DIV/0!</v>
      </c>
      <c r="BP12" s="129" t="e">
        <f t="shared" si="17"/>
        <v>#DIV/0!</v>
      </c>
      <c r="BR12" s="129" t="e">
        <f t="shared" ref="BR12:BR68" si="28">EXP(SUMPRODUCT($AW12:$AY12,BB12:BD12))</f>
        <v>#DIV/0!</v>
      </c>
      <c r="BS12" s="129">
        <f t="shared" si="18"/>
        <v>1</v>
      </c>
      <c r="BT12" s="129">
        <f t="shared" si="0"/>
        <v>1.2759163330998435</v>
      </c>
      <c r="BU12" s="129"/>
      <c r="BV12" s="129" t="e">
        <f t="shared" ref="BV12:BV68" si="29">EXP(SUMPRODUCT($AW12:$AY12,BJ12:BL12))</f>
        <v>#DIV/0!</v>
      </c>
      <c r="BW12" s="129">
        <f t="shared" si="19"/>
        <v>1</v>
      </c>
      <c r="BX12" s="129">
        <f t="shared" si="1"/>
        <v>1.0460652460964908</v>
      </c>
      <c r="BY12" s="129"/>
      <c r="BZ12" s="129" t="e">
        <f t="shared" ref="BZ12:BZ68" si="30">EXP(SUMPRODUCT($AW12:$AY12,BN12:BP12))</f>
        <v>#DIV/0!</v>
      </c>
      <c r="CA12" s="129">
        <f t="shared" si="20"/>
        <v>1</v>
      </c>
      <c r="CB12" s="129">
        <f t="shared" si="2"/>
        <v>0.97058738015186008</v>
      </c>
    </row>
    <row r="13" spans="1:80" hidden="1" x14ac:dyDescent="0.2">
      <c r="A13" s="133" t="s">
        <v>664</v>
      </c>
      <c r="B13" s="133">
        <f t="shared" si="3"/>
        <v>1952</v>
      </c>
      <c r="D13" s="5">
        <f>'Passenger-Highway'!G13</f>
        <v>0</v>
      </c>
      <c r="E13" s="5">
        <f>'Passenger-Rail'!F13</f>
        <v>0</v>
      </c>
      <c r="F13" s="5">
        <f>'Passenger-Air'!F11</f>
        <v>0</v>
      </c>
      <c r="G13" s="5">
        <f t="shared" si="4"/>
        <v>0</v>
      </c>
      <c r="I13" s="5">
        <f>'Passenger-Highway'!L13</f>
        <v>0</v>
      </c>
      <c r="J13" s="5">
        <f>'Passenger-Rail'!J13</f>
        <v>0</v>
      </c>
      <c r="K13" s="5">
        <f>'Passenger-Air'!J11</f>
        <v>1000</v>
      </c>
      <c r="L13" s="5">
        <f t="shared" si="5"/>
        <v>1000</v>
      </c>
      <c r="S13" s="129"/>
      <c r="T13" s="129"/>
      <c r="U13" s="129"/>
      <c r="V13" s="129"/>
      <c r="W13" s="129"/>
      <c r="X13" s="129"/>
      <c r="Y13" s="129"/>
      <c r="AA13" s="131"/>
      <c r="AB13" s="131"/>
      <c r="AC13" s="131"/>
      <c r="AD13" s="131"/>
      <c r="AE13" s="131"/>
      <c r="AF13" s="131"/>
      <c r="AG13" s="131"/>
      <c r="AH13" s="131"/>
      <c r="AI13" s="131"/>
      <c r="AL13" s="134"/>
      <c r="AN13" t="e">
        <f t="shared" si="6"/>
        <v>#DIV/0!</v>
      </c>
      <c r="AO13" t="e">
        <f t="shared" si="7"/>
        <v>#DIV/0!</v>
      </c>
      <c r="AP13" t="e">
        <f t="shared" si="8"/>
        <v>#DIV/0!</v>
      </c>
      <c r="AR13" t="e">
        <f t="shared" si="9"/>
        <v>#DIV/0!</v>
      </c>
      <c r="AS13" t="e">
        <f t="shared" si="10"/>
        <v>#DIV/0!</v>
      </c>
      <c r="AT13" t="e">
        <f t="shared" si="10"/>
        <v>#DIV/0!</v>
      </c>
      <c r="AU13" t="e">
        <f t="shared" si="21"/>
        <v>#DIV/0!</v>
      </c>
      <c r="AW13" t="e">
        <f t="shared" si="22"/>
        <v>#DIV/0!</v>
      </c>
      <c r="AX13" t="e">
        <f t="shared" si="23"/>
        <v>#DIV/0!</v>
      </c>
      <c r="AY13" t="e">
        <f t="shared" si="24"/>
        <v>#DIV/0!</v>
      </c>
      <c r="BB13" s="129" t="e">
        <f t="shared" si="11"/>
        <v>#DIV/0!</v>
      </c>
      <c r="BC13" s="129" t="e">
        <f t="shared" si="12"/>
        <v>#DIV/0!</v>
      </c>
      <c r="BD13" s="129" t="e">
        <f t="shared" si="12"/>
        <v>#DIV/0!</v>
      </c>
      <c r="BF13" s="129">
        <f t="shared" si="13"/>
        <v>0</v>
      </c>
      <c r="BG13" s="129">
        <f t="shared" si="14"/>
        <v>0</v>
      </c>
      <c r="BH13" s="129">
        <f t="shared" si="15"/>
        <v>1</v>
      </c>
      <c r="BJ13" s="129" t="e">
        <f t="shared" si="25"/>
        <v>#DIV/0!</v>
      </c>
      <c r="BK13" s="129" t="e">
        <f t="shared" si="26"/>
        <v>#DIV/0!</v>
      </c>
      <c r="BL13" s="129">
        <f t="shared" si="27"/>
        <v>0</v>
      </c>
      <c r="BN13" s="129" t="e">
        <f t="shared" si="16"/>
        <v>#DIV/0!</v>
      </c>
      <c r="BO13" s="129" t="e">
        <f t="shared" si="17"/>
        <v>#DIV/0!</v>
      </c>
      <c r="BP13" s="129" t="e">
        <f t="shared" si="17"/>
        <v>#DIV/0!</v>
      </c>
      <c r="BR13" s="129" t="e">
        <f t="shared" si="28"/>
        <v>#DIV/0!</v>
      </c>
      <c r="BS13" s="129">
        <f t="shared" si="18"/>
        <v>1</v>
      </c>
      <c r="BT13" s="129">
        <f t="shared" si="0"/>
        <v>1.2759163330998435</v>
      </c>
      <c r="BU13" s="129"/>
      <c r="BV13" s="129" t="e">
        <f t="shared" si="29"/>
        <v>#DIV/0!</v>
      </c>
      <c r="BW13" s="129">
        <f t="shared" si="19"/>
        <v>1</v>
      </c>
      <c r="BX13" s="129">
        <f t="shared" si="1"/>
        <v>1.0460652460964908</v>
      </c>
      <c r="BY13" s="129"/>
      <c r="BZ13" s="129" t="e">
        <f t="shared" si="30"/>
        <v>#DIV/0!</v>
      </c>
      <c r="CA13" s="129">
        <f t="shared" si="20"/>
        <v>1</v>
      </c>
      <c r="CB13" s="129">
        <f t="shared" si="2"/>
        <v>0.97058738015186008</v>
      </c>
    </row>
    <row r="14" spans="1:80" hidden="1" x14ac:dyDescent="0.2">
      <c r="A14" s="133" t="s">
        <v>664</v>
      </c>
      <c r="B14" s="133">
        <f t="shared" si="3"/>
        <v>1953</v>
      </c>
      <c r="D14" s="5">
        <f>'Passenger-Highway'!G14</f>
        <v>0</v>
      </c>
      <c r="E14" s="5">
        <f>'Passenger-Rail'!F14</f>
        <v>0</v>
      </c>
      <c r="F14" s="5">
        <f>'Passenger-Air'!F12</f>
        <v>0</v>
      </c>
      <c r="G14" s="5">
        <f t="shared" si="4"/>
        <v>0</v>
      </c>
      <c r="I14" s="5">
        <f>'Passenger-Highway'!L14</f>
        <v>0</v>
      </c>
      <c r="J14" s="5">
        <f>'Passenger-Rail'!J14</f>
        <v>0</v>
      </c>
      <c r="K14" s="5">
        <f>'Passenger-Air'!J12</f>
        <v>1200</v>
      </c>
      <c r="L14" s="5">
        <f t="shared" si="5"/>
        <v>1200</v>
      </c>
      <c r="S14" s="129"/>
      <c r="T14" s="129"/>
      <c r="U14" s="129"/>
      <c r="V14" s="129"/>
      <c r="W14" s="129"/>
      <c r="X14" s="129"/>
      <c r="Y14" s="129"/>
      <c r="AA14" s="131"/>
      <c r="AB14" s="131"/>
      <c r="AC14" s="131"/>
      <c r="AD14" s="131"/>
      <c r="AE14" s="131"/>
      <c r="AF14" s="131"/>
      <c r="AG14" s="131"/>
      <c r="AH14" s="131"/>
      <c r="AI14" s="131"/>
      <c r="AL14" s="134"/>
      <c r="AN14" t="e">
        <f t="shared" si="6"/>
        <v>#DIV/0!</v>
      </c>
      <c r="AO14" t="e">
        <f t="shared" si="7"/>
        <v>#DIV/0!</v>
      </c>
      <c r="AP14" t="e">
        <f t="shared" si="8"/>
        <v>#DIV/0!</v>
      </c>
      <c r="AR14" t="e">
        <f t="shared" si="9"/>
        <v>#DIV/0!</v>
      </c>
      <c r="AS14" t="e">
        <f t="shared" si="10"/>
        <v>#DIV/0!</v>
      </c>
      <c r="AT14" t="e">
        <f t="shared" si="10"/>
        <v>#DIV/0!</v>
      </c>
      <c r="AU14" t="e">
        <f t="shared" si="21"/>
        <v>#DIV/0!</v>
      </c>
      <c r="AW14" t="e">
        <f t="shared" si="22"/>
        <v>#DIV/0!</v>
      </c>
      <c r="AX14" t="e">
        <f t="shared" si="23"/>
        <v>#DIV/0!</v>
      </c>
      <c r="AY14" t="e">
        <f t="shared" si="24"/>
        <v>#DIV/0!</v>
      </c>
      <c r="BB14" s="129" t="e">
        <f t="shared" si="11"/>
        <v>#DIV/0!</v>
      </c>
      <c r="BC14" s="129" t="e">
        <f t="shared" si="12"/>
        <v>#DIV/0!</v>
      </c>
      <c r="BD14" s="129" t="e">
        <f t="shared" si="12"/>
        <v>#DIV/0!</v>
      </c>
      <c r="BF14" s="129">
        <f t="shared" si="13"/>
        <v>0</v>
      </c>
      <c r="BG14" s="129">
        <f t="shared" si="14"/>
        <v>0</v>
      </c>
      <c r="BH14" s="129">
        <f t="shared" si="15"/>
        <v>1</v>
      </c>
      <c r="BJ14" s="129" t="e">
        <f t="shared" si="25"/>
        <v>#DIV/0!</v>
      </c>
      <c r="BK14" s="129" t="e">
        <f t="shared" si="26"/>
        <v>#DIV/0!</v>
      </c>
      <c r="BL14" s="129">
        <f t="shared" si="27"/>
        <v>0</v>
      </c>
      <c r="BN14" s="129" t="e">
        <f t="shared" si="16"/>
        <v>#DIV/0!</v>
      </c>
      <c r="BO14" s="129" t="e">
        <f t="shared" si="17"/>
        <v>#DIV/0!</v>
      </c>
      <c r="BP14" s="129" t="e">
        <f t="shared" si="17"/>
        <v>#DIV/0!</v>
      </c>
      <c r="BR14" s="129" t="e">
        <f t="shared" si="28"/>
        <v>#DIV/0!</v>
      </c>
      <c r="BS14" s="129">
        <f t="shared" si="18"/>
        <v>1</v>
      </c>
      <c r="BT14" s="129">
        <f t="shared" si="0"/>
        <v>1.2759163330998435</v>
      </c>
      <c r="BU14" s="129"/>
      <c r="BV14" s="129" t="e">
        <f t="shared" si="29"/>
        <v>#DIV/0!</v>
      </c>
      <c r="BW14" s="129">
        <f t="shared" si="19"/>
        <v>1</v>
      </c>
      <c r="BX14" s="129">
        <f t="shared" si="1"/>
        <v>1.0460652460964908</v>
      </c>
      <c r="BY14" s="129"/>
      <c r="BZ14" s="129" t="e">
        <f t="shared" si="30"/>
        <v>#DIV/0!</v>
      </c>
      <c r="CA14" s="129">
        <f t="shared" si="20"/>
        <v>1</v>
      </c>
      <c r="CB14" s="129">
        <f t="shared" si="2"/>
        <v>0.97058738015186008</v>
      </c>
    </row>
    <row r="15" spans="1:80" hidden="1" x14ac:dyDescent="0.2">
      <c r="A15" s="133" t="s">
        <v>664</v>
      </c>
      <c r="B15" s="133">
        <f t="shared" si="3"/>
        <v>1954</v>
      </c>
      <c r="D15" s="5">
        <f>'Passenger-Highway'!G15</f>
        <v>0</v>
      </c>
      <c r="E15" s="5">
        <f>'Passenger-Rail'!F15</f>
        <v>0</v>
      </c>
      <c r="F15" s="5">
        <f>'Passenger-Air'!F13</f>
        <v>0</v>
      </c>
      <c r="G15" s="5">
        <f t="shared" si="4"/>
        <v>0</v>
      </c>
      <c r="I15" s="5">
        <f>'Passenger-Highway'!L15</f>
        <v>0</v>
      </c>
      <c r="J15" s="5">
        <f>'Passenger-Rail'!J15</f>
        <v>0</v>
      </c>
      <c r="K15" s="5">
        <f>'Passenger-Air'!J13</f>
        <v>1400</v>
      </c>
      <c r="L15" s="5">
        <f t="shared" si="5"/>
        <v>1400</v>
      </c>
      <c r="S15" s="129"/>
      <c r="T15" s="129"/>
      <c r="U15" s="129"/>
      <c r="V15" s="129"/>
      <c r="W15" s="129"/>
      <c r="X15" s="129"/>
      <c r="Y15" s="129"/>
      <c r="AA15" s="131"/>
      <c r="AB15" s="131"/>
      <c r="AC15" s="131"/>
      <c r="AD15" s="131"/>
      <c r="AE15" s="131"/>
      <c r="AF15" s="131"/>
      <c r="AG15" s="131"/>
      <c r="AH15" s="131"/>
      <c r="AI15" s="131"/>
      <c r="AL15" s="134"/>
      <c r="AN15" t="e">
        <f t="shared" si="6"/>
        <v>#DIV/0!</v>
      </c>
      <c r="AO15" t="e">
        <f t="shared" si="7"/>
        <v>#DIV/0!</v>
      </c>
      <c r="AP15" t="e">
        <f t="shared" si="8"/>
        <v>#DIV/0!</v>
      </c>
      <c r="AR15" t="e">
        <f t="shared" si="9"/>
        <v>#DIV/0!</v>
      </c>
      <c r="AS15" t="e">
        <f t="shared" si="10"/>
        <v>#DIV/0!</v>
      </c>
      <c r="AT15" t="e">
        <f t="shared" si="10"/>
        <v>#DIV/0!</v>
      </c>
      <c r="AU15" t="e">
        <f t="shared" si="21"/>
        <v>#DIV/0!</v>
      </c>
      <c r="AW15" t="e">
        <f t="shared" si="22"/>
        <v>#DIV/0!</v>
      </c>
      <c r="AX15" t="e">
        <f t="shared" si="23"/>
        <v>#DIV/0!</v>
      </c>
      <c r="AY15" t="e">
        <f t="shared" si="24"/>
        <v>#DIV/0!</v>
      </c>
      <c r="BB15" s="129" t="e">
        <f t="shared" si="11"/>
        <v>#DIV/0!</v>
      </c>
      <c r="BC15" s="129" t="e">
        <f t="shared" si="12"/>
        <v>#DIV/0!</v>
      </c>
      <c r="BD15" s="129" t="e">
        <f t="shared" si="12"/>
        <v>#DIV/0!</v>
      </c>
      <c r="BF15" s="129">
        <f t="shared" si="13"/>
        <v>0</v>
      </c>
      <c r="BG15" s="129">
        <f t="shared" si="14"/>
        <v>0</v>
      </c>
      <c r="BH15" s="129">
        <f t="shared" si="15"/>
        <v>1</v>
      </c>
      <c r="BJ15" s="129" t="e">
        <f t="shared" si="25"/>
        <v>#DIV/0!</v>
      </c>
      <c r="BK15" s="129" t="e">
        <f t="shared" si="26"/>
        <v>#DIV/0!</v>
      </c>
      <c r="BL15" s="129">
        <f t="shared" si="27"/>
        <v>0</v>
      </c>
      <c r="BN15" s="129" t="e">
        <f t="shared" si="16"/>
        <v>#DIV/0!</v>
      </c>
      <c r="BO15" s="129" t="e">
        <f t="shared" si="17"/>
        <v>#DIV/0!</v>
      </c>
      <c r="BP15" s="129" t="e">
        <f t="shared" si="17"/>
        <v>#DIV/0!</v>
      </c>
      <c r="BR15" s="129" t="e">
        <f t="shared" si="28"/>
        <v>#DIV/0!</v>
      </c>
      <c r="BS15" s="129">
        <f t="shared" si="18"/>
        <v>1</v>
      </c>
      <c r="BT15" s="129">
        <f t="shared" si="0"/>
        <v>1.2759163330998435</v>
      </c>
      <c r="BU15" s="129"/>
      <c r="BV15" s="129" t="e">
        <f t="shared" si="29"/>
        <v>#DIV/0!</v>
      </c>
      <c r="BW15" s="129">
        <f t="shared" si="19"/>
        <v>1</v>
      </c>
      <c r="BX15" s="129">
        <f t="shared" si="1"/>
        <v>1.0460652460964908</v>
      </c>
      <c r="BY15" s="129"/>
      <c r="BZ15" s="129" t="e">
        <f t="shared" si="30"/>
        <v>#DIV/0!</v>
      </c>
      <c r="CA15" s="129">
        <f t="shared" si="20"/>
        <v>1</v>
      </c>
      <c r="CB15" s="129">
        <f t="shared" si="2"/>
        <v>0.97058738015186008</v>
      </c>
    </row>
    <row r="16" spans="1:80" hidden="1" x14ac:dyDescent="0.2">
      <c r="A16" s="133" t="s">
        <v>664</v>
      </c>
      <c r="B16" s="133">
        <f t="shared" si="3"/>
        <v>1955</v>
      </c>
      <c r="D16" s="5">
        <f>'Passenger-Highway'!G16</f>
        <v>0</v>
      </c>
      <c r="E16" s="5">
        <f>'Passenger-Rail'!F16</f>
        <v>0</v>
      </c>
      <c r="F16" s="5">
        <f>'Passenger-Air'!F14</f>
        <v>0</v>
      </c>
      <c r="G16" s="5">
        <f t="shared" si="4"/>
        <v>0</v>
      </c>
      <c r="I16" s="5">
        <f>'Passenger-Highway'!L16</f>
        <v>0</v>
      </c>
      <c r="J16" s="5">
        <f>'Passenger-Rail'!J16</f>
        <v>0</v>
      </c>
      <c r="K16" s="5">
        <f>'Passenger-Air'!J14</f>
        <v>1500</v>
      </c>
      <c r="L16" s="5">
        <f t="shared" si="5"/>
        <v>1500</v>
      </c>
      <c r="S16" s="129"/>
      <c r="T16" s="129"/>
      <c r="U16" s="129"/>
      <c r="V16" s="129"/>
      <c r="W16" s="129"/>
      <c r="X16" s="129"/>
      <c r="Y16" s="129"/>
      <c r="AA16" s="131"/>
      <c r="AB16" s="131"/>
      <c r="AC16" s="131"/>
      <c r="AD16" s="131"/>
      <c r="AE16" s="131"/>
      <c r="AF16" s="131"/>
      <c r="AG16" s="131"/>
      <c r="AH16" s="131"/>
      <c r="AI16" s="131"/>
      <c r="AL16" s="134"/>
      <c r="AN16" t="e">
        <f t="shared" si="6"/>
        <v>#DIV/0!</v>
      </c>
      <c r="AO16" t="e">
        <f t="shared" si="7"/>
        <v>#DIV/0!</v>
      </c>
      <c r="AP16" t="e">
        <f t="shared" si="8"/>
        <v>#DIV/0!</v>
      </c>
      <c r="AR16" t="e">
        <f t="shared" si="9"/>
        <v>#DIV/0!</v>
      </c>
      <c r="AS16" t="e">
        <f t="shared" si="10"/>
        <v>#DIV/0!</v>
      </c>
      <c r="AT16" t="e">
        <f t="shared" si="10"/>
        <v>#DIV/0!</v>
      </c>
      <c r="AU16" t="e">
        <f t="shared" si="21"/>
        <v>#DIV/0!</v>
      </c>
      <c r="AW16" t="e">
        <f t="shared" si="22"/>
        <v>#DIV/0!</v>
      </c>
      <c r="AX16" t="e">
        <f t="shared" si="23"/>
        <v>#DIV/0!</v>
      </c>
      <c r="AY16" t="e">
        <f t="shared" si="24"/>
        <v>#DIV/0!</v>
      </c>
      <c r="BB16" s="129" t="e">
        <f t="shared" si="11"/>
        <v>#DIV/0!</v>
      </c>
      <c r="BC16" s="129" t="e">
        <f t="shared" si="12"/>
        <v>#DIV/0!</v>
      </c>
      <c r="BD16" s="129" t="e">
        <f t="shared" si="12"/>
        <v>#DIV/0!</v>
      </c>
      <c r="BF16" s="129">
        <f t="shared" si="13"/>
        <v>0</v>
      </c>
      <c r="BG16" s="129">
        <f t="shared" si="14"/>
        <v>0</v>
      </c>
      <c r="BH16" s="129">
        <f t="shared" si="15"/>
        <v>1</v>
      </c>
      <c r="BJ16" s="129" t="e">
        <f t="shared" si="25"/>
        <v>#DIV/0!</v>
      </c>
      <c r="BK16" s="129" t="e">
        <f t="shared" si="26"/>
        <v>#DIV/0!</v>
      </c>
      <c r="BL16" s="129">
        <f t="shared" si="27"/>
        <v>0</v>
      </c>
      <c r="BN16" s="129" t="e">
        <f t="shared" si="16"/>
        <v>#DIV/0!</v>
      </c>
      <c r="BO16" s="129" t="e">
        <f t="shared" si="17"/>
        <v>#DIV/0!</v>
      </c>
      <c r="BP16" s="129" t="e">
        <f t="shared" si="17"/>
        <v>#DIV/0!</v>
      </c>
      <c r="BR16" s="129" t="e">
        <f t="shared" si="28"/>
        <v>#DIV/0!</v>
      </c>
      <c r="BS16" s="129">
        <f t="shared" si="18"/>
        <v>1</v>
      </c>
      <c r="BT16" s="129">
        <f t="shared" si="0"/>
        <v>1.2759163330998435</v>
      </c>
      <c r="BU16" s="129"/>
      <c r="BV16" s="129" t="e">
        <f t="shared" si="29"/>
        <v>#DIV/0!</v>
      </c>
      <c r="BW16" s="129">
        <f t="shared" si="19"/>
        <v>1</v>
      </c>
      <c r="BX16" s="129">
        <f t="shared" si="1"/>
        <v>1.0460652460964908</v>
      </c>
      <c r="BY16" s="129"/>
      <c r="BZ16" s="129" t="e">
        <f t="shared" si="30"/>
        <v>#DIV/0!</v>
      </c>
      <c r="CA16" s="129">
        <f t="shared" si="20"/>
        <v>1</v>
      </c>
      <c r="CB16" s="129">
        <f t="shared" si="2"/>
        <v>0.97058738015186008</v>
      </c>
    </row>
    <row r="17" spans="1:80" hidden="1" x14ac:dyDescent="0.2">
      <c r="A17" s="133" t="s">
        <v>664</v>
      </c>
      <c r="B17" s="133">
        <f t="shared" si="3"/>
        <v>1956</v>
      </c>
      <c r="D17" s="5">
        <f>'Passenger-Highway'!G17</f>
        <v>0</v>
      </c>
      <c r="E17" s="5">
        <f>'Passenger-Rail'!F17</f>
        <v>0</v>
      </c>
      <c r="F17" s="5">
        <f>'Passenger-Air'!F15</f>
        <v>0</v>
      </c>
      <c r="G17" s="5">
        <f t="shared" si="4"/>
        <v>0</v>
      </c>
      <c r="I17" s="5">
        <f>'Passenger-Highway'!L17</f>
        <v>0</v>
      </c>
      <c r="J17" s="5">
        <f>'Passenger-Rail'!J17</f>
        <v>0</v>
      </c>
      <c r="K17" s="5">
        <f>'Passenger-Air'!J15</f>
        <v>1600</v>
      </c>
      <c r="L17" s="5">
        <f t="shared" si="5"/>
        <v>1600</v>
      </c>
      <c r="S17" s="129"/>
      <c r="T17" s="129"/>
      <c r="U17" s="129"/>
      <c r="V17" s="129"/>
      <c r="W17" s="129"/>
      <c r="X17" s="129"/>
      <c r="Y17" s="129"/>
      <c r="AA17" s="131"/>
      <c r="AB17" s="131"/>
      <c r="AC17" s="131"/>
      <c r="AD17" s="131"/>
      <c r="AE17" s="131"/>
      <c r="AF17" s="131"/>
      <c r="AG17" s="131"/>
      <c r="AH17" s="131"/>
      <c r="AI17" s="131"/>
      <c r="AL17" s="134"/>
      <c r="AN17" t="e">
        <f t="shared" si="6"/>
        <v>#DIV/0!</v>
      </c>
      <c r="AO17" t="e">
        <f t="shared" si="7"/>
        <v>#DIV/0!</v>
      </c>
      <c r="AP17" t="e">
        <f t="shared" si="8"/>
        <v>#DIV/0!</v>
      </c>
      <c r="AR17" t="e">
        <f t="shared" si="9"/>
        <v>#DIV/0!</v>
      </c>
      <c r="AS17" t="e">
        <f t="shared" si="10"/>
        <v>#DIV/0!</v>
      </c>
      <c r="AT17" t="e">
        <f t="shared" si="10"/>
        <v>#DIV/0!</v>
      </c>
      <c r="AU17" t="e">
        <f t="shared" si="21"/>
        <v>#DIV/0!</v>
      </c>
      <c r="AW17" t="e">
        <f t="shared" si="22"/>
        <v>#DIV/0!</v>
      </c>
      <c r="AX17" t="e">
        <f t="shared" si="23"/>
        <v>#DIV/0!</v>
      </c>
      <c r="AY17" t="e">
        <f t="shared" si="24"/>
        <v>#DIV/0!</v>
      </c>
      <c r="BB17" s="129" t="e">
        <f t="shared" si="11"/>
        <v>#DIV/0!</v>
      </c>
      <c r="BC17" s="129" t="e">
        <f t="shared" si="12"/>
        <v>#DIV/0!</v>
      </c>
      <c r="BD17" s="129" t="e">
        <f t="shared" si="12"/>
        <v>#DIV/0!</v>
      </c>
      <c r="BF17" s="129">
        <f t="shared" si="13"/>
        <v>0</v>
      </c>
      <c r="BG17" s="129">
        <f t="shared" si="14"/>
        <v>0</v>
      </c>
      <c r="BH17" s="129">
        <f t="shared" si="15"/>
        <v>1</v>
      </c>
      <c r="BJ17" s="129" t="e">
        <f t="shared" si="25"/>
        <v>#DIV/0!</v>
      </c>
      <c r="BK17" s="129" t="e">
        <f t="shared" si="26"/>
        <v>#DIV/0!</v>
      </c>
      <c r="BL17" s="129">
        <f t="shared" si="27"/>
        <v>0</v>
      </c>
      <c r="BN17" s="129" t="e">
        <f t="shared" si="16"/>
        <v>#DIV/0!</v>
      </c>
      <c r="BO17" s="129" t="e">
        <f t="shared" si="17"/>
        <v>#DIV/0!</v>
      </c>
      <c r="BP17" s="129" t="e">
        <f t="shared" si="17"/>
        <v>#DIV/0!</v>
      </c>
      <c r="BR17" s="129" t="e">
        <f t="shared" si="28"/>
        <v>#DIV/0!</v>
      </c>
      <c r="BS17" s="129">
        <f t="shared" si="18"/>
        <v>1</v>
      </c>
      <c r="BT17" s="129">
        <f t="shared" si="0"/>
        <v>1.2759163330998435</v>
      </c>
      <c r="BU17" s="129"/>
      <c r="BV17" s="129" t="e">
        <f t="shared" si="29"/>
        <v>#DIV/0!</v>
      </c>
      <c r="BW17" s="129">
        <f t="shared" si="19"/>
        <v>1</v>
      </c>
      <c r="BX17" s="129">
        <f t="shared" si="1"/>
        <v>1.0460652460964908</v>
      </c>
      <c r="BY17" s="129"/>
      <c r="BZ17" s="129" t="e">
        <f t="shared" si="30"/>
        <v>#DIV/0!</v>
      </c>
      <c r="CA17" s="129">
        <f t="shared" si="20"/>
        <v>1</v>
      </c>
      <c r="CB17" s="129">
        <f t="shared" si="2"/>
        <v>0.97058738015186008</v>
      </c>
    </row>
    <row r="18" spans="1:80" hidden="1" x14ac:dyDescent="0.2">
      <c r="A18" s="133" t="s">
        <v>664</v>
      </c>
      <c r="B18" s="133">
        <f t="shared" si="3"/>
        <v>1957</v>
      </c>
      <c r="D18" s="5">
        <f>'Passenger-Highway'!G18</f>
        <v>0</v>
      </c>
      <c r="E18" s="5">
        <f>'Passenger-Rail'!F18</f>
        <v>0</v>
      </c>
      <c r="F18" s="5">
        <f>'Passenger-Air'!F16</f>
        <v>0</v>
      </c>
      <c r="G18" s="5">
        <f t="shared" si="4"/>
        <v>0</v>
      </c>
      <c r="I18" s="5">
        <f>'Passenger-Highway'!L18</f>
        <v>0</v>
      </c>
      <c r="J18" s="5">
        <f>'Passenger-Rail'!J18</f>
        <v>0</v>
      </c>
      <c r="K18" s="5">
        <f>'Passenger-Air'!J16</f>
        <v>1800</v>
      </c>
      <c r="L18" s="5">
        <f t="shared" si="5"/>
        <v>1800</v>
      </c>
      <c r="S18" s="129"/>
      <c r="T18" s="129"/>
      <c r="U18" s="129"/>
      <c r="V18" s="129"/>
      <c r="W18" s="129"/>
      <c r="X18" s="129"/>
      <c r="Y18" s="129"/>
      <c r="AA18" s="131"/>
      <c r="AB18" s="131"/>
      <c r="AC18" s="131"/>
      <c r="AD18" s="131"/>
      <c r="AE18" s="131"/>
      <c r="AF18" s="131"/>
      <c r="AG18" s="131"/>
      <c r="AH18" s="131"/>
      <c r="AI18" s="131"/>
      <c r="AL18" s="134"/>
      <c r="AN18" t="e">
        <f t="shared" si="6"/>
        <v>#DIV/0!</v>
      </c>
      <c r="AO18" t="e">
        <f t="shared" si="7"/>
        <v>#DIV/0!</v>
      </c>
      <c r="AP18" t="e">
        <f t="shared" si="8"/>
        <v>#DIV/0!</v>
      </c>
      <c r="AR18" t="e">
        <f t="shared" si="9"/>
        <v>#DIV/0!</v>
      </c>
      <c r="AS18" t="e">
        <f t="shared" si="10"/>
        <v>#DIV/0!</v>
      </c>
      <c r="AT18" t="e">
        <f t="shared" si="10"/>
        <v>#DIV/0!</v>
      </c>
      <c r="AU18" t="e">
        <f t="shared" si="21"/>
        <v>#DIV/0!</v>
      </c>
      <c r="AW18" t="e">
        <f t="shared" si="22"/>
        <v>#DIV/0!</v>
      </c>
      <c r="AX18" t="e">
        <f t="shared" si="23"/>
        <v>#DIV/0!</v>
      </c>
      <c r="AY18" t="e">
        <f t="shared" si="24"/>
        <v>#DIV/0!</v>
      </c>
      <c r="BB18" s="129" t="e">
        <f t="shared" si="11"/>
        <v>#DIV/0!</v>
      </c>
      <c r="BC18" s="129" t="e">
        <f t="shared" si="12"/>
        <v>#DIV/0!</v>
      </c>
      <c r="BD18" s="129" t="e">
        <f t="shared" si="12"/>
        <v>#DIV/0!</v>
      </c>
      <c r="BF18" s="129">
        <f t="shared" si="13"/>
        <v>0</v>
      </c>
      <c r="BG18" s="129">
        <f t="shared" si="14"/>
        <v>0</v>
      </c>
      <c r="BH18" s="129">
        <f t="shared" si="15"/>
        <v>1</v>
      </c>
      <c r="BJ18" s="129" t="e">
        <f t="shared" si="25"/>
        <v>#DIV/0!</v>
      </c>
      <c r="BK18" s="129" t="e">
        <f t="shared" si="26"/>
        <v>#DIV/0!</v>
      </c>
      <c r="BL18" s="129">
        <f t="shared" si="27"/>
        <v>0</v>
      </c>
      <c r="BN18" s="129" t="e">
        <f t="shared" si="16"/>
        <v>#DIV/0!</v>
      </c>
      <c r="BO18" s="129" t="e">
        <f t="shared" si="17"/>
        <v>#DIV/0!</v>
      </c>
      <c r="BP18" s="129" t="e">
        <f t="shared" si="17"/>
        <v>#DIV/0!</v>
      </c>
      <c r="BR18" s="129" t="e">
        <f t="shared" si="28"/>
        <v>#DIV/0!</v>
      </c>
      <c r="BS18" s="129">
        <f t="shared" si="18"/>
        <v>1</v>
      </c>
      <c r="BT18" s="129">
        <f t="shared" si="0"/>
        <v>1.2759163330998435</v>
      </c>
      <c r="BU18" s="129"/>
      <c r="BV18" s="129" t="e">
        <f t="shared" si="29"/>
        <v>#DIV/0!</v>
      </c>
      <c r="BW18" s="129">
        <f t="shared" si="19"/>
        <v>1</v>
      </c>
      <c r="BX18" s="129">
        <f t="shared" si="1"/>
        <v>1.0460652460964908</v>
      </c>
      <c r="BY18" s="129"/>
      <c r="BZ18" s="129" t="e">
        <f t="shared" si="30"/>
        <v>#DIV/0!</v>
      </c>
      <c r="CA18" s="129">
        <f t="shared" si="20"/>
        <v>1</v>
      </c>
      <c r="CB18" s="129">
        <f t="shared" si="2"/>
        <v>0.97058738015186008</v>
      </c>
    </row>
    <row r="19" spans="1:80" hidden="1" x14ac:dyDescent="0.2">
      <c r="A19" s="133" t="s">
        <v>664</v>
      </c>
      <c r="B19" s="133">
        <f t="shared" si="3"/>
        <v>1958</v>
      </c>
      <c r="D19" s="5">
        <f>'Passenger-Highway'!G19</f>
        <v>0</v>
      </c>
      <c r="E19" s="5">
        <f>'Passenger-Rail'!F19</f>
        <v>0</v>
      </c>
      <c r="F19" s="5">
        <f>'Passenger-Air'!F17</f>
        <v>0</v>
      </c>
      <c r="G19" s="5">
        <f t="shared" si="4"/>
        <v>0</v>
      </c>
      <c r="I19" s="5">
        <f>'Passenger-Highway'!L19</f>
        <v>0</v>
      </c>
      <c r="J19" s="5">
        <f>'Passenger-Rail'!J19</f>
        <v>0</v>
      </c>
      <c r="K19" s="5">
        <f>'Passenger-Air'!J17</f>
        <v>2100</v>
      </c>
      <c r="L19" s="5">
        <f t="shared" si="5"/>
        <v>2100</v>
      </c>
      <c r="S19" s="129"/>
      <c r="T19" s="129"/>
      <c r="U19" s="129"/>
      <c r="V19" s="129"/>
      <c r="W19" s="129"/>
      <c r="X19" s="129"/>
      <c r="Y19" s="129"/>
      <c r="AA19" s="131"/>
      <c r="AB19" s="131"/>
      <c r="AC19" s="131"/>
      <c r="AD19" s="131"/>
      <c r="AE19" s="131"/>
      <c r="AF19" s="131"/>
      <c r="AG19" s="131"/>
      <c r="AH19" s="131"/>
      <c r="AI19" s="131"/>
      <c r="AL19" s="134"/>
      <c r="AN19" t="e">
        <f t="shared" si="6"/>
        <v>#DIV/0!</v>
      </c>
      <c r="AO19" t="e">
        <f t="shared" si="7"/>
        <v>#DIV/0!</v>
      </c>
      <c r="AP19" t="e">
        <f t="shared" si="8"/>
        <v>#DIV/0!</v>
      </c>
      <c r="AR19" t="e">
        <f t="shared" si="9"/>
        <v>#DIV/0!</v>
      </c>
      <c r="AS19" t="e">
        <f t="shared" si="10"/>
        <v>#DIV/0!</v>
      </c>
      <c r="AT19" t="e">
        <f t="shared" si="10"/>
        <v>#DIV/0!</v>
      </c>
      <c r="AU19" t="e">
        <f t="shared" si="21"/>
        <v>#DIV/0!</v>
      </c>
      <c r="AW19" t="e">
        <f t="shared" si="22"/>
        <v>#DIV/0!</v>
      </c>
      <c r="AX19" t="e">
        <f t="shared" si="23"/>
        <v>#DIV/0!</v>
      </c>
      <c r="AY19" t="e">
        <f t="shared" si="24"/>
        <v>#DIV/0!</v>
      </c>
      <c r="BB19" s="129" t="e">
        <f t="shared" si="11"/>
        <v>#DIV/0!</v>
      </c>
      <c r="BC19" s="129" t="e">
        <f t="shared" si="12"/>
        <v>#DIV/0!</v>
      </c>
      <c r="BD19" s="129" t="e">
        <f t="shared" si="12"/>
        <v>#DIV/0!</v>
      </c>
      <c r="BF19" s="129">
        <f t="shared" si="13"/>
        <v>0</v>
      </c>
      <c r="BG19" s="129">
        <f t="shared" si="14"/>
        <v>0</v>
      </c>
      <c r="BH19" s="129">
        <f t="shared" si="15"/>
        <v>1</v>
      </c>
      <c r="BJ19" s="129" t="e">
        <f t="shared" si="25"/>
        <v>#DIV/0!</v>
      </c>
      <c r="BK19" s="129" t="e">
        <f t="shared" si="26"/>
        <v>#DIV/0!</v>
      </c>
      <c r="BL19" s="129">
        <f t="shared" si="27"/>
        <v>0</v>
      </c>
      <c r="BN19" s="129" t="e">
        <f t="shared" si="16"/>
        <v>#DIV/0!</v>
      </c>
      <c r="BO19" s="129" t="e">
        <f t="shared" si="17"/>
        <v>#DIV/0!</v>
      </c>
      <c r="BP19" s="129" t="e">
        <f t="shared" si="17"/>
        <v>#DIV/0!</v>
      </c>
      <c r="BR19" s="129" t="e">
        <f t="shared" si="28"/>
        <v>#DIV/0!</v>
      </c>
      <c r="BS19" s="129">
        <f t="shared" si="18"/>
        <v>1</v>
      </c>
      <c r="BT19" s="129">
        <f t="shared" si="0"/>
        <v>1.2759163330998435</v>
      </c>
      <c r="BU19" s="129"/>
      <c r="BV19" s="129" t="e">
        <f t="shared" si="29"/>
        <v>#DIV/0!</v>
      </c>
      <c r="BW19" s="129">
        <f t="shared" si="19"/>
        <v>1</v>
      </c>
      <c r="BX19" s="129">
        <f t="shared" si="1"/>
        <v>1.0460652460964908</v>
      </c>
      <c r="BY19" s="129"/>
      <c r="BZ19" s="129" t="e">
        <f t="shared" si="30"/>
        <v>#DIV/0!</v>
      </c>
      <c r="CA19" s="129">
        <f t="shared" si="20"/>
        <v>1</v>
      </c>
      <c r="CB19" s="129">
        <f t="shared" si="2"/>
        <v>0.97058738015186008</v>
      </c>
    </row>
    <row r="20" spans="1:80" hidden="1" x14ac:dyDescent="0.2">
      <c r="A20" s="133" t="s">
        <v>664</v>
      </c>
      <c r="B20" s="133">
        <f t="shared" si="3"/>
        <v>1959</v>
      </c>
      <c r="D20" s="5">
        <f>'Passenger-Highway'!G20</f>
        <v>0</v>
      </c>
      <c r="E20" s="5">
        <f>'Passenger-Rail'!F20</f>
        <v>0</v>
      </c>
      <c r="F20" s="5">
        <f>'Passenger-Air'!F18</f>
        <v>0</v>
      </c>
      <c r="G20" s="5">
        <f t="shared" si="4"/>
        <v>0</v>
      </c>
      <c r="I20" s="5">
        <f>'Passenger-Highway'!L20</f>
        <v>0</v>
      </c>
      <c r="J20" s="5">
        <f>'Passenger-Rail'!J20</f>
        <v>0</v>
      </c>
      <c r="K20" s="5">
        <f>'Passenger-Air'!J18</f>
        <v>2100</v>
      </c>
      <c r="L20" s="5">
        <f t="shared" si="5"/>
        <v>2100</v>
      </c>
      <c r="S20" s="129"/>
      <c r="T20" s="129"/>
      <c r="U20" s="129"/>
      <c r="V20" s="129"/>
      <c r="W20" s="129"/>
      <c r="X20" s="129"/>
      <c r="Y20" s="129"/>
      <c r="AA20" s="131"/>
      <c r="AB20" s="131"/>
      <c r="AC20" s="131"/>
      <c r="AD20" s="131"/>
      <c r="AE20" s="131"/>
      <c r="AF20" s="131"/>
      <c r="AG20" s="131"/>
      <c r="AH20" s="131"/>
      <c r="AI20" s="131"/>
      <c r="AL20" s="134"/>
      <c r="AN20" t="e">
        <f t="shared" si="6"/>
        <v>#DIV/0!</v>
      </c>
      <c r="AO20" t="e">
        <f t="shared" si="7"/>
        <v>#DIV/0!</v>
      </c>
      <c r="AP20" t="e">
        <f t="shared" si="8"/>
        <v>#DIV/0!</v>
      </c>
      <c r="AR20" t="e">
        <f t="shared" si="9"/>
        <v>#DIV/0!</v>
      </c>
      <c r="AS20" t="e">
        <f t="shared" si="10"/>
        <v>#DIV/0!</v>
      </c>
      <c r="AT20" t="e">
        <f t="shared" si="10"/>
        <v>#DIV/0!</v>
      </c>
      <c r="AU20" t="e">
        <f t="shared" si="21"/>
        <v>#DIV/0!</v>
      </c>
      <c r="AW20" t="e">
        <f t="shared" si="22"/>
        <v>#DIV/0!</v>
      </c>
      <c r="AX20" t="e">
        <f t="shared" si="23"/>
        <v>#DIV/0!</v>
      </c>
      <c r="AY20" t="e">
        <f t="shared" si="24"/>
        <v>#DIV/0!</v>
      </c>
      <c r="BB20" s="129" t="e">
        <f t="shared" si="11"/>
        <v>#DIV/0!</v>
      </c>
      <c r="BC20" s="129" t="e">
        <f t="shared" si="12"/>
        <v>#DIV/0!</v>
      </c>
      <c r="BD20" s="129" t="e">
        <f t="shared" si="12"/>
        <v>#DIV/0!</v>
      </c>
      <c r="BF20" s="129">
        <f t="shared" si="13"/>
        <v>0</v>
      </c>
      <c r="BG20" s="129">
        <f t="shared" si="14"/>
        <v>0</v>
      </c>
      <c r="BH20" s="129">
        <f t="shared" si="15"/>
        <v>1</v>
      </c>
      <c r="BJ20" s="129" t="e">
        <f t="shared" si="25"/>
        <v>#DIV/0!</v>
      </c>
      <c r="BK20" s="129" t="e">
        <f t="shared" si="26"/>
        <v>#DIV/0!</v>
      </c>
      <c r="BL20" s="129">
        <f t="shared" si="27"/>
        <v>0</v>
      </c>
      <c r="BN20" s="129" t="e">
        <f t="shared" si="16"/>
        <v>#DIV/0!</v>
      </c>
      <c r="BO20" s="129" t="e">
        <f t="shared" si="17"/>
        <v>#DIV/0!</v>
      </c>
      <c r="BP20" s="129" t="e">
        <f t="shared" si="17"/>
        <v>#DIV/0!</v>
      </c>
      <c r="BR20" s="129" t="e">
        <f t="shared" si="28"/>
        <v>#DIV/0!</v>
      </c>
      <c r="BS20" s="129">
        <f t="shared" si="18"/>
        <v>1</v>
      </c>
      <c r="BT20" s="129">
        <f t="shared" si="0"/>
        <v>1.2759163330998435</v>
      </c>
      <c r="BU20" s="129"/>
      <c r="BV20" s="129" t="e">
        <f t="shared" si="29"/>
        <v>#DIV/0!</v>
      </c>
      <c r="BW20" s="129">
        <f t="shared" si="19"/>
        <v>1</v>
      </c>
      <c r="BX20" s="129">
        <f t="shared" si="1"/>
        <v>1.0460652460964908</v>
      </c>
      <c r="BY20" s="129"/>
      <c r="BZ20" s="129" t="e">
        <f t="shared" si="30"/>
        <v>#DIV/0!</v>
      </c>
      <c r="CA20" s="129">
        <f t="shared" si="20"/>
        <v>1</v>
      </c>
      <c r="CB20" s="129">
        <f t="shared" si="2"/>
        <v>0.97058738015186008</v>
      </c>
    </row>
    <row r="21" spans="1:80" hidden="1" x14ac:dyDescent="0.2">
      <c r="A21" s="133" t="s">
        <v>664</v>
      </c>
      <c r="B21" s="133">
        <f t="shared" si="3"/>
        <v>1960</v>
      </c>
      <c r="D21" s="5">
        <f>'Passenger-Highway'!G21</f>
        <v>0</v>
      </c>
      <c r="E21" s="5">
        <f>'Passenger-Rail'!F21</f>
        <v>0</v>
      </c>
      <c r="F21" s="5">
        <f>'Passenger-Air'!F19</f>
        <v>0</v>
      </c>
      <c r="G21" s="5">
        <f t="shared" si="4"/>
        <v>0</v>
      </c>
      <c r="I21" s="5">
        <f>'Passenger-Highway'!L21</f>
        <v>0</v>
      </c>
      <c r="J21" s="5">
        <f>'Passenger-Rail'!J21</f>
        <v>0</v>
      </c>
      <c r="K21" s="5">
        <f>'Passenger-Air'!J19</f>
        <v>2300</v>
      </c>
      <c r="L21" s="5">
        <f t="shared" si="5"/>
        <v>2300</v>
      </c>
      <c r="S21" s="129"/>
      <c r="T21" s="129"/>
      <c r="U21" s="129"/>
      <c r="V21" s="129"/>
      <c r="W21" s="129"/>
      <c r="X21" s="129"/>
      <c r="Y21" s="129"/>
      <c r="AA21" s="131"/>
      <c r="AB21" s="131"/>
      <c r="AC21" s="131"/>
      <c r="AD21" s="131"/>
      <c r="AE21" s="131"/>
      <c r="AF21" s="131"/>
      <c r="AG21" s="131"/>
      <c r="AH21" s="131"/>
      <c r="AI21" s="131"/>
      <c r="AL21" s="134"/>
      <c r="AN21" t="e">
        <f t="shared" si="6"/>
        <v>#DIV/0!</v>
      </c>
      <c r="AO21" t="e">
        <f t="shared" si="7"/>
        <v>#DIV/0!</v>
      </c>
      <c r="AP21" t="e">
        <f t="shared" si="8"/>
        <v>#DIV/0!</v>
      </c>
      <c r="AR21" t="e">
        <f t="shared" si="9"/>
        <v>#DIV/0!</v>
      </c>
      <c r="AS21" t="e">
        <f t="shared" si="10"/>
        <v>#DIV/0!</v>
      </c>
      <c r="AT21" t="e">
        <f t="shared" si="10"/>
        <v>#DIV/0!</v>
      </c>
      <c r="AU21" t="e">
        <f t="shared" si="21"/>
        <v>#DIV/0!</v>
      </c>
      <c r="AW21" t="e">
        <f t="shared" si="22"/>
        <v>#DIV/0!</v>
      </c>
      <c r="AX21" t="e">
        <f t="shared" si="23"/>
        <v>#DIV/0!</v>
      </c>
      <c r="AY21" t="e">
        <f t="shared" si="24"/>
        <v>#DIV/0!</v>
      </c>
      <c r="BB21" s="129" t="e">
        <f t="shared" si="11"/>
        <v>#DIV/0!</v>
      </c>
      <c r="BC21" s="129" t="e">
        <f t="shared" si="12"/>
        <v>#DIV/0!</v>
      </c>
      <c r="BD21" s="129" t="e">
        <f t="shared" si="12"/>
        <v>#DIV/0!</v>
      </c>
      <c r="BF21" s="129">
        <f t="shared" si="13"/>
        <v>0</v>
      </c>
      <c r="BG21" s="129">
        <f t="shared" si="14"/>
        <v>0</v>
      </c>
      <c r="BH21" s="129">
        <f t="shared" si="15"/>
        <v>1</v>
      </c>
      <c r="BJ21" s="129" t="e">
        <f t="shared" si="25"/>
        <v>#DIV/0!</v>
      </c>
      <c r="BK21" s="129" t="e">
        <f t="shared" si="26"/>
        <v>#DIV/0!</v>
      </c>
      <c r="BL21" s="129">
        <f t="shared" si="27"/>
        <v>0</v>
      </c>
      <c r="BN21" s="129" t="e">
        <f t="shared" si="16"/>
        <v>#DIV/0!</v>
      </c>
      <c r="BO21" s="129" t="e">
        <f t="shared" si="17"/>
        <v>#DIV/0!</v>
      </c>
      <c r="BP21" s="129" t="e">
        <f t="shared" si="17"/>
        <v>#DIV/0!</v>
      </c>
      <c r="BR21" s="129" t="e">
        <f t="shared" si="28"/>
        <v>#DIV/0!</v>
      </c>
      <c r="BS21" s="129">
        <f t="shared" si="18"/>
        <v>1</v>
      </c>
      <c r="BT21" s="129">
        <f t="shared" si="0"/>
        <v>1.2759163330998435</v>
      </c>
      <c r="BU21" s="129"/>
      <c r="BV21" s="129" t="e">
        <f t="shared" si="29"/>
        <v>#DIV/0!</v>
      </c>
      <c r="BW21" s="129">
        <f t="shared" si="19"/>
        <v>1</v>
      </c>
      <c r="BX21" s="129">
        <f t="shared" si="1"/>
        <v>1.0460652460964908</v>
      </c>
      <c r="BY21" s="129"/>
      <c r="BZ21" s="129" t="e">
        <f t="shared" si="30"/>
        <v>#DIV/0!</v>
      </c>
      <c r="CA21" s="129">
        <f t="shared" si="20"/>
        <v>1</v>
      </c>
      <c r="CB21" s="129">
        <f t="shared" si="2"/>
        <v>0.97058738015186008</v>
      </c>
    </row>
    <row r="22" spans="1:80" hidden="1" x14ac:dyDescent="0.2">
      <c r="A22" s="133" t="s">
        <v>664</v>
      </c>
      <c r="B22" s="133">
        <f t="shared" si="3"/>
        <v>1961</v>
      </c>
      <c r="D22" s="5">
        <f>'Passenger-Highway'!G22</f>
        <v>0</v>
      </c>
      <c r="E22" s="5">
        <f>'Passenger-Rail'!F22</f>
        <v>0</v>
      </c>
      <c r="F22" s="5">
        <f>'Passenger-Air'!F20</f>
        <v>0</v>
      </c>
      <c r="G22" s="5">
        <f t="shared" si="4"/>
        <v>0</v>
      </c>
      <c r="I22" s="5">
        <f>'Passenger-Highway'!L22</f>
        <v>0</v>
      </c>
      <c r="J22" s="5">
        <f>'Passenger-Rail'!J22</f>
        <v>0</v>
      </c>
      <c r="K22" s="5">
        <f>'Passenger-Air'!J20</f>
        <v>2300</v>
      </c>
      <c r="L22" s="5">
        <f t="shared" si="5"/>
        <v>2300</v>
      </c>
      <c r="S22" s="129"/>
      <c r="T22" s="129"/>
      <c r="U22" s="129"/>
      <c r="V22" s="129"/>
      <c r="W22" s="129"/>
      <c r="X22" s="129"/>
      <c r="Y22" s="129"/>
      <c r="AA22" s="131"/>
      <c r="AB22" s="131"/>
      <c r="AC22" s="131"/>
      <c r="AD22" s="131"/>
      <c r="AE22" s="131"/>
      <c r="AF22" s="131"/>
      <c r="AG22" s="131"/>
      <c r="AH22" s="131"/>
      <c r="AI22" s="131"/>
      <c r="AL22" s="134"/>
      <c r="AN22" t="e">
        <f t="shared" si="6"/>
        <v>#DIV/0!</v>
      </c>
      <c r="AO22" t="e">
        <f t="shared" si="7"/>
        <v>#DIV/0!</v>
      </c>
      <c r="AP22" t="e">
        <f t="shared" si="8"/>
        <v>#DIV/0!</v>
      </c>
      <c r="AR22" t="e">
        <f t="shared" si="9"/>
        <v>#DIV/0!</v>
      </c>
      <c r="AS22" t="e">
        <f t="shared" si="10"/>
        <v>#DIV/0!</v>
      </c>
      <c r="AT22" t="e">
        <f t="shared" si="10"/>
        <v>#DIV/0!</v>
      </c>
      <c r="AU22" t="e">
        <f t="shared" si="21"/>
        <v>#DIV/0!</v>
      </c>
      <c r="AW22" t="e">
        <f t="shared" si="22"/>
        <v>#DIV/0!</v>
      </c>
      <c r="AX22" t="e">
        <f t="shared" si="23"/>
        <v>#DIV/0!</v>
      </c>
      <c r="AY22" t="e">
        <f t="shared" si="24"/>
        <v>#DIV/0!</v>
      </c>
      <c r="BB22" s="129" t="e">
        <f t="shared" si="11"/>
        <v>#DIV/0!</v>
      </c>
      <c r="BC22" s="129" t="e">
        <f t="shared" si="12"/>
        <v>#DIV/0!</v>
      </c>
      <c r="BD22" s="129" t="e">
        <f t="shared" si="12"/>
        <v>#DIV/0!</v>
      </c>
      <c r="BF22" s="129">
        <f t="shared" si="13"/>
        <v>0</v>
      </c>
      <c r="BG22" s="129">
        <f t="shared" si="14"/>
        <v>0</v>
      </c>
      <c r="BH22" s="129">
        <f t="shared" si="15"/>
        <v>1</v>
      </c>
      <c r="BJ22" s="129" t="e">
        <f t="shared" si="25"/>
        <v>#DIV/0!</v>
      </c>
      <c r="BK22" s="129" t="e">
        <f t="shared" si="26"/>
        <v>#DIV/0!</v>
      </c>
      <c r="BL22" s="129">
        <f t="shared" si="27"/>
        <v>0</v>
      </c>
      <c r="BN22" s="129" t="e">
        <f t="shared" si="16"/>
        <v>#DIV/0!</v>
      </c>
      <c r="BO22" s="129" t="e">
        <f t="shared" si="17"/>
        <v>#DIV/0!</v>
      </c>
      <c r="BP22" s="129" t="e">
        <f t="shared" si="17"/>
        <v>#DIV/0!</v>
      </c>
      <c r="BR22" s="129" t="e">
        <f t="shared" si="28"/>
        <v>#DIV/0!</v>
      </c>
      <c r="BS22" s="129">
        <f t="shared" si="18"/>
        <v>1</v>
      </c>
      <c r="BT22" s="129">
        <f t="shared" si="0"/>
        <v>1.2759163330998435</v>
      </c>
      <c r="BU22" s="129"/>
      <c r="BV22" s="129" t="e">
        <f t="shared" si="29"/>
        <v>#DIV/0!</v>
      </c>
      <c r="BW22" s="129">
        <f t="shared" si="19"/>
        <v>1</v>
      </c>
      <c r="BX22" s="129">
        <f t="shared" si="1"/>
        <v>1.0460652460964908</v>
      </c>
      <c r="BY22" s="129"/>
      <c r="BZ22" s="129" t="e">
        <f t="shared" si="30"/>
        <v>#DIV/0!</v>
      </c>
      <c r="CA22" s="129">
        <f t="shared" si="20"/>
        <v>1</v>
      </c>
      <c r="CB22" s="129">
        <f t="shared" si="2"/>
        <v>0.97058738015186008</v>
      </c>
    </row>
    <row r="23" spans="1:80" hidden="1" x14ac:dyDescent="0.2">
      <c r="A23" s="133" t="s">
        <v>664</v>
      </c>
      <c r="B23" s="133">
        <f t="shared" si="3"/>
        <v>1962</v>
      </c>
      <c r="D23" s="5">
        <f>'Passenger-Highway'!G23</f>
        <v>0</v>
      </c>
      <c r="E23" s="5">
        <f>'Passenger-Rail'!F23</f>
        <v>0</v>
      </c>
      <c r="F23" s="5">
        <f>'Passenger-Air'!F21</f>
        <v>31.668199999999999</v>
      </c>
      <c r="G23" s="5">
        <f t="shared" si="4"/>
        <v>31.668199999999999</v>
      </c>
      <c r="I23" s="5">
        <f>'Passenger-Highway'!L23</f>
        <v>0</v>
      </c>
      <c r="J23" s="5">
        <f>'Passenger-Rail'!J23</f>
        <v>0</v>
      </c>
      <c r="K23" s="5">
        <f>'Passenger-Air'!J21</f>
        <v>2700</v>
      </c>
      <c r="L23" s="5">
        <f t="shared" si="5"/>
        <v>2700</v>
      </c>
      <c r="S23" s="129"/>
      <c r="T23" s="129"/>
      <c r="U23" s="129"/>
      <c r="V23" s="129"/>
      <c r="W23" s="129"/>
      <c r="X23" s="129"/>
      <c r="Y23" s="129"/>
      <c r="AA23" s="131"/>
      <c r="AB23" s="131"/>
      <c r="AC23" s="131"/>
      <c r="AD23" s="131"/>
      <c r="AE23" s="131"/>
      <c r="AF23" s="131"/>
      <c r="AG23" s="131"/>
      <c r="AH23" s="131"/>
      <c r="AI23" s="131"/>
      <c r="AL23" s="134"/>
      <c r="AN23">
        <f t="shared" si="6"/>
        <v>0</v>
      </c>
      <c r="AO23">
        <f t="shared" si="7"/>
        <v>0</v>
      </c>
      <c r="AP23">
        <f t="shared" si="8"/>
        <v>1</v>
      </c>
      <c r="AR23" t="e">
        <f t="shared" si="9"/>
        <v>#DIV/0!</v>
      </c>
      <c r="AS23" t="e">
        <f t="shared" si="10"/>
        <v>#DIV/0!</v>
      </c>
      <c r="AT23" t="e">
        <f t="shared" si="10"/>
        <v>#DIV/0!</v>
      </c>
      <c r="AU23" t="e">
        <f t="shared" si="21"/>
        <v>#DIV/0!</v>
      </c>
      <c r="AW23" t="e">
        <f t="shared" si="22"/>
        <v>#DIV/0!</v>
      </c>
      <c r="AX23" t="e">
        <f t="shared" si="23"/>
        <v>#DIV/0!</v>
      </c>
      <c r="AY23" t="e">
        <f t="shared" si="24"/>
        <v>#DIV/0!</v>
      </c>
      <c r="BB23" s="129" t="e">
        <f t="shared" si="11"/>
        <v>#DIV/0!</v>
      </c>
      <c r="BC23" s="129" t="e">
        <f t="shared" si="12"/>
        <v>#DIV/0!</v>
      </c>
      <c r="BD23" s="129" t="e">
        <f t="shared" si="12"/>
        <v>#DIV/0!</v>
      </c>
      <c r="BF23" s="129">
        <f t="shared" si="13"/>
        <v>0</v>
      </c>
      <c r="BG23" s="129">
        <f t="shared" si="14"/>
        <v>0</v>
      </c>
      <c r="BH23" s="129">
        <f t="shared" si="15"/>
        <v>1</v>
      </c>
      <c r="BJ23" s="129" t="e">
        <f t="shared" si="25"/>
        <v>#DIV/0!</v>
      </c>
      <c r="BK23" s="129" t="e">
        <f t="shared" si="26"/>
        <v>#DIV/0!</v>
      </c>
      <c r="BL23" s="129">
        <f t="shared" si="27"/>
        <v>0</v>
      </c>
      <c r="BN23" s="129" t="e">
        <f t="shared" si="16"/>
        <v>#DIV/0!</v>
      </c>
      <c r="BO23" s="129" t="e">
        <f t="shared" si="17"/>
        <v>#DIV/0!</v>
      </c>
      <c r="BP23" s="129" t="e">
        <f t="shared" si="17"/>
        <v>#DIV/0!</v>
      </c>
      <c r="BR23" s="129" t="e">
        <f t="shared" si="28"/>
        <v>#DIV/0!</v>
      </c>
      <c r="BS23" s="129">
        <f t="shared" si="18"/>
        <v>1</v>
      </c>
      <c r="BT23" s="129">
        <f t="shared" si="0"/>
        <v>1.2759163330998435</v>
      </c>
      <c r="BU23" s="129"/>
      <c r="BV23" s="129" t="e">
        <f t="shared" si="29"/>
        <v>#DIV/0!</v>
      </c>
      <c r="BW23" s="129">
        <f t="shared" si="19"/>
        <v>1</v>
      </c>
      <c r="BX23" s="129">
        <f t="shared" si="1"/>
        <v>1.0460652460964908</v>
      </c>
      <c r="BY23" s="129"/>
      <c r="BZ23" s="129" t="e">
        <f t="shared" si="30"/>
        <v>#DIV/0!</v>
      </c>
      <c r="CA23" s="129">
        <f t="shared" si="20"/>
        <v>1</v>
      </c>
      <c r="CB23" s="129">
        <f t="shared" si="2"/>
        <v>0.97058738015186008</v>
      </c>
    </row>
    <row r="24" spans="1:80" hidden="1" x14ac:dyDescent="0.2">
      <c r="A24" s="133" t="s">
        <v>664</v>
      </c>
      <c r="B24" s="133">
        <f t="shared" si="3"/>
        <v>1963</v>
      </c>
      <c r="D24" s="5">
        <f>'Passenger-Highway'!G24</f>
        <v>0</v>
      </c>
      <c r="E24" s="5">
        <f>'Passenger-Rail'!F24</f>
        <v>0</v>
      </c>
      <c r="F24" s="5">
        <f>'Passenger-Air'!F22</f>
        <v>34.369999999999997</v>
      </c>
      <c r="G24" s="5">
        <f t="shared" si="4"/>
        <v>34.369999999999997</v>
      </c>
      <c r="I24" s="5">
        <f>'Passenger-Highway'!L24</f>
        <v>0</v>
      </c>
      <c r="J24" s="5">
        <f>'Passenger-Rail'!J24</f>
        <v>0</v>
      </c>
      <c r="K24" s="5">
        <f>'Passenger-Air'!J22</f>
        <v>3400</v>
      </c>
      <c r="L24" s="5">
        <f t="shared" si="5"/>
        <v>3400</v>
      </c>
      <c r="S24" s="129"/>
      <c r="T24" s="129"/>
      <c r="U24" s="129"/>
      <c r="V24" s="129"/>
      <c r="W24" s="129"/>
      <c r="X24" s="129"/>
      <c r="Y24" s="129"/>
      <c r="AA24" s="131"/>
      <c r="AB24" s="131"/>
      <c r="AC24" s="131"/>
      <c r="AD24" s="131"/>
      <c r="AE24" s="131"/>
      <c r="AF24" s="131"/>
      <c r="AG24" s="131"/>
      <c r="AH24" s="131"/>
      <c r="AI24" s="131"/>
      <c r="AL24" s="134"/>
      <c r="AN24">
        <f t="shared" si="6"/>
        <v>0</v>
      </c>
      <c r="AO24">
        <f t="shared" si="7"/>
        <v>0</v>
      </c>
      <c r="AP24">
        <f t="shared" si="8"/>
        <v>1</v>
      </c>
      <c r="AR24" t="e">
        <f t="shared" si="9"/>
        <v>#DIV/0!</v>
      </c>
      <c r="AS24" t="e">
        <f t="shared" si="10"/>
        <v>#DIV/0!</v>
      </c>
      <c r="AT24" t="e">
        <f t="shared" si="10"/>
        <v>#DIV/0!</v>
      </c>
      <c r="AU24" t="e">
        <f t="shared" si="21"/>
        <v>#DIV/0!</v>
      </c>
      <c r="AW24" t="e">
        <f t="shared" si="22"/>
        <v>#DIV/0!</v>
      </c>
      <c r="AX24" t="e">
        <f t="shared" si="23"/>
        <v>#DIV/0!</v>
      </c>
      <c r="AY24" t="e">
        <f t="shared" si="24"/>
        <v>#DIV/0!</v>
      </c>
      <c r="BB24" s="129" t="e">
        <f t="shared" si="11"/>
        <v>#DIV/0!</v>
      </c>
      <c r="BC24" s="129" t="e">
        <f t="shared" si="12"/>
        <v>#DIV/0!</v>
      </c>
      <c r="BD24" s="129" t="e">
        <f t="shared" si="12"/>
        <v>#DIV/0!</v>
      </c>
      <c r="BF24" s="129">
        <f t="shared" si="13"/>
        <v>0</v>
      </c>
      <c r="BG24" s="129">
        <f t="shared" si="14"/>
        <v>0</v>
      </c>
      <c r="BH24" s="129">
        <f t="shared" si="15"/>
        <v>1</v>
      </c>
      <c r="BJ24" s="129" t="e">
        <f t="shared" si="25"/>
        <v>#DIV/0!</v>
      </c>
      <c r="BK24" s="129" t="e">
        <f t="shared" si="26"/>
        <v>#DIV/0!</v>
      </c>
      <c r="BL24" s="129">
        <f t="shared" si="27"/>
        <v>0</v>
      </c>
      <c r="BN24" s="129" t="e">
        <f t="shared" si="16"/>
        <v>#DIV/0!</v>
      </c>
      <c r="BO24" s="129" t="e">
        <f t="shared" si="17"/>
        <v>#DIV/0!</v>
      </c>
      <c r="BP24" s="129" t="e">
        <f t="shared" si="17"/>
        <v>#DIV/0!</v>
      </c>
      <c r="BR24" s="129" t="e">
        <f t="shared" si="28"/>
        <v>#DIV/0!</v>
      </c>
      <c r="BS24" s="129">
        <f t="shared" si="18"/>
        <v>1</v>
      </c>
      <c r="BT24" s="129">
        <f t="shared" si="0"/>
        <v>1.2759163330998435</v>
      </c>
      <c r="BU24" s="129"/>
      <c r="BV24" s="129" t="e">
        <f t="shared" si="29"/>
        <v>#DIV/0!</v>
      </c>
      <c r="BW24" s="129">
        <f t="shared" si="19"/>
        <v>1</v>
      </c>
      <c r="BX24" s="129">
        <f t="shared" si="1"/>
        <v>1.0460652460964908</v>
      </c>
      <c r="BY24" s="129"/>
      <c r="BZ24" s="129" t="e">
        <f t="shared" si="30"/>
        <v>#DIV/0!</v>
      </c>
      <c r="CA24" s="129">
        <f t="shared" si="20"/>
        <v>1</v>
      </c>
      <c r="CB24" s="129">
        <f t="shared" si="2"/>
        <v>0.97058738015186008</v>
      </c>
    </row>
    <row r="25" spans="1:80" hidden="1" x14ac:dyDescent="0.2">
      <c r="A25" s="133" t="s">
        <v>664</v>
      </c>
      <c r="B25" s="133">
        <f t="shared" si="3"/>
        <v>1964</v>
      </c>
      <c r="D25" s="5">
        <f>'Passenger-Highway'!G25</f>
        <v>0</v>
      </c>
      <c r="E25" s="5">
        <f>'Passenger-Rail'!F25</f>
        <v>0</v>
      </c>
      <c r="F25" s="5">
        <f>'Passenger-Air'!F23</f>
        <v>37.0274</v>
      </c>
      <c r="G25" s="5">
        <f t="shared" si="4"/>
        <v>37.0274</v>
      </c>
      <c r="I25" s="5">
        <f>'Passenger-Highway'!L25</f>
        <v>0</v>
      </c>
      <c r="J25" s="5">
        <f>'Passenger-Rail'!J25</f>
        <v>0</v>
      </c>
      <c r="K25" s="5">
        <f>'Passenger-Air'!J23</f>
        <v>3700</v>
      </c>
      <c r="L25" s="5">
        <f t="shared" si="5"/>
        <v>3700</v>
      </c>
      <c r="S25" s="129"/>
      <c r="T25" s="129"/>
      <c r="U25" s="129"/>
      <c r="V25" s="129"/>
      <c r="W25" s="129"/>
      <c r="X25" s="129"/>
      <c r="Y25" s="129"/>
      <c r="AA25" s="131"/>
      <c r="AB25" s="131"/>
      <c r="AC25" s="131"/>
      <c r="AD25" s="131"/>
      <c r="AE25" s="131"/>
      <c r="AF25" s="131"/>
      <c r="AG25" s="131"/>
      <c r="AH25" s="131"/>
      <c r="AI25" s="131"/>
      <c r="AL25" s="134"/>
      <c r="AN25">
        <f t="shared" si="6"/>
        <v>0</v>
      </c>
      <c r="AO25">
        <f t="shared" si="7"/>
        <v>0</v>
      </c>
      <c r="AP25">
        <f t="shared" si="8"/>
        <v>1</v>
      </c>
      <c r="AR25" t="e">
        <f t="shared" si="9"/>
        <v>#DIV/0!</v>
      </c>
      <c r="AS25" t="e">
        <f t="shared" si="10"/>
        <v>#DIV/0!</v>
      </c>
      <c r="AT25" t="e">
        <f t="shared" si="10"/>
        <v>#DIV/0!</v>
      </c>
      <c r="AU25" t="e">
        <f t="shared" si="21"/>
        <v>#DIV/0!</v>
      </c>
      <c r="AW25" t="e">
        <f t="shared" si="22"/>
        <v>#DIV/0!</v>
      </c>
      <c r="AX25" t="e">
        <f t="shared" si="23"/>
        <v>#DIV/0!</v>
      </c>
      <c r="AY25" t="e">
        <f t="shared" si="24"/>
        <v>#DIV/0!</v>
      </c>
      <c r="BB25" s="129" t="e">
        <f t="shared" si="11"/>
        <v>#DIV/0!</v>
      </c>
      <c r="BC25" s="129" t="e">
        <f t="shared" si="12"/>
        <v>#DIV/0!</v>
      </c>
      <c r="BD25" s="129" t="e">
        <f t="shared" si="12"/>
        <v>#DIV/0!</v>
      </c>
      <c r="BF25" s="129">
        <f t="shared" si="13"/>
        <v>0</v>
      </c>
      <c r="BG25" s="129">
        <f t="shared" si="14"/>
        <v>0</v>
      </c>
      <c r="BH25" s="129">
        <f t="shared" si="15"/>
        <v>1</v>
      </c>
      <c r="BJ25" s="129" t="e">
        <f t="shared" si="25"/>
        <v>#DIV/0!</v>
      </c>
      <c r="BK25" s="129" t="e">
        <f t="shared" si="26"/>
        <v>#DIV/0!</v>
      </c>
      <c r="BL25" s="129">
        <f t="shared" si="27"/>
        <v>0</v>
      </c>
      <c r="BN25" s="129" t="e">
        <f t="shared" si="16"/>
        <v>#DIV/0!</v>
      </c>
      <c r="BO25" s="129" t="e">
        <f t="shared" si="17"/>
        <v>#DIV/0!</v>
      </c>
      <c r="BP25" s="129" t="e">
        <f t="shared" si="17"/>
        <v>#DIV/0!</v>
      </c>
      <c r="BR25" s="129" t="e">
        <f t="shared" si="28"/>
        <v>#DIV/0!</v>
      </c>
      <c r="BS25" s="129">
        <f t="shared" si="18"/>
        <v>1</v>
      </c>
      <c r="BT25" s="129">
        <f t="shared" si="0"/>
        <v>1.2759163330998435</v>
      </c>
      <c r="BU25" s="129"/>
      <c r="BV25" s="129" t="e">
        <f t="shared" si="29"/>
        <v>#DIV/0!</v>
      </c>
      <c r="BW25" s="129">
        <f t="shared" si="19"/>
        <v>1</v>
      </c>
      <c r="BX25" s="129">
        <f t="shared" si="1"/>
        <v>1.0460652460964908</v>
      </c>
      <c r="BY25" s="129"/>
      <c r="BZ25" s="129" t="e">
        <f t="shared" si="30"/>
        <v>#DIV/0!</v>
      </c>
      <c r="CA25" s="129">
        <f t="shared" si="20"/>
        <v>1</v>
      </c>
      <c r="CB25" s="129">
        <f t="shared" si="2"/>
        <v>0.97058738015186008</v>
      </c>
    </row>
    <row r="26" spans="1:80" hidden="1" x14ac:dyDescent="0.2">
      <c r="A26" s="133" t="s">
        <v>664</v>
      </c>
      <c r="B26" s="133">
        <f t="shared" si="3"/>
        <v>1965</v>
      </c>
      <c r="D26" s="5">
        <f>'Passenger-Highway'!G26</f>
        <v>45.89058</v>
      </c>
      <c r="E26" s="5">
        <f>'Passenger-Rail'!F26</f>
        <v>0</v>
      </c>
      <c r="F26" s="5">
        <f>'Passenger-Air'!F24</f>
        <v>42.6584</v>
      </c>
      <c r="G26" s="5">
        <f t="shared" si="4"/>
        <v>88.54898</v>
      </c>
      <c r="I26" s="5">
        <f>'Passenger-Highway'!L26</f>
        <v>0</v>
      </c>
      <c r="J26" s="5">
        <f>'Passenger-Rail'!J26</f>
        <v>0</v>
      </c>
      <c r="K26" s="5">
        <f>'Passenger-Air'!J24</f>
        <v>4400</v>
      </c>
      <c r="L26" s="5">
        <f t="shared" si="5"/>
        <v>4400</v>
      </c>
      <c r="S26" s="129"/>
      <c r="T26" s="129"/>
      <c r="U26" s="129"/>
      <c r="V26" s="129"/>
      <c r="W26" s="129"/>
      <c r="X26" s="129"/>
      <c r="Y26" s="129"/>
      <c r="AA26" s="131"/>
      <c r="AB26" s="131"/>
      <c r="AC26" s="131"/>
      <c r="AD26" s="131"/>
      <c r="AE26" s="131"/>
      <c r="AF26" s="131"/>
      <c r="AG26" s="131"/>
      <c r="AH26" s="131"/>
      <c r="AI26" s="131"/>
      <c r="AL26" s="134"/>
      <c r="AN26">
        <f t="shared" si="6"/>
        <v>0.51825080311484106</v>
      </c>
      <c r="AO26">
        <f t="shared" si="7"/>
        <v>0</v>
      </c>
      <c r="AP26">
        <f t="shared" si="8"/>
        <v>0.48174919688515894</v>
      </c>
      <c r="AR26" t="e">
        <f t="shared" si="9"/>
        <v>#DIV/0!</v>
      </c>
      <c r="AS26" t="e">
        <f t="shared" si="10"/>
        <v>#DIV/0!</v>
      </c>
      <c r="AT26">
        <f t="shared" si="10"/>
        <v>0.70961023130496292</v>
      </c>
      <c r="AU26" t="e">
        <f t="shared" si="21"/>
        <v>#DIV/0!</v>
      </c>
      <c r="AW26" t="e">
        <f t="shared" si="22"/>
        <v>#DIV/0!</v>
      </c>
      <c r="AX26" t="e">
        <f t="shared" si="23"/>
        <v>#DIV/0!</v>
      </c>
      <c r="AY26" t="e">
        <f t="shared" si="24"/>
        <v>#DIV/0!</v>
      </c>
      <c r="BB26" s="129" t="e">
        <f t="shared" si="11"/>
        <v>#DIV/0!</v>
      </c>
      <c r="BC26" s="129" t="e">
        <f t="shared" si="12"/>
        <v>#DIV/0!</v>
      </c>
      <c r="BD26" s="129" t="e">
        <f t="shared" si="12"/>
        <v>#DIV/0!</v>
      </c>
      <c r="BF26" s="129">
        <f t="shared" si="13"/>
        <v>0</v>
      </c>
      <c r="BG26" s="129">
        <f t="shared" si="14"/>
        <v>0</v>
      </c>
      <c r="BH26" s="129">
        <f t="shared" si="15"/>
        <v>1</v>
      </c>
      <c r="BJ26" s="129" t="e">
        <f t="shared" si="25"/>
        <v>#DIV/0!</v>
      </c>
      <c r="BK26" s="129" t="e">
        <f t="shared" si="26"/>
        <v>#DIV/0!</v>
      </c>
      <c r="BL26" s="129">
        <f t="shared" si="27"/>
        <v>0</v>
      </c>
      <c r="BN26" s="129" t="e">
        <f t="shared" si="16"/>
        <v>#DIV/0!</v>
      </c>
      <c r="BO26" s="129" t="e">
        <f t="shared" si="17"/>
        <v>#DIV/0!</v>
      </c>
      <c r="BP26" s="129" t="e">
        <f t="shared" si="17"/>
        <v>#DIV/0!</v>
      </c>
      <c r="BR26" s="129" t="e">
        <f t="shared" si="28"/>
        <v>#DIV/0!</v>
      </c>
      <c r="BS26" s="129">
        <f t="shared" si="18"/>
        <v>1</v>
      </c>
      <c r="BT26" s="129">
        <f t="shared" si="0"/>
        <v>1.2759163330998435</v>
      </c>
      <c r="BU26" s="129"/>
      <c r="BV26" s="129" t="e">
        <f t="shared" si="29"/>
        <v>#DIV/0!</v>
      </c>
      <c r="BW26" s="129">
        <f t="shared" si="19"/>
        <v>1</v>
      </c>
      <c r="BX26" s="129">
        <f t="shared" si="1"/>
        <v>1.0460652460964908</v>
      </c>
      <c r="BY26" s="129"/>
      <c r="BZ26" s="129" t="e">
        <f t="shared" si="30"/>
        <v>#DIV/0!</v>
      </c>
      <c r="CA26" s="129">
        <f t="shared" si="20"/>
        <v>1</v>
      </c>
      <c r="CB26" s="129">
        <f t="shared" si="2"/>
        <v>0.97058738015186008</v>
      </c>
    </row>
    <row r="27" spans="1:80" hidden="1" x14ac:dyDescent="0.2">
      <c r="A27" s="133" t="s">
        <v>664</v>
      </c>
      <c r="B27" s="133">
        <f t="shared" si="3"/>
        <v>1966</v>
      </c>
      <c r="D27" s="5">
        <f>'Passenger-Highway'!G27</f>
        <v>45.007199999999997</v>
      </c>
      <c r="E27" s="5">
        <f>'Passenger-Rail'!F27</f>
        <v>0</v>
      </c>
      <c r="F27" s="5">
        <f>'Passenger-Air'!F25</f>
        <v>56.28</v>
      </c>
      <c r="G27" s="5">
        <f t="shared" si="4"/>
        <v>101.2872</v>
      </c>
      <c r="I27" s="5">
        <f>'Passenger-Highway'!L27</f>
        <v>1648883.8858051558</v>
      </c>
      <c r="J27" s="5">
        <f>'Passenger-Rail'!J27</f>
        <v>0</v>
      </c>
      <c r="K27" s="5">
        <f>'Passenger-Air'!J25</f>
        <v>5700</v>
      </c>
      <c r="L27" s="5">
        <f t="shared" si="5"/>
        <v>1654583.8858051558</v>
      </c>
      <c r="S27" s="129"/>
      <c r="T27" s="129"/>
      <c r="U27" s="129"/>
      <c r="V27" s="129"/>
      <c r="W27" s="129"/>
      <c r="X27" s="129"/>
      <c r="Y27" s="129"/>
      <c r="AA27" s="131"/>
      <c r="AB27" s="131"/>
      <c r="AC27" s="131"/>
      <c r="AD27" s="131"/>
      <c r="AE27" s="131"/>
      <c r="AF27" s="131"/>
      <c r="AG27" s="131"/>
      <c r="AH27" s="131"/>
      <c r="AI27" s="131"/>
      <c r="AL27" s="134"/>
      <c r="AN27">
        <f t="shared" si="6"/>
        <v>0.4443522972300547</v>
      </c>
      <c r="AO27">
        <f t="shared" si="7"/>
        <v>0</v>
      </c>
      <c r="AP27">
        <f t="shared" si="8"/>
        <v>0.55564770276994524</v>
      </c>
      <c r="AR27">
        <f t="shared" si="9"/>
        <v>0.48035453502034253</v>
      </c>
      <c r="AS27" t="e">
        <f t="shared" si="10"/>
        <v>#DIV/0!</v>
      </c>
      <c r="AT27">
        <f t="shared" si="10"/>
        <v>0.51781990493480623</v>
      </c>
      <c r="AU27" t="e">
        <f t="shared" si="21"/>
        <v>#DIV/0!</v>
      </c>
      <c r="AW27" t="e">
        <f t="shared" si="22"/>
        <v>#DIV/0!</v>
      </c>
      <c r="AX27" t="e">
        <f t="shared" si="23"/>
        <v>#DIV/0!</v>
      </c>
      <c r="AY27" t="e">
        <f t="shared" si="24"/>
        <v>#DIV/0!</v>
      </c>
      <c r="BB27" s="129" t="e">
        <f t="shared" si="11"/>
        <v>#DIV/0!</v>
      </c>
      <c r="BC27" s="129" t="e">
        <f t="shared" si="12"/>
        <v>#DIV/0!</v>
      </c>
      <c r="BD27" s="129" t="e">
        <f t="shared" si="12"/>
        <v>#DIV/0!</v>
      </c>
      <c r="BF27" s="129">
        <f t="shared" si="13"/>
        <v>0.9965550250737355</v>
      </c>
      <c r="BG27" s="129">
        <f t="shared" si="14"/>
        <v>0</v>
      </c>
      <c r="BH27" s="129">
        <f t="shared" si="15"/>
        <v>3.4449749262644718E-3</v>
      </c>
      <c r="BJ27" s="129" t="e">
        <f t="shared" si="25"/>
        <v>#DIV/0!</v>
      </c>
      <c r="BK27" s="129" t="e">
        <f t="shared" si="26"/>
        <v>#DIV/0!</v>
      </c>
      <c r="BL27" s="129">
        <f t="shared" si="27"/>
        <v>-5.670838652840688</v>
      </c>
      <c r="BN27" s="129" t="e">
        <f t="shared" si="16"/>
        <v>#DIV/0!</v>
      </c>
      <c r="BO27" s="129" t="e">
        <f t="shared" si="17"/>
        <v>#DIV/0!</v>
      </c>
      <c r="BP27" s="129" t="e">
        <f t="shared" si="17"/>
        <v>#DIV/0!</v>
      </c>
      <c r="BR27" s="129" t="e">
        <f t="shared" si="28"/>
        <v>#DIV/0!</v>
      </c>
      <c r="BS27" s="129">
        <f t="shared" si="18"/>
        <v>1</v>
      </c>
      <c r="BT27" s="129">
        <f t="shared" si="0"/>
        <v>1.2759163330998435</v>
      </c>
      <c r="BU27" s="129"/>
      <c r="BV27" s="129" t="e">
        <f t="shared" si="29"/>
        <v>#DIV/0!</v>
      </c>
      <c r="BW27" s="129">
        <f t="shared" si="19"/>
        <v>1</v>
      </c>
      <c r="BX27" s="129">
        <f t="shared" si="1"/>
        <v>1.0460652460964908</v>
      </c>
      <c r="BY27" s="129"/>
      <c r="BZ27" s="129" t="e">
        <f t="shared" si="30"/>
        <v>#DIV/0!</v>
      </c>
      <c r="CA27" s="129">
        <f t="shared" si="20"/>
        <v>1</v>
      </c>
      <c r="CB27" s="129">
        <f t="shared" si="2"/>
        <v>0.97058738015186008</v>
      </c>
    </row>
    <row r="28" spans="1:80" hidden="1" x14ac:dyDescent="0.2">
      <c r="A28" s="133" t="s">
        <v>664</v>
      </c>
      <c r="B28" s="133">
        <f t="shared" si="3"/>
        <v>1967</v>
      </c>
      <c r="D28" s="5">
        <f>'Passenger-Highway'!G28</f>
        <v>44.715609999999998</v>
      </c>
      <c r="E28" s="5">
        <f>'Passenger-Rail'!F28</f>
        <v>0</v>
      </c>
      <c r="F28" s="5">
        <f>'Passenger-Air'!F26</f>
        <v>61.099200000000003</v>
      </c>
      <c r="G28" s="5">
        <f t="shared" si="4"/>
        <v>105.81480999999999</v>
      </c>
      <c r="I28" s="5">
        <f>'Passenger-Highway'!L28</f>
        <v>1716991.7049224782</v>
      </c>
      <c r="J28" s="5">
        <f>'Passenger-Rail'!J28</f>
        <v>0</v>
      </c>
      <c r="K28" s="5">
        <f>'Passenger-Air'!J26</f>
        <v>7000</v>
      </c>
      <c r="L28" s="5">
        <f t="shared" si="5"/>
        <v>1723991.7049224782</v>
      </c>
      <c r="S28" s="129"/>
      <c r="T28" s="129"/>
      <c r="U28" s="129"/>
      <c r="V28" s="129"/>
      <c r="W28" s="129"/>
      <c r="X28" s="129"/>
      <c r="Y28" s="129"/>
      <c r="AA28" s="131"/>
      <c r="AB28" s="131"/>
      <c r="AC28" s="131"/>
      <c r="AD28" s="131"/>
      <c r="AE28" s="131"/>
      <c r="AF28" s="131"/>
      <c r="AG28" s="131"/>
      <c r="AH28" s="131"/>
      <c r="AI28" s="131"/>
      <c r="AL28" s="134"/>
      <c r="AN28">
        <f t="shared" si="6"/>
        <v>0.42258366291070221</v>
      </c>
      <c r="AO28">
        <f t="shared" si="7"/>
        <v>0</v>
      </c>
      <c r="AP28">
        <f t="shared" si="8"/>
        <v>0.57741633708929785</v>
      </c>
      <c r="AR28">
        <f t="shared" si="9"/>
        <v>0.43337686354759786</v>
      </c>
      <c r="AS28" t="e">
        <f t="shared" si="10"/>
        <v>#DIV/0!</v>
      </c>
      <c r="AT28">
        <f t="shared" si="10"/>
        <v>0.56646230923436403</v>
      </c>
      <c r="AU28" t="e">
        <f t="shared" si="21"/>
        <v>#DIV/0!</v>
      </c>
      <c r="AW28" t="e">
        <f t="shared" si="22"/>
        <v>#DIV/0!</v>
      </c>
      <c r="AX28" t="e">
        <f t="shared" si="23"/>
        <v>#DIV/0!</v>
      </c>
      <c r="AY28" t="e">
        <f t="shared" si="24"/>
        <v>#DIV/0!</v>
      </c>
      <c r="BB28" s="129" t="e">
        <f t="shared" si="11"/>
        <v>#DIV/0!</v>
      </c>
      <c r="BC28" s="129" t="e">
        <f t="shared" si="12"/>
        <v>#DIV/0!</v>
      </c>
      <c r="BD28" s="129" t="e">
        <f t="shared" si="12"/>
        <v>#DIV/0!</v>
      </c>
      <c r="BF28" s="129">
        <f t="shared" si="13"/>
        <v>0.99593965563754572</v>
      </c>
      <c r="BG28" s="129">
        <f t="shared" si="14"/>
        <v>0</v>
      </c>
      <c r="BH28" s="129">
        <f t="shared" si="15"/>
        <v>4.0603443624543222E-3</v>
      </c>
      <c r="BJ28" s="129">
        <f t="shared" si="25"/>
        <v>-6.1768742643336335E-4</v>
      </c>
      <c r="BK28" s="129" t="e">
        <f t="shared" si="26"/>
        <v>#DIV/0!</v>
      </c>
      <c r="BL28" s="129">
        <f t="shared" si="27"/>
        <v>0.16435116221382334</v>
      </c>
      <c r="BN28" s="129" t="e">
        <f t="shared" si="16"/>
        <v>#DIV/0!</v>
      </c>
      <c r="BO28" s="129" t="e">
        <f t="shared" si="17"/>
        <v>#DIV/0!</v>
      </c>
      <c r="BP28" s="129" t="e">
        <f t="shared" si="17"/>
        <v>#DIV/0!</v>
      </c>
      <c r="BR28" s="129" t="e">
        <f t="shared" si="28"/>
        <v>#DIV/0!</v>
      </c>
      <c r="BS28" s="129">
        <f t="shared" si="18"/>
        <v>1</v>
      </c>
      <c r="BT28" s="129">
        <f t="shared" si="0"/>
        <v>1.2759163330998435</v>
      </c>
      <c r="BU28" s="129"/>
      <c r="BV28" s="129" t="e">
        <f t="shared" si="29"/>
        <v>#DIV/0!</v>
      </c>
      <c r="BW28" s="129">
        <f t="shared" si="19"/>
        <v>1</v>
      </c>
      <c r="BX28" s="129">
        <f t="shared" si="1"/>
        <v>1.0460652460964908</v>
      </c>
      <c r="BY28" s="129"/>
      <c r="BZ28" s="129" t="e">
        <f t="shared" si="30"/>
        <v>#DIV/0!</v>
      </c>
      <c r="CA28" s="129">
        <f t="shared" si="20"/>
        <v>1</v>
      </c>
      <c r="CB28" s="129">
        <f t="shared" si="2"/>
        <v>0.97058738015186008</v>
      </c>
    </row>
    <row r="29" spans="1:80" hidden="1" x14ac:dyDescent="0.2">
      <c r="A29" s="133" t="s">
        <v>664</v>
      </c>
      <c r="B29" s="133">
        <f t="shared" si="3"/>
        <v>1968</v>
      </c>
      <c r="D29" s="5">
        <f>'Passenger-Highway'!G29</f>
        <v>43.744039999999998</v>
      </c>
      <c r="E29" s="5">
        <f>'Passenger-Rail'!F29</f>
        <v>0</v>
      </c>
      <c r="F29" s="5">
        <f>'Passenger-Air'!F27</f>
        <v>75.024000000000001</v>
      </c>
      <c r="G29" s="5">
        <f t="shared" si="4"/>
        <v>118.76804</v>
      </c>
      <c r="I29" s="5">
        <f>'Passenger-Highway'!L29</f>
        <v>1808808.2156000079</v>
      </c>
      <c r="J29" s="5">
        <f>'Passenger-Rail'!J29</f>
        <v>0</v>
      </c>
      <c r="K29" s="5">
        <f>'Passenger-Air'!J27</f>
        <v>8200</v>
      </c>
      <c r="L29" s="5">
        <f t="shared" si="5"/>
        <v>1817008.2156000079</v>
      </c>
      <c r="S29" s="129"/>
      <c r="T29" s="129"/>
      <c r="U29" s="129"/>
      <c r="V29" s="129"/>
      <c r="W29" s="129"/>
      <c r="X29" s="129"/>
      <c r="Y29" s="129"/>
      <c r="AA29" s="131"/>
      <c r="AB29" s="131"/>
      <c r="AC29" s="131"/>
      <c r="AD29" s="131"/>
      <c r="AE29" s="131"/>
      <c r="AF29" s="131"/>
      <c r="AG29" s="131"/>
      <c r="AH29" s="131"/>
      <c r="AI29" s="131"/>
      <c r="AL29" s="134"/>
      <c r="AN29">
        <f t="shared" si="6"/>
        <v>0.36831491030752045</v>
      </c>
      <c r="AO29">
        <f t="shared" si="7"/>
        <v>0</v>
      </c>
      <c r="AP29">
        <f t="shared" si="8"/>
        <v>0.63168508969247961</v>
      </c>
      <c r="AR29">
        <f t="shared" si="9"/>
        <v>0.39482788280081038</v>
      </c>
      <c r="AS29" t="e">
        <f t="shared" si="10"/>
        <v>#DIV/0!</v>
      </c>
      <c r="AT29">
        <f t="shared" si="10"/>
        <v>0.60414453278337377</v>
      </c>
      <c r="AU29" t="e">
        <f t="shared" si="21"/>
        <v>#DIV/0!</v>
      </c>
      <c r="AW29" t="e">
        <f t="shared" si="22"/>
        <v>#DIV/0!</v>
      </c>
      <c r="AX29" t="e">
        <f t="shared" si="23"/>
        <v>#DIV/0!</v>
      </c>
      <c r="AY29" t="e">
        <f t="shared" si="24"/>
        <v>#DIV/0!</v>
      </c>
      <c r="BB29" s="129" t="e">
        <f t="shared" si="11"/>
        <v>#DIV/0!</v>
      </c>
      <c r="BC29" s="129" t="e">
        <f t="shared" si="12"/>
        <v>#DIV/0!</v>
      </c>
      <c r="BD29" s="129" t="e">
        <f t="shared" si="12"/>
        <v>#DIV/0!</v>
      </c>
      <c r="BF29" s="129">
        <f t="shared" si="13"/>
        <v>0.99548708699850752</v>
      </c>
      <c r="BG29" s="129">
        <f t="shared" si="14"/>
        <v>0</v>
      </c>
      <c r="BH29" s="129">
        <f t="shared" si="15"/>
        <v>4.51291300149252E-3</v>
      </c>
      <c r="BJ29" s="129">
        <f t="shared" si="25"/>
        <v>-4.5451699240545683E-4</v>
      </c>
      <c r="BK29" s="129" t="e">
        <f t="shared" si="26"/>
        <v>#DIV/0!</v>
      </c>
      <c r="BL29" s="129">
        <f t="shared" si="27"/>
        <v>0.10567505499213126</v>
      </c>
      <c r="BN29" s="129" t="e">
        <f t="shared" si="16"/>
        <v>#DIV/0!</v>
      </c>
      <c r="BO29" s="129" t="e">
        <f t="shared" si="17"/>
        <v>#DIV/0!</v>
      </c>
      <c r="BP29" s="129" t="e">
        <f t="shared" si="17"/>
        <v>#DIV/0!</v>
      </c>
      <c r="BR29" s="129" t="e">
        <f t="shared" si="28"/>
        <v>#DIV/0!</v>
      </c>
      <c r="BS29" s="129">
        <f t="shared" si="18"/>
        <v>1</v>
      </c>
      <c r="BT29" s="129">
        <f t="shared" si="0"/>
        <v>1.2759163330998435</v>
      </c>
      <c r="BU29" s="129"/>
      <c r="BV29" s="129" t="e">
        <f t="shared" si="29"/>
        <v>#DIV/0!</v>
      </c>
      <c r="BW29" s="129">
        <f t="shared" si="19"/>
        <v>1</v>
      </c>
      <c r="BX29" s="129">
        <f t="shared" si="1"/>
        <v>1.0460652460964908</v>
      </c>
      <c r="BY29" s="129"/>
      <c r="BZ29" s="129" t="e">
        <f t="shared" si="30"/>
        <v>#DIV/0!</v>
      </c>
      <c r="CA29" s="129">
        <f t="shared" si="20"/>
        <v>1</v>
      </c>
      <c r="CB29" s="129">
        <f t="shared" si="2"/>
        <v>0.97058738015186008</v>
      </c>
    </row>
    <row r="30" spans="1:80" hidden="1" x14ac:dyDescent="0.2">
      <c r="A30" s="133" t="s">
        <v>664</v>
      </c>
      <c r="B30" s="133">
        <f t="shared" si="3"/>
        <v>1969</v>
      </c>
      <c r="D30" s="5">
        <f>'Passenger-Highway'!G30</f>
        <v>42.976059999999997</v>
      </c>
      <c r="E30" s="5">
        <f>'Passenger-Rail'!F30</f>
        <v>0</v>
      </c>
      <c r="F30" s="5">
        <f>'Passenger-Air'!F28</f>
        <v>85.424400000000006</v>
      </c>
      <c r="G30" s="5">
        <f t="shared" si="4"/>
        <v>128.40046000000001</v>
      </c>
      <c r="I30" s="5">
        <f>'Passenger-Highway'!L30</f>
        <v>1891467.8294878972</v>
      </c>
      <c r="J30" s="5">
        <f>'Passenger-Rail'!J30</f>
        <v>0</v>
      </c>
      <c r="K30" s="5">
        <f>'Passenger-Air'!J28</f>
        <v>8800</v>
      </c>
      <c r="L30" s="5">
        <f t="shared" si="5"/>
        <v>1900267.8294878972</v>
      </c>
      <c r="S30" s="129"/>
      <c r="T30" s="129"/>
      <c r="U30" s="129"/>
      <c r="V30" s="129"/>
      <c r="W30" s="129"/>
      <c r="X30" s="129"/>
      <c r="Y30" s="129"/>
      <c r="AA30" s="131"/>
      <c r="AB30" s="131"/>
      <c r="AC30" s="131"/>
      <c r="AD30" s="131"/>
      <c r="AE30" s="131"/>
      <c r="AF30" s="131"/>
      <c r="AG30" s="131"/>
      <c r="AH30" s="131"/>
      <c r="AI30" s="131"/>
      <c r="AL30" s="134"/>
      <c r="AN30">
        <f t="shared" si="6"/>
        <v>0.3347033180410724</v>
      </c>
      <c r="AO30">
        <f t="shared" si="7"/>
        <v>0</v>
      </c>
      <c r="AP30">
        <f t="shared" si="8"/>
        <v>0.66529668195892755</v>
      </c>
      <c r="AR30">
        <f t="shared" si="9"/>
        <v>0.35124112003267305</v>
      </c>
      <c r="AS30" t="e">
        <f t="shared" si="10"/>
        <v>#DIV/0!</v>
      </c>
      <c r="AT30">
        <f t="shared" si="10"/>
        <v>0.648345684410229</v>
      </c>
      <c r="AU30" t="e">
        <f t="shared" si="21"/>
        <v>#DIV/0!</v>
      </c>
      <c r="AW30" t="e">
        <f t="shared" si="22"/>
        <v>#DIV/0!</v>
      </c>
      <c r="AX30" t="e">
        <f t="shared" si="23"/>
        <v>#DIV/0!</v>
      </c>
      <c r="AY30" t="e">
        <f t="shared" si="24"/>
        <v>#DIV/0!</v>
      </c>
      <c r="BB30" s="129" t="e">
        <f t="shared" si="11"/>
        <v>#DIV/0!</v>
      </c>
      <c r="BC30" s="129" t="e">
        <f t="shared" si="12"/>
        <v>#DIV/0!</v>
      </c>
      <c r="BD30" s="129" t="e">
        <f t="shared" si="12"/>
        <v>#DIV/0!</v>
      </c>
      <c r="BF30" s="129">
        <f t="shared" si="13"/>
        <v>0.99536907384135875</v>
      </c>
      <c r="BG30" s="129">
        <f t="shared" si="14"/>
        <v>0</v>
      </c>
      <c r="BH30" s="129">
        <f t="shared" si="15"/>
        <v>4.6309261586412846E-3</v>
      </c>
      <c r="BJ30" s="129">
        <f t="shared" si="25"/>
        <v>-1.185551820450531E-4</v>
      </c>
      <c r="BK30" s="129" t="e">
        <f t="shared" si="26"/>
        <v>#DIV/0!</v>
      </c>
      <c r="BL30" s="129">
        <f t="shared" si="27"/>
        <v>2.581403901032988E-2</v>
      </c>
      <c r="BN30" s="129" t="e">
        <f t="shared" si="16"/>
        <v>#DIV/0!</v>
      </c>
      <c r="BO30" s="129" t="e">
        <f t="shared" si="17"/>
        <v>#DIV/0!</v>
      </c>
      <c r="BP30" s="129" t="e">
        <f t="shared" si="17"/>
        <v>#DIV/0!</v>
      </c>
      <c r="BR30" s="129" t="e">
        <f t="shared" si="28"/>
        <v>#DIV/0!</v>
      </c>
      <c r="BS30" s="129">
        <f t="shared" si="18"/>
        <v>1</v>
      </c>
      <c r="BT30" s="129">
        <f t="shared" si="0"/>
        <v>1.2759163330998435</v>
      </c>
      <c r="BU30" s="129"/>
      <c r="BV30" s="129" t="e">
        <f t="shared" si="29"/>
        <v>#DIV/0!</v>
      </c>
      <c r="BW30" s="129">
        <f t="shared" si="19"/>
        <v>1</v>
      </c>
      <c r="BX30" s="129">
        <f t="shared" si="1"/>
        <v>1.0460652460964908</v>
      </c>
      <c r="BY30" s="129"/>
      <c r="BZ30" s="129" t="e">
        <f t="shared" si="30"/>
        <v>#DIV/0!</v>
      </c>
      <c r="CA30" s="129">
        <f t="shared" si="20"/>
        <v>1</v>
      </c>
      <c r="CB30" s="129">
        <f t="shared" si="2"/>
        <v>0.97058738015186008</v>
      </c>
    </row>
    <row r="31" spans="1:80" x14ac:dyDescent="0.2">
      <c r="A31" s="133" t="s">
        <v>664</v>
      </c>
      <c r="B31" s="133">
        <f t="shared" si="3"/>
        <v>1970</v>
      </c>
      <c r="D31" s="5">
        <f>'Passenger-Highway'!G31</f>
        <v>10135.346976551591</v>
      </c>
      <c r="E31" s="5">
        <f>'Passenger-Rail'!F31</f>
        <v>48.287410475985233</v>
      </c>
      <c r="F31" s="5">
        <f>'Passenger-Air'!F29</f>
        <v>1305.6291464035623</v>
      </c>
      <c r="G31" s="5">
        <f t="shared" si="4"/>
        <v>11489.263533431138</v>
      </c>
      <c r="I31" s="5">
        <f>'Passenger-Highway'!L31</f>
        <v>2058731.7000000493</v>
      </c>
      <c r="J31" s="5">
        <f>'Passenger-Rail'!J31</f>
        <v>15049.5</v>
      </c>
      <c r="K31" s="5">
        <f>'Passenger-Air'!J29</f>
        <v>160576.84999999998</v>
      </c>
      <c r="L31" s="5">
        <f t="shared" si="5"/>
        <v>2234358.0500000492</v>
      </c>
      <c r="N31" s="138">
        <f>D31/I31*1000000</f>
        <v>4923.1024016152023</v>
      </c>
      <c r="O31" s="138">
        <f>E31/J31*1000000</f>
        <v>3208.5724094478378</v>
      </c>
      <c r="P31" s="138">
        <f>F31/K31*1000000</f>
        <v>8130.8678455428826</v>
      </c>
      <c r="Q31" s="138">
        <f>G31/L31*1000000</f>
        <v>5142.0870229061475</v>
      </c>
      <c r="S31" s="129">
        <f>'Passenger-Highway'!AD31</f>
        <v>1.2355305261852831</v>
      </c>
      <c r="T31" s="129">
        <f>'Passenger-Rail'!Z31</f>
        <v>1.171071581231947</v>
      </c>
      <c r="U31" s="129">
        <f>'Passenger-Air'!W29</f>
        <v>1.7256273623823351</v>
      </c>
      <c r="V31" s="129"/>
      <c r="W31" s="129">
        <f>'Passenger-Highway'!AH31</f>
        <v>0.96294536415850673</v>
      </c>
      <c r="X31" s="129">
        <f>'Passenger-Rail'!AD31</f>
        <v>1.0156352821491492</v>
      </c>
      <c r="Y31" s="129">
        <f>'Passenger-Air'!V29</f>
        <v>1.0369978502549793</v>
      </c>
      <c r="AA31" s="131">
        <f t="shared" ref="AA31:AA72" si="31">L31/L$74</f>
        <v>0.65454466933795419</v>
      </c>
      <c r="AB31" s="131">
        <f t="shared" ref="AB31:AB72" si="32">Q31/Q$74</f>
        <v>1.2325797727501497</v>
      </c>
      <c r="AC31" s="131">
        <f t="shared" ref="AC31:AC41" si="33">BX31</f>
        <v>0.99530961465944068</v>
      </c>
      <c r="AD31" s="131">
        <f t="shared" ref="AD31:AD41" si="34">CB31</f>
        <v>0.97058738015186008</v>
      </c>
      <c r="AE31" s="131">
        <f t="shared" ref="AE31:AE41" si="35">BT31</f>
        <v>1.2759163330998435</v>
      </c>
      <c r="AF31" s="131">
        <f t="shared" ref="AF31:AF41" si="36">AA31*AC31*AD31*AE31</f>
        <v>0.80677851978739634</v>
      </c>
      <c r="AG31" s="131">
        <f t="shared" ref="AG31:AG72" si="37">G31/G$74</f>
        <v>0.80677851978739767</v>
      </c>
      <c r="AH31" s="131"/>
      <c r="AI31" s="131">
        <f t="shared" ref="AI31:AI41" si="38">AC31*AD31</f>
        <v>0.96603495133226391</v>
      </c>
      <c r="AL31" s="134"/>
      <c r="AN31" s="129">
        <f t="shared" si="6"/>
        <v>0.88215810761586599</v>
      </c>
      <c r="AO31" s="129">
        <f t="shared" si="7"/>
        <v>4.2028290443055704E-3</v>
      </c>
      <c r="AP31" s="129">
        <f t="shared" si="8"/>
        <v>0.11363906333982846</v>
      </c>
      <c r="AR31" s="129">
        <f t="shared" si="9"/>
        <v>0.56489491534655212</v>
      </c>
      <c r="AS31" s="129"/>
      <c r="AT31" s="129">
        <f t="shared" si="10"/>
        <v>0.31216377265944611</v>
      </c>
      <c r="AU31" s="129">
        <f t="shared" si="21"/>
        <v>0.87705868800599829</v>
      </c>
      <c r="AW31" s="129">
        <f t="shared" si="22"/>
        <v>0.64407880917392923</v>
      </c>
      <c r="AX31" s="129">
        <f t="shared" si="23"/>
        <v>0</v>
      </c>
      <c r="AY31" s="129">
        <f t="shared" si="24"/>
        <v>0.35592119082607071</v>
      </c>
      <c r="BB31" s="129"/>
      <c r="BC31" s="129"/>
      <c r="BD31" s="129"/>
      <c r="BF31" s="129">
        <f t="shared" si="13"/>
        <v>0.92139740092238309</v>
      </c>
      <c r="BG31" s="129">
        <f t="shared" si="14"/>
        <v>6.7354916549743089E-3</v>
      </c>
      <c r="BH31" s="129">
        <f t="shared" si="15"/>
        <v>7.1867107422642684E-2</v>
      </c>
      <c r="BJ31" s="129">
        <f t="shared" si="25"/>
        <v>-7.722216515942612E-2</v>
      </c>
      <c r="BK31" s="129"/>
      <c r="BL31" s="129"/>
      <c r="BN31" s="129"/>
      <c r="BO31" s="129"/>
      <c r="BP31" s="129"/>
      <c r="BR31" s="129">
        <f t="shared" si="28"/>
        <v>1</v>
      </c>
      <c r="BS31" s="129">
        <f t="shared" si="18"/>
        <v>1</v>
      </c>
      <c r="BT31" s="129">
        <f t="shared" si="0"/>
        <v>1.2759163330998435</v>
      </c>
      <c r="BU31" s="129"/>
      <c r="BV31" s="129">
        <f t="shared" si="29"/>
        <v>0.95147947833421442</v>
      </c>
      <c r="BW31" s="129">
        <f t="shared" si="19"/>
        <v>0.95147947833421442</v>
      </c>
      <c r="BX31" s="129">
        <f t="shared" si="1"/>
        <v>0.99530961465944068</v>
      </c>
      <c r="BY31" s="129"/>
      <c r="BZ31" s="129">
        <f t="shared" si="30"/>
        <v>1</v>
      </c>
      <c r="CA31" s="129">
        <f t="shared" si="20"/>
        <v>1</v>
      </c>
      <c r="CB31" s="129">
        <f t="shared" si="2"/>
        <v>0.97058738015186008</v>
      </c>
    </row>
    <row r="32" spans="1:80" x14ac:dyDescent="0.2">
      <c r="A32" s="133" t="s">
        <v>664</v>
      </c>
      <c r="B32" s="133">
        <f t="shared" si="3"/>
        <v>1971</v>
      </c>
      <c r="D32" s="5">
        <f>'Passenger-Highway'!G32</f>
        <v>10729.361926432186</v>
      </c>
      <c r="E32" s="5">
        <f>'Passenger-Rail'!F32</f>
        <v>47.571088820985238</v>
      </c>
      <c r="F32" s="5">
        <f>'Passenger-Air'!F30</f>
        <v>1286.112156612111</v>
      </c>
      <c r="G32" s="5">
        <f t="shared" si="4"/>
        <v>12063.045171865282</v>
      </c>
      <c r="I32" s="5">
        <f>'Passenger-Highway'!L32</f>
        <v>2181381.2459861385</v>
      </c>
      <c r="J32" s="5">
        <f>'Passenger-Rail'!J32</f>
        <v>14570.2</v>
      </c>
      <c r="K32" s="5">
        <f>'Passenger-Air'!J30</f>
        <v>165206.69999999998</v>
      </c>
      <c r="L32" s="5">
        <f t="shared" si="5"/>
        <v>2361158.1459861388</v>
      </c>
      <c r="N32" s="138">
        <f t="shared" ref="N32:N41" si="39">D32/I32*1000000</f>
        <v>4918.6092280635503</v>
      </c>
      <c r="O32" s="138">
        <f t="shared" ref="O32:O41" si="40">E32/J32*1000000</f>
        <v>3264.9578469056869</v>
      </c>
      <c r="P32" s="138">
        <f t="shared" ref="P32:P41" si="41">F32/K32*1000000</f>
        <v>7784.8668160075295</v>
      </c>
      <c r="Q32" s="138">
        <f t="shared" ref="Q32:Q41" si="42">G32/L32*1000000</f>
        <v>5108.9526520584441</v>
      </c>
      <c r="S32" s="129">
        <f>'Passenger-Highway'!AD32</f>
        <v>1.2301160935362692</v>
      </c>
      <c r="T32" s="129">
        <f>'Passenger-Rail'!Z32</f>
        <v>1.1895116297953265</v>
      </c>
      <c r="U32" s="129">
        <f>'Passenger-Air'!W30</f>
        <v>1.6526709438539842</v>
      </c>
      <c r="V32" s="129"/>
      <c r="W32" s="129">
        <f>'Passenger-Highway'!AH32</f>
        <v>0.96630110741064379</v>
      </c>
      <c r="X32" s="129">
        <f>'Passenger-Rail'!AD32</f>
        <v>1.0174621512145887</v>
      </c>
      <c r="Y32" s="129">
        <f>'Passenger-Air'!V30</f>
        <v>1.0366992100368355</v>
      </c>
      <c r="AA32" s="131">
        <f t="shared" si="31"/>
        <v>0.6916901603657839</v>
      </c>
      <c r="AB32" s="131">
        <f t="shared" si="32"/>
        <v>1.2246373254310456</v>
      </c>
      <c r="AC32" s="131">
        <f t="shared" si="33"/>
        <v>0.99437533997997174</v>
      </c>
      <c r="AD32" s="131">
        <f t="shared" si="34"/>
        <v>0.97355925650149611</v>
      </c>
      <c r="AE32" s="131">
        <f t="shared" si="35"/>
        <v>1.2650123231521695</v>
      </c>
      <c r="AF32" s="131">
        <f t="shared" si="36"/>
        <v>0.84706958801732324</v>
      </c>
      <c r="AG32" s="131">
        <f t="shared" si="37"/>
        <v>0.84706958801732468</v>
      </c>
      <c r="AH32" s="131"/>
      <c r="AI32" s="131">
        <f t="shared" si="38"/>
        <v>0.96808331667432368</v>
      </c>
      <c r="AL32" s="134"/>
      <c r="AN32" s="129">
        <f t="shared" si="6"/>
        <v>0.889440582669486</v>
      </c>
      <c r="AO32" s="129">
        <f t="shared" si="7"/>
        <v>3.9435389773666433E-3</v>
      </c>
      <c r="AP32" s="129">
        <f t="shared" si="8"/>
        <v>0.1066158783531474</v>
      </c>
      <c r="AR32" s="129">
        <f t="shared" si="9"/>
        <v>0.88579435579961041</v>
      </c>
      <c r="AS32" s="129">
        <f t="shared" si="10"/>
        <v>4.0718081520661337E-3</v>
      </c>
      <c r="AT32" s="129">
        <f t="shared" si="10"/>
        <v>0.11009013645278101</v>
      </c>
      <c r="AU32" s="129">
        <f t="shared" si="21"/>
        <v>0.99995630040445749</v>
      </c>
      <c r="AW32" s="129">
        <f t="shared" si="22"/>
        <v>0.88583306634632797</v>
      </c>
      <c r="AX32" s="129">
        <f t="shared" si="23"/>
        <v>4.071986096211593E-3</v>
      </c>
      <c r="AY32" s="129">
        <f t="shared" si="24"/>
        <v>0.11009494755746055</v>
      </c>
      <c r="BB32" s="129">
        <f t="shared" si="11"/>
        <v>-4.3919037779957095E-3</v>
      </c>
      <c r="BC32" s="129">
        <f t="shared" si="12"/>
        <v>1.5623616717288635E-2</v>
      </c>
      <c r="BD32" s="129">
        <f t="shared" si="12"/>
        <v>-4.3197939708768153E-2</v>
      </c>
      <c r="BF32" s="129">
        <f t="shared" si="13"/>
        <v>0.92386071203844911</v>
      </c>
      <c r="BG32" s="129">
        <f t="shared" si="14"/>
        <v>6.1707853092215258E-3</v>
      </c>
      <c r="BH32" s="129">
        <f t="shared" si="15"/>
        <v>6.9968502652329262E-2</v>
      </c>
      <c r="BJ32" s="129">
        <f t="shared" si="25"/>
        <v>2.6698840254685491E-3</v>
      </c>
      <c r="BK32" s="129">
        <f t="shared" si="26"/>
        <v>-8.7564698734022825E-2</v>
      </c>
      <c r="BL32" s="129">
        <f t="shared" si="27"/>
        <v>-2.6773504639602833E-2</v>
      </c>
      <c r="BN32" s="129">
        <f t="shared" si="16"/>
        <v>3.478815885788578E-3</v>
      </c>
      <c r="BO32" s="129">
        <f t="shared" si="17"/>
        <v>1.7971293722991815E-3</v>
      </c>
      <c r="BP32" s="129">
        <f t="shared" si="17"/>
        <v>-2.8802685399598811E-4</v>
      </c>
      <c r="BR32" s="129">
        <f t="shared" si="28"/>
        <v>0.99145397729866591</v>
      </c>
      <c r="BS32" s="129">
        <f t="shared" si="18"/>
        <v>0.99145397729866591</v>
      </c>
      <c r="BT32" s="129">
        <f t="shared" si="0"/>
        <v>1.2650123231521695</v>
      </c>
      <c r="BU32" s="129"/>
      <c r="BV32" s="129">
        <f t="shared" si="29"/>
        <v>0.99906132256163471</v>
      </c>
      <c r="BW32" s="129">
        <f t="shared" si="19"/>
        <v>0.95058634601483449</v>
      </c>
      <c r="BX32" s="129">
        <f t="shared" si="1"/>
        <v>0.99437533997997174</v>
      </c>
      <c r="BY32" s="129"/>
      <c r="BZ32" s="129">
        <f t="shared" si="30"/>
        <v>1.0030619359064519</v>
      </c>
      <c r="CA32" s="129">
        <f t="shared" si="20"/>
        <v>1.0030619359064519</v>
      </c>
      <c r="CB32" s="129">
        <f t="shared" si="2"/>
        <v>0.97355925650149611</v>
      </c>
    </row>
    <row r="33" spans="1:80" x14ac:dyDescent="0.2">
      <c r="A33" s="133" t="s">
        <v>664</v>
      </c>
      <c r="B33" s="133">
        <f t="shared" si="3"/>
        <v>1972</v>
      </c>
      <c r="D33" s="5">
        <f>'Passenger-Highway'!G33</f>
        <v>11519.846894198932</v>
      </c>
      <c r="E33" s="5">
        <f>'Passenger-Rail'!F33</f>
        <v>48.840464447360318</v>
      </c>
      <c r="F33" s="5">
        <f>'Passenger-Air'!F31</f>
        <v>1317.0482852041644</v>
      </c>
      <c r="G33" s="5">
        <f t="shared" si="4"/>
        <v>12885.735643850458</v>
      </c>
      <c r="I33" s="5">
        <f>'Passenger-Highway'!L33</f>
        <v>2323407.0195058407</v>
      </c>
      <c r="J33" s="5">
        <f>'Passenger-Rail'!J33</f>
        <v>15388.899999999998</v>
      </c>
      <c r="K33" s="5">
        <f>'Passenger-Air'!J31</f>
        <v>185266.9</v>
      </c>
      <c r="L33" s="5">
        <f t="shared" si="5"/>
        <v>2524062.8195058405</v>
      </c>
      <c r="N33" s="138">
        <f t="shared" si="39"/>
        <v>4958.169962251839</v>
      </c>
      <c r="O33" s="138">
        <f t="shared" si="40"/>
        <v>3173.7463007336669</v>
      </c>
      <c r="P33" s="138">
        <f t="shared" si="41"/>
        <v>7108.92385636163</v>
      </c>
      <c r="Q33" s="138">
        <f t="shared" si="42"/>
        <v>5105.1564740267513</v>
      </c>
      <c r="S33" s="129">
        <f>'Passenger-Highway'!AD33</f>
        <v>1.2354978604987219</v>
      </c>
      <c r="T33" s="129">
        <f>'Passenger-Rail'!Z33</f>
        <v>1.1597573755248634</v>
      </c>
      <c r="U33" s="129">
        <f>'Passenger-Air'!W31</f>
        <v>1.5101666626083192</v>
      </c>
      <c r="V33" s="129"/>
      <c r="W33" s="129">
        <f>'Passenger-Highway'!AH33</f>
        <v>0.96983012404498981</v>
      </c>
      <c r="X33" s="129">
        <f>'Passenger-Rail'!AD33</f>
        <v>1.0144121475836998</v>
      </c>
      <c r="Y33" s="129">
        <f>'Passenger-Air'!V31</f>
        <v>1.036017176838365</v>
      </c>
      <c r="AA33" s="131">
        <f t="shared" si="31"/>
        <v>0.7394123173685786</v>
      </c>
      <c r="AB33" s="131">
        <f t="shared" si="32"/>
        <v>1.223727365674476</v>
      </c>
      <c r="AC33" s="131">
        <f t="shared" si="33"/>
        <v>0.99607249899009631</v>
      </c>
      <c r="AD33" s="131">
        <f t="shared" si="34"/>
        <v>0.97665077197140615</v>
      </c>
      <c r="AE33" s="131">
        <f t="shared" si="35"/>
        <v>1.2579240626678765</v>
      </c>
      <c r="AF33" s="131">
        <f t="shared" si="36"/>
        <v>0.90483908728070916</v>
      </c>
      <c r="AG33" s="131">
        <f t="shared" si="37"/>
        <v>0.9048390872807105</v>
      </c>
      <c r="AH33" s="131"/>
      <c r="AI33" s="131">
        <f t="shared" si="38"/>
        <v>0.97281497507816528</v>
      </c>
      <c r="AL33" s="134"/>
      <c r="AN33" s="129">
        <f t="shared" si="6"/>
        <v>0.89399994013509221</v>
      </c>
      <c r="AO33" s="129">
        <f t="shared" si="7"/>
        <v>3.7902736636281041E-3</v>
      </c>
      <c r="AP33" s="129">
        <f t="shared" si="8"/>
        <v>0.10220978620127968</v>
      </c>
      <c r="AR33" s="129">
        <f t="shared" si="9"/>
        <v>0.89171831873617768</v>
      </c>
      <c r="AS33" s="129">
        <f t="shared" si="10"/>
        <v>3.8664000433195735E-3</v>
      </c>
      <c r="AT33" s="129">
        <f t="shared" si="10"/>
        <v>0.10439733613490534</v>
      </c>
      <c r="AU33" s="129">
        <f t="shared" si="21"/>
        <v>0.99998205491440262</v>
      </c>
      <c r="AW33" s="129">
        <f t="shared" si="22"/>
        <v>0.89173432098489791</v>
      </c>
      <c r="AX33" s="129">
        <f t="shared" si="23"/>
        <v>3.8664694274444088E-3</v>
      </c>
      <c r="AY33" s="129">
        <f t="shared" si="24"/>
        <v>0.10439920958765769</v>
      </c>
      <c r="BB33" s="129">
        <f t="shared" si="11"/>
        <v>4.3654648372379486E-3</v>
      </c>
      <c r="BC33" s="129">
        <f t="shared" si="12"/>
        <v>-2.53320035471492E-2</v>
      </c>
      <c r="BD33" s="129">
        <f t="shared" si="12"/>
        <v>-9.0172715669049774E-2</v>
      </c>
      <c r="BF33" s="129">
        <f t="shared" si="13"/>
        <v>0.92050285022649159</v>
      </c>
      <c r="BG33" s="129">
        <f t="shared" si="14"/>
        <v>6.0968767817802675E-3</v>
      </c>
      <c r="BH33" s="129">
        <f t="shared" si="15"/>
        <v>7.3400272991728244E-2</v>
      </c>
      <c r="BJ33" s="129">
        <f t="shared" si="25"/>
        <v>-3.6412186736580819E-3</v>
      </c>
      <c r="BK33" s="129">
        <f t="shared" si="26"/>
        <v>-1.2049471385982212E-2</v>
      </c>
      <c r="BL33" s="129">
        <f t="shared" si="27"/>
        <v>4.7882476170458925E-2</v>
      </c>
      <c r="BN33" s="129">
        <f t="shared" si="16"/>
        <v>3.6454352733540588E-3</v>
      </c>
      <c r="BO33" s="129">
        <f t="shared" si="17"/>
        <v>-3.0021600484738996E-3</v>
      </c>
      <c r="BP33" s="129">
        <f t="shared" si="17"/>
        <v>-6.5810568913827539E-4</v>
      </c>
      <c r="BR33" s="129">
        <f t="shared" si="28"/>
        <v>0.99439668661358926</v>
      </c>
      <c r="BS33" s="129">
        <f t="shared" si="18"/>
        <v>0.98589854995565818</v>
      </c>
      <c r="BT33" s="129">
        <f t="shared" si="0"/>
        <v>1.2579240626678765</v>
      </c>
      <c r="BU33" s="129"/>
      <c r="BV33" s="129">
        <f t="shared" si="29"/>
        <v>1.0017067589489486</v>
      </c>
      <c r="BW33" s="129">
        <f t="shared" si="19"/>
        <v>0.95220876776764363</v>
      </c>
      <c r="BX33" s="129">
        <f t="shared" si="1"/>
        <v>0.99607249899009631</v>
      </c>
      <c r="BY33" s="129"/>
      <c r="BZ33" s="129">
        <f t="shared" si="30"/>
        <v>1.0031754774547772</v>
      </c>
      <c r="CA33" s="129">
        <f t="shared" si="20"/>
        <v>1.0062471364696679</v>
      </c>
      <c r="CB33" s="129">
        <f t="shared" si="2"/>
        <v>0.97665077197140615</v>
      </c>
    </row>
    <row r="34" spans="1:80" x14ac:dyDescent="0.2">
      <c r="A34" s="133" t="s">
        <v>664</v>
      </c>
      <c r="B34" s="133">
        <f t="shared" si="3"/>
        <v>1973</v>
      </c>
      <c r="D34" s="5">
        <f>'Passenger-Highway'!G34</f>
        <v>12029.182340545489</v>
      </c>
      <c r="E34" s="5">
        <f>'Passenger-Rail'!F34</f>
        <v>49.911952180597481</v>
      </c>
      <c r="F34" s="5">
        <f>'Passenger-Air'!F32</f>
        <v>1344.6192139687791</v>
      </c>
      <c r="G34" s="5">
        <f t="shared" si="4"/>
        <v>13423.713506694865</v>
      </c>
      <c r="I34" s="5">
        <f>'Passenger-Highway'!L34</f>
        <v>2409756.2611098932</v>
      </c>
      <c r="J34" s="5">
        <f>'Passenger-Rail'!J34</f>
        <v>16186.1</v>
      </c>
      <c r="K34" s="5">
        <f>'Passenger-Air'!J32</f>
        <v>185052</v>
      </c>
      <c r="L34" s="5">
        <f t="shared" si="5"/>
        <v>2610994.3611098933</v>
      </c>
      <c r="N34" s="138">
        <f t="shared" si="39"/>
        <v>4991.8668268155261</v>
      </c>
      <c r="O34" s="138">
        <f t="shared" si="40"/>
        <v>3083.6305336429086</v>
      </c>
      <c r="P34" s="138">
        <f t="shared" si="41"/>
        <v>7266.1695845966487</v>
      </c>
      <c r="Q34" s="138">
        <f t="shared" si="42"/>
        <v>5141.2265405999005</v>
      </c>
      <c r="S34" s="129">
        <f>'Passenger-Highway'!AD34</f>
        <v>1.2387725191358516</v>
      </c>
      <c r="T34" s="129">
        <f>'Passenger-Rail'!Z34</f>
        <v>1.128310791580047</v>
      </c>
      <c r="U34" s="129">
        <f>'Passenger-Air'!W32</f>
        <v>1.5416785902940351</v>
      </c>
      <c r="V34" s="129"/>
      <c r="W34" s="129">
        <f>'Passenger-Highway'!AH34</f>
        <v>0.97384017189118488</v>
      </c>
      <c r="X34" s="129">
        <f>'Passenger-Rail'!AD34</f>
        <v>1.0130782047807967</v>
      </c>
      <c r="Y34" s="129">
        <f>'Passenger-Air'!V32</f>
        <v>1.0372887329127758</v>
      </c>
      <c r="AA34" s="131">
        <f t="shared" si="31"/>
        <v>0.7648785031279568</v>
      </c>
      <c r="AB34" s="131">
        <f t="shared" si="32"/>
        <v>1.2323735115412739</v>
      </c>
      <c r="AC34" s="131">
        <f t="shared" si="33"/>
        <v>0.99495003700964513</v>
      </c>
      <c r="AD34" s="131">
        <f t="shared" si="34"/>
        <v>0.98038129512810979</v>
      </c>
      <c r="AE34" s="131">
        <f t="shared" si="35"/>
        <v>1.2634151079599454</v>
      </c>
      <c r="AF34" s="131">
        <f t="shared" si="36"/>
        <v>0.94261600680223223</v>
      </c>
      <c r="AG34" s="131">
        <f t="shared" si="37"/>
        <v>0.94261600680223367</v>
      </c>
      <c r="AH34" s="131"/>
      <c r="AI34" s="131">
        <f t="shared" si="38"/>
        <v>0.97543040587127661</v>
      </c>
      <c r="AL34" s="134"/>
      <c r="AN34" s="129">
        <f t="shared" si="6"/>
        <v>0.89611435274941798</v>
      </c>
      <c r="AO34" s="129">
        <f t="shared" si="7"/>
        <v>3.7181925966838225E-3</v>
      </c>
      <c r="AP34" s="129">
        <f t="shared" si="8"/>
        <v>0.10016745465389823</v>
      </c>
      <c r="AR34" s="129">
        <f t="shared" si="9"/>
        <v>0.89505673019862475</v>
      </c>
      <c r="AS34" s="129">
        <f t="shared" si="10"/>
        <v>3.7541177979490523E-3</v>
      </c>
      <c r="AT34" s="129">
        <f t="shared" si="10"/>
        <v>0.10118518523282012</v>
      </c>
      <c r="AU34" s="129">
        <f t="shared" si="21"/>
        <v>0.99999603322939401</v>
      </c>
      <c r="AW34" s="129">
        <f t="shared" si="22"/>
        <v>0.89506028069743682</v>
      </c>
      <c r="AX34" s="129">
        <f t="shared" si="23"/>
        <v>3.7541326897322569E-3</v>
      </c>
      <c r="AY34" s="129">
        <f t="shared" si="24"/>
        <v>0.10118558661283085</v>
      </c>
      <c r="BB34" s="129">
        <f t="shared" si="11"/>
        <v>2.6469706593601162E-3</v>
      </c>
      <c r="BC34" s="129">
        <f t="shared" si="12"/>
        <v>-2.748918463480993E-2</v>
      </c>
      <c r="BD34" s="129">
        <f t="shared" si="12"/>
        <v>2.0651799186631417E-2</v>
      </c>
      <c r="BF34" s="129">
        <f t="shared" si="13"/>
        <v>0.92292664319870188</v>
      </c>
      <c r="BG34" s="129">
        <f t="shared" si="14"/>
        <v>6.1992090986820588E-3</v>
      </c>
      <c r="BH34" s="129">
        <f t="shared" si="15"/>
        <v>7.0874147702615978E-2</v>
      </c>
      <c r="BJ34" s="129">
        <f t="shared" si="25"/>
        <v>2.6296577955227337E-3</v>
      </c>
      <c r="BK34" s="129">
        <f t="shared" si="26"/>
        <v>1.6645082111136036E-2</v>
      </c>
      <c r="BL34" s="129">
        <f t="shared" si="27"/>
        <v>-3.5021918231213166E-2</v>
      </c>
      <c r="BN34" s="129">
        <f t="shared" si="16"/>
        <v>4.1262693000968251E-3</v>
      </c>
      <c r="BO34" s="129">
        <f t="shared" si="17"/>
        <v>-1.3158563184498448E-3</v>
      </c>
      <c r="BP34" s="129">
        <f t="shared" si="17"/>
        <v>1.226597800021991E-3</v>
      </c>
      <c r="BR34" s="129">
        <f t="shared" si="28"/>
        <v>1.004365164364869</v>
      </c>
      <c r="BS34" s="129">
        <f t="shared" si="18"/>
        <v>0.99020215917330068</v>
      </c>
      <c r="BT34" s="129">
        <f t="shared" si="0"/>
        <v>1.2634151079599454</v>
      </c>
      <c r="BU34" s="129"/>
      <c r="BV34" s="129">
        <f t="shared" si="29"/>
        <v>0.99887311216644448</v>
      </c>
      <c r="BW34" s="129">
        <f t="shared" si="19"/>
        <v>0.95113573529224138</v>
      </c>
      <c r="BX34" s="129">
        <f t="shared" si="1"/>
        <v>0.99495003700964513</v>
      </c>
      <c r="BY34" s="129"/>
      <c r="BZ34" s="129">
        <f t="shared" si="30"/>
        <v>1.0038197104469322</v>
      </c>
      <c r="CA34" s="129">
        <f t="shared" si="20"/>
        <v>1.0100907091690368</v>
      </c>
      <c r="CB34" s="129">
        <f t="shared" si="2"/>
        <v>0.98038129512810979</v>
      </c>
    </row>
    <row r="35" spans="1:80" x14ac:dyDescent="0.2">
      <c r="A35" s="133" t="s">
        <v>664</v>
      </c>
      <c r="B35" s="133">
        <f t="shared" si="3"/>
        <v>1974</v>
      </c>
      <c r="D35" s="5">
        <f>'Passenger-Highway'!G35</f>
        <v>11516.509469136905</v>
      </c>
      <c r="E35" s="5">
        <f>'Passenger-Rail'!F35</f>
        <v>52.872900305471703</v>
      </c>
      <c r="F35" s="5">
        <f>'Passenger-Air'!F33</f>
        <v>1323.4336769069612</v>
      </c>
      <c r="G35" s="5">
        <f t="shared" si="4"/>
        <v>12892.816046349339</v>
      </c>
      <c r="I35" s="5">
        <f>'Passenger-Highway'!L35</f>
        <v>2351010.7527093701</v>
      </c>
      <c r="J35" s="5">
        <f>'Passenger-Rail'!J35</f>
        <v>16554.799999999996</v>
      </c>
      <c r="K35" s="5">
        <f>'Passenger-Air'!J33</f>
        <v>185252</v>
      </c>
      <c r="L35" s="5">
        <f t="shared" si="5"/>
        <v>2552817.5527093699</v>
      </c>
      <c r="N35" s="138">
        <f t="shared" si="39"/>
        <v>4898.5354302888491</v>
      </c>
      <c r="O35" s="138">
        <f t="shared" si="40"/>
        <v>3193.8108769342862</v>
      </c>
      <c r="P35" s="138">
        <f t="shared" si="41"/>
        <v>7143.9643129734695</v>
      </c>
      <c r="Q35" s="138">
        <f t="shared" si="42"/>
        <v>5050.4259627429574</v>
      </c>
      <c r="S35" s="129">
        <f>'Passenger-Highway'!AD35</f>
        <v>1.2149659675042868</v>
      </c>
      <c r="T35" s="129">
        <f>'Passenger-Rail'!Z35</f>
        <v>1.1718952910507086</v>
      </c>
      <c r="U35" s="129">
        <f>'Passenger-Air'!W33</f>
        <v>1.5148357112947981</v>
      </c>
      <c r="V35" s="129"/>
      <c r="W35" s="129">
        <f>'Passenger-Highway'!AH35</f>
        <v>0.97435764689542514</v>
      </c>
      <c r="X35" s="129">
        <f>'Passenger-Rail'!AD35</f>
        <v>1.0102521028922609</v>
      </c>
      <c r="Y35" s="129">
        <f>'Passenger-Air'!V33</f>
        <v>1.0379148218053571</v>
      </c>
      <c r="AA35" s="131">
        <f t="shared" si="31"/>
        <v>0.74783588105686249</v>
      </c>
      <c r="AB35" s="131">
        <f t="shared" si="32"/>
        <v>1.210608233139346</v>
      </c>
      <c r="AC35" s="131">
        <f t="shared" si="33"/>
        <v>0.99559677517048795</v>
      </c>
      <c r="AD35" s="131">
        <f t="shared" si="34"/>
        <v>0.98089668400280594</v>
      </c>
      <c r="AE35" s="131">
        <f t="shared" si="35"/>
        <v>1.2396436941349878</v>
      </c>
      <c r="AF35" s="131">
        <f t="shared" si="36"/>
        <v>0.90533627464445299</v>
      </c>
      <c r="AG35" s="131">
        <f t="shared" si="37"/>
        <v>0.90533627464445443</v>
      </c>
      <c r="AH35" s="131"/>
      <c r="AI35" s="131">
        <f t="shared" si="38"/>
        <v>0.97657757536861878</v>
      </c>
      <c r="AL35" s="134"/>
      <c r="AN35" s="129">
        <f t="shared" si="6"/>
        <v>0.89325011911558749</v>
      </c>
      <c r="AO35" s="129">
        <f t="shared" si="7"/>
        <v>4.1009582480192848E-3</v>
      </c>
      <c r="AP35" s="129">
        <f t="shared" si="8"/>
        <v>0.10264892263639312</v>
      </c>
      <c r="AR35" s="129">
        <f t="shared" si="9"/>
        <v>0.89468147180273006</v>
      </c>
      <c r="AS35" s="129">
        <f t="shared" si="10"/>
        <v>3.9064505458527811E-3</v>
      </c>
      <c r="AT35" s="129">
        <f t="shared" si="10"/>
        <v>0.1014031282967503</v>
      </c>
      <c r="AU35" s="129">
        <f t="shared" si="21"/>
        <v>0.99999105064533311</v>
      </c>
      <c r="AW35" s="129">
        <f t="shared" si="22"/>
        <v>0.89468947869619164</v>
      </c>
      <c r="AX35" s="129">
        <f t="shared" si="23"/>
        <v>3.9064855063770786E-3</v>
      </c>
      <c r="AY35" s="129">
        <f t="shared" si="24"/>
        <v>0.10140403579743131</v>
      </c>
      <c r="BB35" s="129">
        <f t="shared" si="11"/>
        <v>-1.9404919300099254E-2</v>
      </c>
      <c r="BC35" s="129">
        <f t="shared" si="12"/>
        <v>3.7900705480300577E-2</v>
      </c>
      <c r="BD35" s="129">
        <f t="shared" si="12"/>
        <v>-1.7564824819581566E-2</v>
      </c>
      <c r="BF35" s="129">
        <f t="shared" si="13"/>
        <v>0.92094742541008578</v>
      </c>
      <c r="BG35" s="129">
        <f t="shared" si="14"/>
        <v>6.4849131041229196E-3</v>
      </c>
      <c r="BH35" s="129">
        <f t="shared" si="15"/>
        <v>7.2567661485791399E-2</v>
      </c>
      <c r="BJ35" s="129">
        <f t="shared" si="25"/>
        <v>-2.1468044726676025E-3</v>
      </c>
      <c r="BK35" s="129">
        <f t="shared" si="26"/>
        <v>4.5056698974919561E-2</v>
      </c>
      <c r="BL35" s="129">
        <f t="shared" si="27"/>
        <v>2.3613651899817404E-2</v>
      </c>
      <c r="BN35" s="129">
        <f t="shared" si="16"/>
        <v>5.3123457117141713E-4</v>
      </c>
      <c r="BO35" s="129">
        <f t="shared" si="17"/>
        <v>-2.7935169217447814E-3</v>
      </c>
      <c r="BP35" s="129">
        <f t="shared" si="17"/>
        <v>6.0339999915082654E-4</v>
      </c>
      <c r="BR35" s="129">
        <f t="shared" si="28"/>
        <v>0.98118479534145997</v>
      </c>
      <c r="BS35" s="129">
        <f t="shared" si="18"/>
        <v>0.97157130289512683</v>
      </c>
      <c r="BT35" s="129">
        <f t="shared" si="0"/>
        <v>1.2396436941349878</v>
      </c>
      <c r="BU35" s="129"/>
      <c r="BV35" s="129">
        <f t="shared" si="29"/>
        <v>1.0006500207415305</v>
      </c>
      <c r="BW35" s="129">
        <f t="shared" si="19"/>
        <v>0.95175399324819221</v>
      </c>
      <c r="BX35" s="129">
        <f t="shared" si="1"/>
        <v>0.99559677517048795</v>
      </c>
      <c r="BY35" s="129"/>
      <c r="BZ35" s="129">
        <f t="shared" si="30"/>
        <v>1.0005257024764318</v>
      </c>
      <c r="CA35" s="129">
        <f t="shared" si="20"/>
        <v>1.0106217163562676</v>
      </c>
      <c r="CB35" s="129">
        <f t="shared" si="2"/>
        <v>0.98089668400280594</v>
      </c>
    </row>
    <row r="36" spans="1:80" x14ac:dyDescent="0.2">
      <c r="A36" s="133" t="s">
        <v>664</v>
      </c>
      <c r="B36" s="133">
        <f t="shared" si="3"/>
        <v>1975</v>
      </c>
      <c r="D36" s="5">
        <f>'Passenger-Highway'!G36</f>
        <v>11819.174536556946</v>
      </c>
      <c r="E36" s="5">
        <f>'Passenger-Rail'!F36</f>
        <v>52.894157271446545</v>
      </c>
      <c r="F36" s="5">
        <f>'Passenger-Air'!F34</f>
        <v>1337.250956294881</v>
      </c>
      <c r="G36" s="5">
        <f t="shared" si="4"/>
        <v>13209.319650123274</v>
      </c>
      <c r="I36" s="5">
        <f>'Passenger-Highway'!L36</f>
        <v>2433156.9000000493</v>
      </c>
      <c r="J36" s="5">
        <f>'Passenger-Rail'!J36</f>
        <v>15794.5</v>
      </c>
      <c r="K36" s="5">
        <f>'Passenger-Air'!J34</f>
        <v>184724</v>
      </c>
      <c r="L36" s="5">
        <f t="shared" si="5"/>
        <v>2633675.4000000493</v>
      </c>
      <c r="N36" s="138">
        <f t="shared" si="39"/>
        <v>4857.5472204676589</v>
      </c>
      <c r="O36" s="138">
        <f t="shared" si="40"/>
        <v>3348.8972282406248</v>
      </c>
      <c r="P36" s="138">
        <f t="shared" si="41"/>
        <v>7239.1836268967818</v>
      </c>
      <c r="Q36" s="138">
        <f t="shared" si="42"/>
        <v>5015.5458224362155</v>
      </c>
      <c r="S36" s="129">
        <f>'Passenger-Highway'!AD36</f>
        <v>1.1997450396736009</v>
      </c>
      <c r="T36" s="129">
        <f>'Passenger-Rail'!Z36</f>
        <v>1.2249318922259829</v>
      </c>
      <c r="U36" s="129">
        <f>'Passenger-Air'!W34</f>
        <v>1.534401893451486</v>
      </c>
      <c r="V36" s="129"/>
      <c r="W36" s="129">
        <f>'Passenger-Highway'!AH36</f>
        <v>0.97846281465989338</v>
      </c>
      <c r="X36" s="129">
        <f>'Passenger-Rail'!AD36</f>
        <v>1.0134428304764103</v>
      </c>
      <c r="Y36" s="129">
        <f>'Passenger-Air'!V34</f>
        <v>1.0383372619562199</v>
      </c>
      <c r="AA36" s="131">
        <f t="shared" si="31"/>
        <v>0.77152280666766848</v>
      </c>
      <c r="AB36" s="131">
        <f t="shared" si="32"/>
        <v>1.2022473175769954</v>
      </c>
      <c r="AC36" s="131">
        <f t="shared" si="33"/>
        <v>0.99464124096631124</v>
      </c>
      <c r="AD36" s="131">
        <f t="shared" si="34"/>
        <v>0.98464396489271333</v>
      </c>
      <c r="AE36" s="131">
        <f t="shared" si="35"/>
        <v>1.2275752702939975</v>
      </c>
      <c r="AF36" s="131">
        <f t="shared" si="36"/>
        <v>0.92756122476567782</v>
      </c>
      <c r="AG36" s="131">
        <f t="shared" si="37"/>
        <v>0.92756122476567915</v>
      </c>
      <c r="AH36" s="131"/>
      <c r="AI36" s="131">
        <f t="shared" si="38"/>
        <v>0.9793674951508774</v>
      </c>
      <c r="AL36" s="134"/>
      <c r="AN36" s="129">
        <f t="shared" si="6"/>
        <v>0.89476027907664757</v>
      </c>
      <c r="AO36" s="129">
        <f t="shared" si="7"/>
        <v>4.004305950076158E-3</v>
      </c>
      <c r="AP36" s="129">
        <f t="shared" si="8"/>
        <v>0.10123541497327618</v>
      </c>
      <c r="AR36" s="129">
        <f t="shared" si="9"/>
        <v>0.89400498651504245</v>
      </c>
      <c r="AS36" s="129">
        <f t="shared" si="10"/>
        <v>4.0524400012389343E-3</v>
      </c>
      <c r="AT36" s="129">
        <f t="shared" si="10"/>
        <v>0.10194053550173472</v>
      </c>
      <c r="AU36" s="129">
        <f t="shared" si="21"/>
        <v>0.99999796201801616</v>
      </c>
      <c r="AW36" s="129">
        <f t="shared" si="22"/>
        <v>0.89400680848481162</v>
      </c>
      <c r="AX36" s="129">
        <f t="shared" si="23"/>
        <v>4.052448260055479E-3</v>
      </c>
      <c r="AY36" s="129">
        <f t="shared" si="24"/>
        <v>0.1019407432551329</v>
      </c>
      <c r="BB36" s="129">
        <f t="shared" si="11"/>
        <v>-1.2606998834687716E-2</v>
      </c>
      <c r="BC36" s="129">
        <f t="shared" si="12"/>
        <v>4.4262899211509783E-2</v>
      </c>
      <c r="BD36" s="129">
        <f t="shared" si="12"/>
        <v>1.283366745593691E-2</v>
      </c>
      <c r="BF36" s="129">
        <f t="shared" si="13"/>
        <v>0.92386362419605839</v>
      </c>
      <c r="BG36" s="129">
        <f t="shared" si="14"/>
        <v>5.9971323725010704E-3</v>
      </c>
      <c r="BH36" s="129">
        <f t="shared" si="15"/>
        <v>7.013924343144054E-2</v>
      </c>
      <c r="BJ36" s="129">
        <f t="shared" si="25"/>
        <v>3.1615175067303113E-3</v>
      </c>
      <c r="BK36" s="129">
        <f t="shared" si="26"/>
        <v>-7.8197001097356542E-2</v>
      </c>
      <c r="BL36" s="129">
        <f t="shared" si="27"/>
        <v>-3.4036930410835504E-2</v>
      </c>
      <c r="BN36" s="129">
        <f t="shared" si="16"/>
        <v>4.2043535413495573E-3</v>
      </c>
      <c r="BO36" s="129">
        <f t="shared" si="17"/>
        <v>3.1533707729553681E-3</v>
      </c>
      <c r="BP36" s="129">
        <f t="shared" si="17"/>
        <v>4.0692569076355425E-4</v>
      </c>
      <c r="BR36" s="129">
        <f t="shared" si="28"/>
        <v>0.99026460272569583</v>
      </c>
      <c r="BS36" s="129">
        <f t="shared" si="18"/>
        <v>0.96211267028112946</v>
      </c>
      <c r="BT36" s="129">
        <f t="shared" si="0"/>
        <v>1.2275752702939975</v>
      </c>
      <c r="BU36" s="129"/>
      <c r="BV36" s="129">
        <f t="shared" si="29"/>
        <v>0.99904023975568512</v>
      </c>
      <c r="BW36" s="129">
        <f t="shared" si="19"/>
        <v>0.95084053760310472</v>
      </c>
      <c r="BX36" s="129">
        <f t="shared" si="1"/>
        <v>0.99464124096631124</v>
      </c>
      <c r="BY36" s="129"/>
      <c r="BZ36" s="129">
        <f t="shared" si="30"/>
        <v>1.0038202605340816</v>
      </c>
      <c r="CA36" s="129">
        <f t="shared" si="20"/>
        <v>1.0144825546141492</v>
      </c>
      <c r="CB36" s="129">
        <f t="shared" si="2"/>
        <v>0.98464396489271333</v>
      </c>
    </row>
    <row r="37" spans="1:80" x14ac:dyDescent="0.2">
      <c r="A37" s="133" t="s">
        <v>664</v>
      </c>
      <c r="B37" s="133">
        <f t="shared" si="3"/>
        <v>1976</v>
      </c>
      <c r="D37" s="5">
        <f>'Passenger-Highway'!G37</f>
        <v>12571.294804334293</v>
      </c>
      <c r="E37" s="5">
        <f>'Passenger-Rail'!F37</f>
        <v>51.903601653647797</v>
      </c>
      <c r="F37" s="5">
        <f>'Passenger-Air'!F35</f>
        <v>1318.6765760678099</v>
      </c>
      <c r="G37" s="5">
        <f t="shared" si="4"/>
        <v>13941.874982055751</v>
      </c>
      <c r="I37" s="5">
        <f>'Passenger-Highway'!L37</f>
        <v>2565438.4960847469</v>
      </c>
      <c r="J37" s="5">
        <f>'Passenger-Rail'!J37</f>
        <v>16952</v>
      </c>
      <c r="K37" s="5">
        <f>'Passenger-Air'!J35</f>
        <v>203923</v>
      </c>
      <c r="L37" s="5">
        <f t="shared" si="5"/>
        <v>2786313.4960847469</v>
      </c>
      <c r="N37" s="138">
        <f t="shared" si="39"/>
        <v>4900.2518764414035</v>
      </c>
      <c r="O37" s="138">
        <f t="shared" si="40"/>
        <v>3061.798115481819</v>
      </c>
      <c r="P37" s="138">
        <f t="shared" si="41"/>
        <v>6466.5416655689151</v>
      </c>
      <c r="Q37" s="138">
        <f t="shared" si="42"/>
        <v>5003.6993330601526</v>
      </c>
      <c r="S37" s="129">
        <f>'Passenger-Highway'!AD37</f>
        <v>1.2053909073754709</v>
      </c>
      <c r="T37" s="129">
        <f>'Passenger-Rail'!Z37</f>
        <v>1.1319090251401038</v>
      </c>
      <c r="U37" s="129">
        <f>'Passenger-Air'!W35</f>
        <v>1.3721165359883247</v>
      </c>
      <c r="V37" s="129"/>
      <c r="W37" s="129">
        <f>'Passenger-Highway'!AH37</f>
        <v>0.98244161396726348</v>
      </c>
      <c r="X37" s="129">
        <f>'Passenger-Rail'!AD37</f>
        <v>1.0027078278437049</v>
      </c>
      <c r="Y37" s="129">
        <f>'Passenger-Air'!V35</f>
        <v>1.0372156338073257</v>
      </c>
      <c r="AA37" s="131">
        <f t="shared" si="31"/>
        <v>0.81623741815535333</v>
      </c>
      <c r="AB37" s="131">
        <f t="shared" si="32"/>
        <v>1.1994076645104508</v>
      </c>
      <c r="AC37" s="131">
        <f t="shared" si="33"/>
        <v>0.99580160145584673</v>
      </c>
      <c r="AD37" s="131">
        <f t="shared" si="34"/>
        <v>0.98809462919449043</v>
      </c>
      <c r="AE37" s="131">
        <f t="shared" si="35"/>
        <v>1.2189768579541542</v>
      </c>
      <c r="AF37" s="131">
        <f t="shared" si="36"/>
        <v>0.97900141539575214</v>
      </c>
      <c r="AG37" s="131">
        <f t="shared" si="37"/>
        <v>0.97900141539575269</v>
      </c>
      <c r="AH37" s="131"/>
      <c r="AI37" s="131">
        <f t="shared" si="38"/>
        <v>0.98394621414179462</v>
      </c>
      <c r="AL37" s="134"/>
      <c r="AN37" s="129">
        <f t="shared" si="6"/>
        <v>0.90169326726243793</v>
      </c>
      <c r="AO37" s="129">
        <f t="shared" si="7"/>
        <v>3.7228566258449211E-3</v>
      </c>
      <c r="AP37" s="129">
        <f t="shared" si="8"/>
        <v>9.4583876111717147E-2</v>
      </c>
      <c r="AR37" s="129">
        <f t="shared" si="9"/>
        <v>0.89822231378009243</v>
      </c>
      <c r="AS37" s="129">
        <f t="shared" si="10"/>
        <v>3.8618721274767519E-3</v>
      </c>
      <c r="AT37" s="129">
        <f t="shared" si="10"/>
        <v>9.7871977658347792E-2</v>
      </c>
      <c r="AU37" s="129">
        <f t="shared" si="21"/>
        <v>0.99995616356591699</v>
      </c>
      <c r="AW37" s="129">
        <f t="shared" si="22"/>
        <v>0.89826169036947157</v>
      </c>
      <c r="AX37" s="129">
        <f t="shared" si="23"/>
        <v>3.8620414256011312E-3</v>
      </c>
      <c r="AY37" s="129">
        <f t="shared" si="24"/>
        <v>9.7876268204927244E-2</v>
      </c>
      <c r="BB37" s="129">
        <f t="shared" si="11"/>
        <v>4.6948515148490374E-3</v>
      </c>
      <c r="BC37" s="129">
        <f t="shared" si="12"/>
        <v>-7.897963420075782E-2</v>
      </c>
      <c r="BD37" s="129">
        <f t="shared" si="12"/>
        <v>-0.11178619468390327</v>
      </c>
      <c r="BF37" s="129">
        <f t="shared" si="13"/>
        <v>0.9207285898337112</v>
      </c>
      <c r="BG37" s="129">
        <f t="shared" si="14"/>
        <v>6.0840246525814476E-3</v>
      </c>
      <c r="BH37" s="129">
        <f t="shared" si="15"/>
        <v>7.318738551370732E-2</v>
      </c>
      <c r="BJ37" s="129">
        <f t="shared" si="25"/>
        <v>-3.3991657962157205E-3</v>
      </c>
      <c r="BK37" s="129">
        <f t="shared" si="26"/>
        <v>1.4385009361083558E-2</v>
      </c>
      <c r="BL37" s="129">
        <f t="shared" si="27"/>
        <v>4.2540618964518086E-2</v>
      </c>
      <c r="BN37" s="129">
        <f t="shared" si="16"/>
        <v>4.0581322676070224E-3</v>
      </c>
      <c r="BO37" s="129">
        <f t="shared" si="17"/>
        <v>-1.064910902083549E-2</v>
      </c>
      <c r="BP37" s="129">
        <f t="shared" si="17"/>
        <v>-1.0807994923832489E-3</v>
      </c>
      <c r="BR37" s="129">
        <f t="shared" si="28"/>
        <v>0.9929956129388432</v>
      </c>
      <c r="BS37" s="129">
        <f t="shared" si="18"/>
        <v>0.95537366074203733</v>
      </c>
      <c r="BT37" s="129">
        <f t="shared" si="0"/>
        <v>1.2189768579541542</v>
      </c>
      <c r="BU37" s="129"/>
      <c r="BV37" s="129">
        <f t="shared" si="29"/>
        <v>1.0011666120825717</v>
      </c>
      <c r="BW37" s="129">
        <f t="shared" si="19"/>
        <v>0.95194979966287152</v>
      </c>
      <c r="BX37" s="129">
        <f t="shared" si="1"/>
        <v>0.99580160145584673</v>
      </c>
      <c r="BY37" s="129"/>
      <c r="BZ37" s="129">
        <f t="shared" si="30"/>
        <v>1.0035044792075205</v>
      </c>
      <c r="CA37" s="129">
        <f t="shared" si="20"/>
        <v>1.0180377876331868</v>
      </c>
      <c r="CB37" s="129">
        <f t="shared" si="2"/>
        <v>0.98809462919449043</v>
      </c>
    </row>
    <row r="38" spans="1:80" x14ac:dyDescent="0.2">
      <c r="A38" s="133" t="s">
        <v>664</v>
      </c>
      <c r="B38" s="133">
        <f t="shared" si="3"/>
        <v>1977</v>
      </c>
      <c r="D38" s="5">
        <f>'Passenger-Highway'!G38</f>
        <v>12872.226834028217</v>
      </c>
      <c r="E38" s="5">
        <f>'Passenger-Rail'!F38</f>
        <v>50.89668550377359</v>
      </c>
      <c r="F38" s="5">
        <f>'Passenger-Air'!F36</f>
        <v>1271.4511709038948</v>
      </c>
      <c r="G38" s="5">
        <f t="shared" si="4"/>
        <v>14194.574690435886</v>
      </c>
      <c r="I38" s="5">
        <f>'Passenger-Highway'!L38</f>
        <v>2673148.6143958615</v>
      </c>
      <c r="J38" s="5">
        <f>'Passenger-Rail'!J38</f>
        <v>20442</v>
      </c>
      <c r="K38" s="5">
        <f>'Passenger-Air'!J36</f>
        <v>218882</v>
      </c>
      <c r="L38" s="5">
        <f t="shared" si="5"/>
        <v>2912472.6143958615</v>
      </c>
      <c r="N38" s="138">
        <f t="shared" si="39"/>
        <v>4815.38017179691</v>
      </c>
      <c r="O38" s="138">
        <f t="shared" si="40"/>
        <v>2489.8094855578506</v>
      </c>
      <c r="P38" s="138">
        <f t="shared" si="41"/>
        <v>5808.8429880204621</v>
      </c>
      <c r="Q38" s="138">
        <f t="shared" si="42"/>
        <v>4873.7195399793609</v>
      </c>
      <c r="S38" s="129">
        <f>'Passenger-Highway'!AD38</f>
        <v>1.1808414603192334</v>
      </c>
      <c r="T38" s="129">
        <f>'Passenger-Rail'!Z38</f>
        <v>0.91616708972403671</v>
      </c>
      <c r="U38" s="129">
        <f>'Passenger-Air'!W36</f>
        <v>1.2332486242932239</v>
      </c>
      <c r="V38" s="129"/>
      <c r="W38" s="129">
        <f>'Passenger-Highway'!AH38</f>
        <v>0.9854968588124412</v>
      </c>
      <c r="X38" s="129">
        <f>'Passenger-Rail'!AD38</f>
        <v>1.0073973560867429</v>
      </c>
      <c r="Y38" s="129">
        <f>'Passenger-Air'!V36</f>
        <v>1.0366376314789969</v>
      </c>
      <c r="AA38" s="131">
        <f t="shared" si="31"/>
        <v>0.8531951377916106</v>
      </c>
      <c r="AB38" s="131">
        <f t="shared" si="32"/>
        <v>1.1682509643021592</v>
      </c>
      <c r="AC38" s="131">
        <f t="shared" si="33"/>
        <v>0.99591019135456804</v>
      </c>
      <c r="AD38" s="131">
        <f t="shared" si="34"/>
        <v>0.99083898222614786</v>
      </c>
      <c r="AE38" s="131">
        <f t="shared" si="35"/>
        <v>1.1838941838936499</v>
      </c>
      <c r="AF38" s="131">
        <f t="shared" si="36"/>
        <v>0.99674604246296261</v>
      </c>
      <c r="AG38" s="131">
        <f t="shared" si="37"/>
        <v>0.99674604246296272</v>
      </c>
      <c r="AH38" s="131"/>
      <c r="AI38" s="131">
        <f t="shared" si="38"/>
        <v>0.98678664039040831</v>
      </c>
      <c r="AL38" s="134"/>
      <c r="AN38" s="129">
        <f t="shared" si="6"/>
        <v>0.90684131893725217</v>
      </c>
      <c r="AO38" s="129">
        <f t="shared" si="7"/>
        <v>3.5856435725451566E-3</v>
      </c>
      <c r="AP38" s="129">
        <f t="shared" si="8"/>
        <v>8.9573037490202609E-2</v>
      </c>
      <c r="AR38" s="129">
        <f t="shared" si="9"/>
        <v>0.90426485074555707</v>
      </c>
      <c r="AS38" s="129">
        <f t="shared" si="10"/>
        <v>3.6538207089533473E-3</v>
      </c>
      <c r="AT38" s="129">
        <f t="shared" si="10"/>
        <v>9.2055728481670304E-2</v>
      </c>
      <c r="AU38" s="129">
        <f t="shared" si="21"/>
        <v>0.99997439993618076</v>
      </c>
      <c r="AW38" s="129">
        <f t="shared" si="22"/>
        <v>0.90428800057608283</v>
      </c>
      <c r="AX38" s="129">
        <f t="shared" si="23"/>
        <v>3.6539142493913217E-3</v>
      </c>
      <c r="AY38" s="129">
        <f t="shared" si="24"/>
        <v>9.205808517452585E-2</v>
      </c>
      <c r="BB38" s="129">
        <f t="shared" si="11"/>
        <v>-2.0576632489211544E-2</v>
      </c>
      <c r="BC38" s="129">
        <f t="shared" si="12"/>
        <v>-0.21146212864805844</v>
      </c>
      <c r="BD38" s="129">
        <f t="shared" si="12"/>
        <v>-0.10670261884581191</v>
      </c>
      <c r="BF38" s="129">
        <f t="shared" si="13"/>
        <v>0.91782789688148081</v>
      </c>
      <c r="BG38" s="129">
        <f t="shared" si="14"/>
        <v>7.0187784423992993E-3</v>
      </c>
      <c r="BH38" s="129">
        <f t="shared" si="15"/>
        <v>7.5153324676119918E-2</v>
      </c>
      <c r="BJ38" s="129">
        <f t="shared" si="25"/>
        <v>-3.1554052104881187E-3</v>
      </c>
      <c r="BK38" s="129">
        <f t="shared" si="26"/>
        <v>0.14292276541788843</v>
      </c>
      <c r="BL38" s="129">
        <f t="shared" si="27"/>
        <v>2.6507278685069233E-2</v>
      </c>
      <c r="BN38" s="129">
        <f t="shared" si="16"/>
        <v>3.1050231926606454E-3</v>
      </c>
      <c r="BO38" s="129">
        <f t="shared" si="17"/>
        <v>4.6659615512446712E-3</v>
      </c>
      <c r="BP38" s="129">
        <f t="shared" si="17"/>
        <v>-5.5741874603185983E-4</v>
      </c>
      <c r="BR38" s="129">
        <f t="shared" si="28"/>
        <v>0.97121957334006748</v>
      </c>
      <c r="BS38" s="129">
        <f t="shared" si="18"/>
        <v>0.92787759916621992</v>
      </c>
      <c r="BT38" s="129">
        <f t="shared" si="0"/>
        <v>1.1838941838936499</v>
      </c>
      <c r="BU38" s="129"/>
      <c r="BV38" s="129">
        <f t="shared" si="29"/>
        <v>1.0001090477245291</v>
      </c>
      <c r="BW38" s="129">
        <f t="shared" si="19"/>
        <v>0.95205360762239077</v>
      </c>
      <c r="BX38" s="129">
        <f t="shared" si="1"/>
        <v>0.99591019135456804</v>
      </c>
      <c r="BY38" s="129"/>
      <c r="BZ38" s="129">
        <f t="shared" si="30"/>
        <v>1.0027774192375629</v>
      </c>
      <c r="CA38" s="129">
        <f t="shared" si="20"/>
        <v>1.0208653053691252</v>
      </c>
      <c r="CB38" s="129">
        <f t="shared" si="2"/>
        <v>0.99083898222614786</v>
      </c>
    </row>
    <row r="39" spans="1:80" x14ac:dyDescent="0.2">
      <c r="A39" s="133" t="s">
        <v>664</v>
      </c>
      <c r="B39" s="133">
        <f t="shared" si="3"/>
        <v>1978</v>
      </c>
      <c r="D39" s="5">
        <f>'Passenger-Highway'!G39</f>
        <v>13307.693466451168</v>
      </c>
      <c r="E39" s="5">
        <f>'Passenger-Rail'!F39</f>
        <v>50.800549935849048</v>
      </c>
      <c r="F39" s="5">
        <f>'Passenger-Air'!F37</f>
        <v>1355.0201190020089</v>
      </c>
      <c r="G39" s="5">
        <f t="shared" si="4"/>
        <v>14713.514135389027</v>
      </c>
      <c r="I39" s="5">
        <f>'Passenger-Highway'!L39</f>
        <v>2784130.6527466327</v>
      </c>
      <c r="J39" s="5">
        <f>'Passenger-Rail'!J39</f>
        <v>21089</v>
      </c>
      <c r="K39" s="5">
        <f>'Passenger-Air'!J37</f>
        <v>251098</v>
      </c>
      <c r="L39" s="5">
        <f t="shared" si="5"/>
        <v>3056317.6527466327</v>
      </c>
      <c r="N39" s="138">
        <f t="shared" si="39"/>
        <v>4779.8379911958182</v>
      </c>
      <c r="O39" s="138">
        <f t="shared" si="40"/>
        <v>2408.8648079970149</v>
      </c>
      <c r="P39" s="138">
        <f t="shared" si="41"/>
        <v>5396.3795769062626</v>
      </c>
      <c r="Q39" s="138">
        <f t="shared" si="42"/>
        <v>4814.1311889378958</v>
      </c>
      <c r="S39" s="129">
        <f>'Passenger-Highway'!AD39</f>
        <v>1.16699058239945</v>
      </c>
      <c r="T39" s="129">
        <f>'Passenger-Rail'!Z39</f>
        <v>0.88975464370074397</v>
      </c>
      <c r="U39" s="129">
        <f>'Passenger-Air'!W37</f>
        <v>1.1483155046724853</v>
      </c>
      <c r="V39" s="129"/>
      <c r="W39" s="129">
        <f>'Passenger-Highway'!AH39</f>
        <v>0.98983335151903129</v>
      </c>
      <c r="X39" s="129">
        <f>'Passenger-Rail'!AD39</f>
        <v>1.003578942706878</v>
      </c>
      <c r="Y39" s="129">
        <f>'Passenger-Air'!V37</f>
        <v>1.0342588207618273</v>
      </c>
      <c r="AA39" s="131">
        <f t="shared" si="31"/>
        <v>0.8953338644219323</v>
      </c>
      <c r="AB39" s="131">
        <f t="shared" si="32"/>
        <v>1.1539673872529836</v>
      </c>
      <c r="AC39" s="131">
        <f t="shared" si="33"/>
        <v>0.99711960165079949</v>
      </c>
      <c r="AD39" s="131">
        <f t="shared" si="34"/>
        <v>0.99456596457866997</v>
      </c>
      <c r="AE39" s="131">
        <f t="shared" si="35"/>
        <v>1.163624049082058</v>
      </c>
      <c r="AF39" s="131">
        <f t="shared" si="36"/>
        <v>1.0331860802460942</v>
      </c>
      <c r="AG39" s="131">
        <f t="shared" si="37"/>
        <v>1.0331860802460946</v>
      </c>
      <c r="AH39" s="131"/>
      <c r="AI39" s="131">
        <f t="shared" si="38"/>
        <v>0.99170121841612657</v>
      </c>
      <c r="AL39" s="134"/>
      <c r="AN39" s="129">
        <f t="shared" si="6"/>
        <v>0.90445377929419524</v>
      </c>
      <c r="AO39" s="129">
        <f t="shared" si="7"/>
        <v>3.4526456065083243E-3</v>
      </c>
      <c r="AP39" s="129">
        <f t="shared" si="8"/>
        <v>9.2093575099296429E-2</v>
      </c>
      <c r="AR39" s="129">
        <f t="shared" si="9"/>
        <v>0.90564702459709823</v>
      </c>
      <c r="AS39" s="129">
        <f t="shared" si="10"/>
        <v>3.5187256869801198E-3</v>
      </c>
      <c r="AT39" s="129">
        <f t="shared" si="10"/>
        <v>9.0827477452645258E-2</v>
      </c>
      <c r="AU39" s="129">
        <f t="shared" si="21"/>
        <v>0.99999322773672361</v>
      </c>
      <c r="AW39" s="129">
        <f t="shared" si="22"/>
        <v>0.9056531579187207</v>
      </c>
      <c r="AX39" s="129">
        <f t="shared" si="23"/>
        <v>3.5187495168782518E-3</v>
      </c>
      <c r="AY39" s="129">
        <f t="shared" si="24"/>
        <v>9.0828092564400997E-2</v>
      </c>
      <c r="BB39" s="129">
        <f t="shared" si="11"/>
        <v>-1.1799002958122001E-2</v>
      </c>
      <c r="BC39" s="129">
        <f t="shared" si="12"/>
        <v>-2.9253016917494361E-2</v>
      </c>
      <c r="BD39" s="129">
        <f t="shared" si="12"/>
        <v>-7.1355755625139697E-2</v>
      </c>
      <c r="BF39" s="129">
        <f t="shared" si="13"/>
        <v>0.91094283025346112</v>
      </c>
      <c r="BG39" s="129">
        <f t="shared" si="14"/>
        <v>6.9001335581227521E-3</v>
      </c>
      <c r="BH39" s="129">
        <f t="shared" si="15"/>
        <v>8.2157036188416077E-2</v>
      </c>
      <c r="BJ39" s="129">
        <f t="shared" si="25"/>
        <v>-7.5297565257160404E-3</v>
      </c>
      <c r="BK39" s="129">
        <f t="shared" si="26"/>
        <v>-1.7048424176250628E-2</v>
      </c>
      <c r="BL39" s="129">
        <f t="shared" si="27"/>
        <v>8.9102135559283591E-2</v>
      </c>
      <c r="BN39" s="129">
        <f t="shared" si="16"/>
        <v>4.390657977525054E-3</v>
      </c>
      <c r="BO39" s="129">
        <f t="shared" si="17"/>
        <v>-3.7975763027332438E-3</v>
      </c>
      <c r="BP39" s="129">
        <f t="shared" si="17"/>
        <v>-2.2973739327828498E-3</v>
      </c>
      <c r="BR39" s="129">
        <f t="shared" si="28"/>
        <v>0.9828784235218333</v>
      </c>
      <c r="BS39" s="129">
        <f t="shared" si="18"/>
        <v>0.91199087188971784</v>
      </c>
      <c r="BT39" s="129">
        <f t="shared" si="0"/>
        <v>1.163624049082058</v>
      </c>
      <c r="BU39" s="129"/>
      <c r="BV39" s="129">
        <f t="shared" si="29"/>
        <v>1.0012143768652337</v>
      </c>
      <c r="BW39" s="129">
        <f t="shared" si="19"/>
        <v>0.95320975949794973</v>
      </c>
      <c r="BX39" s="129">
        <f t="shared" si="1"/>
        <v>0.99711960165079949</v>
      </c>
      <c r="BY39" s="129"/>
      <c r="BZ39" s="129">
        <f t="shared" si="30"/>
        <v>1.0037614409801972</v>
      </c>
      <c r="CA39" s="129">
        <f t="shared" si="20"/>
        <v>1.024705229964002</v>
      </c>
      <c r="CB39" s="129">
        <f t="shared" si="2"/>
        <v>0.99456596457866997</v>
      </c>
    </row>
    <row r="40" spans="1:80" x14ac:dyDescent="0.2">
      <c r="A40" s="133" t="s">
        <v>664</v>
      </c>
      <c r="B40" s="133">
        <f t="shared" si="3"/>
        <v>1979</v>
      </c>
      <c r="D40" s="5">
        <f>'Passenger-Highway'!G40</f>
        <v>12845.982835390319</v>
      </c>
      <c r="E40" s="5">
        <f>'Passenger-Rail'!F40</f>
        <v>55.099575040251558</v>
      </c>
      <c r="F40" s="5">
        <f>'Passenger-Air'!F38</f>
        <v>1433.7330244979316</v>
      </c>
      <c r="G40" s="5">
        <f t="shared" si="4"/>
        <v>14334.815434928501</v>
      </c>
      <c r="I40" s="5">
        <f>'Passenger-Highway'!L40</f>
        <v>2739740.134732537</v>
      </c>
      <c r="J40" s="5">
        <f>'Passenger-Rail'!J40</f>
        <v>22526</v>
      </c>
      <c r="K40" s="5">
        <f>'Passenger-Air'!J38</f>
        <v>285219</v>
      </c>
      <c r="L40" s="5">
        <f t="shared" si="5"/>
        <v>3047485.134732537</v>
      </c>
      <c r="N40" s="138">
        <f t="shared" si="39"/>
        <v>4688.7595916626551</v>
      </c>
      <c r="O40" s="138">
        <f t="shared" si="40"/>
        <v>2446.0434626765318</v>
      </c>
      <c r="P40" s="138">
        <f t="shared" si="41"/>
        <v>5026.779508019913</v>
      </c>
      <c r="Q40" s="138">
        <f t="shared" si="42"/>
        <v>4703.8180011291834</v>
      </c>
      <c r="S40" s="129">
        <f>'Passenger-Highway'!AD40</f>
        <v>1.1437830432196245</v>
      </c>
      <c r="T40" s="129">
        <f>'Passenger-Rail'!Z40</f>
        <v>0.89918954324305744</v>
      </c>
      <c r="U40" s="129">
        <f>'Passenger-Air'!W38</f>
        <v>1.0720526347186539</v>
      </c>
      <c r="V40" s="129"/>
      <c r="W40" s="129">
        <f>'Passenger-Highway'!AH40</f>
        <v>0.99067355292983206</v>
      </c>
      <c r="X40" s="129">
        <f>'Passenger-Rail'!AD40</f>
        <v>1.008375530510806</v>
      </c>
      <c r="Y40" s="129">
        <f>'Passenger-Air'!V38</f>
        <v>1.0319572339024361</v>
      </c>
      <c r="AA40" s="131">
        <f t="shared" si="31"/>
        <v>0.89274641986130887</v>
      </c>
      <c r="AB40" s="131">
        <f t="shared" si="32"/>
        <v>1.1275248546091543</v>
      </c>
      <c r="AC40" s="131">
        <f t="shared" si="33"/>
        <v>0.99801353587170061</v>
      </c>
      <c r="AD40" s="131">
        <f t="shared" si="34"/>
        <v>0.99513045223132912</v>
      </c>
      <c r="AE40" s="131">
        <f t="shared" si="35"/>
        <v>1.1352974857388176</v>
      </c>
      <c r="AF40" s="131">
        <f t="shared" si="36"/>
        <v>1.0065937772569651</v>
      </c>
      <c r="AG40" s="131">
        <f t="shared" si="37"/>
        <v>1.0065937772569653</v>
      </c>
      <c r="AH40" s="131"/>
      <c r="AI40" s="131">
        <f t="shared" si="38"/>
        <v>0.99315366128499327</v>
      </c>
      <c r="AL40" s="134"/>
      <c r="AN40" s="129">
        <f t="shared" si="6"/>
        <v>0.89613869768351095</v>
      </c>
      <c r="AO40" s="129">
        <f t="shared" si="7"/>
        <v>3.8437589441155146E-3</v>
      </c>
      <c r="AP40" s="129">
        <f t="shared" si="8"/>
        <v>0.10001754337237358</v>
      </c>
      <c r="AR40" s="129">
        <f t="shared" si="9"/>
        <v>0.9002898386532141</v>
      </c>
      <c r="AS40" s="129">
        <f t="shared" si="10"/>
        <v>3.6447054153709037E-3</v>
      </c>
      <c r="AT40" s="129">
        <f t="shared" si="10"/>
        <v>9.6001061448899333E-2</v>
      </c>
      <c r="AU40" s="129">
        <f t="shared" si="21"/>
        <v>0.99993560551748428</v>
      </c>
      <c r="AW40" s="129">
        <f t="shared" si="22"/>
        <v>0.9003478160849151</v>
      </c>
      <c r="AX40" s="129">
        <f t="shared" si="23"/>
        <v>3.6449401294043377E-3</v>
      </c>
      <c r="AY40" s="129">
        <f t="shared" si="24"/>
        <v>9.6007243785680665E-2</v>
      </c>
      <c r="BB40" s="129">
        <f t="shared" si="11"/>
        <v>-2.0087055911561316E-2</v>
      </c>
      <c r="BC40" s="129">
        <f t="shared" si="12"/>
        <v>1.0548106632125919E-2</v>
      </c>
      <c r="BD40" s="129">
        <f t="shared" si="12"/>
        <v>-6.8720928998399822E-2</v>
      </c>
      <c r="BF40" s="129">
        <f t="shared" si="13"/>
        <v>0.89901673465356891</v>
      </c>
      <c r="BG40" s="129">
        <f t="shared" si="14"/>
        <v>7.391668541141874E-3</v>
      </c>
      <c r="BH40" s="129">
        <f t="shared" si="15"/>
        <v>9.3591596805289196E-2</v>
      </c>
      <c r="BJ40" s="129">
        <f t="shared" si="25"/>
        <v>-1.3178491314020966E-2</v>
      </c>
      <c r="BK40" s="129">
        <f t="shared" si="26"/>
        <v>6.8812725454981447E-2</v>
      </c>
      <c r="BL40" s="129">
        <f t="shared" si="27"/>
        <v>0.13030811041846815</v>
      </c>
      <c r="BN40" s="129">
        <f t="shared" si="16"/>
        <v>8.4847112556766038E-4</v>
      </c>
      <c r="BO40" s="129">
        <f t="shared" si="17"/>
        <v>4.768096848322744E-3</v>
      </c>
      <c r="BP40" s="129">
        <f t="shared" si="17"/>
        <v>-2.2278287947050798E-3</v>
      </c>
      <c r="BR40" s="129">
        <f t="shared" si="28"/>
        <v>0.97565660200510096</v>
      </c>
      <c r="BS40" s="129">
        <f t="shared" si="18"/>
        <v>0.88978991512759142</v>
      </c>
      <c r="BT40" s="129">
        <f t="shared" si="0"/>
        <v>1.1352974857388176</v>
      </c>
      <c r="BU40" s="129"/>
      <c r="BV40" s="129">
        <f t="shared" si="29"/>
        <v>1.0008965165456793</v>
      </c>
      <c r="BW40" s="129">
        <f t="shared" si="19"/>
        <v>0.95406432781884265</v>
      </c>
      <c r="BX40" s="129">
        <f t="shared" si="1"/>
        <v>0.99801353587170061</v>
      </c>
      <c r="BY40" s="129"/>
      <c r="BZ40" s="129">
        <f t="shared" si="30"/>
        <v>1.000567571858241</v>
      </c>
      <c r="CA40" s="129">
        <f t="shared" si="20"/>
        <v>1.0252868238155219</v>
      </c>
      <c r="CB40" s="129">
        <f t="shared" si="2"/>
        <v>0.99513045223132912</v>
      </c>
    </row>
    <row r="41" spans="1:80" x14ac:dyDescent="0.2">
      <c r="A41" s="133" t="s">
        <v>664</v>
      </c>
      <c r="B41" s="133">
        <f t="shared" si="3"/>
        <v>1980</v>
      </c>
      <c r="D41" s="5">
        <f>'Passenger-Highway'!G41</f>
        <v>11942.936038238939</v>
      </c>
      <c r="E41" s="5">
        <f>'Passenger-Rail'!F41</f>
        <v>53.11938267924527</v>
      </c>
      <c r="F41" s="5">
        <f>'Passenger-Air'!F39</f>
        <v>1374.024012694776</v>
      </c>
      <c r="G41" s="5">
        <f t="shared" si="4"/>
        <v>13370.07943361296</v>
      </c>
      <c r="I41" s="5">
        <f>'Passenger-Highway'!L41</f>
        <v>2724107.7500000494</v>
      </c>
      <c r="J41" s="5">
        <f>'Passenger-Rail'!J41</f>
        <v>21508</v>
      </c>
      <c r="K41" s="5">
        <f>'Passenger-Air'!J39</f>
        <v>282422</v>
      </c>
      <c r="L41" s="5">
        <f t="shared" si="5"/>
        <v>3028037.7500000494</v>
      </c>
      <c r="N41" s="138">
        <f t="shared" si="39"/>
        <v>4384.1643335285553</v>
      </c>
      <c r="O41" s="138">
        <f t="shared" si="40"/>
        <v>2469.7499850867243</v>
      </c>
      <c r="P41" s="138">
        <f t="shared" si="41"/>
        <v>4865.1451115521313</v>
      </c>
      <c r="Q41" s="138">
        <f t="shared" si="42"/>
        <v>4415.4269323798035</v>
      </c>
      <c r="S41" s="129">
        <f>'Passenger-Highway'!AD41</f>
        <v>1.0696010272994949</v>
      </c>
      <c r="T41" s="129">
        <f>'Passenger-Rail'!Z41</f>
        <v>0.91318936074898394</v>
      </c>
      <c r="U41" s="129">
        <f>'Passenger-Air'!W39</f>
        <v>1.0406927033613613</v>
      </c>
      <c r="V41" s="129"/>
      <c r="W41" s="129">
        <f>'Passenger-Highway'!AH41</f>
        <v>0.99056110386867824</v>
      </c>
      <c r="X41" s="129">
        <f>'Passenger-Rail'!AD41</f>
        <v>1.0025395746126347</v>
      </c>
      <c r="Y41" s="129">
        <f>'Passenger-Air'!V39</f>
        <v>1.0288717931613285</v>
      </c>
      <c r="AA41" s="131">
        <f t="shared" si="31"/>
        <v>0.88704940008007294</v>
      </c>
      <c r="AB41" s="131">
        <f t="shared" si="32"/>
        <v>1.0583963088652151</v>
      </c>
      <c r="AC41" s="131">
        <f t="shared" si="33"/>
        <v>0.998115730545862</v>
      </c>
      <c r="AD41" s="131">
        <f t="shared" si="34"/>
        <v>0.99470478957186526</v>
      </c>
      <c r="AE41" s="131">
        <f t="shared" si="35"/>
        <v>1.0660392799120582</v>
      </c>
      <c r="AF41" s="131">
        <f t="shared" si="36"/>
        <v>0.93884981082585228</v>
      </c>
      <c r="AG41" s="131">
        <f t="shared" si="37"/>
        <v>0.93884981082585273</v>
      </c>
      <c r="AH41" s="131"/>
      <c r="AI41" s="131">
        <f t="shared" si="38"/>
        <v>0.99283049772099019</v>
      </c>
      <c r="AL41" s="134"/>
      <c r="AN41" s="129">
        <f t="shared" si="6"/>
        <v>0.89325842060548111</v>
      </c>
      <c r="AO41" s="129">
        <f t="shared" si="7"/>
        <v>3.9730042699447866E-3</v>
      </c>
      <c r="AP41" s="129">
        <f t="shared" si="8"/>
        <v>0.10276857512457406</v>
      </c>
      <c r="AR41" s="129">
        <f t="shared" si="9"/>
        <v>0.89469778644461206</v>
      </c>
      <c r="AS41" s="129">
        <f t="shared" si="10"/>
        <v>3.9080254158599601E-3</v>
      </c>
      <c r="AT41" s="129">
        <f t="shared" si="10"/>
        <v>0.10138683878063838</v>
      </c>
      <c r="AU41" s="129">
        <f t="shared" si="21"/>
        <v>0.99999265064111043</v>
      </c>
      <c r="AW41" s="129">
        <f t="shared" si="22"/>
        <v>0.89470436194806813</v>
      </c>
      <c r="AX41" s="129">
        <f t="shared" si="23"/>
        <v>3.9080541375523768E-3</v>
      </c>
      <c r="AY41" s="129">
        <f t="shared" si="24"/>
        <v>0.10138758391437952</v>
      </c>
      <c r="BB41" s="129">
        <f t="shared" si="11"/>
        <v>-6.7055520179776562E-2</v>
      </c>
      <c r="BC41" s="129">
        <f t="shared" si="12"/>
        <v>1.5449413955851029E-2</v>
      </c>
      <c r="BD41" s="129">
        <f t="shared" si="12"/>
        <v>-2.9688608636712854E-2</v>
      </c>
      <c r="BF41" s="129">
        <f t="shared" si="13"/>
        <v>0.8996280677148113</v>
      </c>
      <c r="BG41" s="129">
        <f t="shared" si="14"/>
        <v>7.1029497568184706E-3</v>
      </c>
      <c r="BH41" s="129">
        <f t="shared" si="15"/>
        <v>9.3268982528370195E-2</v>
      </c>
      <c r="BJ41" s="129">
        <f t="shared" si="25"/>
        <v>6.7977077406071223E-4</v>
      </c>
      <c r="BK41" s="129">
        <f t="shared" si="26"/>
        <v>-3.9843336645515363E-2</v>
      </c>
      <c r="BL41" s="129">
        <f t="shared" si="27"/>
        <v>-3.4529979369514728E-3</v>
      </c>
      <c r="BN41" s="129">
        <f t="shared" si="16"/>
        <v>-1.1351412705071889E-4</v>
      </c>
      <c r="BO41" s="129">
        <f t="shared" si="17"/>
        <v>-5.8042950372811887E-3</v>
      </c>
      <c r="BP41" s="129">
        <f t="shared" si="17"/>
        <v>-2.9943707177956407E-3</v>
      </c>
      <c r="BR41" s="129">
        <f t="shared" si="28"/>
        <v>0.93899554372597915</v>
      </c>
      <c r="BS41" s="129">
        <f t="shared" si="18"/>
        <v>0.83550876515712558</v>
      </c>
      <c r="BT41" s="129">
        <f t="shared" si="0"/>
        <v>1.0660392799120582</v>
      </c>
      <c r="BU41" s="129"/>
      <c r="BV41" s="129">
        <f t="shared" si="29"/>
        <v>1.0001023980842827</v>
      </c>
      <c r="BW41" s="129">
        <f t="shared" si="19"/>
        <v>0.95416202217829371</v>
      </c>
      <c r="BX41" s="129">
        <f t="shared" si="1"/>
        <v>0.998115730545862</v>
      </c>
      <c r="BY41" s="129"/>
      <c r="BZ41" s="129">
        <f t="shared" si="30"/>
        <v>0.99957225441296738</v>
      </c>
      <c r="CA41" s="129">
        <f t="shared" si="20"/>
        <v>1.024848261901192</v>
      </c>
      <c r="CB41" s="129">
        <f t="shared" si="2"/>
        <v>0.99470478957186526</v>
      </c>
    </row>
    <row r="42" spans="1:80" x14ac:dyDescent="0.2">
      <c r="A42" s="133" t="s">
        <v>664</v>
      </c>
      <c r="B42" s="133">
        <f t="shared" si="3"/>
        <v>1981</v>
      </c>
      <c r="D42" s="5">
        <f>'Passenger-Highway'!G42</f>
        <v>11828.210427456008</v>
      </c>
      <c r="E42" s="5">
        <f>'Passenger-Rail'!F42</f>
        <v>53.753189654088047</v>
      </c>
      <c r="F42" s="5">
        <f>'Passenger-Air'!F40</f>
        <v>1401.7554264696532</v>
      </c>
      <c r="G42" s="5">
        <f t="shared" si="4"/>
        <v>13283.719043579749</v>
      </c>
      <c r="I42" s="5">
        <f>'Passenger-Highway'!L42</f>
        <v>2762745.4855531841</v>
      </c>
      <c r="J42" s="5">
        <f>'Passenger-Rail'!J42</f>
        <v>21223</v>
      </c>
      <c r="K42" s="5">
        <f>'Passenger-Air'!J40</f>
        <v>274663</v>
      </c>
      <c r="L42" s="5">
        <f t="shared" si="5"/>
        <v>3058631.4855531841</v>
      </c>
      <c r="N42" s="138">
        <f t="shared" ref="N42:N71" si="43">D42/I42*1000000</f>
        <v>4281.324678406867</v>
      </c>
      <c r="O42" s="138">
        <f t="shared" ref="O42:O71" si="44">E42/J42*1000000</f>
        <v>2532.7799865282027</v>
      </c>
      <c r="P42" s="138">
        <f t="shared" ref="P42:Q71" si="45">F42/K42*1000000</f>
        <v>5103.5466242983339</v>
      </c>
      <c r="Q42" s="138">
        <f t="shared" si="45"/>
        <v>4343.0269734430776</v>
      </c>
      <c r="S42" s="129">
        <f>'Passenger-Highway'!AD42</f>
        <v>1.0437919026138502</v>
      </c>
      <c r="T42" s="129">
        <f>'Passenger-Rail'!Z42</f>
        <v>0.93616735820267649</v>
      </c>
      <c r="U42" s="129">
        <f>'Passenger-Air'!W40</f>
        <v>1.090108037009464</v>
      </c>
      <c r="V42" s="129"/>
      <c r="W42" s="129">
        <f>'Passenger-Highway'!AH42</f>
        <v>0.99124383256068371</v>
      </c>
      <c r="X42" s="129">
        <f>'Passenger-Rail'!AD42</f>
        <v>1.0028901092486637</v>
      </c>
      <c r="Y42" s="129">
        <f>'Passenger-Air'!V40</f>
        <v>1.0303636227026922</v>
      </c>
      <c r="AA42" s="131">
        <f t="shared" si="31"/>
        <v>0.89601169084696186</v>
      </c>
      <c r="AB42" s="131">
        <f t="shared" si="32"/>
        <v>1.0410417358026001</v>
      </c>
      <c r="AC42" s="131">
        <f t="shared" ref="AC42:AC71" si="46">BX42</f>
        <v>0.99767007523120244</v>
      </c>
      <c r="AD42" s="131">
        <f t="shared" ref="AD42:AD71" si="47">CB42</f>
        <v>0.99546779661405005</v>
      </c>
      <c r="AE42" s="131">
        <f t="shared" ref="AE42:AE71" si="48">BT42</f>
        <v>1.0482237123309395</v>
      </c>
      <c r="AF42" s="131">
        <f t="shared" ref="AF42:AF71" si="49">AA42*AC42*AD42*AE42</f>
        <v>0.9327855659387434</v>
      </c>
      <c r="AG42" s="131">
        <f t="shared" si="37"/>
        <v>0.93278556593874384</v>
      </c>
      <c r="AH42" s="131"/>
      <c r="AI42" s="131">
        <f t="shared" ref="AI42:AI71" si="50">AC42*AD42</f>
        <v>0.99314843153817867</v>
      </c>
      <c r="AL42" s="134"/>
      <c r="AN42" s="129">
        <f t="shared" si="6"/>
        <v>0.89042913273393764</v>
      </c>
      <c r="AO42" s="129">
        <f t="shared" si="7"/>
        <v>4.0465467146467461E-3</v>
      </c>
      <c r="AP42" s="129">
        <f t="shared" si="8"/>
        <v>0.1055243205514156</v>
      </c>
      <c r="AR42" s="129">
        <f t="shared" si="9"/>
        <v>0.89184302869909093</v>
      </c>
      <c r="AS42" s="129">
        <f t="shared" si="10"/>
        <v>4.0096630875722603E-3</v>
      </c>
      <c r="AT42" s="129">
        <f t="shared" si="10"/>
        <v>0.10414037106860335</v>
      </c>
      <c r="AU42" s="129">
        <f t="shared" si="21"/>
        <v>0.99999306285526646</v>
      </c>
      <c r="AW42" s="129">
        <f t="shared" si="22"/>
        <v>0.89184921558617991</v>
      </c>
      <c r="AX42" s="129">
        <f t="shared" si="23"/>
        <v>4.0096909033783936E-3</v>
      </c>
      <c r="AY42" s="129">
        <f t="shared" si="24"/>
        <v>0.10414109351044175</v>
      </c>
      <c r="BB42" s="129">
        <f t="shared" si="11"/>
        <v>-2.4425564663215653E-2</v>
      </c>
      <c r="BC42" s="129">
        <f t="shared" si="12"/>
        <v>2.4850997921108876E-2</v>
      </c>
      <c r="BD42" s="129">
        <f t="shared" si="12"/>
        <v>4.6390255494241368E-2</v>
      </c>
      <c r="BF42" s="129">
        <f t="shared" si="13"/>
        <v>0.90326196490242239</v>
      </c>
      <c r="BG42" s="129">
        <f t="shared" si="14"/>
        <v>6.9387240994027788E-3</v>
      </c>
      <c r="BH42" s="129">
        <f t="shared" si="15"/>
        <v>8.9799310998174869E-2</v>
      </c>
      <c r="BJ42" s="129">
        <f t="shared" si="25"/>
        <v>4.0311966264546745E-3</v>
      </c>
      <c r="BK42" s="129">
        <f t="shared" si="26"/>
        <v>-2.3392246206609166E-2</v>
      </c>
      <c r="BL42" s="129">
        <f t="shared" si="27"/>
        <v>-3.7910301142460641E-2</v>
      </c>
      <c r="BN42" s="129">
        <f t="shared" si="16"/>
        <v>6.8899689012186021E-4</v>
      </c>
      <c r="BO42" s="129">
        <f t="shared" si="17"/>
        <v>3.495855700350165E-4</v>
      </c>
      <c r="BP42" s="129">
        <f t="shared" si="17"/>
        <v>1.4489162247903736E-3</v>
      </c>
      <c r="BR42" s="129">
        <f t="shared" si="28"/>
        <v>0.98328807585533984</v>
      </c>
      <c r="BS42" s="129">
        <f t="shared" si="18"/>
        <v>0.82154580605162097</v>
      </c>
      <c r="BT42" s="129">
        <f t="shared" ref="BT42:BT72" si="51">BS42/BS$74</f>
        <v>1.0482237123309395</v>
      </c>
      <c r="BU42" s="129"/>
      <c r="BV42" s="129">
        <f t="shared" si="29"/>
        <v>0.99955350336537041</v>
      </c>
      <c r="BW42" s="129">
        <f t="shared" si="19"/>
        <v>0.95373599204649973</v>
      </c>
      <c r="BX42" s="129">
        <f t="shared" ref="BX42:BX72" si="52">BW42/BW$74</f>
        <v>0.99767007523120244</v>
      </c>
      <c r="BY42" s="129"/>
      <c r="BZ42" s="129">
        <f t="shared" si="30"/>
        <v>1.0007670688330688</v>
      </c>
      <c r="CA42" s="129">
        <f t="shared" si="20"/>
        <v>1.0256343910615211</v>
      </c>
      <c r="CB42" s="129">
        <f t="shared" ref="CB42:CB72" si="53">CA42/CA$74</f>
        <v>0.99546779661405005</v>
      </c>
    </row>
    <row r="43" spans="1:80" x14ac:dyDescent="0.2">
      <c r="A43" s="133" t="s">
        <v>664</v>
      </c>
      <c r="B43" s="133">
        <f t="shared" ref="B43:B72" si="54">B42+1</f>
        <v>1982</v>
      </c>
      <c r="D43" s="5">
        <f>'Passenger-Highway'!G43</f>
        <v>11706.983987351165</v>
      </c>
      <c r="E43" s="5">
        <f>'Passenger-Rail'!F43</f>
        <v>53.724519006289313</v>
      </c>
      <c r="F43" s="5">
        <f>'Passenger-Air'!F41</f>
        <v>1401.6538712157462</v>
      </c>
      <c r="G43" s="5">
        <f t="shared" si="4"/>
        <v>13162.362377573201</v>
      </c>
      <c r="I43" s="5">
        <f>'Passenger-Highway'!L43</f>
        <v>2817842.3323887098</v>
      </c>
      <c r="J43" s="5">
        <f>'Passenger-Rail'!J43</f>
        <v>20448</v>
      </c>
      <c r="K43" s="5">
        <f>'Passenger-Air'!J41</f>
        <v>285535</v>
      </c>
      <c r="L43" s="5">
        <f t="shared" si="5"/>
        <v>3123825.3323887098</v>
      </c>
      <c r="N43" s="138">
        <f t="shared" si="43"/>
        <v>4154.5915656065299</v>
      </c>
      <c r="O43" s="138">
        <f t="shared" si="44"/>
        <v>2627.3727996033508</v>
      </c>
      <c r="P43" s="138">
        <f t="shared" si="45"/>
        <v>4908.8688644675658</v>
      </c>
      <c r="Q43" s="138">
        <f t="shared" si="45"/>
        <v>4213.5398036190063</v>
      </c>
      <c r="S43" s="129">
        <f>'Passenger-Highway'!AD43</f>
        <v>1.0115071079145437</v>
      </c>
      <c r="T43" s="129">
        <f>'Passenger-Rail'!Z43</f>
        <v>0.96912132550981667</v>
      </c>
      <c r="U43" s="129">
        <f>'Passenger-Air'!W41</f>
        <v>1.0599485658280934</v>
      </c>
      <c r="V43" s="129"/>
      <c r="W43" s="129">
        <f>'Passenger-Highway'!AH43</f>
        <v>0.99260316020579675</v>
      </c>
      <c r="X43" s="129">
        <f>'Passenger-Rail'!AD43</f>
        <v>1.0049696026575328</v>
      </c>
      <c r="Y43" s="129">
        <f>'Passenger-Air'!V41</f>
        <v>1.019259132055782</v>
      </c>
      <c r="AA43" s="131">
        <f t="shared" si="31"/>
        <v>0.9151099212849293</v>
      </c>
      <c r="AB43" s="131">
        <f t="shared" si="32"/>
        <v>1.0100031194499715</v>
      </c>
      <c r="AC43" s="131">
        <f t="shared" si="46"/>
        <v>0.99811538035779224</v>
      </c>
      <c r="AD43" s="131">
        <f t="shared" si="47"/>
        <v>0.99554675675419246</v>
      </c>
      <c r="AE43" s="131">
        <f t="shared" si="48"/>
        <v>1.0164366247954264</v>
      </c>
      <c r="AF43" s="131">
        <f t="shared" si="49"/>
        <v>0.92426387513739638</v>
      </c>
      <c r="AG43" s="131">
        <f t="shared" si="37"/>
        <v>0.92426387513739638</v>
      </c>
      <c r="AH43" s="131"/>
      <c r="AI43" s="131">
        <f t="shared" si="50"/>
        <v>0.99367052978167725</v>
      </c>
      <c r="AL43" s="134"/>
      <c r="AN43" s="129">
        <f t="shared" si="6"/>
        <v>0.88942878577011408</v>
      </c>
      <c r="AO43" s="129">
        <f t="shared" si="7"/>
        <v>4.0816775488439882E-3</v>
      </c>
      <c r="AP43" s="129">
        <f t="shared" si="8"/>
        <v>0.10648953668104182</v>
      </c>
      <c r="AR43" s="129">
        <f t="shared" ref="AR43:AR68" si="55">(AN43-AN42)/LN(AN43/AN42)</f>
        <v>0.88992886554657047</v>
      </c>
      <c r="AS43" s="129">
        <f t="shared" ref="AS43:AT68" si="56">(AO43-AO42)/LN(AO43/AO42)</f>
        <v>4.0640868252409439E-3</v>
      </c>
      <c r="AT43" s="129">
        <f t="shared" si="56"/>
        <v>0.10600619623695733</v>
      </c>
      <c r="AU43" s="129">
        <f t="shared" si="21"/>
        <v>0.99999914860876871</v>
      </c>
      <c r="AW43" s="129">
        <f t="shared" si="22"/>
        <v>0.88992962322484814</v>
      </c>
      <c r="AX43" s="129">
        <f t="shared" si="23"/>
        <v>4.0640902853717759E-3</v>
      </c>
      <c r="AY43" s="129">
        <f t="shared" si="24"/>
        <v>0.10600628648978011</v>
      </c>
      <c r="BB43" s="129">
        <f t="shared" ref="BB43:BB68" si="57">LN(S43/S42)</f>
        <v>-3.1418737890118981E-2</v>
      </c>
      <c r="BC43" s="129">
        <f t="shared" ref="BC43:BD68" si="58">LN(T43/T42)</f>
        <v>3.4595548984413624E-2</v>
      </c>
      <c r="BD43" s="129">
        <f t="shared" si="58"/>
        <v>-2.8056423708757498E-2</v>
      </c>
      <c r="BF43" s="129">
        <f t="shared" si="13"/>
        <v>0.90204862069992164</v>
      </c>
      <c r="BG43" s="129">
        <f t="shared" si="14"/>
        <v>6.5458205322779473E-3</v>
      </c>
      <c r="BH43" s="129">
        <f t="shared" si="15"/>
        <v>9.140555876780046E-2</v>
      </c>
      <c r="BJ43" s="129">
        <f t="shared" si="25"/>
        <v>-1.3441946165635723E-3</v>
      </c>
      <c r="BK43" s="129">
        <f t="shared" si="26"/>
        <v>-5.8291150960320968E-2</v>
      </c>
      <c r="BL43" s="129">
        <f t="shared" si="27"/>
        <v>1.7728991986610289E-2</v>
      </c>
      <c r="BN43" s="129">
        <f t="shared" ref="BN43:BN68" si="59">LN(W43/W42)</f>
        <v>1.3703958650061773E-3</v>
      </c>
      <c r="BO43" s="129">
        <f t="shared" ref="BO43:BP68" si="60">LN(X43/X42)</f>
        <v>2.0713540294124305E-3</v>
      </c>
      <c r="BP43" s="129">
        <f t="shared" si="60"/>
        <v>-1.0835749429802212E-2</v>
      </c>
      <c r="BR43" s="129">
        <f t="shared" si="28"/>
        <v>0.96967528289850635</v>
      </c>
      <c r="BS43" s="129">
        <f t="shared" ref="BS43:BS68" si="61">IF(ISERR(BR43),BS42,BR43*BS42)</f>
        <v>0.79663266189718696</v>
      </c>
      <c r="BT43" s="129">
        <f t="shared" si="51"/>
        <v>1.0164366247954264</v>
      </c>
      <c r="BU43" s="129"/>
      <c r="BV43" s="129">
        <f t="shared" si="29"/>
        <v>1.0004463450770402</v>
      </c>
      <c r="BW43" s="129">
        <f t="shared" ref="BW43:BW68" si="62">IF(ISERR(BV43),BW42,BV43*BW42)</f>
        <v>0.95416168741134577</v>
      </c>
      <c r="BX43" s="129">
        <f t="shared" si="52"/>
        <v>0.99811538035779224</v>
      </c>
      <c r="BY43" s="129"/>
      <c r="BZ43" s="129">
        <f t="shared" si="30"/>
        <v>1.000079319632851</v>
      </c>
      <c r="CA43" s="129">
        <f t="shared" ref="CA43:CA68" si="63">IF(ISERR(BZ43),CA42,BZ43*CA42)</f>
        <v>1.0257157440048594</v>
      </c>
      <c r="CB43" s="129">
        <f t="shared" si="53"/>
        <v>0.99554675675419246</v>
      </c>
    </row>
    <row r="44" spans="1:80" x14ac:dyDescent="0.2">
      <c r="A44" s="133" t="s">
        <v>664</v>
      </c>
      <c r="B44" s="133">
        <f t="shared" si="54"/>
        <v>1983</v>
      </c>
      <c r="D44" s="5">
        <f>'Passenger-Highway'!G44</f>
        <v>11964.151840453931</v>
      </c>
      <c r="E44" s="5">
        <f>'Passenger-Rail'!F44</f>
        <v>59.432750506289317</v>
      </c>
      <c r="F44" s="5">
        <f>'Passenger-Air'!F42</f>
        <v>1393.5019205534491</v>
      </c>
      <c r="G44" s="5">
        <f t="shared" si="4"/>
        <v>13417.086511513669</v>
      </c>
      <c r="I44" s="5">
        <f>'Passenger-Highway'!L44</f>
        <v>2907242.8801341457</v>
      </c>
      <c r="J44" s="5">
        <f>'Passenger-Rail'!J44</f>
        <v>21065</v>
      </c>
      <c r="K44" s="5">
        <f>'Passenger-Air'!J42</f>
        <v>307844</v>
      </c>
      <c r="L44" s="5">
        <f t="shared" si="5"/>
        <v>3236151.8801341457</v>
      </c>
      <c r="N44" s="138">
        <f t="shared" si="43"/>
        <v>4115.2914750286991</v>
      </c>
      <c r="O44" s="138">
        <f t="shared" si="44"/>
        <v>2821.3980776781068</v>
      </c>
      <c r="P44" s="138">
        <f t="shared" si="45"/>
        <v>4526.6496035441623</v>
      </c>
      <c r="Q44" s="138">
        <f t="shared" si="45"/>
        <v>4146.0002522988816</v>
      </c>
      <c r="S44" s="129">
        <f>'Passenger-Highway'!AD44</f>
        <v>1.0005471010488447</v>
      </c>
      <c r="T44" s="129">
        <f>'Passenger-Rail'!Z44</f>
        <v>1.0412868479517632</v>
      </c>
      <c r="U44" s="129">
        <f>'Passenger-Air'!W42</f>
        <v>0.9846142063574912</v>
      </c>
      <c r="V44" s="129"/>
      <c r="W44" s="129">
        <f>'Passenger-Highway'!AH44</f>
        <v>0.99398383121377953</v>
      </c>
      <c r="X44" s="129">
        <f>'Passenger-Rail'!AD44</f>
        <v>1.0043922656343856</v>
      </c>
      <c r="Y44" s="129">
        <f>'Passenger-Air'!V42</f>
        <v>1.0118095001284286</v>
      </c>
      <c r="AA44" s="131">
        <f t="shared" si="31"/>
        <v>0.94801545451041591</v>
      </c>
      <c r="AB44" s="131">
        <f t="shared" si="32"/>
        <v>0.9938136064279306</v>
      </c>
      <c r="AC44" s="131">
        <f t="shared" si="46"/>
        <v>0.99864216286143537</v>
      </c>
      <c r="AD44" s="131">
        <f t="shared" si="47"/>
        <v>0.9960087500536835</v>
      </c>
      <c r="AE44" s="131">
        <f t="shared" si="48"/>
        <v>0.9991527466048743</v>
      </c>
      <c r="AF44" s="131">
        <f t="shared" si="49"/>
        <v>0.9421506577964105</v>
      </c>
      <c r="AG44" s="131">
        <f t="shared" si="37"/>
        <v>0.94215065779641038</v>
      </c>
      <c r="AH44" s="131"/>
      <c r="AI44" s="131">
        <f t="shared" si="50"/>
        <v>0.99465633238252527</v>
      </c>
      <c r="AL44" s="134"/>
      <c r="AN44" s="129">
        <f t="shared" si="6"/>
        <v>0.89171012128356442</v>
      </c>
      <c r="AO44" s="129">
        <f t="shared" si="7"/>
        <v>4.4296316085677767E-3</v>
      </c>
      <c r="AP44" s="129">
        <f t="shared" si="8"/>
        <v>0.10386024710786776</v>
      </c>
      <c r="AR44" s="129">
        <f t="shared" si="55"/>
        <v>0.89056896652627948</v>
      </c>
      <c r="AS44" s="129">
        <f t="shared" si="56"/>
        <v>4.253282714172575E-3</v>
      </c>
      <c r="AT44" s="129">
        <f t="shared" si="56"/>
        <v>0.10516941415194674</v>
      </c>
      <c r="AU44" s="129">
        <f t="shared" si="21"/>
        <v>0.99999166339239876</v>
      </c>
      <c r="AW44" s="129">
        <f t="shared" si="22"/>
        <v>0.89057639091218943</v>
      </c>
      <c r="AX44" s="129">
        <f t="shared" si="23"/>
        <v>4.2533181724171819E-3</v>
      </c>
      <c r="AY44" s="129">
        <f t="shared" si="24"/>
        <v>0.1051702909153934</v>
      </c>
      <c r="BB44" s="129">
        <f t="shared" si="57"/>
        <v>-1.0894453260204379E-2</v>
      </c>
      <c r="BC44" s="129">
        <f t="shared" si="58"/>
        <v>7.1822770066364602E-2</v>
      </c>
      <c r="BD44" s="129">
        <f t="shared" si="58"/>
        <v>-7.3725767347875254E-2</v>
      </c>
      <c r="BF44" s="129">
        <f t="shared" si="13"/>
        <v>0.89836416454398116</v>
      </c>
      <c r="BG44" s="129">
        <f t="shared" si="14"/>
        <v>6.5092742183431793E-3</v>
      </c>
      <c r="BH44" s="129">
        <f t="shared" si="15"/>
        <v>9.5126561237675655E-2</v>
      </c>
      <c r="BJ44" s="129">
        <f t="shared" si="25"/>
        <v>-4.092907281712019E-3</v>
      </c>
      <c r="BK44" s="129">
        <f t="shared" si="26"/>
        <v>-5.5987965004440782E-3</v>
      </c>
      <c r="BL44" s="129">
        <f t="shared" si="27"/>
        <v>3.9901933893372862E-2</v>
      </c>
      <c r="BN44" s="129">
        <f t="shared" si="59"/>
        <v>1.3899932258124915E-3</v>
      </c>
      <c r="BO44" s="129">
        <f t="shared" si="60"/>
        <v>-5.7464715355163437E-4</v>
      </c>
      <c r="BP44" s="129">
        <f t="shared" si="60"/>
        <v>-7.3357100949796418E-3</v>
      </c>
      <c r="BR44" s="129">
        <f t="shared" si="28"/>
        <v>0.98299561648122369</v>
      </c>
      <c r="BS44" s="129">
        <f t="shared" si="61"/>
        <v>0.78308641459070349</v>
      </c>
      <c r="BT44" s="129">
        <f t="shared" si="51"/>
        <v>0.9991527466048743</v>
      </c>
      <c r="BU44" s="129"/>
      <c r="BV44" s="129">
        <f t="shared" si="29"/>
        <v>1.0005277771628509</v>
      </c>
      <c r="BW44" s="129">
        <f t="shared" si="62"/>
        <v>0.95466527215962882</v>
      </c>
      <c r="BX44" s="129">
        <f t="shared" si="52"/>
        <v>0.99864216286143537</v>
      </c>
      <c r="BY44" s="129"/>
      <c r="BZ44" s="129">
        <f t="shared" si="30"/>
        <v>1.0004640598709771</v>
      </c>
      <c r="CA44" s="129">
        <f t="shared" si="63"/>
        <v>1.0261917375206815</v>
      </c>
      <c r="CB44" s="129">
        <f t="shared" si="53"/>
        <v>0.9960087500536835</v>
      </c>
    </row>
    <row r="45" spans="1:80" x14ac:dyDescent="0.2">
      <c r="A45" s="133" t="s">
        <v>664</v>
      </c>
      <c r="B45" s="133">
        <f t="shared" si="54"/>
        <v>1984</v>
      </c>
      <c r="D45" s="5">
        <f>'Passenger-Highway'!G45</f>
        <v>12216.700126494894</v>
      </c>
      <c r="E45" s="5">
        <f>'Passenger-Rail'!F45</f>
        <v>60.244309113207549</v>
      </c>
      <c r="F45" s="5">
        <f>'Passenger-Air'!F43</f>
        <v>1558.6629789803944</v>
      </c>
      <c r="G45" s="5">
        <f t="shared" si="4"/>
        <v>13835.607414588496</v>
      </c>
      <c r="I45" s="5">
        <f>'Passenger-Highway'!L45</f>
        <v>2977225.5562231336</v>
      </c>
      <c r="J45" s="5">
        <f>'Passenger-Rail'!J45</f>
        <v>21161</v>
      </c>
      <c r="K45" s="5">
        <f>'Passenger-Air'!J43</f>
        <v>332504</v>
      </c>
      <c r="L45" s="5">
        <f t="shared" si="5"/>
        <v>3330890.5562231336</v>
      </c>
      <c r="N45" s="138">
        <f t="shared" si="43"/>
        <v>4103.3841392900131</v>
      </c>
      <c r="O45" s="138">
        <f t="shared" si="44"/>
        <v>2846.9500077126577</v>
      </c>
      <c r="P45" s="138">
        <f t="shared" si="45"/>
        <v>4687.6518146560475</v>
      </c>
      <c r="Q45" s="138">
        <f t="shared" si="45"/>
        <v>4153.7262125707803</v>
      </c>
      <c r="S45" s="129">
        <f>'Passenger-Highway'!AD45</f>
        <v>0.99410391617284155</v>
      </c>
      <c r="T45" s="129">
        <f>'Passenger-Rail'!Z45</f>
        <v>1.0514089735000474</v>
      </c>
      <c r="U45" s="129">
        <f>'Passenger-Air'!W43</f>
        <v>1.0229382054907106</v>
      </c>
      <c r="V45" s="129"/>
      <c r="W45" s="129">
        <f>'Passenger-Highway'!AH45</f>
        <v>0.99753156769317852</v>
      </c>
      <c r="X45" s="129">
        <f>'Passenger-Rail'!AD45</f>
        <v>1.0037314644981405</v>
      </c>
      <c r="Y45" s="129">
        <f>'Passenger-Air'!V43</f>
        <v>1.0085418379906965</v>
      </c>
      <c r="AA45" s="131">
        <f t="shared" si="31"/>
        <v>0.97576870355399725</v>
      </c>
      <c r="AB45" s="131">
        <f t="shared" si="32"/>
        <v>0.99566555142882085</v>
      </c>
      <c r="AC45" s="131">
        <f t="shared" si="46"/>
        <v>0.99925326418454496</v>
      </c>
      <c r="AD45" s="131">
        <f t="shared" si="47"/>
        <v>0.99881024808186381</v>
      </c>
      <c r="AE45" s="131">
        <f t="shared" si="48"/>
        <v>0.99759649851624588</v>
      </c>
      <c r="AF45" s="131">
        <f t="shared" si="49"/>
        <v>0.97153928429107617</v>
      </c>
      <c r="AG45" s="131">
        <f t="shared" si="37"/>
        <v>0.97153928429107639</v>
      </c>
      <c r="AH45" s="131"/>
      <c r="AI45" s="131">
        <f t="shared" si="50"/>
        <v>0.9980644006967776</v>
      </c>
      <c r="AL45" s="134"/>
      <c r="AN45" s="129">
        <f t="shared" si="6"/>
        <v>0.88298979296083535</v>
      </c>
      <c r="AO45" s="129">
        <f t="shared" si="7"/>
        <v>4.3542944887034699E-3</v>
      </c>
      <c r="AP45" s="129">
        <f t="shared" si="8"/>
        <v>0.11265591255046122</v>
      </c>
      <c r="AR45" s="129">
        <f t="shared" si="55"/>
        <v>0.88734281557533234</v>
      </c>
      <c r="AS45" s="129">
        <f t="shared" si="56"/>
        <v>4.3918553558472146E-3</v>
      </c>
      <c r="AT45" s="129">
        <f t="shared" si="56"/>
        <v>0.10819850166964658</v>
      </c>
      <c r="AU45" s="129">
        <f t="shared" si="21"/>
        <v>0.99993317260082615</v>
      </c>
      <c r="AW45" s="129">
        <f t="shared" si="22"/>
        <v>0.88740211835092309</v>
      </c>
      <c r="AX45" s="129">
        <f t="shared" si="23"/>
        <v>4.3921488717330965E-3</v>
      </c>
      <c r="AY45" s="129">
        <f t="shared" si="24"/>
        <v>0.10820573277734379</v>
      </c>
      <c r="BB45" s="129">
        <f t="shared" si="57"/>
        <v>-6.4604858000342248E-3</v>
      </c>
      <c r="BC45" s="129">
        <f t="shared" si="58"/>
        <v>9.6738421158264441E-3</v>
      </c>
      <c r="BD45" s="129">
        <f t="shared" si="58"/>
        <v>3.818446315995544E-2</v>
      </c>
      <c r="BF45" s="129">
        <f t="shared" si="13"/>
        <v>0.89382268974906898</v>
      </c>
      <c r="BG45" s="129">
        <f t="shared" si="14"/>
        <v>6.3529556563978688E-3</v>
      </c>
      <c r="BH45" s="129">
        <f t="shared" si="15"/>
        <v>9.9824354594533191E-2</v>
      </c>
      <c r="BJ45" s="129">
        <f t="shared" si="25"/>
        <v>-5.0680926543911937E-3</v>
      </c>
      <c r="BK45" s="129">
        <f t="shared" si="26"/>
        <v>-2.4307800494431205E-2</v>
      </c>
      <c r="BL45" s="129">
        <f t="shared" si="27"/>
        <v>4.8203959026733106E-2</v>
      </c>
      <c r="BN45" s="129">
        <f t="shared" si="59"/>
        <v>3.562854933725428E-3</v>
      </c>
      <c r="BO45" s="129">
        <f t="shared" si="60"/>
        <v>-6.581279332350552E-4</v>
      </c>
      <c r="BP45" s="129">
        <f t="shared" si="60"/>
        <v>-3.2347492491745953E-3</v>
      </c>
      <c r="BR45" s="129">
        <f t="shared" si="28"/>
        <v>0.99844243225681306</v>
      </c>
      <c r="BS45" s="129">
        <f t="shared" si="61"/>
        <v>0.78186670445120909</v>
      </c>
      <c r="BT45" s="129">
        <f t="shared" si="51"/>
        <v>0.99759649851624588</v>
      </c>
      <c r="BU45" s="129"/>
      <c r="BV45" s="129">
        <f t="shared" si="29"/>
        <v>1.0006119322274143</v>
      </c>
      <c r="BW45" s="129">
        <f t="shared" si="62"/>
        <v>0.95524946260605648</v>
      </c>
      <c r="BX45" s="129">
        <f t="shared" si="52"/>
        <v>0.99925326418454496</v>
      </c>
      <c r="BY45" s="129"/>
      <c r="BZ45" s="129">
        <f t="shared" si="30"/>
        <v>1.0028127243139473</v>
      </c>
      <c r="CA45" s="129">
        <f t="shared" si="63"/>
        <v>1.0290781319715778</v>
      </c>
      <c r="CB45" s="129">
        <f t="shared" si="53"/>
        <v>0.99881024808186381</v>
      </c>
    </row>
    <row r="46" spans="1:80" x14ac:dyDescent="0.2">
      <c r="A46" s="133" t="s">
        <v>664</v>
      </c>
      <c r="B46" s="133">
        <f t="shared" si="54"/>
        <v>1985</v>
      </c>
      <c r="D46" s="5">
        <f>'Passenger-Highway'!G46</f>
        <v>12530.239113604839</v>
      </c>
      <c r="E46" s="5">
        <f>'Passenger-Rail'!F46</f>
        <v>59.607963513207551</v>
      </c>
      <c r="F46" s="5">
        <f>'Passenger-Air'!F44</f>
        <v>1651.06694282734</v>
      </c>
      <c r="G46" s="5">
        <f t="shared" si="4"/>
        <v>14240.914019945387</v>
      </c>
      <c r="I46" s="5">
        <f>'Passenger-Highway'!L46</f>
        <v>3028137.6714285719</v>
      </c>
      <c r="J46" s="5">
        <f>'Passenger-Rail'!J46</f>
        <v>22096</v>
      </c>
      <c r="K46" s="5">
        <f>'Passenger-Air'!J44</f>
        <v>363373</v>
      </c>
      <c r="L46" s="5">
        <f t="shared" si="5"/>
        <v>3413606.6714285719</v>
      </c>
      <c r="N46" s="138">
        <f t="shared" si="43"/>
        <v>4137.9357457329543</v>
      </c>
      <c r="O46" s="138">
        <f t="shared" si="44"/>
        <v>2697.6811872378507</v>
      </c>
      <c r="P46" s="138">
        <f t="shared" si="45"/>
        <v>4543.7248855235248</v>
      </c>
      <c r="Q46" s="138">
        <f t="shared" si="45"/>
        <v>4171.8087028420468</v>
      </c>
      <c r="R46">
        <v>5078.1394772956437</v>
      </c>
      <c r="S46" s="129">
        <f>'Passenger-Highway'!AD46</f>
        <v>1</v>
      </c>
      <c r="T46" s="129">
        <f>'Passenger-Rail'!Z46</f>
        <v>1</v>
      </c>
      <c r="U46" s="129">
        <f>'Passenger-Air'!W44</f>
        <v>1</v>
      </c>
      <c r="V46" s="129"/>
      <c r="W46" s="129">
        <f>'Passenger-Highway'!AH46</f>
        <v>1</v>
      </c>
      <c r="X46" s="129">
        <f>'Passenger-Rail'!AD46</f>
        <v>1</v>
      </c>
      <c r="Y46" s="129">
        <f>'Passenger-Air'!V44</f>
        <v>1</v>
      </c>
      <c r="AA46" s="131">
        <f t="shared" si="31"/>
        <v>1</v>
      </c>
      <c r="AB46" s="131">
        <f t="shared" si="32"/>
        <v>1</v>
      </c>
      <c r="AC46" s="131">
        <f t="shared" si="46"/>
        <v>1</v>
      </c>
      <c r="AD46" s="131">
        <f t="shared" si="47"/>
        <v>1</v>
      </c>
      <c r="AE46" s="131">
        <f t="shared" si="48"/>
        <v>1</v>
      </c>
      <c r="AF46" s="131">
        <f t="shared" si="49"/>
        <v>1</v>
      </c>
      <c r="AG46" s="131">
        <f t="shared" si="37"/>
        <v>1</v>
      </c>
      <c r="AH46" s="131"/>
      <c r="AI46" s="131">
        <f t="shared" si="50"/>
        <v>1</v>
      </c>
      <c r="AL46" s="134"/>
      <c r="AN46" s="129">
        <f t="shared" si="6"/>
        <v>0.87987604560039978</v>
      </c>
      <c r="AO46" s="129">
        <f t="shared" si="7"/>
        <v>4.1856838282797347E-3</v>
      </c>
      <c r="AP46" s="129">
        <f t="shared" si="8"/>
        <v>0.11593827057132051</v>
      </c>
      <c r="AR46" s="129">
        <f t="shared" si="55"/>
        <v>0.8814320026452892</v>
      </c>
      <c r="AS46" s="129">
        <f t="shared" si="56"/>
        <v>4.2694342681157344E-3</v>
      </c>
      <c r="AT46" s="129">
        <f t="shared" si="56"/>
        <v>0.11428923596103181</v>
      </c>
      <c r="AU46" s="129">
        <f t="shared" si="21"/>
        <v>0.99999067287443677</v>
      </c>
      <c r="AW46" s="129">
        <f t="shared" si="22"/>
        <v>0.88144022394893451</v>
      </c>
      <c r="AX46" s="129">
        <f t="shared" si="23"/>
        <v>4.269474090036661E-3</v>
      </c>
      <c r="AY46" s="129">
        <f t="shared" si="24"/>
        <v>0.11429030196102886</v>
      </c>
      <c r="BB46" s="129">
        <f t="shared" si="57"/>
        <v>5.9135343564046998E-3</v>
      </c>
      <c r="BC46" s="129">
        <f t="shared" si="58"/>
        <v>-5.0131144177562974E-2</v>
      </c>
      <c r="BD46" s="129">
        <f t="shared" si="58"/>
        <v>-2.2679079955101256E-2</v>
      </c>
      <c r="BF46" s="129">
        <f t="shared" si="13"/>
        <v>0.88707867159203679</v>
      </c>
      <c r="BG46" s="129">
        <f t="shared" si="14"/>
        <v>6.4729191517407508E-3</v>
      </c>
      <c r="BH46" s="129">
        <f t="shared" si="15"/>
        <v>0.10644840925622248</v>
      </c>
      <c r="BJ46" s="129">
        <f t="shared" si="25"/>
        <v>-7.5737494964622839E-3</v>
      </c>
      <c r="BK46" s="129">
        <f t="shared" si="26"/>
        <v>1.8707027096569712E-2</v>
      </c>
      <c r="BL46" s="129">
        <f t="shared" si="27"/>
        <v>6.4248260091456566E-2</v>
      </c>
      <c r="BN46" s="129">
        <f t="shared" si="59"/>
        <v>2.4714839086641596E-3</v>
      </c>
      <c r="BO46" s="129">
        <f t="shared" si="60"/>
        <v>-3.7245198549218043E-3</v>
      </c>
      <c r="BP46" s="129">
        <f t="shared" si="60"/>
        <v>-8.5055629167286283E-3</v>
      </c>
      <c r="BR46" s="129">
        <f t="shared" si="28"/>
        <v>1.0024092922211825</v>
      </c>
      <c r="BS46" s="129">
        <f t="shared" si="61"/>
        <v>0.783750449820245</v>
      </c>
      <c r="BT46" s="129">
        <f t="shared" si="51"/>
        <v>1</v>
      </c>
      <c r="BU46" s="129"/>
      <c r="BV46" s="129">
        <f t="shared" si="29"/>
        <v>1.0007472938465349</v>
      </c>
      <c r="BW46" s="129">
        <f t="shared" si="62"/>
        <v>0.95596331465136775</v>
      </c>
      <c r="BX46" s="129">
        <f t="shared" si="52"/>
        <v>1</v>
      </c>
      <c r="BY46" s="129"/>
      <c r="BZ46" s="129">
        <f t="shared" si="30"/>
        <v>1.0011911691138742</v>
      </c>
      <c r="CA46" s="129">
        <f t="shared" si="63"/>
        <v>1.0303039380581458</v>
      </c>
      <c r="CB46" s="129">
        <f t="shared" si="53"/>
        <v>1</v>
      </c>
    </row>
    <row r="47" spans="1:80" x14ac:dyDescent="0.2">
      <c r="A47" s="133" t="s">
        <v>664</v>
      </c>
      <c r="B47" s="133">
        <f t="shared" si="54"/>
        <v>1986</v>
      </c>
      <c r="D47" s="5">
        <f>'Passenger-Highway'!G47</f>
        <v>12954.911390669395</v>
      </c>
      <c r="E47" s="5">
        <f>'Passenger-Rail'!F47</f>
        <v>63.609095065408809</v>
      </c>
      <c r="F47" s="5">
        <f>'Passenger-Air'!F45</f>
        <v>1761.1674765852003</v>
      </c>
      <c r="G47" s="5">
        <f t="shared" si="4"/>
        <v>14779.687962320004</v>
      </c>
      <c r="I47" s="5">
        <f>'Passenger-Highway'!L47</f>
        <v>3082245.8785984544</v>
      </c>
      <c r="J47" s="5">
        <f>'Passenger-Rail'!J47</f>
        <v>22744</v>
      </c>
      <c r="K47" s="5">
        <f>'Passenger-Air'!J45</f>
        <v>391323</v>
      </c>
      <c r="L47" s="5">
        <f t="shared" si="5"/>
        <v>3496312.8785984544</v>
      </c>
      <c r="N47" s="138">
        <f t="shared" si="43"/>
        <v>4203.0752577598378</v>
      </c>
      <c r="O47" s="138">
        <f t="shared" si="44"/>
        <v>2796.7417809272251</v>
      </c>
      <c r="P47" s="138">
        <f t="shared" si="45"/>
        <v>4500.5468029867916</v>
      </c>
      <c r="Q47" s="138">
        <f t="shared" si="45"/>
        <v>4227.2212114622444</v>
      </c>
      <c r="R47">
        <v>5098.1693903563182</v>
      </c>
      <c r="S47" s="129">
        <f>'Passenger-Highway'!AD47</f>
        <v>1.0136487805021515</v>
      </c>
      <c r="T47" s="129">
        <f>'Passenger-Rail'!Z47</f>
        <v>1.0376563543176578</v>
      </c>
      <c r="U47" s="129">
        <f>'Passenger-Air'!W45</f>
        <v>0.99407334303161221</v>
      </c>
      <c r="V47" s="129"/>
      <c r="W47" s="129">
        <f>'Passenger-Highway'!AH47</f>
        <v>1.0020650646997462</v>
      </c>
      <c r="X47" s="129">
        <f>'Passenger-Rail'!AD47</f>
        <v>0.99909824757275167</v>
      </c>
      <c r="Y47" s="129">
        <f>'Passenger-Air'!V45</f>
        <v>0.99640254185741439</v>
      </c>
      <c r="AA47" s="131">
        <f t="shared" si="31"/>
        <v>1.0242283939336427</v>
      </c>
      <c r="AB47" s="131">
        <f t="shared" si="32"/>
        <v>1.0132826101499928</v>
      </c>
      <c r="AC47" s="131">
        <f t="shared" si="46"/>
        <v>1.0004473806098828</v>
      </c>
      <c r="AD47" s="131">
        <f t="shared" si="47"/>
        <v>1.0013852038057085</v>
      </c>
      <c r="AE47" s="131">
        <f t="shared" si="48"/>
        <v>1.0114284553295805</v>
      </c>
      <c r="AF47" s="131">
        <f t="shared" si="49"/>
        <v>1.0378328203948162</v>
      </c>
      <c r="AG47" s="131">
        <f t="shared" si="37"/>
        <v>1.0378328203948164</v>
      </c>
      <c r="AH47" s="131"/>
      <c r="AI47" s="131">
        <f t="shared" si="50"/>
        <v>1.0018332041289146</v>
      </c>
      <c r="AL47" s="134"/>
      <c r="AN47" s="129">
        <f t="shared" si="6"/>
        <v>0.87653483779205787</v>
      </c>
      <c r="AO47" s="129">
        <f t="shared" si="7"/>
        <v>4.3038185398485184E-3</v>
      </c>
      <c r="AP47" s="129">
        <f t="shared" si="8"/>
        <v>0.11916134366809362</v>
      </c>
      <c r="AR47" s="129">
        <f t="shared" si="55"/>
        <v>0.87820438236927745</v>
      </c>
      <c r="AS47" s="129">
        <f t="shared" si="56"/>
        <v>4.2444771882086596E-3</v>
      </c>
      <c r="AT47" s="129">
        <f t="shared" si="56"/>
        <v>0.1175424423544052</v>
      </c>
      <c r="AU47" s="129">
        <f t="shared" si="21"/>
        <v>0.99999130191189134</v>
      </c>
      <c r="AW47" s="129">
        <f t="shared" si="22"/>
        <v>0.87821202113481533</v>
      </c>
      <c r="AX47" s="129">
        <f t="shared" si="23"/>
        <v>4.2445141073663437E-3</v>
      </c>
      <c r="AY47" s="129">
        <f t="shared" si="24"/>
        <v>0.11754346475781825</v>
      </c>
      <c r="BB47" s="129">
        <f t="shared" si="57"/>
        <v>1.3556474855479074E-2</v>
      </c>
      <c r="BC47" s="129">
        <f t="shared" si="58"/>
        <v>3.6964664724945077E-2</v>
      </c>
      <c r="BD47" s="129">
        <f t="shared" si="58"/>
        <v>-5.9442893015085379E-3</v>
      </c>
      <c r="BF47" s="129">
        <f t="shared" si="13"/>
        <v>0.88157038160555456</v>
      </c>
      <c r="BG47" s="129">
        <f t="shared" si="14"/>
        <v>6.5051386388272113E-3</v>
      </c>
      <c r="BH47" s="129">
        <f t="shared" si="15"/>
        <v>0.11192447975561823</v>
      </c>
      <c r="BJ47" s="129">
        <f t="shared" si="25"/>
        <v>-6.2288307404843339E-3</v>
      </c>
      <c r="BK47" s="129">
        <f t="shared" si="26"/>
        <v>4.9652349835580872E-3</v>
      </c>
      <c r="BL47" s="129">
        <f t="shared" si="27"/>
        <v>5.0163908313724997E-2</v>
      </c>
      <c r="BN47" s="129">
        <f t="shared" si="59"/>
        <v>2.0629353845842777E-3</v>
      </c>
      <c r="BO47" s="129">
        <f t="shared" si="60"/>
        <v>-9.0215925055600718E-4</v>
      </c>
      <c r="BP47" s="129">
        <f t="shared" si="60"/>
        <v>-3.603944556203019E-3</v>
      </c>
      <c r="BR47" s="129">
        <f t="shared" si="28"/>
        <v>1.0114284553295805</v>
      </c>
      <c r="BS47" s="129">
        <f t="shared" si="61"/>
        <v>0.79270750682555424</v>
      </c>
      <c r="BT47" s="129">
        <f t="shared" si="51"/>
        <v>1.0114284553295805</v>
      </c>
      <c r="BU47" s="129"/>
      <c r="BV47" s="129">
        <f t="shared" si="29"/>
        <v>1.0004473806098828</v>
      </c>
      <c r="BW47" s="129">
        <f t="shared" si="62"/>
        <v>0.95639099410210204</v>
      </c>
      <c r="BX47" s="129">
        <f t="shared" si="52"/>
        <v>1.0004473806098828</v>
      </c>
      <c r="BY47" s="129"/>
      <c r="BZ47" s="129">
        <f t="shared" si="30"/>
        <v>1.0013852038057085</v>
      </c>
      <c r="CA47" s="129">
        <f t="shared" si="63"/>
        <v>1.0317311189941805</v>
      </c>
      <c r="CB47" s="129">
        <f t="shared" si="53"/>
        <v>1.0013852038057085</v>
      </c>
    </row>
    <row r="48" spans="1:80" x14ac:dyDescent="0.2">
      <c r="A48" s="133" t="s">
        <v>664</v>
      </c>
      <c r="B48" s="133">
        <f t="shared" si="54"/>
        <v>1987</v>
      </c>
      <c r="D48" s="5">
        <f>'Passenger-Highway'!G48</f>
        <v>13167.313954291038</v>
      </c>
      <c r="E48" s="5">
        <f>'Passenger-Rail'!F48</f>
        <v>65.393874372327048</v>
      </c>
      <c r="F48" s="5">
        <f>'Passenger-Air'!F46</f>
        <v>1828.4004888100676</v>
      </c>
      <c r="G48" s="5">
        <f t="shared" si="4"/>
        <v>15061.108317473432</v>
      </c>
      <c r="I48" s="5">
        <f>'Passenger-Highway'!L48</f>
        <v>3170873.2963454491</v>
      </c>
      <c r="J48" s="5">
        <f>'Passenger-Rail'!J48</f>
        <v>23782</v>
      </c>
      <c r="K48" s="5">
        <f>'Passenger-Air'!J46</f>
        <v>429930</v>
      </c>
      <c r="L48" s="5">
        <f t="shared" si="5"/>
        <v>3624585.2963454491</v>
      </c>
      <c r="N48" s="138">
        <f t="shared" si="43"/>
        <v>4152.5828135318006</v>
      </c>
      <c r="O48" s="138">
        <f t="shared" si="44"/>
        <v>2749.72140157796</v>
      </c>
      <c r="P48" s="138">
        <f t="shared" si="45"/>
        <v>4252.7864741005915</v>
      </c>
      <c r="Q48" s="138">
        <f t="shared" si="45"/>
        <v>4155.2638677475888</v>
      </c>
      <c r="R48">
        <v>4870.4071110358691</v>
      </c>
      <c r="S48" s="129">
        <f>'Passenger-Highway'!AD48</f>
        <v>1.0000649759569296</v>
      </c>
      <c r="T48" s="129">
        <f>'Passenger-Rail'!Z48</f>
        <v>1.0207125019750947</v>
      </c>
      <c r="U48" s="129">
        <f>'Passenger-Air'!W46</f>
        <v>0.94511885462951994</v>
      </c>
      <c r="V48" s="129"/>
      <c r="W48" s="129">
        <f>'Passenger-Highway'!AH48</f>
        <v>1.0034745023052087</v>
      </c>
      <c r="X48" s="129">
        <f>'Passenger-Rail'!AD48</f>
        <v>0.9986070698016043</v>
      </c>
      <c r="Y48" s="129">
        <f>'Passenger-Air'!V46</f>
        <v>0.99031902661153903</v>
      </c>
      <c r="AA48" s="131">
        <f t="shared" si="31"/>
        <v>1.0618051946882867</v>
      </c>
      <c r="AB48" s="131">
        <f t="shared" si="32"/>
        <v>0.99603413380791239</v>
      </c>
      <c r="AC48" s="131">
        <f t="shared" si="46"/>
        <v>1.0007426070450776</v>
      </c>
      <c r="AD48" s="131">
        <f t="shared" si="47"/>
        <v>1.0018776940226601</v>
      </c>
      <c r="AE48" s="131">
        <f t="shared" si="48"/>
        <v>0.9934296637720017</v>
      </c>
      <c r="AF48" s="131">
        <f t="shared" si="49"/>
        <v>1.0575942173640891</v>
      </c>
      <c r="AG48" s="131">
        <f t="shared" si="37"/>
        <v>1.0575942173640895</v>
      </c>
      <c r="AH48" s="131"/>
      <c r="AI48" s="131">
        <f t="shared" si="50"/>
        <v>1.0026216954565474</v>
      </c>
      <c r="AL48" s="134"/>
      <c r="AN48" s="129">
        <f t="shared" si="6"/>
        <v>0.87425929597855201</v>
      </c>
      <c r="AO48" s="129">
        <f t="shared" si="7"/>
        <v>4.341903198216767E-3</v>
      </c>
      <c r="AP48" s="129">
        <f t="shared" si="8"/>
        <v>0.12139880082323118</v>
      </c>
      <c r="AR48" s="129">
        <f t="shared" si="55"/>
        <v>0.8753965739572972</v>
      </c>
      <c r="AS48" s="129">
        <f t="shared" si="56"/>
        <v>4.3228329082146801E-3</v>
      </c>
      <c r="AT48" s="129">
        <f t="shared" si="56"/>
        <v>0.12027660372290466</v>
      </c>
      <c r="AU48" s="129">
        <f t="shared" si="21"/>
        <v>0.99999601058841647</v>
      </c>
      <c r="AW48" s="129">
        <f t="shared" si="22"/>
        <v>0.8754000662884619</v>
      </c>
      <c r="AX48" s="129">
        <f t="shared" si="23"/>
        <v>4.3228501538431574E-3</v>
      </c>
      <c r="AY48" s="129">
        <f t="shared" si="24"/>
        <v>0.12027708355769504</v>
      </c>
      <c r="BB48" s="129">
        <f t="shared" si="57"/>
        <v>-1.3491501009395531E-2</v>
      </c>
      <c r="BC48" s="129">
        <f t="shared" si="58"/>
        <v>-1.6463749940099765E-2</v>
      </c>
      <c r="BD48" s="129">
        <f t="shared" si="58"/>
        <v>-5.0500298000802496E-2</v>
      </c>
      <c r="BF48" s="129">
        <f t="shared" si="13"/>
        <v>0.87482374867616908</v>
      </c>
      <c r="BG48" s="129">
        <f t="shared" si="14"/>
        <v>6.5613023437408446E-3</v>
      </c>
      <c r="BH48" s="129">
        <f t="shared" si="15"/>
        <v>0.11861494898009005</v>
      </c>
      <c r="BJ48" s="129">
        <f t="shared" si="25"/>
        <v>-7.6824056683664219E-3</v>
      </c>
      <c r="BK48" s="129">
        <f t="shared" si="26"/>
        <v>8.5966868678487747E-3</v>
      </c>
      <c r="BL48" s="129">
        <f t="shared" si="27"/>
        <v>5.8058168019396221E-2</v>
      </c>
      <c r="BN48" s="129">
        <f t="shared" si="59"/>
        <v>1.4055447827464461E-3</v>
      </c>
      <c r="BO48" s="129">
        <f t="shared" si="60"/>
        <v>-4.9174197693046011E-4</v>
      </c>
      <c r="BP48" s="129">
        <f t="shared" si="60"/>
        <v>-6.1241941058239437E-3</v>
      </c>
      <c r="BR48" s="129">
        <f t="shared" si="28"/>
        <v>0.98220458257552812</v>
      </c>
      <c r="BS48" s="129">
        <f t="shared" si="61"/>
        <v>0.77860094584608108</v>
      </c>
      <c r="BT48" s="129">
        <f t="shared" si="51"/>
        <v>0.9934296637720017</v>
      </c>
      <c r="BU48" s="129"/>
      <c r="BV48" s="129">
        <f t="shared" si="29"/>
        <v>1.0002950944156752</v>
      </c>
      <c r="BW48" s="129">
        <f t="shared" si="62"/>
        <v>0.95667321974366359</v>
      </c>
      <c r="BX48" s="129">
        <f t="shared" si="52"/>
        <v>1.0007426070450776</v>
      </c>
      <c r="BY48" s="129"/>
      <c r="BZ48" s="129">
        <f t="shared" si="30"/>
        <v>1.0004918089613068</v>
      </c>
      <c r="CA48" s="129">
        <f t="shared" si="63"/>
        <v>1.0322385336041608</v>
      </c>
      <c r="CB48" s="129">
        <f t="shared" si="53"/>
        <v>1.0018776940226601</v>
      </c>
    </row>
    <row r="49" spans="1:80" x14ac:dyDescent="0.2">
      <c r="A49" s="133" t="s">
        <v>664</v>
      </c>
      <c r="B49" s="133">
        <f t="shared" si="54"/>
        <v>1988</v>
      </c>
      <c r="D49" s="5">
        <f>'Passenger-Highway'!G49</f>
        <v>13429.51751829464</v>
      </c>
      <c r="E49" s="5">
        <f>'Passenger-Rail'!F49</f>
        <v>67.267214290566045</v>
      </c>
      <c r="F49" s="5">
        <f>'Passenger-Air'!F47</f>
        <v>1904.4164811502226</v>
      </c>
      <c r="G49" s="5">
        <f t="shared" si="4"/>
        <v>15401.20121373543</v>
      </c>
      <c r="I49" s="5">
        <f>'Passenger-Highway'!L49</f>
        <v>3293159.3116137185</v>
      </c>
      <c r="J49" s="5">
        <f>'Passenger-Rail'!J49</f>
        <v>24427</v>
      </c>
      <c r="K49" s="5">
        <f>'Passenger-Air'!J47</f>
        <v>450248.54</v>
      </c>
      <c r="L49" s="5">
        <f t="shared" si="5"/>
        <v>3767834.8516137186</v>
      </c>
      <c r="N49" s="138">
        <f t="shared" si="43"/>
        <v>4078.0042043316425</v>
      </c>
      <c r="O49" s="138">
        <f t="shared" si="44"/>
        <v>2753.8058005717462</v>
      </c>
      <c r="P49" s="138">
        <f t="shared" si="45"/>
        <v>4229.7005141876143</v>
      </c>
      <c r="Q49" s="138">
        <f t="shared" si="45"/>
        <v>4087.5467795886229</v>
      </c>
      <c r="R49">
        <v>4881.5479577578335</v>
      </c>
      <c r="S49" s="129">
        <f>'Passenger-Highway'!AD49</f>
        <v>0.98026176120370467</v>
      </c>
      <c r="T49" s="129">
        <f>'Passenger-Rail'!Z49</f>
        <v>1.0227718760638318</v>
      </c>
      <c r="U49" s="129">
        <f>'Passenger-Air'!W47</f>
        <v>0.94025769827025607</v>
      </c>
      <c r="V49" s="129"/>
      <c r="W49" s="129">
        <f>'Passenger-Highway'!AH49</f>
        <v>1.0053606084168203</v>
      </c>
      <c r="X49" s="129">
        <f>'Passenger-Rail'!AD49</f>
        <v>0.99807668283916973</v>
      </c>
      <c r="Y49" s="129">
        <f>'Passenger-Air'!V47</f>
        <v>0.99003532892232859</v>
      </c>
      <c r="AA49" s="131">
        <f t="shared" si="31"/>
        <v>1.1037694773536708</v>
      </c>
      <c r="AB49" s="131">
        <f t="shared" si="32"/>
        <v>0.97980206446282625</v>
      </c>
      <c r="AC49" s="131">
        <f t="shared" si="46"/>
        <v>1.0007955691342769</v>
      </c>
      <c r="AD49" s="131">
        <f t="shared" si="47"/>
        <v>1.0034841291173771</v>
      </c>
      <c r="AE49" s="131">
        <f t="shared" si="48"/>
        <v>0.97562398390608562</v>
      </c>
      <c r="AF49" s="131">
        <f t="shared" si="49"/>
        <v>1.0814756126021807</v>
      </c>
      <c r="AG49" s="131">
        <f t="shared" si="37"/>
        <v>1.0814756126021814</v>
      </c>
      <c r="AH49" s="131"/>
      <c r="AI49" s="131">
        <f t="shared" si="50"/>
        <v>1.0042824701172397</v>
      </c>
      <c r="AL49" s="134"/>
      <c r="AN49" s="129">
        <f t="shared" si="6"/>
        <v>0.871978576990322</v>
      </c>
      <c r="AO49" s="129">
        <f t="shared" si="7"/>
        <v>4.3676602465640372E-3</v>
      </c>
      <c r="AP49" s="129">
        <f t="shared" si="8"/>
        <v>0.12365376276311389</v>
      </c>
      <c r="AR49" s="129">
        <f t="shared" si="55"/>
        <v>0.87311844001889716</v>
      </c>
      <c r="AS49" s="129">
        <f t="shared" si="56"/>
        <v>4.3547690270145621E-3</v>
      </c>
      <c r="AT49" s="129">
        <f t="shared" si="56"/>
        <v>0.12252282337313818</v>
      </c>
      <c r="AU49" s="129">
        <f t="shared" si="21"/>
        <v>0.99999603241904989</v>
      </c>
      <c r="AW49" s="129">
        <f t="shared" si="22"/>
        <v>0.87312190420073144</v>
      </c>
      <c r="AX49" s="129">
        <f t="shared" si="23"/>
        <v>4.3547863049817476E-3</v>
      </c>
      <c r="AY49" s="129">
        <f t="shared" si="24"/>
        <v>0.12252330949428687</v>
      </c>
      <c r="BB49" s="129">
        <f t="shared" si="57"/>
        <v>-2.0000613560243918E-2</v>
      </c>
      <c r="BC49" s="129">
        <f t="shared" si="58"/>
        <v>2.0155522675333513E-3</v>
      </c>
      <c r="BD49" s="129">
        <f t="shared" si="58"/>
        <v>-5.1567068912079508E-3</v>
      </c>
      <c r="BF49" s="129">
        <f t="shared" si="13"/>
        <v>0.87401901657215619</v>
      </c>
      <c r="BG49" s="129">
        <f t="shared" si="14"/>
        <v>6.4830336153237208E-3</v>
      </c>
      <c r="BH49" s="129">
        <f t="shared" si="15"/>
        <v>0.11949794981252003</v>
      </c>
      <c r="BJ49" s="129">
        <f t="shared" si="25"/>
        <v>-9.2030247292855137E-4</v>
      </c>
      <c r="BK49" s="129">
        <f t="shared" si="26"/>
        <v>-1.2000559932354767E-2</v>
      </c>
      <c r="BL49" s="129">
        <f t="shared" si="27"/>
        <v>7.4166908599091379E-3</v>
      </c>
      <c r="BN49" s="129">
        <f t="shared" si="59"/>
        <v>1.8778113303305798E-3</v>
      </c>
      <c r="BO49" s="129">
        <f t="shared" si="60"/>
        <v>-5.3126788276619433E-4</v>
      </c>
      <c r="BP49" s="129">
        <f t="shared" si="60"/>
        <v>-2.8651204806695243E-4</v>
      </c>
      <c r="BR49" s="129">
        <f t="shared" si="28"/>
        <v>0.98207655708778741</v>
      </c>
      <c r="BS49" s="129">
        <f t="shared" si="61"/>
        <v>0.76464573624181409</v>
      </c>
      <c r="BT49" s="129">
        <f t="shared" si="51"/>
        <v>0.97562398390608562</v>
      </c>
      <c r="BU49" s="129"/>
      <c r="BV49" s="129">
        <f t="shared" si="29"/>
        <v>1.0000529227883639</v>
      </c>
      <c r="BW49" s="129">
        <f t="shared" si="62"/>
        <v>0.95672384955800549</v>
      </c>
      <c r="BX49" s="129">
        <f t="shared" si="52"/>
        <v>1.0007955691342769</v>
      </c>
      <c r="BY49" s="129"/>
      <c r="BZ49" s="129">
        <f t="shared" si="30"/>
        <v>1.0016034243543908</v>
      </c>
      <c r="CA49" s="129">
        <f t="shared" si="63"/>
        <v>1.0338936500084823</v>
      </c>
      <c r="CB49" s="129">
        <f t="shared" si="53"/>
        <v>1.0034841291173771</v>
      </c>
    </row>
    <row r="50" spans="1:80" x14ac:dyDescent="0.2">
      <c r="A50" s="133" t="s">
        <v>664</v>
      </c>
      <c r="B50" s="133">
        <f t="shared" si="54"/>
        <v>1989</v>
      </c>
      <c r="D50" s="5">
        <f>'Passenger-Highway'!G50</f>
        <v>13587.084245188766</v>
      </c>
      <c r="E50" s="5">
        <f>'Passenger-Rail'!F50</f>
        <v>70.02262782264151</v>
      </c>
      <c r="F50" s="5">
        <f>'Passenger-Air'!F48</f>
        <v>1899.1101784387436</v>
      </c>
      <c r="G50" s="5">
        <f t="shared" si="4"/>
        <v>15556.21705145015</v>
      </c>
      <c r="I50" s="5">
        <f>'Passenger-Highway'!L50</f>
        <v>3352902.3385757436</v>
      </c>
      <c r="J50" s="5">
        <f>'Passenger-Rail'!J50</f>
        <v>25609</v>
      </c>
      <c r="K50" s="5">
        <f>'Passenger-Air'!J48</f>
        <v>460580.42099999997</v>
      </c>
      <c r="L50" s="5">
        <f t="shared" si="5"/>
        <v>3839091.7595757437</v>
      </c>
      <c r="N50" s="138">
        <f t="shared" si="43"/>
        <v>4052.3352227909895</v>
      </c>
      <c r="O50" s="138">
        <f t="shared" si="44"/>
        <v>2734.2976228139132</v>
      </c>
      <c r="P50" s="138">
        <f t="shared" si="45"/>
        <v>4123.2976736515329</v>
      </c>
      <c r="Q50" s="138">
        <f t="shared" si="45"/>
        <v>4052.056586730102</v>
      </c>
      <c r="R50">
        <v>4823.1977102459859</v>
      </c>
      <c r="S50" s="129">
        <f>'Passenger-Highway'!AD50</f>
        <v>0.97328879434947768</v>
      </c>
      <c r="T50" s="129">
        <f>'Passenger-Rail'!Z50</f>
        <v>1.0139931361892791</v>
      </c>
      <c r="U50" s="129">
        <f>'Passenger-Air'!W48</f>
        <v>0.9159001323223086</v>
      </c>
      <c r="V50" s="129"/>
      <c r="W50" s="129">
        <f>'Passenger-Highway'!AH50</f>
        <v>1.006189772443858</v>
      </c>
      <c r="X50" s="129">
        <f>'Passenger-Rail'!AD50</f>
        <v>0.99958595738647849</v>
      </c>
      <c r="Y50" s="129">
        <f>'Passenger-Air'!V48</f>
        <v>0.99079667277446715</v>
      </c>
      <c r="AA50" s="131">
        <f t="shared" si="31"/>
        <v>1.1246438529981866</v>
      </c>
      <c r="AB50" s="131">
        <f t="shared" si="32"/>
        <v>0.97129491675148871</v>
      </c>
      <c r="AC50" s="131">
        <f t="shared" si="46"/>
        <v>1.0007475606828271</v>
      </c>
      <c r="AD50" s="131">
        <f t="shared" si="47"/>
        <v>1.0043079311991976</v>
      </c>
      <c r="AE50" s="131">
        <f t="shared" si="48"/>
        <v>0.96640614607228315</v>
      </c>
      <c r="AF50" s="131">
        <f t="shared" si="49"/>
        <v>1.0923608575729473</v>
      </c>
      <c r="AG50" s="131">
        <f t="shared" si="37"/>
        <v>1.0923608575729473</v>
      </c>
      <c r="AH50" s="131"/>
      <c r="AI50" s="131">
        <f t="shared" si="50"/>
        <v>1.0050587123220136</v>
      </c>
      <c r="AL50" s="134"/>
      <c r="AN50" s="129">
        <f t="shared" si="6"/>
        <v>0.87341827388054971</v>
      </c>
      <c r="AO50" s="129">
        <f t="shared" si="7"/>
        <v>4.5012632307103225E-3</v>
      </c>
      <c r="AP50" s="129">
        <f t="shared" si="8"/>
        <v>0.12208046288873994</v>
      </c>
      <c r="AR50" s="129">
        <f t="shared" si="55"/>
        <v>0.87269822751219472</v>
      </c>
      <c r="AS50" s="129">
        <f t="shared" si="56"/>
        <v>4.4341262819586639E-3</v>
      </c>
      <c r="AT50" s="129">
        <f t="shared" si="56"/>
        <v>0.1228654339799127</v>
      </c>
      <c r="AU50" s="129">
        <f t="shared" si="21"/>
        <v>0.99999778777406612</v>
      </c>
      <c r="AW50" s="129">
        <f t="shared" si="22"/>
        <v>0.87270015812211699</v>
      </c>
      <c r="AX50" s="129">
        <f t="shared" si="23"/>
        <v>4.4341360912695197E-3</v>
      </c>
      <c r="AY50" s="129">
        <f t="shared" si="24"/>
        <v>0.12286570578661343</v>
      </c>
      <c r="BB50" s="129">
        <f t="shared" si="57"/>
        <v>-7.1387929507330909E-3</v>
      </c>
      <c r="BC50" s="129">
        <f t="shared" si="58"/>
        <v>-8.6203309504007224E-3</v>
      </c>
      <c r="BD50" s="129">
        <f t="shared" si="58"/>
        <v>-2.6246651907245865E-2</v>
      </c>
      <c r="BF50" s="129">
        <f t="shared" si="13"/>
        <v>0.87335821818082082</v>
      </c>
      <c r="BG50" s="129">
        <f t="shared" si="14"/>
        <v>6.6705881504718293E-3</v>
      </c>
      <c r="BH50" s="129">
        <f t="shared" si="15"/>
        <v>0.11997119366870734</v>
      </c>
      <c r="BJ50" s="129">
        <f t="shared" si="25"/>
        <v>-7.5633172928335891E-4</v>
      </c>
      <c r="BK50" s="129">
        <f t="shared" si="26"/>
        <v>2.8519483192731711E-2</v>
      </c>
      <c r="BL50" s="129">
        <f t="shared" si="27"/>
        <v>3.9524463601904817E-3</v>
      </c>
      <c r="BN50" s="129">
        <f t="shared" si="59"/>
        <v>8.2440298974168858E-4</v>
      </c>
      <c r="BO50" s="129">
        <f t="shared" si="60"/>
        <v>1.5110407574209094E-3</v>
      </c>
      <c r="BP50" s="129">
        <f t="shared" si="60"/>
        <v>7.6871121728364685E-4</v>
      </c>
      <c r="BR50" s="129">
        <f t="shared" si="28"/>
        <v>0.99055185400742485</v>
      </c>
      <c r="BS50" s="129">
        <f t="shared" si="61"/>
        <v>0.75742125169320129</v>
      </c>
      <c r="BT50" s="129">
        <f t="shared" si="51"/>
        <v>0.96640614607228315</v>
      </c>
      <c r="BU50" s="129"/>
      <c r="BV50" s="129">
        <f t="shared" si="29"/>
        <v>0.99995202971223052</v>
      </c>
      <c r="BW50" s="129">
        <f t="shared" si="62"/>
        <v>0.95667795523962629</v>
      </c>
      <c r="BX50" s="129">
        <f t="shared" si="52"/>
        <v>1.0007475606828271</v>
      </c>
      <c r="BY50" s="129"/>
      <c r="BZ50" s="129">
        <f t="shared" si="30"/>
        <v>1.0008209418145411</v>
      </c>
      <c r="CA50" s="129">
        <f t="shared" si="63"/>
        <v>1.0347424165375627</v>
      </c>
      <c r="CB50" s="129">
        <f t="shared" si="53"/>
        <v>1.0043079311991976</v>
      </c>
    </row>
    <row r="51" spans="1:80" x14ac:dyDescent="0.2">
      <c r="A51" s="133" t="s">
        <v>664</v>
      </c>
      <c r="B51" s="133">
        <f t="shared" si="54"/>
        <v>1990</v>
      </c>
      <c r="D51" s="5">
        <f>'Passenger-Highway'!G51</f>
        <v>13335.296255726855</v>
      </c>
      <c r="E51" s="5">
        <f>'Passenger-Rail'!F51</f>
        <v>69.216828593081758</v>
      </c>
      <c r="F51" s="5">
        <f>'Passenger-Air'!F49</f>
        <v>2017.4368156097546</v>
      </c>
      <c r="G51" s="5">
        <f t="shared" si="4"/>
        <v>15421.949899929692</v>
      </c>
      <c r="I51" s="5">
        <f>'Passenger-Highway'!L51</f>
        <v>3372344</v>
      </c>
      <c r="J51" s="5">
        <f>'Passenger-Rail'!J51</f>
        <v>25185</v>
      </c>
      <c r="K51" s="5">
        <f>'Passenger-Air'!J49</f>
        <v>485235.647</v>
      </c>
      <c r="L51" s="5">
        <f t="shared" si="5"/>
        <v>3882764.6469999999</v>
      </c>
      <c r="N51" s="138">
        <f t="shared" si="43"/>
        <v>3954.3107867189278</v>
      </c>
      <c r="O51" s="138">
        <f t="shared" si="44"/>
        <v>2748.3354613095794</v>
      </c>
      <c r="P51" s="138">
        <f t="shared" si="45"/>
        <v>4157.6434626818645</v>
      </c>
      <c r="Q51" s="138">
        <f t="shared" si="45"/>
        <v>3971.8992269710166</v>
      </c>
      <c r="R51">
        <v>4832.4379718547134</v>
      </c>
      <c r="S51" s="129">
        <f>'Passenger-Highway'!AD51</f>
        <v>0.94780065117677559</v>
      </c>
      <c r="T51" s="129">
        <f>'Passenger-Rail'!Z51</f>
        <v>1.0206009552120987</v>
      </c>
      <c r="U51" s="129">
        <f>'Passenger-Air'!W49</f>
        <v>0.92582484772430462</v>
      </c>
      <c r="V51" s="129"/>
      <c r="W51" s="129">
        <f>'Passenger-Highway'!AH51</f>
        <v>1.0082542331830604</v>
      </c>
      <c r="X51" s="129">
        <f>'Passenger-Rail'!AD51</f>
        <v>0.99821283046355214</v>
      </c>
      <c r="Y51" s="129">
        <f>'Passenger-Air'!V49</f>
        <v>0.98834002555159428</v>
      </c>
      <c r="AA51" s="131">
        <f t="shared" si="31"/>
        <v>1.1374376197170626</v>
      </c>
      <c r="AB51" s="131">
        <f t="shared" si="32"/>
        <v>0.95208086225649757</v>
      </c>
      <c r="AC51" s="131">
        <f t="shared" si="46"/>
        <v>1.0009776493889424</v>
      </c>
      <c r="AD51" s="131">
        <f t="shared" si="47"/>
        <v>1.0057766721692718</v>
      </c>
      <c r="AE51" s="131">
        <f t="shared" si="48"/>
        <v>0.94568804030853193</v>
      </c>
      <c r="AF51" s="131">
        <f t="shared" si="49"/>
        <v>1.0829325897431992</v>
      </c>
      <c r="AG51" s="131">
        <f t="shared" si="37"/>
        <v>1.0829325897431992</v>
      </c>
      <c r="AH51" s="131"/>
      <c r="AI51" s="131">
        <f t="shared" si="50"/>
        <v>1.0067599691182305</v>
      </c>
      <c r="AL51" s="134"/>
      <c r="AN51" s="129">
        <f t="shared" si="6"/>
        <v>0.86469586156466827</v>
      </c>
      <c r="AO51" s="129">
        <f t="shared" si="7"/>
        <v>4.488202143193145E-3</v>
      </c>
      <c r="AP51" s="129">
        <f t="shared" si="8"/>
        <v>0.13081593629213853</v>
      </c>
      <c r="AR51" s="129">
        <f t="shared" si="55"/>
        <v>0.86904977236476355</v>
      </c>
      <c r="AS51" s="129">
        <f t="shared" si="56"/>
        <v>4.4947295241365747E-3</v>
      </c>
      <c r="AT51" s="129">
        <f t="shared" si="56"/>
        <v>0.12639789388559572</v>
      </c>
      <c r="AU51" s="129">
        <f t="shared" si="21"/>
        <v>0.99994239577449584</v>
      </c>
      <c r="AW51" s="129">
        <f t="shared" si="22"/>
        <v>0.86909983618771292</v>
      </c>
      <c r="AX51" s="129">
        <f t="shared" si="23"/>
        <v>4.4949884544651444E-3</v>
      </c>
      <c r="AY51" s="129">
        <f t="shared" si="24"/>
        <v>0.12640517535782192</v>
      </c>
      <c r="BB51" s="129">
        <f t="shared" si="57"/>
        <v>-2.6536649743713548E-2</v>
      </c>
      <c r="BC51" s="129">
        <f t="shared" si="58"/>
        <v>6.4954894772196337E-3</v>
      </c>
      <c r="BD51" s="129">
        <f t="shared" si="58"/>
        <v>1.0777734548012289E-2</v>
      </c>
      <c r="BF51" s="129">
        <f t="shared" si="13"/>
        <v>0.86854195569273718</v>
      </c>
      <c r="BG51" s="129">
        <f t="shared" si="14"/>
        <v>6.4863576059030707E-3</v>
      </c>
      <c r="BH51" s="129">
        <f t="shared" si="15"/>
        <v>0.12497168670135983</v>
      </c>
      <c r="BJ51" s="129">
        <f t="shared" si="25"/>
        <v>-5.5299090426827961E-3</v>
      </c>
      <c r="BK51" s="129">
        <f t="shared" si="26"/>
        <v>-2.800689311114158E-2</v>
      </c>
      <c r="BL51" s="129">
        <f t="shared" si="27"/>
        <v>4.0835544052735352E-2</v>
      </c>
      <c r="BN51" s="129">
        <f t="shared" si="59"/>
        <v>2.049658820187011E-3</v>
      </c>
      <c r="BO51" s="129">
        <f t="shared" si="60"/>
        <v>-1.374640076371047E-3</v>
      </c>
      <c r="BP51" s="129">
        <f t="shared" si="60"/>
        <v>-2.4825455327570712E-3</v>
      </c>
      <c r="BR51" s="129">
        <f t="shared" si="28"/>
        <v>0.97856169908691626</v>
      </c>
      <c r="BS51" s="129">
        <f t="shared" si="61"/>
        <v>0.74118342698143791</v>
      </c>
      <c r="BT51" s="129">
        <f t="shared" si="51"/>
        <v>0.94568804030853193</v>
      </c>
      <c r="BU51" s="129"/>
      <c r="BV51" s="129">
        <f t="shared" si="29"/>
        <v>1.0002299168293332</v>
      </c>
      <c r="BW51" s="129">
        <f t="shared" si="62"/>
        <v>0.95689791160178794</v>
      </c>
      <c r="BX51" s="129">
        <f t="shared" si="52"/>
        <v>1.0009776493889424</v>
      </c>
      <c r="BY51" s="129"/>
      <c r="BZ51" s="129">
        <f t="shared" si="30"/>
        <v>1.0014624408753998</v>
      </c>
      <c r="CA51" s="129">
        <f t="shared" si="63"/>
        <v>1.0362556661430173</v>
      </c>
      <c r="CB51" s="129">
        <f t="shared" si="53"/>
        <v>1.0057766721692718</v>
      </c>
    </row>
    <row r="52" spans="1:80" x14ac:dyDescent="0.2">
      <c r="A52" s="133" t="s">
        <v>664</v>
      </c>
      <c r="B52" s="133">
        <f t="shared" si="54"/>
        <v>1991</v>
      </c>
      <c r="D52" s="5">
        <f>'Passenger-Highway'!G52</f>
        <v>13006.263854538352</v>
      </c>
      <c r="E52" s="5">
        <f>'Passenger-Rail'!F52</f>
        <v>69.567532393081763</v>
      </c>
      <c r="F52" s="5">
        <f>'Passenger-Air'!F50</f>
        <v>1827.208813354732</v>
      </c>
      <c r="G52" s="5">
        <f t="shared" si="4"/>
        <v>14903.040200286165</v>
      </c>
      <c r="I52" s="5">
        <f>'Passenger-Highway'!L52</f>
        <v>3408755.984588576</v>
      </c>
      <c r="J52" s="5">
        <f>'Passenger-Rail'!J52</f>
        <v>24807</v>
      </c>
      <c r="K52" s="5">
        <f>'Passenger-Air'!J50</f>
        <v>475396.38099999999</v>
      </c>
      <c r="L52" s="5">
        <f t="shared" si="5"/>
        <v>3908959.3655885761</v>
      </c>
      <c r="N52" s="138">
        <f t="shared" si="43"/>
        <v>3815.5455871119384</v>
      </c>
      <c r="O52" s="138">
        <f t="shared" si="44"/>
        <v>2804.3508845520123</v>
      </c>
      <c r="P52" s="138">
        <f t="shared" si="45"/>
        <v>3843.5480083192556</v>
      </c>
      <c r="Q52" s="138">
        <f t="shared" si="45"/>
        <v>3812.5339269271731</v>
      </c>
      <c r="R52">
        <v>4469.213383634572</v>
      </c>
      <c r="S52" s="129">
        <f>'Passenger-Highway'!AD52</f>
        <v>0.9098396405678334</v>
      </c>
      <c r="T52" s="129">
        <f>'Passenger-Rail'!Z52</f>
        <v>1.0457089213290149</v>
      </c>
      <c r="U52" s="129">
        <f>'Passenger-Air'!W50</f>
        <v>0.857665098278375</v>
      </c>
      <c r="V52" s="129"/>
      <c r="W52" s="129">
        <f>'Passenger-Highway'!AH52</f>
        <v>1.0134633539708449</v>
      </c>
      <c r="X52" s="129">
        <f>'Passenger-Rail'!AD52</f>
        <v>0.99410192731461533</v>
      </c>
      <c r="Y52" s="129">
        <f>'Passenger-Air'!V50</f>
        <v>0.98628526532559757</v>
      </c>
      <c r="AA52" s="131">
        <f t="shared" si="31"/>
        <v>1.1451112391787956</v>
      </c>
      <c r="AB52" s="131">
        <f t="shared" si="32"/>
        <v>0.91388033308667349</v>
      </c>
      <c r="AC52" s="131">
        <f t="shared" si="46"/>
        <v>1.0009194271917103</v>
      </c>
      <c r="AD52" s="131">
        <f t="shared" si="47"/>
        <v>1.010004056279064</v>
      </c>
      <c r="AE52" s="131">
        <f t="shared" si="48"/>
        <v>0.90399721943488731</v>
      </c>
      <c r="AF52" s="131">
        <f t="shared" si="49"/>
        <v>1.0464946406820113</v>
      </c>
      <c r="AG52" s="131">
        <f t="shared" si="37"/>
        <v>1.0464946406820113</v>
      </c>
      <c r="AH52" s="131"/>
      <c r="AI52" s="131">
        <f t="shared" si="50"/>
        <v>1.0109326814721447</v>
      </c>
      <c r="AL52" s="134"/>
      <c r="AN52" s="129">
        <f t="shared" si="6"/>
        <v>0.87272554322765694</v>
      </c>
      <c r="AO52" s="129">
        <f t="shared" si="7"/>
        <v>4.6680094435862787E-3</v>
      </c>
      <c r="AP52" s="129">
        <f t="shared" si="8"/>
        <v>0.12260644732875688</v>
      </c>
      <c r="AR52" s="129">
        <f t="shared" si="55"/>
        <v>0.86870451735332732</v>
      </c>
      <c r="AS52" s="129">
        <f t="shared" si="56"/>
        <v>4.5775172313618825E-3</v>
      </c>
      <c r="AT52" s="129">
        <f t="shared" si="56"/>
        <v>0.12666685569819633</v>
      </c>
      <c r="AU52" s="129">
        <f t="shared" si="21"/>
        <v>0.99994889028288558</v>
      </c>
      <c r="AW52" s="129">
        <f t="shared" si="22"/>
        <v>0.86874891886481398</v>
      </c>
      <c r="AX52" s="129">
        <f t="shared" si="23"/>
        <v>4.5777511989306798E-3</v>
      </c>
      <c r="AY52" s="129">
        <f t="shared" si="24"/>
        <v>0.12667332993625532</v>
      </c>
      <c r="BB52" s="129">
        <f t="shared" si="57"/>
        <v>-4.0875831747281183E-2</v>
      </c>
      <c r="BC52" s="129">
        <f t="shared" si="58"/>
        <v>2.4303423448926303E-2</v>
      </c>
      <c r="BD52" s="129">
        <f t="shared" si="58"/>
        <v>-7.6471372486242611E-2</v>
      </c>
      <c r="BF52" s="129">
        <f t="shared" si="13"/>
        <v>0.87203668950785218</v>
      </c>
      <c r="BG52" s="129">
        <f t="shared" si="14"/>
        <v>6.3461902976995471E-3</v>
      </c>
      <c r="BH52" s="129">
        <f t="shared" si="15"/>
        <v>0.12161712019444824</v>
      </c>
      <c r="BJ52" s="129">
        <f t="shared" si="25"/>
        <v>4.015605408952851E-3</v>
      </c>
      <c r="BK52" s="129">
        <f t="shared" si="26"/>
        <v>-2.1846461667899369E-2</v>
      </c>
      <c r="BL52" s="129">
        <f t="shared" si="27"/>
        <v>-2.7209454562034465E-2</v>
      </c>
      <c r="BN52" s="129">
        <f t="shared" si="59"/>
        <v>5.1531750510764567E-3</v>
      </c>
      <c r="BO52" s="129">
        <f t="shared" si="60"/>
        <v>-4.1267665834546262E-3</v>
      </c>
      <c r="BP52" s="129">
        <f t="shared" si="60"/>
        <v>-2.0811654516222416E-3</v>
      </c>
      <c r="BR52" s="129">
        <f t="shared" si="28"/>
        <v>0.95591482698666352</v>
      </c>
      <c r="BS52" s="129">
        <f t="shared" si="61"/>
        <v>0.70850822736834362</v>
      </c>
      <c r="BT52" s="129">
        <f t="shared" si="51"/>
        <v>0.90399721943488731</v>
      </c>
      <c r="BU52" s="129"/>
      <c r="BV52" s="129">
        <f t="shared" si="29"/>
        <v>0.9999418346680693</v>
      </c>
      <c r="BW52" s="129">
        <f t="shared" si="62"/>
        <v>0.95684225331713579</v>
      </c>
      <c r="BX52" s="129">
        <f t="shared" si="52"/>
        <v>1.0009194271917103</v>
      </c>
      <c r="BY52" s="129"/>
      <c r="BZ52" s="129">
        <f t="shared" si="30"/>
        <v>1.0042031041549957</v>
      </c>
      <c r="CA52" s="129">
        <f t="shared" si="63"/>
        <v>1.0406111566390208</v>
      </c>
      <c r="CB52" s="129">
        <f t="shared" si="53"/>
        <v>1.010004056279064</v>
      </c>
    </row>
    <row r="53" spans="1:80" x14ac:dyDescent="0.2">
      <c r="A53" s="133" t="s">
        <v>664</v>
      </c>
      <c r="B53" s="133">
        <f t="shared" si="54"/>
        <v>1992</v>
      </c>
      <c r="D53" s="5">
        <f>'Passenger-Highway'!G53</f>
        <v>13495.783008727554</v>
      </c>
      <c r="E53" s="5">
        <f>'Passenger-Rail'!F53</f>
        <v>68.304466052201263</v>
      </c>
      <c r="F53" s="5">
        <f>'Passenger-Air'!F51</f>
        <v>1928.8699342141158</v>
      </c>
      <c r="G53" s="5">
        <f t="shared" si="4"/>
        <v>15492.957408993871</v>
      </c>
      <c r="I53" s="5">
        <f>'Passenger-Highway'!L53</f>
        <v>3515703.5939984596</v>
      </c>
      <c r="J53" s="5">
        <f>'Passenger-Rail'!J53</f>
        <v>24849</v>
      </c>
      <c r="K53" s="5">
        <f>'Passenger-Air'!J51</f>
        <v>504515</v>
      </c>
      <c r="L53" s="5">
        <f t="shared" si="5"/>
        <v>4045067.5939984596</v>
      </c>
      <c r="N53" s="138">
        <f t="shared" si="43"/>
        <v>3838.7146833896222</v>
      </c>
      <c r="O53" s="138">
        <f t="shared" si="44"/>
        <v>2748.7812810254445</v>
      </c>
      <c r="P53" s="138">
        <f t="shared" si="45"/>
        <v>3823.2162259082797</v>
      </c>
      <c r="Q53" s="138">
        <f t="shared" si="45"/>
        <v>3830.0861602363057</v>
      </c>
      <c r="R53">
        <v>4456.9541427356626</v>
      </c>
      <c r="S53" s="129">
        <f>'Passenger-Highway'!AD53</f>
        <v>0.91322639016668716</v>
      </c>
      <c r="T53" s="129">
        <f>'Passenger-Rail'!Z53</f>
        <v>1.0210925418249774</v>
      </c>
      <c r="U53" s="129">
        <f>'Passenger-Air'!W51</f>
        <v>0.85866195411665303</v>
      </c>
      <c r="V53" s="129"/>
      <c r="W53" s="129">
        <f>'Passenger-Highway'!AH53</f>
        <v>1.0158360901378598</v>
      </c>
      <c r="X53" s="129">
        <f>'Passenger-Rail'!AD53</f>
        <v>0.99789410546181645</v>
      </c>
      <c r="Y53" s="129">
        <f>'Passenger-Air'!V51</f>
        <v>0.97992900479339851</v>
      </c>
      <c r="AA53" s="131">
        <f t="shared" si="31"/>
        <v>1.1849835037689405</v>
      </c>
      <c r="AB53" s="131">
        <f t="shared" si="32"/>
        <v>0.91808767684555082</v>
      </c>
      <c r="AC53" s="131">
        <f t="shared" si="46"/>
        <v>1.0009803641229056</v>
      </c>
      <c r="AD53" s="131">
        <f t="shared" si="47"/>
        <v>1.0112748356797412</v>
      </c>
      <c r="AE53" s="131">
        <f t="shared" si="48"/>
        <v>0.90696264337629329</v>
      </c>
      <c r="AF53" s="131">
        <f t="shared" si="49"/>
        <v>1.0879187520755274</v>
      </c>
      <c r="AG53" s="131">
        <f t="shared" si="37"/>
        <v>1.0879187520755276</v>
      </c>
      <c r="AH53" s="131"/>
      <c r="AI53" s="131">
        <f t="shared" si="50"/>
        <v>1.0122662532470388</v>
      </c>
      <c r="AL53" s="134"/>
      <c r="AN53" s="129">
        <f t="shared" si="6"/>
        <v>0.8710914677202346</v>
      </c>
      <c r="AO53" s="129">
        <f t="shared" si="7"/>
        <v>4.4087429048600881E-3</v>
      </c>
      <c r="AP53" s="129">
        <f t="shared" si="8"/>
        <v>0.12449978937490533</v>
      </c>
      <c r="AR53" s="129">
        <f t="shared" si="55"/>
        <v>0.87190825026717289</v>
      </c>
      <c r="AS53" s="129">
        <f t="shared" si="56"/>
        <v>4.5371416326400954E-3</v>
      </c>
      <c r="AT53" s="129">
        <f t="shared" si="56"/>
        <v>0.12355070049823046</v>
      </c>
      <c r="AU53" s="129">
        <f t="shared" si="21"/>
        <v>0.99999609239804343</v>
      </c>
      <c r="AW53" s="129">
        <f t="shared" si="22"/>
        <v>0.87191165735087106</v>
      </c>
      <c r="AX53" s="129">
        <f t="shared" si="23"/>
        <v>4.5371593620528962E-3</v>
      </c>
      <c r="AY53" s="129">
        <f t="shared" si="24"/>
        <v>0.12355118328707601</v>
      </c>
      <c r="BB53" s="129">
        <f t="shared" si="57"/>
        <v>3.7154479736924827E-3</v>
      </c>
      <c r="BC53" s="129">
        <f t="shared" si="58"/>
        <v>-2.3821875534813415E-2</v>
      </c>
      <c r="BD53" s="129">
        <f t="shared" si="58"/>
        <v>1.1616153797486125E-3</v>
      </c>
      <c r="BF53" s="129">
        <f t="shared" si="13"/>
        <v>0.86913346002291758</v>
      </c>
      <c r="BG53" s="129">
        <f t="shared" si="14"/>
        <v>6.1430370253559383E-3</v>
      </c>
      <c r="BH53" s="129">
        <f t="shared" si="15"/>
        <v>0.12472350295172648</v>
      </c>
      <c r="BJ53" s="129">
        <f t="shared" si="25"/>
        <v>-3.3348058215533429E-3</v>
      </c>
      <c r="BK53" s="129">
        <f t="shared" si="26"/>
        <v>-3.2535430335548142E-2</v>
      </c>
      <c r="BL53" s="129">
        <f t="shared" si="27"/>
        <v>2.5221560188036809E-2</v>
      </c>
      <c r="BN53" s="129">
        <f t="shared" si="59"/>
        <v>2.3384791782956565E-3</v>
      </c>
      <c r="BO53" s="129">
        <f t="shared" si="60"/>
        <v>3.8074199605778935E-3</v>
      </c>
      <c r="BP53" s="129">
        <f t="shared" si="60"/>
        <v>-6.4655035528985733E-3</v>
      </c>
      <c r="BR53" s="129">
        <f t="shared" si="28"/>
        <v>1.0032803463082107</v>
      </c>
      <c r="BS53" s="129">
        <f t="shared" si="61"/>
        <v>0.71083237971632829</v>
      </c>
      <c r="BT53" s="129">
        <f t="shared" si="51"/>
        <v>0.90696264337629329</v>
      </c>
      <c r="BU53" s="129"/>
      <c r="BV53" s="129">
        <f t="shared" si="29"/>
        <v>1.0000608809555891</v>
      </c>
      <c r="BW53" s="129">
        <f t="shared" si="62"/>
        <v>0.95690050678786576</v>
      </c>
      <c r="BX53" s="129">
        <f t="shared" si="52"/>
        <v>1.0009803641229056</v>
      </c>
      <c r="BY53" s="129"/>
      <c r="BZ53" s="129">
        <f t="shared" si="30"/>
        <v>1.0012581923733641</v>
      </c>
      <c r="CA53" s="129">
        <f t="shared" si="63"/>
        <v>1.0419204456599416</v>
      </c>
      <c r="CB53" s="129">
        <f t="shared" si="53"/>
        <v>1.0112748356797412</v>
      </c>
    </row>
    <row r="54" spans="1:80" x14ac:dyDescent="0.2">
      <c r="A54" s="133" t="s">
        <v>664</v>
      </c>
      <c r="B54" s="133">
        <f t="shared" si="54"/>
        <v>1993</v>
      </c>
      <c r="D54" s="5">
        <f>'Passenger-Highway'!G54</f>
        <v>13936.825453544725</v>
      </c>
      <c r="E54" s="5">
        <f>'Passenger-Rail'!F54</f>
        <v>70.944540200000006</v>
      </c>
      <c r="F54" s="5">
        <f>'Passenger-Air'!F52</f>
        <v>1919.0558671336785</v>
      </c>
      <c r="G54" s="5">
        <f t="shared" si="4"/>
        <v>15926.825860878404</v>
      </c>
      <c r="I54" s="5">
        <f>'Passenger-Highway'!L54</f>
        <v>3576098.8656020695</v>
      </c>
      <c r="J54" s="5">
        <f>'Passenger-Rail'!J54</f>
        <v>24075</v>
      </c>
      <c r="K54" s="5">
        <f>'Passenger-Air'!J52</f>
        <v>515896</v>
      </c>
      <c r="L54" s="5">
        <f t="shared" si="5"/>
        <v>4116069.8656020695</v>
      </c>
      <c r="N54" s="138">
        <f t="shared" si="43"/>
        <v>3897.2148079016629</v>
      </c>
      <c r="O54" s="138">
        <f t="shared" si="44"/>
        <v>2946.8137154724818</v>
      </c>
      <c r="P54" s="138">
        <f t="shared" si="45"/>
        <v>3719.8502549616173</v>
      </c>
      <c r="Q54" s="138">
        <f t="shared" si="45"/>
        <v>3869.4255396339681</v>
      </c>
      <c r="R54">
        <v>4387.016504825413</v>
      </c>
      <c r="S54" s="129">
        <f>'Passenger-Highway'!AD54</f>
        <v>0.92656700407725912</v>
      </c>
      <c r="T54" s="129">
        <f>'Passenger-Rail'!Z54</f>
        <v>1.0982531114741041</v>
      </c>
      <c r="U54" s="129">
        <f>'Passenger-Air'!W52</f>
        <v>0.83835345182320609</v>
      </c>
      <c r="V54" s="129"/>
      <c r="W54" s="129">
        <f>'Passenger-Highway'!AH54</f>
        <v>1.0164681404014484</v>
      </c>
      <c r="X54" s="129">
        <f>'Passenger-Rail'!AD54</f>
        <v>0.99462556295778382</v>
      </c>
      <c r="Y54" s="129">
        <f>'Passenger-Air'!V52</f>
        <v>0.97653153587021357</v>
      </c>
      <c r="AA54" s="131">
        <f t="shared" si="31"/>
        <v>1.2057832848913204</v>
      </c>
      <c r="AB54" s="131">
        <f t="shared" si="32"/>
        <v>0.92751749067446931</v>
      </c>
      <c r="AC54" s="131">
        <f t="shared" si="46"/>
        <v>1.0010431034100542</v>
      </c>
      <c r="AD54" s="131">
        <f t="shared" si="47"/>
        <v>1.0113791190007067</v>
      </c>
      <c r="AE54" s="131">
        <f t="shared" si="48"/>
        <v>0.91612629206741147</v>
      </c>
      <c r="AF54" s="131">
        <f t="shared" si="49"/>
        <v>1.1183850866996166</v>
      </c>
      <c r="AG54" s="131">
        <f t="shared" si="37"/>
        <v>1.1183850866996163</v>
      </c>
      <c r="AH54" s="131"/>
      <c r="AI54" s="131">
        <f t="shared" si="50"/>
        <v>1.0124340920085939</v>
      </c>
      <c r="AL54" s="134"/>
      <c r="AN54" s="129">
        <f t="shared" si="6"/>
        <v>0.87505354646830269</v>
      </c>
      <c r="AO54" s="129">
        <f t="shared" si="7"/>
        <v>4.4544054678379739E-3</v>
      </c>
      <c r="AP54" s="129">
        <f t="shared" si="8"/>
        <v>0.12049204806385934</v>
      </c>
      <c r="AR54" s="129">
        <f t="shared" si="55"/>
        <v>0.87307100873748489</v>
      </c>
      <c r="AS54" s="129">
        <f t="shared" si="56"/>
        <v>4.4315349774748103E-3</v>
      </c>
      <c r="AT54" s="129">
        <f t="shared" si="56"/>
        <v>0.12248499105137296</v>
      </c>
      <c r="AU54" s="129">
        <f t="shared" si="21"/>
        <v>0.99998753476633273</v>
      </c>
      <c r="AW54" s="129">
        <f t="shared" si="22"/>
        <v>0.87308189190727814</v>
      </c>
      <c r="AX54" s="129">
        <f t="shared" si="23"/>
        <v>4.4315902182823991E-3</v>
      </c>
      <c r="AY54" s="129">
        <f t="shared" si="24"/>
        <v>0.12248651787443936</v>
      </c>
      <c r="BB54" s="129">
        <f t="shared" si="57"/>
        <v>1.4502549875848753E-2</v>
      </c>
      <c r="BC54" s="129">
        <f t="shared" si="58"/>
        <v>7.2847663496486331E-2</v>
      </c>
      <c r="BD54" s="129">
        <f t="shared" si="58"/>
        <v>-2.3935518546457504E-2</v>
      </c>
      <c r="BF54" s="129">
        <f t="shared" si="13"/>
        <v>0.86881393717037481</v>
      </c>
      <c r="BG54" s="129">
        <f t="shared" si="14"/>
        <v>5.8490260821844626E-3</v>
      </c>
      <c r="BH54" s="129">
        <f t="shared" si="15"/>
        <v>0.12533703674744073</v>
      </c>
      <c r="BJ54" s="129">
        <f t="shared" si="25"/>
        <v>-3.677014122048344E-4</v>
      </c>
      <c r="BK54" s="129">
        <f t="shared" si="26"/>
        <v>-4.9044083700700347E-2</v>
      </c>
      <c r="BL54" s="129">
        <f t="shared" si="27"/>
        <v>4.9070919193146129E-3</v>
      </c>
      <c r="BN54" s="129">
        <f t="shared" si="59"/>
        <v>6.2200360996011994E-4</v>
      </c>
      <c r="BO54" s="129">
        <f t="shared" si="60"/>
        <v>-3.2808162324847265E-3</v>
      </c>
      <c r="BP54" s="129">
        <f t="shared" si="60"/>
        <v>-3.4730803588153988E-3</v>
      </c>
      <c r="BR54" s="129">
        <f t="shared" si="28"/>
        <v>1.0101036671775203</v>
      </c>
      <c r="BS54" s="129">
        <f t="shared" si="61"/>
        <v>0.71801439349998686</v>
      </c>
      <c r="BT54" s="129">
        <f t="shared" si="51"/>
        <v>0.91612629206741147</v>
      </c>
      <c r="BU54" s="129"/>
      <c r="BV54" s="129">
        <f t="shared" si="29"/>
        <v>1.000062677840043</v>
      </c>
      <c r="BW54" s="129">
        <f t="shared" si="62"/>
        <v>0.95696048324476723</v>
      </c>
      <c r="BX54" s="129">
        <f t="shared" si="52"/>
        <v>1.0010431034100542</v>
      </c>
      <c r="BY54" s="129"/>
      <c r="BZ54" s="129">
        <f t="shared" si="30"/>
        <v>1.0001031206525528</v>
      </c>
      <c r="CA54" s="129">
        <f t="shared" si="63"/>
        <v>1.042027889176206</v>
      </c>
      <c r="CB54" s="129">
        <f t="shared" si="53"/>
        <v>1.0113791190007067</v>
      </c>
    </row>
    <row r="55" spans="1:80" x14ac:dyDescent="0.2">
      <c r="A55" s="133" t="s">
        <v>664</v>
      </c>
      <c r="B55" s="133">
        <f t="shared" si="54"/>
        <v>1994</v>
      </c>
      <c r="D55" s="5">
        <f>'Passenger-Highway'!G55</f>
        <v>14201.783278191981</v>
      </c>
      <c r="E55" s="5">
        <f>'Passenger-Rail'!F55</f>
        <v>73.235953000000009</v>
      </c>
      <c r="F55" s="5">
        <f>'Passenger-Air'!F53</f>
        <v>1979.0881313702637</v>
      </c>
      <c r="G55" s="5">
        <f t="shared" si="4"/>
        <v>16254.107362562243</v>
      </c>
      <c r="I55" s="5">
        <f>'Passenger-Highway'!L55</f>
        <v>3648452.4799999995</v>
      </c>
      <c r="J55" s="5">
        <f>'Passenger-Rail'!J55</f>
        <v>25418</v>
      </c>
      <c r="K55" s="5">
        <f>'Passenger-Air'!J53</f>
        <v>547306.37800000003</v>
      </c>
      <c r="L55" s="5">
        <f t="shared" si="5"/>
        <v>4221176.8579999991</v>
      </c>
      <c r="N55" s="138">
        <f t="shared" si="43"/>
        <v>3892.5498841064755</v>
      </c>
      <c r="O55" s="138">
        <f t="shared" si="44"/>
        <v>2881.2633960185699</v>
      </c>
      <c r="P55" s="138">
        <f t="shared" si="45"/>
        <v>3616.051650270123</v>
      </c>
      <c r="Q55" s="138">
        <f t="shared" si="45"/>
        <v>3850.6103651538228</v>
      </c>
      <c r="R55">
        <v>4313.3387402931921</v>
      </c>
      <c r="S55" s="129">
        <f>'Passenger-Highway'!AD55</f>
        <v>0.92681008197110604</v>
      </c>
      <c r="T55" s="129">
        <f>'Passenger-Rail'!Z55</f>
        <v>1.0680077488102793</v>
      </c>
      <c r="U55" s="129">
        <f>'Passenger-Air'!W53</f>
        <v>0.81667205903795048</v>
      </c>
      <c r="V55" s="129"/>
      <c r="W55" s="129">
        <f>'Passenger-Highway'!AH55</f>
        <v>1.0149851653435029</v>
      </c>
      <c r="X55" s="129">
        <f>'Passenger-Rail'!AD55</f>
        <v>1.0000412975581305</v>
      </c>
      <c r="Y55" s="129">
        <f>'Passenger-Air'!V53</f>
        <v>0.97448442028519833</v>
      </c>
      <c r="AA55" s="131">
        <f t="shared" si="31"/>
        <v>1.2365738833740516</v>
      </c>
      <c r="AB55" s="131">
        <f t="shared" si="32"/>
        <v>0.9230074146330326</v>
      </c>
      <c r="AC55" s="131">
        <f t="shared" si="46"/>
        <v>1.0007444137324166</v>
      </c>
      <c r="AD55" s="131">
        <f t="shared" si="47"/>
        <v>1.0098566397492827</v>
      </c>
      <c r="AE55" s="131">
        <f t="shared" si="48"/>
        <v>0.913318574182166</v>
      </c>
      <c r="AF55" s="131">
        <f t="shared" si="49"/>
        <v>1.1413668630958125</v>
      </c>
      <c r="AG55" s="131">
        <f t="shared" si="37"/>
        <v>1.1413668630958125</v>
      </c>
      <c r="AH55" s="131"/>
      <c r="AI55" s="131">
        <f t="shared" si="50"/>
        <v>1.0106083908996841</v>
      </c>
      <c r="AL55" s="134"/>
      <c r="AN55" s="129">
        <f t="shared" si="6"/>
        <v>0.87373504809637603</v>
      </c>
      <c r="AO55" s="129">
        <f t="shared" si="7"/>
        <v>4.505689015484351E-3</v>
      </c>
      <c r="AP55" s="129">
        <f t="shared" si="8"/>
        <v>0.12175926288813974</v>
      </c>
      <c r="AR55" s="129">
        <f t="shared" si="55"/>
        <v>0.87439413160211865</v>
      </c>
      <c r="AS55" s="129">
        <f t="shared" si="56"/>
        <v>4.4799983205766926E-3</v>
      </c>
      <c r="AT55" s="129">
        <f t="shared" si="56"/>
        <v>0.12112455066936934</v>
      </c>
      <c r="AU55" s="129">
        <f t="shared" si="21"/>
        <v>0.99999868059206465</v>
      </c>
      <c r="AW55" s="129">
        <f t="shared" si="22"/>
        <v>0.8743952852861967</v>
      </c>
      <c r="AX55" s="129">
        <f t="shared" si="23"/>
        <v>4.4800042315298258E-3</v>
      </c>
      <c r="AY55" s="129">
        <f t="shared" si="24"/>
        <v>0.12112471048227351</v>
      </c>
      <c r="BB55" s="129">
        <f t="shared" si="57"/>
        <v>2.6230808298057136E-4</v>
      </c>
      <c r="BC55" s="129">
        <f t="shared" si="58"/>
        <v>-2.7925841037778027E-2</v>
      </c>
      <c r="BD55" s="129">
        <f t="shared" si="58"/>
        <v>-2.6202174023956394E-2</v>
      </c>
      <c r="BF55" s="129">
        <f t="shared" si="13"/>
        <v>0.86432116036205187</v>
      </c>
      <c r="BG55" s="129">
        <f t="shared" si="14"/>
        <v>6.0215434830283542E-3</v>
      </c>
      <c r="BH55" s="129">
        <f t="shared" si="15"/>
        <v>0.12965729615491986</v>
      </c>
      <c r="BJ55" s="129">
        <f t="shared" si="25"/>
        <v>-5.1845777960158089E-3</v>
      </c>
      <c r="BK55" s="129">
        <f t="shared" si="26"/>
        <v>2.9068453281126488E-2</v>
      </c>
      <c r="BL55" s="129">
        <f t="shared" si="27"/>
        <v>3.3888383379531269E-2</v>
      </c>
      <c r="BN55" s="129">
        <f t="shared" si="59"/>
        <v>-1.4600141850984877E-3</v>
      </c>
      <c r="BO55" s="129">
        <f t="shared" si="60"/>
        <v>5.4302279899740924E-3</v>
      </c>
      <c r="BP55" s="129">
        <f t="shared" si="60"/>
        <v>-2.0985131667495484E-3</v>
      </c>
      <c r="BR55" s="129">
        <f t="shared" si="28"/>
        <v>0.99693522835273152</v>
      </c>
      <c r="BS55" s="129">
        <f t="shared" si="61"/>
        <v>0.71581384334445741</v>
      </c>
      <c r="BT55" s="129">
        <f t="shared" si="51"/>
        <v>0.913318574182166</v>
      </c>
      <c r="BU55" s="129"/>
      <c r="BV55" s="129">
        <f t="shared" si="29"/>
        <v>0.99970162156192877</v>
      </c>
      <c r="BW55" s="129">
        <f t="shared" si="62"/>
        <v>0.95667494687048071</v>
      </c>
      <c r="BX55" s="129">
        <f t="shared" si="52"/>
        <v>1.0007444137324166</v>
      </c>
      <c r="BY55" s="129"/>
      <c r="BZ55" s="129">
        <f t="shared" si="30"/>
        <v>0.9984946503019283</v>
      </c>
      <c r="CA55" s="129">
        <f t="shared" si="63"/>
        <v>1.0404592728078523</v>
      </c>
      <c r="CB55" s="129">
        <f t="shared" si="53"/>
        <v>1.0098566397492827</v>
      </c>
    </row>
    <row r="56" spans="1:80" x14ac:dyDescent="0.2">
      <c r="A56" s="133" t="s">
        <v>664</v>
      </c>
      <c r="B56" s="133">
        <f t="shared" si="54"/>
        <v>1995</v>
      </c>
      <c r="D56" s="5">
        <f>'Passenger-Highway'!G56</f>
        <v>14407.644044297822</v>
      </c>
      <c r="E56" s="5">
        <f>'Passenger-Rail'!F56</f>
        <v>73.352194802</v>
      </c>
      <c r="F56" s="5">
        <f>'Passenger-Air'!F54</f>
        <v>2044.1718685960882</v>
      </c>
      <c r="G56" s="5">
        <f t="shared" si="4"/>
        <v>16525.16810769591</v>
      </c>
      <c r="I56" s="5">
        <f>'Passenger-Highway'!L56</f>
        <v>3729486.5668422147</v>
      </c>
      <c r="J56" s="5">
        <f>'Passenger-Rail'!J56</f>
        <v>25208</v>
      </c>
      <c r="K56" s="5">
        <f>'Passenger-Air'!J54</f>
        <v>569557.05099999998</v>
      </c>
      <c r="L56" s="5">
        <f t="shared" si="5"/>
        <v>4324251.6178422142</v>
      </c>
      <c r="N56" s="138">
        <f t="shared" si="43"/>
        <v>3863.1709180539792</v>
      </c>
      <c r="O56" s="138">
        <f t="shared" si="44"/>
        <v>2909.8776103617897</v>
      </c>
      <c r="P56" s="138">
        <f t="shared" si="45"/>
        <v>3589.0555037586364</v>
      </c>
      <c r="Q56" s="138">
        <f t="shared" si="45"/>
        <v>3821.5093773710396</v>
      </c>
      <c r="R56">
        <v>4299.2479517294187</v>
      </c>
      <c r="S56" s="129">
        <f>'Passenger-Highway'!AD56</f>
        <v>0.92016710888169639</v>
      </c>
      <c r="T56" s="129">
        <f>'Passenger-Rail'!Z56</f>
        <v>1.0769151199785658</v>
      </c>
      <c r="U56" s="129">
        <f>'Passenger-Air'!W54</f>
        <v>0.80904557226993279</v>
      </c>
      <c r="V56" s="129"/>
      <c r="W56" s="129">
        <f>'Passenger-Highway'!AH56</f>
        <v>1.0145967689648157</v>
      </c>
      <c r="X56" s="129">
        <f>'Passenger-Rail'!AD56</f>
        <v>1.0016191634287914</v>
      </c>
      <c r="Y56" s="129">
        <f>'Passenger-Air'!V54</f>
        <v>0.97632668912417275</v>
      </c>
      <c r="AA56" s="131">
        <f t="shared" si="31"/>
        <v>1.2667691488992032</v>
      </c>
      <c r="AB56" s="131">
        <f t="shared" si="32"/>
        <v>0.91603178610937608</v>
      </c>
      <c r="AC56" s="131">
        <f t="shared" si="46"/>
        <v>1.0006460582392023</v>
      </c>
      <c r="AD56" s="131">
        <f t="shared" si="47"/>
        <v>1.0097605035707673</v>
      </c>
      <c r="AE56" s="131">
        <f t="shared" si="48"/>
        <v>0.90659156808585362</v>
      </c>
      <c r="AF56" s="131">
        <f t="shared" si="49"/>
        <v>1.1604008060543916</v>
      </c>
      <c r="AG56" s="131">
        <f t="shared" si="37"/>
        <v>1.1604008060543913</v>
      </c>
      <c r="AH56" s="131"/>
      <c r="AI56" s="131">
        <f t="shared" si="50"/>
        <v>1.0104128676637203</v>
      </c>
      <c r="AL56" s="134"/>
      <c r="AN56" s="129">
        <f t="shared" si="6"/>
        <v>0.8718606643153034</v>
      </c>
      <c r="AO56" s="129">
        <f t="shared" si="7"/>
        <v>4.4388168594689976E-3</v>
      </c>
      <c r="AP56" s="129">
        <f t="shared" si="8"/>
        <v>0.12370051882522756</v>
      </c>
      <c r="AR56" s="129">
        <f t="shared" si="55"/>
        <v>0.87279752076012018</v>
      </c>
      <c r="AS56" s="129">
        <f t="shared" si="56"/>
        <v>4.4721696097525451E-3</v>
      </c>
      <c r="AT56" s="129">
        <f t="shared" si="56"/>
        <v>0.12272733202780285</v>
      </c>
      <c r="AU56" s="129">
        <f t="shared" si="21"/>
        <v>0.99999702239767552</v>
      </c>
      <c r="AW56" s="129">
        <f t="shared" si="22"/>
        <v>0.87280011961178516</v>
      </c>
      <c r="AX56" s="129">
        <f t="shared" si="23"/>
        <v>4.4721829261348215E-3</v>
      </c>
      <c r="AY56" s="129">
        <f t="shared" si="24"/>
        <v>0.12272769746208009</v>
      </c>
      <c r="BB56" s="129">
        <f t="shared" si="57"/>
        <v>-7.1933771214477745E-3</v>
      </c>
      <c r="BC56" s="129">
        <f t="shared" si="58"/>
        <v>8.305587583075388E-3</v>
      </c>
      <c r="BD56" s="129">
        <f t="shared" si="58"/>
        <v>-9.3823706737113551E-3</v>
      </c>
      <c r="BF56" s="129">
        <f t="shared" si="13"/>
        <v>0.86245826941569481</v>
      </c>
      <c r="BG56" s="129">
        <f t="shared" si="14"/>
        <v>5.8294480126895804E-3</v>
      </c>
      <c r="BH56" s="129">
        <f t="shared" si="15"/>
        <v>0.13171228257161569</v>
      </c>
      <c r="BJ56" s="129">
        <f t="shared" si="25"/>
        <v>-2.1576486689012181E-3</v>
      </c>
      <c r="BK56" s="129">
        <f t="shared" si="26"/>
        <v>-3.2421303606703755E-2</v>
      </c>
      <c r="BL56" s="129">
        <f t="shared" si="27"/>
        <v>1.5725079962522957E-2</v>
      </c>
      <c r="BN56" s="129">
        <f t="shared" si="59"/>
        <v>-3.8273535732954273E-4</v>
      </c>
      <c r="BO56" s="129">
        <f t="shared" si="60"/>
        <v>1.5765572915425277E-3</v>
      </c>
      <c r="BP56" s="129">
        <f t="shared" si="60"/>
        <v>1.8887214428340287E-3</v>
      </c>
      <c r="BR56" s="129">
        <f t="shared" si="28"/>
        <v>0.99263454583485711</v>
      </c>
      <c r="BS56" s="129">
        <f t="shared" si="61"/>
        <v>0.71054154929052904</v>
      </c>
      <c r="BT56" s="129">
        <f t="shared" si="51"/>
        <v>0.90659156808585362</v>
      </c>
      <c r="BU56" s="129"/>
      <c r="BV56" s="129">
        <f t="shared" si="29"/>
        <v>0.99990171766950209</v>
      </c>
      <c r="BW56" s="129">
        <f t="shared" si="62"/>
        <v>0.95658092262717331</v>
      </c>
      <c r="BX56" s="129">
        <f t="shared" si="52"/>
        <v>1.0006460582392023</v>
      </c>
      <c r="BY56" s="129"/>
      <c r="BZ56" s="129">
        <f t="shared" si="30"/>
        <v>0.99990480215237343</v>
      </c>
      <c r="CA56" s="129">
        <f t="shared" si="63"/>
        <v>1.0403602233245379</v>
      </c>
      <c r="CB56" s="129">
        <f t="shared" si="53"/>
        <v>1.0097605035707673</v>
      </c>
    </row>
    <row r="57" spans="1:80" x14ac:dyDescent="0.2">
      <c r="A57" s="133" t="s">
        <v>664</v>
      </c>
      <c r="B57" s="133">
        <f t="shared" si="54"/>
        <v>1996</v>
      </c>
      <c r="D57" s="5">
        <f>'Passenger-Highway'!G57</f>
        <v>14777.853680763877</v>
      </c>
      <c r="E57" s="5">
        <f>'Passenger-Rail'!F57</f>
        <v>72.958426390999989</v>
      </c>
      <c r="F57" s="5">
        <f>'Passenger-Air'!F55</f>
        <v>2109.8558916458869</v>
      </c>
      <c r="G57" s="5">
        <f t="shared" si="4"/>
        <v>16960.667998800764</v>
      </c>
      <c r="I57" s="5">
        <f>'Passenger-Highway'!L57</f>
        <v>3835280.746127896</v>
      </c>
      <c r="J57" s="5">
        <f>'Passenger-Rail'!J57</f>
        <v>25888</v>
      </c>
      <c r="K57" s="5">
        <f>'Passenger-Air'!J55</f>
        <v>608163.69700000004</v>
      </c>
      <c r="L57" s="5">
        <f t="shared" si="5"/>
        <v>4469332.4431278957</v>
      </c>
      <c r="N57" s="138">
        <f t="shared" si="43"/>
        <v>3853.1347922009659</v>
      </c>
      <c r="O57" s="138">
        <f t="shared" si="44"/>
        <v>2818.2334050911613</v>
      </c>
      <c r="P57" s="138">
        <f t="shared" si="45"/>
        <v>3469.2236679919529</v>
      </c>
      <c r="Q57" s="138">
        <f t="shared" si="45"/>
        <v>3794.8996219513074</v>
      </c>
      <c r="R57">
        <v>4153.3168086133819</v>
      </c>
      <c r="S57" s="129">
        <f>'Passenger-Highway'!AD57</f>
        <v>0.91658183557458872</v>
      </c>
      <c r="T57" s="129">
        <f>'Passenger-Rail'!Z57</f>
        <v>1.0364458180739773</v>
      </c>
      <c r="U57" s="129">
        <f>'Passenger-Air'!W55</f>
        <v>0.78091525091781311</v>
      </c>
      <c r="V57" s="129"/>
      <c r="W57" s="129">
        <f>'Passenger-Highway'!AH57</f>
        <v>1.015919304876495</v>
      </c>
      <c r="X57" s="129">
        <f>'Passenger-Rail'!AD57</f>
        <v>1.0079517228255215</v>
      </c>
      <c r="Y57" s="129">
        <f>'Passenger-Air'!V55</f>
        <v>0.97772420829675999</v>
      </c>
      <c r="AA57" s="131">
        <f t="shared" si="31"/>
        <v>1.3092698934928872</v>
      </c>
      <c r="AB57" s="131">
        <f t="shared" si="32"/>
        <v>0.90965331640591052</v>
      </c>
      <c r="AC57" s="131">
        <f t="shared" si="46"/>
        <v>1.0002779136194437</v>
      </c>
      <c r="AD57" s="131">
        <f t="shared" si="47"/>
        <v>1.0111148455576338</v>
      </c>
      <c r="AE57" s="131">
        <f t="shared" si="48"/>
        <v>0.8994038467482065</v>
      </c>
      <c r="AF57" s="131">
        <f t="shared" si="49"/>
        <v>1.1909817006862187</v>
      </c>
      <c r="AG57" s="131">
        <f t="shared" si="37"/>
        <v>1.190981700686218</v>
      </c>
      <c r="AH57" s="131"/>
      <c r="AI57" s="131">
        <f t="shared" si="50"/>
        <v>1.0113958481440359</v>
      </c>
      <c r="AL57" s="134"/>
      <c r="AN57" s="129">
        <f t="shared" si="6"/>
        <v>0.87130139460360723</v>
      </c>
      <c r="AO57" s="129">
        <f t="shared" si="7"/>
        <v>4.3016245820128463E-3</v>
      </c>
      <c r="AP57" s="129">
        <f t="shared" si="8"/>
        <v>0.12439698081437997</v>
      </c>
      <c r="AR57" s="129">
        <f t="shared" si="55"/>
        <v>0.87158099955382684</v>
      </c>
      <c r="AS57" s="129">
        <f t="shared" si="56"/>
        <v>4.3698617961211014E-3</v>
      </c>
      <c r="AT57" s="129">
        <f t="shared" si="56"/>
        <v>0.12404842396651286</v>
      </c>
      <c r="AU57" s="129">
        <f t="shared" si="21"/>
        <v>0.99999928531646076</v>
      </c>
      <c r="AW57" s="129">
        <f t="shared" si="22"/>
        <v>0.8715816224588655</v>
      </c>
      <c r="AX57" s="129">
        <f t="shared" si="23"/>
        <v>4.3698649191916275E-3</v>
      </c>
      <c r="AY57" s="129">
        <f t="shared" si="24"/>
        <v>0.1240485126219429</v>
      </c>
      <c r="BB57" s="129">
        <f t="shared" si="57"/>
        <v>-3.9039389367236991E-3</v>
      </c>
      <c r="BC57" s="129">
        <f t="shared" si="58"/>
        <v>-3.8303205935389543E-2</v>
      </c>
      <c r="BD57" s="129">
        <f t="shared" si="58"/>
        <v>-3.5388616676635586E-2</v>
      </c>
      <c r="BF57" s="129">
        <f t="shared" si="13"/>
        <v>0.85813279610136728</v>
      </c>
      <c r="BG57" s="129">
        <f t="shared" si="14"/>
        <v>5.7923639222241634E-3</v>
      </c>
      <c r="BH57" s="129">
        <f t="shared" si="15"/>
        <v>0.13607483997640868</v>
      </c>
      <c r="BJ57" s="129">
        <f t="shared" si="25"/>
        <v>-5.0279029262365544E-3</v>
      </c>
      <c r="BK57" s="129">
        <f t="shared" si="26"/>
        <v>-6.3818303954108219E-3</v>
      </c>
      <c r="BL57" s="129">
        <f t="shared" si="27"/>
        <v>3.2585162179940751E-2</v>
      </c>
      <c r="BN57" s="129">
        <f t="shared" si="59"/>
        <v>1.302660063357789E-3</v>
      </c>
      <c r="BO57" s="129">
        <f t="shared" si="60"/>
        <v>6.302420482969094E-3</v>
      </c>
      <c r="BP57" s="129">
        <f t="shared" si="60"/>
        <v>1.4303817906768188E-3</v>
      </c>
      <c r="BR57" s="129">
        <f t="shared" si="28"/>
        <v>0.9920717094768231</v>
      </c>
      <c r="BS57" s="129">
        <f t="shared" si="61"/>
        <v>0.70490816945896551</v>
      </c>
      <c r="BT57" s="129">
        <f t="shared" si="51"/>
        <v>0.8994038467482065</v>
      </c>
      <c r="BU57" s="129"/>
      <c r="BV57" s="129">
        <f t="shared" si="29"/>
        <v>0.99963209306954515</v>
      </c>
      <c r="BW57" s="129">
        <f t="shared" si="62"/>
        <v>0.95622898987619787</v>
      </c>
      <c r="BX57" s="129">
        <f t="shared" si="52"/>
        <v>1.0002779136194437</v>
      </c>
      <c r="BY57" s="129"/>
      <c r="BZ57" s="129">
        <f t="shared" si="30"/>
        <v>1.0013412507045751</v>
      </c>
      <c r="CA57" s="129">
        <f t="shared" si="63"/>
        <v>1.0417556072070839</v>
      </c>
      <c r="CB57" s="129">
        <f t="shared" si="53"/>
        <v>1.0111148455576338</v>
      </c>
    </row>
    <row r="58" spans="1:80" x14ac:dyDescent="0.2">
      <c r="A58" s="133" t="s">
        <v>664</v>
      </c>
      <c r="B58" s="133">
        <f t="shared" si="54"/>
        <v>1997</v>
      </c>
      <c r="D58" s="5">
        <f>'Passenger-Highway'!G58</f>
        <v>15114.52398200127</v>
      </c>
      <c r="E58" s="5">
        <f>'Passenger-Rail'!F58</f>
        <v>73.78473477481451</v>
      </c>
      <c r="F58" s="5">
        <f>'Passenger-Air'!F56</f>
        <v>2177.732154247366</v>
      </c>
      <c r="G58" s="5">
        <f t="shared" si="4"/>
        <v>17366.040871023451</v>
      </c>
      <c r="I58" s="5">
        <f>'Passenger-Highway'!L58</f>
        <v>3952771.3874817817</v>
      </c>
      <c r="J58" s="5">
        <f>'Passenger-Rail'!J58</f>
        <v>26295</v>
      </c>
      <c r="K58" s="5">
        <f>'Passenger-Air'!J56</f>
        <v>632468.58200000005</v>
      </c>
      <c r="L58" s="5">
        <f t="shared" si="5"/>
        <v>4611534.9694817821</v>
      </c>
      <c r="N58" s="138">
        <f t="shared" si="43"/>
        <v>3823.778938966258</v>
      </c>
      <c r="O58" s="138">
        <f t="shared" si="44"/>
        <v>2806.0366904283896</v>
      </c>
      <c r="P58" s="138">
        <f t="shared" si="45"/>
        <v>3443.2258237411797</v>
      </c>
      <c r="Q58" s="138">
        <f t="shared" si="45"/>
        <v>3765.7831906184042</v>
      </c>
      <c r="R58">
        <v>4167.1078871422424</v>
      </c>
      <c r="S58" s="129">
        <f>'Passenger-Highway'!AD58</f>
        <v>0.9072286122586829</v>
      </c>
      <c r="T58" s="129">
        <f>'Passenger-Rail'!Z58</f>
        <v>1.0299977859957918</v>
      </c>
      <c r="U58" s="129">
        <f>'Passenger-Air'!W56</f>
        <v>0.77501688028434335</v>
      </c>
      <c r="V58" s="129"/>
      <c r="W58" s="129">
        <f>'Passenger-Highway'!AH58</f>
        <v>1.0185733184027257</v>
      </c>
      <c r="X58" s="129">
        <f>'Passenger-Rail'!AD58</f>
        <v>1.0098722322288334</v>
      </c>
      <c r="Y58" s="129">
        <f>'Passenger-Air'!V56</f>
        <v>0.97778262866378018</v>
      </c>
      <c r="AA58" s="131">
        <f t="shared" si="31"/>
        <v>1.3509274539681764</v>
      </c>
      <c r="AB58" s="131">
        <f t="shared" si="32"/>
        <v>0.90267398599867787</v>
      </c>
      <c r="AC58" s="131">
        <f t="shared" si="46"/>
        <v>1.0001937906583624</v>
      </c>
      <c r="AD58" s="131">
        <f t="shared" si="47"/>
        <v>1.0134305219324116</v>
      </c>
      <c r="AE58" s="131">
        <f t="shared" si="48"/>
        <v>0.89053869068887681</v>
      </c>
      <c r="AF58" s="131">
        <f t="shared" si="49"/>
        <v>1.2194470696684994</v>
      </c>
      <c r="AG58" s="131">
        <f t="shared" si="37"/>
        <v>1.2194470696684994</v>
      </c>
      <c r="AH58" s="131"/>
      <c r="AI58" s="131">
        <f t="shared" si="50"/>
        <v>1.0136269153004613</v>
      </c>
      <c r="AL58" s="134"/>
      <c r="AN58" s="129">
        <f t="shared" si="6"/>
        <v>0.87034944200902997</v>
      </c>
      <c r="AO58" s="129">
        <f t="shared" si="7"/>
        <v>4.2487942601776262E-3</v>
      </c>
      <c r="AP58" s="129">
        <f t="shared" si="8"/>
        <v>0.12540176373079234</v>
      </c>
      <c r="AR58" s="129">
        <f t="shared" si="55"/>
        <v>0.87082533158647357</v>
      </c>
      <c r="AS58" s="129">
        <f t="shared" si="56"/>
        <v>4.275155016912004E-3</v>
      </c>
      <c r="AT58" s="129">
        <f t="shared" si="56"/>
        <v>0.12489869866827789</v>
      </c>
      <c r="AU58" s="129">
        <f t="shared" si="21"/>
        <v>0.99999918527166343</v>
      </c>
      <c r="AW58" s="129">
        <f t="shared" si="22"/>
        <v>0.87082604107312545</v>
      </c>
      <c r="AX58" s="129">
        <f t="shared" si="23"/>
        <v>4.2751585000047774E-3</v>
      </c>
      <c r="AY58" s="129">
        <f t="shared" si="24"/>
        <v>0.12489880042686981</v>
      </c>
      <c r="BB58" s="129">
        <f t="shared" si="57"/>
        <v>-1.0256883138608373E-2</v>
      </c>
      <c r="BC58" s="129">
        <f t="shared" si="58"/>
        <v>-6.240724879119362E-3</v>
      </c>
      <c r="BD58" s="129">
        <f t="shared" si="58"/>
        <v>-7.5818202739296129E-3</v>
      </c>
      <c r="BF58" s="129">
        <f t="shared" si="13"/>
        <v>0.85714873976678774</v>
      </c>
      <c r="BG58" s="129">
        <f t="shared" si="14"/>
        <v>5.7020059858626385E-3</v>
      </c>
      <c r="BH58" s="129">
        <f t="shared" si="15"/>
        <v>0.1371492542473495</v>
      </c>
      <c r="BJ58" s="129">
        <f t="shared" si="25"/>
        <v>-1.1473993300379778E-3</v>
      </c>
      <c r="BK58" s="129">
        <f t="shared" si="26"/>
        <v>-1.5722444712370064E-2</v>
      </c>
      <c r="BL58" s="129">
        <f t="shared" si="27"/>
        <v>7.8647515482433428E-3</v>
      </c>
      <c r="BN58" s="129">
        <f t="shared" si="59"/>
        <v>2.6090190756629466E-3</v>
      </c>
      <c r="BO58" s="129">
        <f t="shared" si="60"/>
        <v>1.9035456273703069E-3</v>
      </c>
      <c r="BP58" s="129">
        <f t="shared" si="60"/>
        <v>5.9749591188667817E-5</v>
      </c>
      <c r="BR58" s="129">
        <f t="shared" si="28"/>
        <v>0.99014329759497732</v>
      </c>
      <c r="BS58" s="129">
        <f t="shared" si="61"/>
        <v>0.69796009940973924</v>
      </c>
      <c r="BT58" s="129">
        <f t="shared" si="51"/>
        <v>0.89053869068887681</v>
      </c>
      <c r="BU58" s="129"/>
      <c r="BV58" s="129">
        <f t="shared" si="29"/>
        <v>0.99991590041133982</v>
      </c>
      <c r="BW58" s="129">
        <f t="shared" si="62"/>
        <v>0.95614857141148435</v>
      </c>
      <c r="BX58" s="129">
        <f t="shared" si="52"/>
        <v>1.0001937906583624</v>
      </c>
      <c r="BY58" s="129"/>
      <c r="BZ58" s="129">
        <f t="shared" si="30"/>
        <v>1.0022902209229265</v>
      </c>
      <c r="CA58" s="129">
        <f t="shared" si="63"/>
        <v>1.0441414576952857</v>
      </c>
      <c r="CB58" s="129">
        <f t="shared" si="53"/>
        <v>1.0134305219324116</v>
      </c>
    </row>
    <row r="59" spans="1:80" x14ac:dyDescent="0.2">
      <c r="A59" s="133" t="s">
        <v>664</v>
      </c>
      <c r="B59" s="133">
        <f t="shared" si="54"/>
        <v>1998</v>
      </c>
      <c r="D59" s="5">
        <f>'Passenger-Highway'!G59</f>
        <v>15478.524959233069</v>
      </c>
      <c r="E59" s="5">
        <f>'Passenger-Rail'!F59</f>
        <v>75.715734632131699</v>
      </c>
      <c r="F59" s="5">
        <f>'Passenger-Air'!F57</f>
        <v>2256.0819854207575</v>
      </c>
      <c r="G59" s="5">
        <f t="shared" si="4"/>
        <v>17810.322679285957</v>
      </c>
      <c r="I59" s="5">
        <f>'Passenger-Highway'!L59</f>
        <v>4070334.3811782957</v>
      </c>
      <c r="J59" s="5">
        <f>'Passenger-Rail'!J59</f>
        <v>27420</v>
      </c>
      <c r="K59" s="5">
        <f>'Passenger-Air'!J57</f>
        <v>648617.39500000002</v>
      </c>
      <c r="L59" s="5">
        <f t="shared" si="5"/>
        <v>4746371.7761782957</v>
      </c>
      <c r="N59" s="138">
        <f t="shared" si="43"/>
        <v>3802.7649597555392</v>
      </c>
      <c r="O59" s="138">
        <f t="shared" si="44"/>
        <v>2761.3324081740225</v>
      </c>
      <c r="P59" s="138">
        <f t="shared" si="45"/>
        <v>3478.2939878150469</v>
      </c>
      <c r="Q59" s="138">
        <f t="shared" si="45"/>
        <v>3752.4078431181279</v>
      </c>
      <c r="R59">
        <v>4194.7710628783534</v>
      </c>
      <c r="S59" s="129">
        <f>'Passenger-Highway'!AD59</f>
        <v>0.90191458427803439</v>
      </c>
      <c r="T59" s="129">
        <f>'Passenger-Rail'!Z59</f>
        <v>1.0135114108265637</v>
      </c>
      <c r="U59" s="129">
        <f>'Passenger-Air'!W57</f>
        <v>0.78221028416155247</v>
      </c>
      <c r="V59" s="129"/>
      <c r="W59" s="129">
        <f>'Passenger-Highway'!AH59</f>
        <v>1.0189440348684509</v>
      </c>
      <c r="X59" s="129">
        <f>'Passenger-Rail'!AD59</f>
        <v>1.009948954698543</v>
      </c>
      <c r="Y59" s="129">
        <f>'Passenger-Air'!V57</f>
        <v>0.97865751822465352</v>
      </c>
      <c r="AA59" s="131">
        <f t="shared" si="31"/>
        <v>1.3904272615544104</v>
      </c>
      <c r="AB59" s="131">
        <f t="shared" si="32"/>
        <v>0.8994678592433536</v>
      </c>
      <c r="AC59" s="131">
        <f t="shared" si="46"/>
        <v>1.0002195543724861</v>
      </c>
      <c r="AD59" s="131">
        <f t="shared" si="47"/>
        <v>1.013865910459965</v>
      </c>
      <c r="AE59" s="131">
        <f t="shared" si="48"/>
        <v>0.88697174962960545</v>
      </c>
      <c r="AF59" s="131">
        <f t="shared" si="49"/>
        <v>1.2506446323839449</v>
      </c>
      <c r="AG59" s="131">
        <f t="shared" si="37"/>
        <v>1.2506446323839444</v>
      </c>
      <c r="AH59" s="131"/>
      <c r="AI59" s="131">
        <f t="shared" si="50"/>
        <v>1.0140885091537211</v>
      </c>
      <c r="AL59" s="134"/>
      <c r="AN59" s="129">
        <f t="shared" si="6"/>
        <v>0.86907605426122614</v>
      </c>
      <c r="AO59" s="129">
        <f t="shared" si="7"/>
        <v>4.2512275603064625E-3</v>
      </c>
      <c r="AP59" s="129">
        <f t="shared" si="8"/>
        <v>0.12667271817846745</v>
      </c>
      <c r="AR59" s="129">
        <f t="shared" si="55"/>
        <v>0.86971259276612889</v>
      </c>
      <c r="AS59" s="129">
        <f t="shared" si="56"/>
        <v>4.2500107941453192E-3</v>
      </c>
      <c r="AT59" s="129">
        <f t="shared" si="56"/>
        <v>0.12603617292627947</v>
      </c>
      <c r="AU59" s="129">
        <f t="shared" si="21"/>
        <v>0.99999877648655366</v>
      </c>
      <c r="AW59" s="129">
        <f t="shared" si="22"/>
        <v>0.86971365687248259</v>
      </c>
      <c r="AX59" s="129">
        <f t="shared" si="23"/>
        <v>4.2500159940970349E-3</v>
      </c>
      <c r="AY59" s="129">
        <f t="shared" si="24"/>
        <v>0.12603632713342044</v>
      </c>
      <c r="BB59" s="129">
        <f t="shared" si="57"/>
        <v>-5.8746519056657306E-3</v>
      </c>
      <c r="BC59" s="129">
        <f t="shared" si="58"/>
        <v>-1.6135707041720657E-2</v>
      </c>
      <c r="BD59" s="129">
        <f t="shared" si="58"/>
        <v>9.238799845919193E-3</v>
      </c>
      <c r="BF59" s="129">
        <f t="shared" si="13"/>
        <v>0.85756754277172642</v>
      </c>
      <c r="BG59" s="129">
        <f t="shared" si="14"/>
        <v>5.7770442967866615E-3</v>
      </c>
      <c r="BH59" s="129">
        <f t="shared" si="15"/>
        <v>0.13665541293148692</v>
      </c>
      <c r="BJ59" s="129">
        <f t="shared" si="25"/>
        <v>4.8848082628154895E-4</v>
      </c>
      <c r="BK59" s="129">
        <f t="shared" si="26"/>
        <v>1.3074144280546027E-2</v>
      </c>
      <c r="BL59" s="129">
        <f t="shared" si="27"/>
        <v>-3.6072566362857616E-3</v>
      </c>
      <c r="BN59" s="129">
        <f t="shared" si="59"/>
        <v>3.6389036807041541E-4</v>
      </c>
      <c r="BO59" s="129">
        <f t="shared" si="60"/>
        <v>7.5969566259714754E-5</v>
      </c>
      <c r="BP59" s="129">
        <f t="shared" si="60"/>
        <v>8.9436890832885309E-4</v>
      </c>
      <c r="BR59" s="129">
        <f t="shared" si="28"/>
        <v>0.9959946253918377</v>
      </c>
      <c r="BS59" s="129">
        <f t="shared" si="61"/>
        <v>0.69516450775005301</v>
      </c>
      <c r="BT59" s="129">
        <f t="shared" si="51"/>
        <v>0.88697174962960545</v>
      </c>
      <c r="BU59" s="129"/>
      <c r="BV59" s="129">
        <f t="shared" si="29"/>
        <v>1.000025758722324</v>
      </c>
      <c r="BW59" s="129">
        <f t="shared" si="62"/>
        <v>0.95617320057703581</v>
      </c>
      <c r="BX59" s="129">
        <f t="shared" si="52"/>
        <v>1.0002195543724861</v>
      </c>
      <c r="BY59" s="129"/>
      <c r="BZ59" s="129">
        <f t="shared" si="30"/>
        <v>1.0004296185265107</v>
      </c>
      <c r="CA59" s="129">
        <f t="shared" si="63"/>
        <v>1.0445900402098094</v>
      </c>
      <c r="CB59" s="129">
        <f t="shared" si="53"/>
        <v>1.013865910459965</v>
      </c>
    </row>
    <row r="60" spans="1:80" x14ac:dyDescent="0.2">
      <c r="A60" s="133" t="s">
        <v>664</v>
      </c>
      <c r="B60" s="133">
        <f t="shared" si="54"/>
        <v>1999</v>
      </c>
      <c r="D60" s="5">
        <f>'Passenger-Highway'!G60</f>
        <v>15978.004506006862</v>
      </c>
      <c r="E60" s="5">
        <f>'Passenger-Rail'!F60</f>
        <v>78.657005565282802</v>
      </c>
      <c r="F60" s="5">
        <f>'Passenger-Air'!F58</f>
        <v>2405.2470638760688</v>
      </c>
      <c r="G60" s="5">
        <f t="shared" si="4"/>
        <v>18461.908575448215</v>
      </c>
      <c r="I60" s="5">
        <f>'Passenger-Highway'!L60</f>
        <v>4170522.6196800051</v>
      </c>
      <c r="J60" s="5">
        <f>'Passenger-Rail'!J60</f>
        <v>28204</v>
      </c>
      <c r="K60" s="5">
        <f>'Passenger-Air'!J58</f>
        <v>682726</v>
      </c>
      <c r="L60" s="5">
        <f t="shared" si="5"/>
        <v>4881452.6196800051</v>
      </c>
      <c r="N60" s="138">
        <f t="shared" si="43"/>
        <v>3831.1756014963944</v>
      </c>
      <c r="O60" s="138">
        <f t="shared" si="44"/>
        <v>2788.8599335300951</v>
      </c>
      <c r="P60" s="138">
        <f t="shared" si="45"/>
        <v>3523.0049300540318</v>
      </c>
      <c r="Q60" s="138">
        <f t="shared" si="45"/>
        <v>3782.052190984587</v>
      </c>
      <c r="R60">
        <v>4138.0490676300542</v>
      </c>
      <c r="S60" s="129">
        <f>'Passenger-Highway'!AD60</f>
        <v>0.90709451159588406</v>
      </c>
      <c r="T60" s="129">
        <f>'Passenger-Rail'!Z60</f>
        <v>1.023201992746283</v>
      </c>
      <c r="U60" s="129">
        <f>'Passenger-Air'!W58</f>
        <v>0.79139971403495779</v>
      </c>
      <c r="V60" s="129"/>
      <c r="W60" s="129">
        <f>'Passenger-Highway'!AH60</f>
        <v>1.0206945043160307</v>
      </c>
      <c r="X60" s="129">
        <f>'Passenger-Rail'!AD60</f>
        <v>1.0103566456548518</v>
      </c>
      <c r="Y60" s="129">
        <f>'Passenger-Air'!V58</f>
        <v>0.97972758063345067</v>
      </c>
      <c r="AA60" s="131">
        <f t="shared" si="31"/>
        <v>1.4299985585735773</v>
      </c>
      <c r="AB60" s="131">
        <f t="shared" si="32"/>
        <v>0.90657373345236614</v>
      </c>
      <c r="AC60" s="131">
        <f t="shared" si="46"/>
        <v>0.99995013200119665</v>
      </c>
      <c r="AD60" s="131">
        <f t="shared" si="47"/>
        <v>1.0155206143966238</v>
      </c>
      <c r="AE60" s="131">
        <f t="shared" si="48"/>
        <v>0.89276271881835545</v>
      </c>
      <c r="AF60" s="131">
        <f t="shared" si="49"/>
        <v>1.2963991320775499</v>
      </c>
      <c r="AG60" s="131">
        <f t="shared" si="37"/>
        <v>1.2963991320775501</v>
      </c>
      <c r="AH60" s="131"/>
      <c r="AI60" s="131">
        <f t="shared" si="50"/>
        <v>1.0154699724158402</v>
      </c>
      <c r="AL60" s="134"/>
      <c r="AN60" s="129">
        <f t="shared" si="6"/>
        <v>0.86545789351678404</v>
      </c>
      <c r="AO60" s="129">
        <f t="shared" si="7"/>
        <v>4.260502387596358E-3</v>
      </c>
      <c r="AP60" s="129">
        <f t="shared" si="8"/>
        <v>0.13028160409561959</v>
      </c>
      <c r="AR60" s="129">
        <f t="shared" si="55"/>
        <v>0.86726571600045743</v>
      </c>
      <c r="AS60" s="129">
        <f t="shared" si="56"/>
        <v>4.2558632895612443E-3</v>
      </c>
      <c r="AT60" s="129">
        <f t="shared" si="56"/>
        <v>0.12846871298005066</v>
      </c>
      <c r="AU60" s="129">
        <f t="shared" si="21"/>
        <v>0.99999029227006941</v>
      </c>
      <c r="AW60" s="129">
        <f t="shared" si="22"/>
        <v>0.86727413526353836</v>
      </c>
      <c r="AX60" s="129">
        <f t="shared" si="23"/>
        <v>4.2559046047337575E-3</v>
      </c>
      <c r="AY60" s="129">
        <f t="shared" si="24"/>
        <v>0.12846996013172782</v>
      </c>
      <c r="BB60" s="129">
        <f t="shared" si="57"/>
        <v>5.7268274511570244E-3</v>
      </c>
      <c r="BC60" s="129">
        <f t="shared" si="58"/>
        <v>9.5159731645600015E-3</v>
      </c>
      <c r="BD60" s="129">
        <f t="shared" si="58"/>
        <v>1.1679557636423747E-2</v>
      </c>
      <c r="BF60" s="129">
        <f t="shared" si="13"/>
        <v>0.85436097502333153</v>
      </c>
      <c r="BG60" s="129">
        <f t="shared" si="14"/>
        <v>5.7777883342128725E-3</v>
      </c>
      <c r="BH60" s="129">
        <f t="shared" si="15"/>
        <v>0.13986123664245559</v>
      </c>
      <c r="BJ60" s="129">
        <f t="shared" si="25"/>
        <v>-3.7461511564876285E-3</v>
      </c>
      <c r="BK60" s="129">
        <f t="shared" si="26"/>
        <v>1.2878376537325372E-4</v>
      </c>
      <c r="BL60" s="129">
        <f t="shared" si="27"/>
        <v>2.3188241003026897E-2</v>
      </c>
      <c r="BN60" s="129">
        <f t="shared" si="59"/>
        <v>1.7164510708350767E-3</v>
      </c>
      <c r="BO60" s="129">
        <f t="shared" si="60"/>
        <v>4.0359335911511991E-4</v>
      </c>
      <c r="BP60" s="129">
        <f t="shared" si="60"/>
        <v>1.0928009163380756E-3</v>
      </c>
      <c r="BR60" s="129">
        <f t="shared" si="28"/>
        <v>1.006528921796177</v>
      </c>
      <c r="BS60" s="129">
        <f t="shared" si="61"/>
        <v>0.69970318245663099</v>
      </c>
      <c r="BT60" s="129">
        <f t="shared" si="51"/>
        <v>0.89276271881835545</v>
      </c>
      <c r="BU60" s="129"/>
      <c r="BV60" s="129">
        <f t="shared" si="29"/>
        <v>0.99973063676858576</v>
      </c>
      <c r="BW60" s="129">
        <f t="shared" si="62"/>
        <v>0.95591564267393669</v>
      </c>
      <c r="BX60" s="129">
        <f t="shared" si="52"/>
        <v>0.99995013200119665</v>
      </c>
      <c r="BY60" s="129"/>
      <c r="BZ60" s="129">
        <f t="shared" si="30"/>
        <v>1.0016320737482023</v>
      </c>
      <c r="CA60" s="129">
        <f t="shared" si="63"/>
        <v>1.0462948881920693</v>
      </c>
      <c r="CB60" s="129">
        <f t="shared" si="53"/>
        <v>1.0155206143966238</v>
      </c>
    </row>
    <row r="61" spans="1:80" x14ac:dyDescent="0.2">
      <c r="A61" s="133" t="s">
        <v>664</v>
      </c>
      <c r="B61" s="133">
        <f t="shared" si="54"/>
        <v>2000</v>
      </c>
      <c r="D61" s="5">
        <f>'Passenger-Highway'!G61</f>
        <v>15957.241144173397</v>
      </c>
      <c r="E61" s="5">
        <f>'Passenger-Rail'!F61</f>
        <v>83.50010383</v>
      </c>
      <c r="F61" s="5">
        <f>'Passenger-Air'!F59</f>
        <v>2436.3131522598023</v>
      </c>
      <c r="G61" s="5">
        <f t="shared" si="4"/>
        <v>18477.054400263198</v>
      </c>
      <c r="I61" s="5">
        <f>'Passenger-Highway'!L61</f>
        <v>4273834.8985421518</v>
      </c>
      <c r="J61" s="5">
        <f>'Passenger-Rail'!J61</f>
        <v>30100</v>
      </c>
      <c r="K61" s="5">
        <f>'Passenger-Air'!J59</f>
        <v>724126.27800000005</v>
      </c>
      <c r="L61" s="5">
        <f t="shared" si="5"/>
        <v>5028061.1765421517</v>
      </c>
      <c r="N61" s="138">
        <f t="shared" si="43"/>
        <v>3733.7055649053204</v>
      </c>
      <c r="O61" s="138">
        <f t="shared" si="44"/>
        <v>2774.0898282392027</v>
      </c>
      <c r="P61" s="138">
        <f t="shared" si="45"/>
        <v>3364.4865906382729</v>
      </c>
      <c r="Q61" s="138">
        <f t="shared" si="45"/>
        <v>3674.78711008247</v>
      </c>
      <c r="R61">
        <v>4029.9791364118491</v>
      </c>
      <c r="S61" s="129">
        <f>'Passenger-Highway'!AD61</f>
        <v>0.88383983449271231</v>
      </c>
      <c r="T61" s="129">
        <f>'Passenger-Rail'!Z61</f>
        <v>1.018042635911629</v>
      </c>
      <c r="U61" s="129">
        <f>'Passenger-Air'!W59</f>
        <v>0.75515237010901137</v>
      </c>
      <c r="V61" s="129"/>
      <c r="W61" s="129">
        <f>'Passenger-Highway'!AH61</f>
        <v>1.020898940784966</v>
      </c>
      <c r="X61" s="129">
        <f>'Passenger-Rail'!AD61</f>
        <v>1.0100989737015424</v>
      </c>
      <c r="Y61" s="129">
        <f>'Passenger-Air'!V59</f>
        <v>0.98055550943575021</v>
      </c>
      <c r="AA61" s="131">
        <f t="shared" si="31"/>
        <v>1.4729468449386236</v>
      </c>
      <c r="AB61" s="131">
        <f t="shared" si="32"/>
        <v>0.88086184478665552</v>
      </c>
      <c r="AC61" s="131">
        <f t="shared" si="46"/>
        <v>0.99951593447932263</v>
      </c>
      <c r="AD61" s="131">
        <f t="shared" si="47"/>
        <v>1.0158077806789707</v>
      </c>
      <c r="AE61" s="131">
        <f t="shared" si="48"/>
        <v>0.86757402620813218</v>
      </c>
      <c r="AF61" s="131">
        <f t="shared" si="49"/>
        <v>1.29746267510532</v>
      </c>
      <c r="AG61" s="131">
        <f t="shared" si="37"/>
        <v>1.29746267510532</v>
      </c>
      <c r="AH61" s="131"/>
      <c r="AI61" s="131">
        <f t="shared" si="50"/>
        <v>1.0153160631567082</v>
      </c>
      <c r="AL61" s="134"/>
      <c r="AN61" s="129">
        <f t="shared" si="6"/>
        <v>0.86362473143695961</v>
      </c>
      <c r="AO61" s="129">
        <f t="shared" si="7"/>
        <v>4.5191242078504992E-3</v>
      </c>
      <c r="AP61" s="129">
        <f t="shared" si="8"/>
        <v>0.13185614435518997</v>
      </c>
      <c r="AR61" s="129">
        <f t="shared" si="55"/>
        <v>0.86454098855905515</v>
      </c>
      <c r="AS61" s="129">
        <f t="shared" si="56"/>
        <v>4.3885432981988727E-3</v>
      </c>
      <c r="AT61" s="129">
        <f t="shared" si="56"/>
        <v>0.1310672979543438</v>
      </c>
      <c r="AU61" s="129">
        <f t="shared" si="21"/>
        <v>0.99999682981159776</v>
      </c>
      <c r="AW61" s="129">
        <f t="shared" si="22"/>
        <v>0.86454372932555912</v>
      </c>
      <c r="AX61" s="129">
        <f t="shared" si="23"/>
        <v>4.3885572107520447E-3</v>
      </c>
      <c r="AY61" s="129">
        <f t="shared" si="24"/>
        <v>0.13106771346368892</v>
      </c>
      <c r="BB61" s="129">
        <f t="shared" si="57"/>
        <v>-2.5970783585958907E-2</v>
      </c>
      <c r="BC61" s="129">
        <f t="shared" si="58"/>
        <v>-5.0551195571227336E-3</v>
      </c>
      <c r="BD61" s="129">
        <f t="shared" si="58"/>
        <v>-4.6883624009446054E-2</v>
      </c>
      <c r="BF61" s="129">
        <f t="shared" si="13"/>
        <v>0.84999659878468525</v>
      </c>
      <c r="BG61" s="129">
        <f t="shared" si="14"/>
        <v>5.9864028982837625E-3</v>
      </c>
      <c r="BH61" s="129">
        <f t="shared" si="15"/>
        <v>0.14401699831703102</v>
      </c>
      <c r="BJ61" s="129">
        <f t="shared" si="25"/>
        <v>-5.1214438157999257E-3</v>
      </c>
      <c r="BK61" s="129">
        <f t="shared" si="26"/>
        <v>3.5469745609739235E-2</v>
      </c>
      <c r="BL61" s="129">
        <f t="shared" si="27"/>
        <v>2.9280572238612437E-2</v>
      </c>
      <c r="BN61" s="129">
        <f t="shared" si="59"/>
        <v>2.0027147923021925E-4</v>
      </c>
      <c r="BO61" s="129">
        <f t="shared" si="60"/>
        <v>-2.5506321667036956E-4</v>
      </c>
      <c r="BP61" s="129">
        <f t="shared" si="60"/>
        <v>8.4470335506414023E-4</v>
      </c>
      <c r="BR61" s="129">
        <f t="shared" si="28"/>
        <v>0.97178568047334835</v>
      </c>
      <c r="BS61" s="129">
        <f t="shared" si="61"/>
        <v>0.67996153329298459</v>
      </c>
      <c r="BT61" s="129">
        <f t="shared" si="51"/>
        <v>0.86757402620813218</v>
      </c>
      <c r="BU61" s="129"/>
      <c r="BV61" s="129">
        <f t="shared" si="29"/>
        <v>0.99956578082448466</v>
      </c>
      <c r="BW61" s="129">
        <f t="shared" si="62"/>
        <v>0.95550056577171261</v>
      </c>
      <c r="BX61" s="129">
        <f t="shared" si="52"/>
        <v>0.99951593447932263</v>
      </c>
      <c r="BY61" s="129"/>
      <c r="BZ61" s="129">
        <f t="shared" si="30"/>
        <v>1.0002827774033101</v>
      </c>
      <c r="CA61" s="129">
        <f t="shared" si="63"/>
        <v>1.0465907567436488</v>
      </c>
      <c r="CB61" s="129">
        <f t="shared" si="53"/>
        <v>1.0158077806789707</v>
      </c>
    </row>
    <row r="62" spans="1:80" x14ac:dyDescent="0.2">
      <c r="A62" s="133" t="s">
        <v>664</v>
      </c>
      <c r="B62" s="133">
        <f t="shared" si="54"/>
        <v>2001</v>
      </c>
      <c r="D62" s="5">
        <f>'Passenger-Highway'!G62</f>
        <v>16085.67370256785</v>
      </c>
      <c r="E62" s="5">
        <f>'Passenger-Rail'!F62</f>
        <v>84.888841317000001</v>
      </c>
      <c r="F62" s="5">
        <f>'Passenger-Air'!F60</f>
        <v>2313.9459204217824</v>
      </c>
      <c r="G62" s="5">
        <f t="shared" si="4"/>
        <v>18484.508464306633</v>
      </c>
      <c r="I62" s="5">
        <f>'Passenger-Highway'!L62</f>
        <v>4369742.664640042</v>
      </c>
      <c r="J62" s="5">
        <f>'Passenger-Rail'!J62</f>
        <v>30722</v>
      </c>
      <c r="K62" s="5">
        <f>'Passenger-Air'!J60</f>
        <v>680749.11699999997</v>
      </c>
      <c r="L62" s="5">
        <f t="shared" si="5"/>
        <v>5081213.7816400416</v>
      </c>
      <c r="N62">
        <f t="shared" si="43"/>
        <v>3681.1489685040547</v>
      </c>
      <c r="O62">
        <f t="shared" si="44"/>
        <v>2763.1287454267299</v>
      </c>
      <c r="P62">
        <f t="shared" si="45"/>
        <v>3399.1170353905618</v>
      </c>
      <c r="Q62" s="138">
        <f t="shared" si="45"/>
        <v>3637.8135734215198</v>
      </c>
      <c r="R62">
        <v>4060.930503806544</v>
      </c>
      <c r="S62" s="129">
        <f>'Passenger-Highway'!AD62</f>
        <v>0.87127926691732516</v>
      </c>
      <c r="T62" s="129">
        <f>'Passenger-Rail'!Z62</f>
        <v>1.0137926883190804</v>
      </c>
      <c r="U62" s="129">
        <f>'Passenger-Air'!W60</f>
        <v>0.75881410051645315</v>
      </c>
      <c r="V62" s="129"/>
      <c r="W62" s="129">
        <f>'Passenger-Highway'!AH62</f>
        <v>1.0210388581860754</v>
      </c>
      <c r="X62" s="129">
        <f>'Passenger-Rail'!AD62</f>
        <v>1.0103255662690263</v>
      </c>
      <c r="Y62" s="129">
        <f>'Passenger-Air'!V60</f>
        <v>0.98586783577191517</v>
      </c>
      <c r="AA62" s="131">
        <f t="shared" si="31"/>
        <v>1.4885176503107744</v>
      </c>
      <c r="AB62" s="131">
        <f t="shared" si="32"/>
        <v>0.87199913335989199</v>
      </c>
      <c r="AC62" s="131">
        <f t="shared" si="46"/>
        <v>1.0003958384203344</v>
      </c>
      <c r="AD62" s="131">
        <f t="shared" si="47"/>
        <v>1.0166350825698722</v>
      </c>
      <c r="AE62" s="131">
        <f t="shared" si="48"/>
        <v>0.85739132371352822</v>
      </c>
      <c r="AF62" s="131">
        <f t="shared" si="49"/>
        <v>1.2979861010618974</v>
      </c>
      <c r="AG62" s="131">
        <f t="shared" si="37"/>
        <v>1.297986101061898</v>
      </c>
      <c r="AH62" s="131"/>
      <c r="AI62" s="131">
        <f t="shared" si="50"/>
        <v>1.0170375057950132</v>
      </c>
      <c r="AL62" s="134"/>
      <c r="AN62" s="129">
        <f t="shared" si="6"/>
        <v>0.87022458474506348</v>
      </c>
      <c r="AO62" s="129">
        <f t="shared" si="7"/>
        <v>4.5924316289459007E-3</v>
      </c>
      <c r="AP62" s="129">
        <f t="shared" si="8"/>
        <v>0.12518298362599062</v>
      </c>
      <c r="AQ62" s="129"/>
      <c r="AR62" s="129">
        <f t="shared" si="55"/>
        <v>0.86692047104587822</v>
      </c>
      <c r="AS62" s="129">
        <f t="shared" si="56"/>
        <v>4.5556796170240724E-3</v>
      </c>
      <c r="AT62" s="129">
        <f t="shared" si="56"/>
        <v>0.12849068441811606</v>
      </c>
      <c r="AU62" s="129">
        <f t="shared" si="21"/>
        <v>0.99996683508101836</v>
      </c>
      <c r="AV62" s="129"/>
      <c r="AW62" s="129">
        <f t="shared" si="22"/>
        <v>0.86694922334663171</v>
      </c>
      <c r="AX62" s="129">
        <f t="shared" si="23"/>
        <v>4.5558307107804894E-3</v>
      </c>
      <c r="AY62" s="129">
        <f t="shared" si="24"/>
        <v>0.12849494594258781</v>
      </c>
      <c r="AZ62" s="129"/>
      <c r="BA62" s="129"/>
      <c r="BB62" s="129">
        <f t="shared" si="57"/>
        <v>-1.4313310140309512E-2</v>
      </c>
      <c r="BC62" s="129">
        <f t="shared" si="58"/>
        <v>-4.1833644094031609E-3</v>
      </c>
      <c r="BD62" s="129">
        <f t="shared" si="58"/>
        <v>4.8372769392589603E-3</v>
      </c>
      <c r="BE62" s="129"/>
      <c r="BF62" s="129">
        <f t="shared" si="13"/>
        <v>0.85998008594506303</v>
      </c>
      <c r="BG62" s="129">
        <f t="shared" si="14"/>
        <v>6.0461931578253717E-3</v>
      </c>
      <c r="BH62" s="129">
        <f t="shared" si="15"/>
        <v>0.13397372089711163</v>
      </c>
      <c r="BI62" s="129"/>
      <c r="BJ62" s="129">
        <f t="shared" si="25"/>
        <v>1.1676885055043888E-2</v>
      </c>
      <c r="BK62" s="129">
        <f t="shared" si="26"/>
        <v>9.9381299543087748E-3</v>
      </c>
      <c r="BL62" s="129">
        <f t="shared" si="27"/>
        <v>-7.2287668467464899E-2</v>
      </c>
      <c r="BM62" s="129"/>
      <c r="BN62" s="129">
        <f t="shared" si="59"/>
        <v>1.3704374481821307E-4</v>
      </c>
      <c r="BO62" s="129">
        <f t="shared" si="60"/>
        <v>2.243019364999969E-4</v>
      </c>
      <c r="BP62" s="129">
        <f t="shared" si="60"/>
        <v>5.4030473881753758E-3</v>
      </c>
      <c r="BQ62" s="129"/>
      <c r="BR62" s="129">
        <f t="shared" si="28"/>
        <v>0.98826301596520927</v>
      </c>
      <c r="BS62" s="129">
        <f t="shared" si="61"/>
        <v>0.67198083563245303</v>
      </c>
      <c r="BT62" s="129">
        <f t="shared" si="51"/>
        <v>0.85739132371352822</v>
      </c>
      <c r="BU62" s="129"/>
      <c r="BV62" s="129">
        <f t="shared" si="29"/>
        <v>1.0008803300784497</v>
      </c>
      <c r="BW62" s="129">
        <f t="shared" si="62"/>
        <v>0.95634172165973708</v>
      </c>
      <c r="BX62" s="129">
        <f t="shared" si="52"/>
        <v>1.0003958384203344</v>
      </c>
      <c r="BY62" s="129"/>
      <c r="BZ62" s="129">
        <f t="shared" si="30"/>
        <v>1.0008144275980526</v>
      </c>
      <c r="CA62" s="129">
        <f t="shared" si="63"/>
        <v>1.0474431291398076</v>
      </c>
      <c r="CB62" s="129">
        <f t="shared" si="53"/>
        <v>1.0166350825698722</v>
      </c>
    </row>
    <row r="63" spans="1:80" x14ac:dyDescent="0.2">
      <c r="A63" s="133" t="s">
        <v>664</v>
      </c>
      <c r="B63" s="133">
        <f t="shared" si="54"/>
        <v>2002</v>
      </c>
      <c r="D63" s="5">
        <f>'Passenger-Highway'!G63</f>
        <v>16521.530190622758</v>
      </c>
      <c r="E63" s="5">
        <f>'Passenger-Rail'!F63</f>
        <v>84.317016034000005</v>
      </c>
      <c r="F63" s="5">
        <f>'Passenger-Air'!F61</f>
        <v>2095.0128929334155</v>
      </c>
      <c r="G63" s="5">
        <f t="shared" si="4"/>
        <v>18700.860099590176</v>
      </c>
      <c r="I63" s="5">
        <f>'Passenger-Highway'!L63</f>
        <v>4475085.8721269583</v>
      </c>
      <c r="J63" s="5">
        <f>'Passenger-Rail'!J63</f>
        <v>30067</v>
      </c>
      <c r="K63" s="5">
        <f>'Passenger-Air'!J61</f>
        <v>668842.00852713478</v>
      </c>
      <c r="L63" s="5">
        <f t="shared" si="5"/>
        <v>5173994.8806540929</v>
      </c>
      <c r="N63">
        <f t="shared" si="43"/>
        <v>3691.8912089546698</v>
      </c>
      <c r="O63">
        <f t="shared" si="44"/>
        <v>2804.304254963914</v>
      </c>
      <c r="P63">
        <f t="shared" si="45"/>
        <v>3132.2986089747401</v>
      </c>
      <c r="Q63" s="138">
        <f t="shared" si="45"/>
        <v>3614.3947821660827</v>
      </c>
      <c r="R63">
        <v>3812.1636853485425</v>
      </c>
      <c r="S63" s="129">
        <f>'Passenger-Highway'!AD63</f>
        <v>0.8735353614820307</v>
      </c>
      <c r="T63" s="129">
        <f>'Passenger-Rail'!Z63</f>
        <v>1.028873587867754</v>
      </c>
      <c r="U63" s="129">
        <f>'Passenger-Air'!W61</f>
        <v>0.70391159674592485</v>
      </c>
      <c r="V63" s="129"/>
      <c r="W63" s="129">
        <f>'Passenger-Highway'!AH63</f>
        <v>1.0213736795122594</v>
      </c>
      <c r="X63" s="129">
        <f>'Passenger-Rail'!AD63</f>
        <v>1.0103514963339817</v>
      </c>
      <c r="Y63" s="129">
        <f>'Passenger-Air'!V61</f>
        <v>0.97933890996104445</v>
      </c>
      <c r="AA63" s="131">
        <f t="shared" si="31"/>
        <v>1.5156974363683235</v>
      </c>
      <c r="AB63" s="131">
        <f t="shared" si="32"/>
        <v>0.86638555111689908</v>
      </c>
      <c r="AC63" s="131">
        <f t="shared" si="46"/>
        <v>1.0010023764065337</v>
      </c>
      <c r="AD63" s="131">
        <f t="shared" si="47"/>
        <v>1.0161271586132619</v>
      </c>
      <c r="AE63" s="131">
        <f t="shared" si="48"/>
        <v>0.85178116634457823</v>
      </c>
      <c r="AF63" s="131">
        <f t="shared" si="49"/>
        <v>1.3131783587344399</v>
      </c>
      <c r="AG63" s="131">
        <f t="shared" si="37"/>
        <v>1.3131783587344412</v>
      </c>
      <c r="AH63" s="131"/>
      <c r="AI63" s="131">
        <f t="shared" si="50"/>
        <v>1.0171457005030939</v>
      </c>
      <c r="AL63" s="134"/>
      <c r="AN63" s="129">
        <f t="shared" si="6"/>
        <v>0.88346365368429347</v>
      </c>
      <c r="AO63" s="129">
        <f t="shared" si="7"/>
        <v>4.5087239616239784E-3</v>
      </c>
      <c r="AP63" s="129">
        <f t="shared" si="8"/>
        <v>0.11202762235408237</v>
      </c>
      <c r="AQ63" s="129"/>
      <c r="AR63" s="129">
        <f t="shared" si="55"/>
        <v>0.87682746140682555</v>
      </c>
      <c r="AS63" s="129">
        <f t="shared" si="56"/>
        <v>4.5504494758356172E-3</v>
      </c>
      <c r="AT63" s="129">
        <f t="shared" si="56"/>
        <v>0.1184836068423952</v>
      </c>
      <c r="AU63" s="129">
        <f t="shared" si="21"/>
        <v>0.99986151772505638</v>
      </c>
      <c r="AV63" s="129"/>
      <c r="AW63" s="129">
        <f t="shared" si="22"/>
        <v>0.87694890328596187</v>
      </c>
      <c r="AX63" s="129">
        <f t="shared" si="23"/>
        <v>4.5510797197086525E-3</v>
      </c>
      <c r="AY63" s="129">
        <f t="shared" si="24"/>
        <v>0.11850001699432944</v>
      </c>
      <c r="AZ63" s="129"/>
      <c r="BA63" s="129"/>
      <c r="BB63" s="129">
        <f t="shared" si="57"/>
        <v>2.586057894430273E-3</v>
      </c>
      <c r="BC63" s="129">
        <f t="shared" si="58"/>
        <v>1.4766164931558336E-2</v>
      </c>
      <c r="BD63" s="129">
        <f t="shared" si="58"/>
        <v>-7.5104045071322359E-2</v>
      </c>
      <c r="BE63" s="129"/>
      <c r="BF63" s="129">
        <f t="shared" si="13"/>
        <v>0.86491888286546215</v>
      </c>
      <c r="BG63" s="129">
        <f t="shared" si="14"/>
        <v>5.8111769906117397E-3</v>
      </c>
      <c r="BH63" s="129">
        <f t="shared" si="15"/>
        <v>0.12926994014392612</v>
      </c>
      <c r="BI63" s="129"/>
      <c r="BJ63" s="129">
        <f t="shared" si="25"/>
        <v>5.7264923987721669E-3</v>
      </c>
      <c r="BK63" s="129">
        <f t="shared" si="26"/>
        <v>-3.9645713395943229E-2</v>
      </c>
      <c r="BL63" s="129">
        <f t="shared" si="27"/>
        <v>-3.5740890745865464E-2</v>
      </c>
      <c r="BM63" s="129"/>
      <c r="BN63" s="129">
        <f t="shared" si="59"/>
        <v>3.2786846242205457E-4</v>
      </c>
      <c r="BO63" s="129">
        <f t="shared" si="60"/>
        <v>2.5664729349187314E-5</v>
      </c>
      <c r="BP63" s="129">
        <f t="shared" si="60"/>
        <v>-6.644542459469248E-3</v>
      </c>
      <c r="BQ63" s="129"/>
      <c r="BR63" s="129">
        <f t="shared" si="28"/>
        <v>0.99345671315560879</v>
      </c>
      <c r="BS63" s="129">
        <f t="shared" si="61"/>
        <v>0.66758387227097615</v>
      </c>
      <c r="BT63" s="129">
        <f t="shared" si="51"/>
        <v>0.85178116634457823</v>
      </c>
      <c r="BU63" s="129"/>
      <c r="BV63" s="129">
        <f t="shared" si="29"/>
        <v>1.0006062979901604</v>
      </c>
      <c r="BW63" s="129">
        <f t="shared" si="62"/>
        <v>0.95692154972348598</v>
      </c>
      <c r="BX63" s="129">
        <f t="shared" si="52"/>
        <v>1.0010023764065337</v>
      </c>
      <c r="BY63" s="129"/>
      <c r="BZ63" s="129">
        <f t="shared" si="30"/>
        <v>0.99950038714449396</v>
      </c>
      <c r="CA63" s="129">
        <f t="shared" si="63"/>
        <v>1.0469198130870778</v>
      </c>
      <c r="CB63" s="129">
        <f t="shared" si="53"/>
        <v>1.0161271586132619</v>
      </c>
    </row>
    <row r="64" spans="1:80" x14ac:dyDescent="0.2">
      <c r="A64" s="133" t="s">
        <v>664</v>
      </c>
      <c r="B64" s="133">
        <f t="shared" si="54"/>
        <v>2003</v>
      </c>
      <c r="D64" s="5">
        <f>'Passenger-Highway'!G64</f>
        <v>17165.300198205496</v>
      </c>
      <c r="E64" s="5">
        <f>'Passenger-Rail'!F64</f>
        <v>83.014974800000005</v>
      </c>
      <c r="F64" s="5">
        <f>'Passenger-Air'!F62</f>
        <v>2077.6425202063074</v>
      </c>
      <c r="G64" s="5">
        <f t="shared" si="4"/>
        <v>19325.957693211803</v>
      </c>
      <c r="I64" s="5">
        <f>'Passenger-Highway'!L64</f>
        <v>4548677.1231948696</v>
      </c>
      <c r="J64" s="5">
        <f>'Passenger-Rail'!J64</f>
        <v>30321</v>
      </c>
      <c r="K64" s="5">
        <f>'Passenger-Air'!J62</f>
        <v>687549.0834659196</v>
      </c>
      <c r="L64" s="5">
        <f t="shared" si="5"/>
        <v>5266547.2066607894</v>
      </c>
      <c r="N64">
        <f t="shared" si="43"/>
        <v>3773.6906210984362</v>
      </c>
      <c r="O64">
        <f t="shared" si="44"/>
        <v>2737.8706111276015</v>
      </c>
      <c r="P64">
        <f t="shared" si="45"/>
        <v>3021.8097444519276</v>
      </c>
      <c r="Q64" s="138">
        <f t="shared" si="45"/>
        <v>3669.5688721387664</v>
      </c>
      <c r="R64">
        <v>3699.6315365757537</v>
      </c>
      <c r="S64" s="129">
        <f>'Passenger-Highway'!AD64</f>
        <v>0.89281711204838587</v>
      </c>
      <c r="T64" s="129">
        <f>'Passenger-Rail'!Z64</f>
        <v>1.0037421122061623</v>
      </c>
      <c r="U64" s="129">
        <f>'Passenger-Air'!W62</f>
        <v>0.68001835287390866</v>
      </c>
      <c r="V64" s="129"/>
      <c r="W64" s="129">
        <f>'Passenger-Highway'!AH64</f>
        <v>1.0214568950292873</v>
      </c>
      <c r="X64" s="129">
        <f>'Passenger-Rail'!AD64</f>
        <v>1.0111140640230416</v>
      </c>
      <c r="Y64" s="129">
        <f>'Passenger-Air'!V62</f>
        <v>0.97799009350899124</v>
      </c>
      <c r="AA64" s="131">
        <f t="shared" si="31"/>
        <v>1.5428102044506418</v>
      </c>
      <c r="AB64" s="131">
        <f t="shared" si="32"/>
        <v>0.87961101131959163</v>
      </c>
      <c r="AC64" s="131">
        <f t="shared" si="46"/>
        <v>1.0007858550760909</v>
      </c>
      <c r="AD64" s="131">
        <f t="shared" si="47"/>
        <v>1.0160501668641928</v>
      </c>
      <c r="AE64" s="131">
        <f t="shared" si="48"/>
        <v>0.8650363298961703</v>
      </c>
      <c r="AF64" s="131">
        <f t="shared" si="49"/>
        <v>1.3570728442110138</v>
      </c>
      <c r="AG64" s="131">
        <f t="shared" si="37"/>
        <v>1.3570728442110149</v>
      </c>
      <c r="AH64" s="131"/>
      <c r="AI64" s="131">
        <f t="shared" si="50"/>
        <v>1.016848635045386</v>
      </c>
      <c r="AL64" s="134"/>
      <c r="AN64" s="129">
        <f t="shared" si="6"/>
        <v>0.88819920185558343</v>
      </c>
      <c r="AO64" s="129">
        <f t="shared" si="7"/>
        <v>4.2955167406352555E-3</v>
      </c>
      <c r="AP64" s="129">
        <f t="shared" si="8"/>
        <v>0.10750528140378132</v>
      </c>
      <c r="AQ64" s="129"/>
      <c r="AR64" s="129">
        <f t="shared" si="55"/>
        <v>0.88582931812671828</v>
      </c>
      <c r="AS64" s="129">
        <f t="shared" si="56"/>
        <v>4.4012596971269528E-3</v>
      </c>
      <c r="AT64" s="129">
        <f t="shared" si="56"/>
        <v>0.1097509235441875</v>
      </c>
      <c r="AU64" s="129">
        <f t="shared" si="21"/>
        <v>0.99998150136803265</v>
      </c>
      <c r="AV64" s="129"/>
      <c r="AW64" s="129">
        <f t="shared" si="22"/>
        <v>0.88584570506039606</v>
      </c>
      <c r="AX64" s="129">
        <f t="shared" si="23"/>
        <v>4.4013411159164193E-3</v>
      </c>
      <c r="AY64" s="129">
        <f t="shared" si="24"/>
        <v>0.10975295382368762</v>
      </c>
      <c r="AZ64" s="129"/>
      <c r="BA64" s="129"/>
      <c r="BB64" s="129">
        <f t="shared" si="57"/>
        <v>2.1833146888585304E-2</v>
      </c>
      <c r="BC64" s="129">
        <f t="shared" si="58"/>
        <v>-2.4729471885618286E-2</v>
      </c>
      <c r="BD64" s="129">
        <f t="shared" si="58"/>
        <v>-3.4532988142637992E-2</v>
      </c>
      <c r="BE64" s="129"/>
      <c r="BF64" s="129">
        <f t="shared" si="13"/>
        <v>0.86369246200660577</v>
      </c>
      <c r="BG64" s="129">
        <f t="shared" si="14"/>
        <v>5.7572824870252663E-3</v>
      </c>
      <c r="BH64" s="129">
        <f t="shared" si="15"/>
        <v>0.13055025550636892</v>
      </c>
      <c r="BI64" s="129"/>
      <c r="BJ64" s="129">
        <f t="shared" si="25"/>
        <v>-1.4189668120302118E-3</v>
      </c>
      <c r="BK64" s="129">
        <f t="shared" si="26"/>
        <v>-9.3175575542809533E-3</v>
      </c>
      <c r="BL64" s="129">
        <f t="shared" si="27"/>
        <v>9.855475032253572E-3</v>
      </c>
      <c r="BM64" s="129"/>
      <c r="BN64" s="129">
        <f t="shared" si="59"/>
        <v>8.1470796561243064E-5</v>
      </c>
      <c r="BO64" s="129">
        <f t="shared" si="60"/>
        <v>7.5447016282387638E-4</v>
      </c>
      <c r="BP64" s="129">
        <f t="shared" si="60"/>
        <v>-1.3782217125152066E-3</v>
      </c>
      <c r="BQ64" s="129"/>
      <c r="BR64" s="129">
        <f t="shared" si="28"/>
        <v>1.0155617006753936</v>
      </c>
      <c r="BS64" s="129">
        <f t="shared" si="61"/>
        <v>0.67797261266697728</v>
      </c>
      <c r="BT64" s="129">
        <f t="shared" si="51"/>
        <v>0.8650363298961703</v>
      </c>
      <c r="BU64" s="129"/>
      <c r="BV64" s="129">
        <f t="shared" si="29"/>
        <v>0.99978369548809665</v>
      </c>
      <c r="BW64" s="129">
        <f t="shared" si="62"/>
        <v>0.95671456327474325</v>
      </c>
      <c r="BX64" s="129">
        <f t="shared" si="52"/>
        <v>1.0007858550760909</v>
      </c>
      <c r="BY64" s="129"/>
      <c r="BZ64" s="129">
        <f t="shared" si="30"/>
        <v>0.99992423020247367</v>
      </c>
      <c r="CA64" s="129">
        <f t="shared" si="63"/>
        <v>1.0468404881848139</v>
      </c>
      <c r="CB64" s="129">
        <f t="shared" si="53"/>
        <v>1.0160501668641928</v>
      </c>
    </row>
    <row r="65" spans="1:80" x14ac:dyDescent="0.2">
      <c r="A65" s="133" t="s">
        <v>664</v>
      </c>
      <c r="B65" s="133">
        <f t="shared" si="54"/>
        <v>2004</v>
      </c>
      <c r="D65" s="5">
        <f>'Passenger-Highway'!G65</f>
        <v>17449.685740817284</v>
      </c>
      <c r="E65" s="5">
        <f>'Passenger-Rail'!F65</f>
        <v>83.963476299999996</v>
      </c>
      <c r="F65" s="5">
        <f>'Passenger-Air'!F63</f>
        <v>2176.2379166029887</v>
      </c>
      <c r="G65" s="5">
        <f>D65+E65+F65</f>
        <v>19709.887133720273</v>
      </c>
      <c r="I65" s="5">
        <f>'Passenger-Highway'!L65</f>
        <v>4686634.373398778</v>
      </c>
      <c r="J65" s="5">
        <f>'Passenger-Rail'!J65</f>
        <v>31160</v>
      </c>
      <c r="K65" s="5">
        <f>'Passenger-Air'!J63</f>
        <v>769242.91034669743</v>
      </c>
      <c r="L65" s="5">
        <f>I65+J65+K65</f>
        <v>5487037.2837454751</v>
      </c>
      <c r="N65">
        <f t="shared" ref="N65:Q66" si="64">D65/I65*1000000</f>
        <v>3723.2871930145161</v>
      </c>
      <c r="O65">
        <f t="shared" si="64"/>
        <v>2694.591665596919</v>
      </c>
      <c r="P65">
        <f t="shared" si="64"/>
        <v>2829.0646391816067</v>
      </c>
      <c r="Q65" s="138">
        <f t="shared" si="64"/>
        <v>3592.0818675877886</v>
      </c>
      <c r="R65">
        <v>3484.9986798939121</v>
      </c>
      <c r="S65" s="129">
        <f>'Passenger-Highway'!AD65</f>
        <v>0.87900003690101625</v>
      </c>
      <c r="T65" s="129">
        <f>'Passenger-Rail'!Z65</f>
        <v>0.98736013125002398</v>
      </c>
      <c r="U65" s="129">
        <f>'Passenger-Air'!W63</f>
        <v>0.63296858618712526</v>
      </c>
      <c r="V65" s="129"/>
      <c r="W65" s="129">
        <f>'Passenger-Highway'!AH65</f>
        <v>1.0236556800260559</v>
      </c>
      <c r="X65" s="129">
        <f>'Passenger-Rail'!AD65</f>
        <v>1.0116417683355348</v>
      </c>
      <c r="Y65" s="129">
        <f>'Passenger-Air'!V63</f>
        <v>0.98366832263038451</v>
      </c>
      <c r="AA65" s="131">
        <f t="shared" si="31"/>
        <v>1.6074017342628364</v>
      </c>
      <c r="AB65" s="131">
        <f t="shared" si="32"/>
        <v>0.86103705214016191</v>
      </c>
      <c r="AC65" s="131">
        <f>BX65</f>
        <v>0.99861750214117573</v>
      </c>
      <c r="AD65" s="131">
        <f>CB65</f>
        <v>1.0186340045176621</v>
      </c>
      <c r="AE65" s="131">
        <f>BT65</f>
        <v>0.84645621310091668</v>
      </c>
      <c r="AF65" s="131">
        <f>AA65*AC65*AD65*AE65</f>
        <v>1.3840324508746558</v>
      </c>
      <c r="AG65" s="131">
        <f t="shared" si="37"/>
        <v>1.3840324508746567</v>
      </c>
      <c r="AH65" s="131"/>
      <c r="AI65" s="131">
        <f>AC65*AD65</f>
        <v>1.0172257451874909</v>
      </c>
      <c r="AL65" s="134"/>
      <c r="AN65" s="129">
        <f>D65/G65</f>
        <v>0.88532651772337301</v>
      </c>
      <c r="AO65" s="129">
        <f>E65/G65</f>
        <v>4.2599673823779912E-3</v>
      </c>
      <c r="AP65" s="129">
        <f>F65/G65</f>
        <v>0.11041351489424893</v>
      </c>
      <c r="AR65" s="129">
        <f t="shared" ref="AR65:AT66" si="65">(AN65-AN64)/LN(AN65/AN64)</f>
        <v>0.88676208427963155</v>
      </c>
      <c r="AS65" s="129">
        <f t="shared" si="65"/>
        <v>4.2777174425473775E-3</v>
      </c>
      <c r="AT65" s="129">
        <f t="shared" si="65"/>
        <v>0.10895292920744032</v>
      </c>
      <c r="AU65" s="129">
        <f>AR65+AS65+AT65</f>
        <v>0.99999273092961927</v>
      </c>
      <c r="AW65" s="129">
        <f>AR65/AU65</f>
        <v>0.88676853026248947</v>
      </c>
      <c r="AX65" s="129">
        <f>AS65/AU65</f>
        <v>4.2777485378025703E-3</v>
      </c>
      <c r="AY65" s="129">
        <f>AT65/AU65</f>
        <v>0.10895372119970796</v>
      </c>
      <c r="BB65" s="129">
        <f t="shared" si="57"/>
        <v>-1.5596818498375175E-2</v>
      </c>
      <c r="BC65" s="129">
        <f t="shared" si="58"/>
        <v>-1.6455559401965698E-2</v>
      </c>
      <c r="BD65" s="129">
        <f t="shared" si="58"/>
        <v>-7.1698993290253074E-2</v>
      </c>
      <c r="BF65" s="129">
        <f>I65/L65</f>
        <v>0.8541283995430885</v>
      </c>
      <c r="BG65" s="129">
        <f>J65/L65</f>
        <v>5.6788387591800819E-3</v>
      </c>
      <c r="BH65" s="129">
        <f>K65/L65</f>
        <v>0.14019276169773151</v>
      </c>
      <c r="BJ65" s="129">
        <f t="shared" si="25"/>
        <v>-1.1135225448301075E-2</v>
      </c>
      <c r="BK65" s="129">
        <f t="shared" si="26"/>
        <v>-1.3718804907414856E-2</v>
      </c>
      <c r="BL65" s="129">
        <f t="shared" si="27"/>
        <v>7.1260092566934705E-2</v>
      </c>
      <c r="BN65" s="129">
        <f t="shared" si="59"/>
        <v>2.1502834326102703E-3</v>
      </c>
      <c r="BO65" s="129">
        <f t="shared" si="60"/>
        <v>5.2176769536213866E-4</v>
      </c>
      <c r="BP65" s="129">
        <f t="shared" si="60"/>
        <v>5.7892290865422533E-3</v>
      </c>
      <c r="BR65" s="129">
        <f t="shared" si="28"/>
        <v>0.9785209983059513</v>
      </c>
      <c r="BS65" s="129">
        <f t="shared" si="61"/>
        <v>0.66341043777098463</v>
      </c>
      <c r="BT65" s="129">
        <f t="shared" si="51"/>
        <v>0.84645621310091668</v>
      </c>
      <c r="BU65" s="129"/>
      <c r="BV65" s="129">
        <f t="shared" si="29"/>
        <v>0.99783334973819116</v>
      </c>
      <c r="BW65" s="129">
        <f t="shared" si="62"/>
        <v>0.95464169741574767</v>
      </c>
      <c r="BX65" s="129">
        <f t="shared" si="52"/>
        <v>0.99861750214117573</v>
      </c>
      <c r="BY65" s="129"/>
      <c r="BZ65" s="129">
        <f t="shared" si="30"/>
        <v>1.0025430217303577</v>
      </c>
      <c r="CA65" s="129">
        <f t="shared" si="63"/>
        <v>1.0495026262944862</v>
      </c>
      <c r="CB65" s="129">
        <f t="shared" si="53"/>
        <v>1.0186340045176621</v>
      </c>
    </row>
    <row r="66" spans="1:80" x14ac:dyDescent="0.2">
      <c r="A66" s="133" t="s">
        <v>664</v>
      </c>
      <c r="B66" s="133">
        <f t="shared" si="54"/>
        <v>2005</v>
      </c>
      <c r="D66" s="5">
        <f>'Passenger-Highway'!G66</f>
        <v>17133.332906073607</v>
      </c>
      <c r="E66" s="5">
        <f>'Passenger-Rail'!F66</f>
        <v>85.430134503000005</v>
      </c>
      <c r="F66" s="5">
        <f>'Passenger-Air'!F64</f>
        <v>2331.6495444621423</v>
      </c>
      <c r="G66" s="5">
        <f>D66+E66+F66</f>
        <v>19550.41258503875</v>
      </c>
      <c r="I66" s="5">
        <f>'Passenger-Highway'!L66</f>
        <v>4742289.5732506178</v>
      </c>
      <c r="J66" s="5">
        <f>'Passenger-Rail'!J66</f>
        <v>30972</v>
      </c>
      <c r="K66" s="5">
        <f>'Passenger-Air'!J64</f>
        <v>818460.68669117207</v>
      </c>
      <c r="L66" s="5">
        <f>I66+J66+K66</f>
        <v>5591722.2599417903</v>
      </c>
      <c r="N66">
        <f t="shared" si="64"/>
        <v>3612.882056531505</v>
      </c>
      <c r="O66">
        <f t="shared" si="64"/>
        <v>2758.3021601123596</v>
      </c>
      <c r="P66">
        <f t="shared" si="64"/>
        <v>2848.8228969046845</v>
      </c>
      <c r="Q66" s="138">
        <f t="shared" si="64"/>
        <v>3496.313242360909</v>
      </c>
      <c r="R66">
        <v>3479.463816748415</v>
      </c>
      <c r="S66" s="129">
        <f>'Passenger-Highway'!AD66</f>
        <v>0.85224378610814078</v>
      </c>
      <c r="T66" s="129">
        <f>'Passenger-Rail'!Z66</f>
        <v>1.0093272148425747</v>
      </c>
      <c r="U66" s="129">
        <f>'Passenger-Air'!W64</f>
        <v>0.62619638945518163</v>
      </c>
      <c r="V66" s="129"/>
      <c r="W66" s="129">
        <f>'Passenger-Highway'!AH66</f>
        <v>1.0244864014382749</v>
      </c>
      <c r="X66" s="129">
        <f>'Passenger-Rail'!AD66</f>
        <v>1.0130228295767503</v>
      </c>
      <c r="Y66" s="129">
        <f>'Passenger-Air'!V64</f>
        <v>1.0012507727805269</v>
      </c>
      <c r="AA66" s="131">
        <f t="shared" si="31"/>
        <v>1.6380687050865446</v>
      </c>
      <c r="AB66" s="131">
        <f t="shared" si="32"/>
        <v>0.83808091199844414</v>
      </c>
      <c r="AC66" s="131">
        <f>BX66</f>
        <v>0.99721377213400075</v>
      </c>
      <c r="AD66" s="131">
        <f>CB66</f>
        <v>1.0214433170931456</v>
      </c>
      <c r="AE66" s="131">
        <f>BT66</f>
        <v>0.82277940105024827</v>
      </c>
      <c r="AF66" s="131">
        <f>AA66*AC66*AD66*AE66</f>
        <v>1.3728341142750411</v>
      </c>
      <c r="AG66" s="131">
        <f t="shared" si="37"/>
        <v>1.3728341142750418</v>
      </c>
      <c r="AH66" s="131"/>
      <c r="AI66" s="131">
        <f>AC66*AD66</f>
        <v>1.0185973432595219</v>
      </c>
      <c r="AL66" s="134"/>
      <c r="AN66" s="129">
        <f>D66/G66</f>
        <v>0.8763668199608815</v>
      </c>
      <c r="AO66" s="129">
        <f>E66/G66</f>
        <v>4.3697356325040791E-3</v>
      </c>
      <c r="AP66" s="129">
        <f>F66/G66</f>
        <v>0.11926344440661434</v>
      </c>
      <c r="AR66" s="129">
        <f t="shared" si="65"/>
        <v>0.8808390741853237</v>
      </c>
      <c r="AS66" s="129">
        <f t="shared" si="65"/>
        <v>4.3146187920429175E-3</v>
      </c>
      <c r="AT66" s="129">
        <f t="shared" si="65"/>
        <v>0.11478162277477566</v>
      </c>
      <c r="AU66" s="129">
        <f>AR66+AS66+AT66</f>
        <v>0.99993531575214223</v>
      </c>
      <c r="AW66" s="129">
        <f>AR66/AU66</f>
        <v>0.88089605428403595</v>
      </c>
      <c r="AX66" s="129">
        <f>AS66/AU66</f>
        <v>4.3148978979680305E-3</v>
      </c>
      <c r="AY66" s="129">
        <f>AT66/AU66</f>
        <v>0.11478904781799608</v>
      </c>
      <c r="BB66" s="129">
        <f>LN(S66/S65)</f>
        <v>-3.09123198353017E-2</v>
      </c>
      <c r="BC66" s="129">
        <f>LN(T66/T65)</f>
        <v>2.2004416454940941E-2</v>
      </c>
      <c r="BD66" s="129">
        <f>LN(U66/U65)</f>
        <v>-1.0756750961830408E-2</v>
      </c>
      <c r="BF66" s="129">
        <f>I66/L66</f>
        <v>0.8480910447258132</v>
      </c>
      <c r="BG66" s="129">
        <f>J66/L66</f>
        <v>5.5389017122467769E-3</v>
      </c>
      <c r="BH66" s="129">
        <f>K66/L66</f>
        <v>0.14637005356194002</v>
      </c>
      <c r="BJ66" s="129">
        <f>LN(BF66/BF65)</f>
        <v>-7.0935391478056838E-3</v>
      </c>
      <c r="BK66" s="129">
        <f>LN(BG66/BG65)</f>
        <v>-2.4950533806435079E-2</v>
      </c>
      <c r="BL66" s="129">
        <f>LN(BH66/BH65)</f>
        <v>4.3119683567520967E-2</v>
      </c>
      <c r="BN66" s="129">
        <f>LN(W66/W65)</f>
        <v>8.1119514636284764E-4</v>
      </c>
      <c r="BO66" s="129">
        <f>LN(X66/X65)</f>
        <v>1.3642372735076548E-3</v>
      </c>
      <c r="BP66" s="129">
        <f>LN(Y66/Y65)</f>
        <v>1.7716500464380579E-2</v>
      </c>
      <c r="BR66" s="129">
        <f>EXP(SUMPRODUCT($AW66:$AY66,BB66:BD66))</f>
        <v>0.97202830851234412</v>
      </c>
      <c r="BS66" s="129">
        <f>IF(ISERR(BR66),BS65,BR66*BS65)</f>
        <v>0.64485372567596388</v>
      </c>
      <c r="BT66" s="129">
        <f t="shared" si="51"/>
        <v>0.82277940105024827</v>
      </c>
      <c r="BU66" s="129"/>
      <c r="BV66" s="129">
        <f>EXP(SUMPRODUCT($AW66:$AY66,BJ66:BL66))</f>
        <v>0.99859432665243186</v>
      </c>
      <c r="BW66" s="129">
        <f>IF(ISERR(BV66),BW65,BV66*BW65)</f>
        <v>0.95329978302521312</v>
      </c>
      <c r="BX66" s="129">
        <f t="shared" si="52"/>
        <v>0.99721377213400075</v>
      </c>
      <c r="BY66" s="129"/>
      <c r="BZ66" s="129">
        <f>EXP(SUMPRODUCT($AW66:$AY66,BN66:BP66))</f>
        <v>1.0027579214546385</v>
      </c>
      <c r="CA66" s="129">
        <f>IF(ISERR(BZ66),CA65,BZ66*CA65)</f>
        <v>1.0523970721042433</v>
      </c>
      <c r="CB66" s="129">
        <f t="shared" si="53"/>
        <v>1.0214433170931456</v>
      </c>
    </row>
    <row r="67" spans="1:80" x14ac:dyDescent="0.2">
      <c r="A67" s="133" t="s">
        <v>664</v>
      </c>
      <c r="B67" s="133">
        <f t="shared" si="54"/>
        <v>2006</v>
      </c>
      <c r="D67" s="5">
        <f>'Passenger-Highway'!G67</f>
        <v>17135.775325830993</v>
      </c>
      <c r="E67" s="5">
        <f>'Passenger-Rail'!F67</f>
        <v>85.423379283999992</v>
      </c>
      <c r="F67" s="5">
        <f>'Passenger-Air'!F65</f>
        <v>2393.1360942257302</v>
      </c>
      <c r="G67" s="5">
        <f>D67+E67+F67</f>
        <v>19614.334799340722</v>
      </c>
      <c r="I67" s="5">
        <f>'Passenger-Highway'!L67</f>
        <v>4812381.3927097078</v>
      </c>
      <c r="J67" s="5">
        <f>'Passenger-Rail'!J67</f>
        <v>32358</v>
      </c>
      <c r="K67" s="5">
        <f>'Passenger-Air'!J65</f>
        <v>834771.0480989886</v>
      </c>
      <c r="L67" s="5">
        <f>I67+J67+K67</f>
        <v>5679510.4408086967</v>
      </c>
      <c r="N67">
        <f t="shared" si="43"/>
        <v>3560.7683447097597</v>
      </c>
      <c r="O67">
        <f t="shared" si="44"/>
        <v>2639.9462044625748</v>
      </c>
      <c r="P67">
        <f t="shared" si="45"/>
        <v>2866.8173143709078</v>
      </c>
      <c r="Q67" s="138">
        <f t="shared" si="45"/>
        <v>3453.5256169980503</v>
      </c>
      <c r="R67">
        <v>3494.8243025919169</v>
      </c>
      <c r="S67" s="129">
        <f>'Passenger-Highway'!AD67</f>
        <v>0.83931483826979836</v>
      </c>
      <c r="T67" s="129">
        <f>'Passenger-Rail'!Z67</f>
        <v>0.96534896033203632</v>
      </c>
      <c r="U67" s="129">
        <f>'Passenger-Air'!W65</f>
        <v>0.62836053707916373</v>
      </c>
      <c r="V67" s="129"/>
      <c r="W67" s="129">
        <f>'Passenger-Highway'!AH67</f>
        <v>1.0252625089620229</v>
      </c>
      <c r="X67" s="129">
        <f>'Passenger-Rail'!AD67</f>
        <v>1.0137249150869447</v>
      </c>
      <c r="Y67" s="129">
        <f>'Passenger-Air'!V65</f>
        <v>1.004104905466541</v>
      </c>
      <c r="AA67" s="131">
        <f t="shared" si="31"/>
        <v>1.6637858392841314</v>
      </c>
      <c r="AB67" s="131">
        <f t="shared" si="32"/>
        <v>0.82782453918496646</v>
      </c>
      <c r="AC67" s="131">
        <f t="shared" si="46"/>
        <v>0.99704594055080342</v>
      </c>
      <c r="AD67" s="131">
        <f t="shared" si="47"/>
        <v>1.022474493006623</v>
      </c>
      <c r="AE67" s="131">
        <f t="shared" si="48"/>
        <v>0.81202732503651909</v>
      </c>
      <c r="AF67" s="131">
        <f t="shared" si="49"/>
        <v>1.3773227457078581</v>
      </c>
      <c r="AG67" s="131">
        <f t="shared" si="37"/>
        <v>1.377322745707859</v>
      </c>
      <c r="AH67" s="131"/>
      <c r="AI67" s="131">
        <f t="shared" si="50"/>
        <v>1.0194540425689942</v>
      </c>
      <c r="AJ67" s="129"/>
      <c r="AL67" s="134"/>
      <c r="AN67" s="129">
        <f t="shared" si="6"/>
        <v>0.87363530301353687</v>
      </c>
      <c r="AO67" s="129">
        <f t="shared" si="7"/>
        <v>4.3551504630619051E-3</v>
      </c>
      <c r="AP67" s="129">
        <f t="shared" si="8"/>
        <v>0.12200954652340126</v>
      </c>
      <c r="AQ67" s="129"/>
      <c r="AR67" s="129">
        <f t="shared" si="55"/>
        <v>0.87500035089856876</v>
      </c>
      <c r="AS67" s="129">
        <f t="shared" si="56"/>
        <v>4.3624389841706449E-3</v>
      </c>
      <c r="AT67" s="129">
        <f t="shared" si="56"/>
        <v>0.12063128605654815</v>
      </c>
      <c r="AU67" s="129">
        <f t="shared" si="21"/>
        <v>0.99999407593928757</v>
      </c>
      <c r="AV67" s="129"/>
      <c r="AW67" s="129">
        <f t="shared" si="22"/>
        <v>0.87500553448447871</v>
      </c>
      <c r="AX67" s="129">
        <f t="shared" si="23"/>
        <v>4.3624648276771403E-3</v>
      </c>
      <c r="AY67" s="129">
        <f t="shared" si="24"/>
        <v>0.12063200068784408</v>
      </c>
      <c r="BB67" s="129">
        <f t="shared" si="57"/>
        <v>-1.5286729558362692E-2</v>
      </c>
      <c r="BC67" s="129">
        <f t="shared" si="58"/>
        <v>-4.454961106221722E-2</v>
      </c>
      <c r="BD67" s="129">
        <f t="shared" si="58"/>
        <v>3.4500622886861733E-3</v>
      </c>
      <c r="BF67" s="129">
        <f t="shared" si="13"/>
        <v>0.84732327598723112</v>
      </c>
      <c r="BG67" s="129">
        <f t="shared" si="14"/>
        <v>5.6973220380932329E-3</v>
      </c>
      <c r="BH67" s="129">
        <f t="shared" si="15"/>
        <v>0.14697940197467563</v>
      </c>
      <c r="BJ67" s="129">
        <f t="shared" si="25"/>
        <v>-9.057004906530649E-4</v>
      </c>
      <c r="BK67" s="129">
        <f t="shared" si="26"/>
        <v>2.8200012344307673E-2</v>
      </c>
      <c r="BL67" s="129">
        <f t="shared" si="27"/>
        <v>4.1544259083690456E-3</v>
      </c>
      <c r="BN67" s="129">
        <f t="shared" si="59"/>
        <v>7.572708607370708E-4</v>
      </c>
      <c r="BO67" s="129">
        <f t="shared" si="60"/>
        <v>6.9281985400156229E-4</v>
      </c>
      <c r="BP67" s="129">
        <f t="shared" si="60"/>
        <v>2.8465121116809356E-3</v>
      </c>
      <c r="BR67" s="129">
        <f t="shared" si="28"/>
        <v>0.98693200631906364</v>
      </c>
      <c r="BS67" s="129">
        <f t="shared" si="61"/>
        <v>0.63642678126370211</v>
      </c>
      <c r="BT67" s="129">
        <f t="shared" si="51"/>
        <v>0.81202732503651909</v>
      </c>
      <c r="BU67" s="129"/>
      <c r="BV67" s="129">
        <f t="shared" si="29"/>
        <v>0.99983169949324091</v>
      </c>
      <c r="BW67" s="129">
        <f t="shared" si="62"/>
        <v>0.95313934218863661</v>
      </c>
      <c r="BX67" s="129">
        <f t="shared" si="52"/>
        <v>0.99704594055080342</v>
      </c>
      <c r="BY67" s="129"/>
      <c r="BZ67" s="129">
        <f t="shared" si="30"/>
        <v>1.0010095282784872</v>
      </c>
      <c r="CA67" s="129">
        <f t="shared" si="63"/>
        <v>1.0534594967087296</v>
      </c>
      <c r="CB67" s="129">
        <f t="shared" si="53"/>
        <v>1.022474493006623</v>
      </c>
    </row>
    <row r="68" spans="1:80" x14ac:dyDescent="0.2">
      <c r="A68" s="133" t="s">
        <v>664</v>
      </c>
      <c r="B68" s="133">
        <f t="shared" si="54"/>
        <v>2007</v>
      </c>
      <c r="D68" s="5">
        <f>'Passenger-Highway'!G68</f>
        <v>17204.512092846755</v>
      </c>
      <c r="E68" s="5">
        <f>'Passenger-Rail'!F68</f>
        <v>90.541263295999983</v>
      </c>
      <c r="F68" s="5">
        <f>'Passenger-Air'!F66</f>
        <v>2413.5403394254172</v>
      </c>
      <c r="G68" s="5">
        <f t="shared" si="4"/>
        <v>19708.593695568172</v>
      </c>
      <c r="I68" s="5">
        <f>'Passenger-Highway'!L68</f>
        <v>4864004.9068596289</v>
      </c>
      <c r="J68" s="5">
        <f>'Passenger-Rail'!J68</f>
        <v>35007</v>
      </c>
      <c r="K68" s="5">
        <f>'Passenger-Air'!J66</f>
        <v>865363.97024505737</v>
      </c>
      <c r="L68" s="5">
        <f t="shared" si="5"/>
        <v>5764375.8771046866</v>
      </c>
      <c r="N68">
        <f t="shared" si="43"/>
        <v>3537.108292917942</v>
      </c>
      <c r="O68">
        <f t="shared" si="44"/>
        <v>2586.3759618362037</v>
      </c>
      <c r="P68">
        <f t="shared" si="45"/>
        <v>2789.0464849627847</v>
      </c>
      <c r="Q68" s="138">
        <f t="shared" si="45"/>
        <v>3419.0334072155169</v>
      </c>
      <c r="R68">
        <v>3382.5223217553876</v>
      </c>
      <c r="S68" s="129">
        <f>'Passenger-Highway'!AD68</f>
        <v>0.83322831910544881</v>
      </c>
      <c r="T68" s="129">
        <f>'Passenger-Rail'!Z68</f>
        <v>0.9467954234202659</v>
      </c>
      <c r="U68" s="129">
        <f>'Passenger-Air'!W66</f>
        <v>0.61566513358278774</v>
      </c>
      <c r="V68" s="129"/>
      <c r="W68" s="129">
        <f>'Passenger-Highway'!AH68</f>
        <v>1.0258895166592841</v>
      </c>
      <c r="X68" s="129">
        <f>'Passenger-Rail'!AD68</f>
        <v>1.0126162254106019</v>
      </c>
      <c r="Y68" s="129">
        <f>'Passenger-Air'!V66</f>
        <v>0.99700919968536628</v>
      </c>
      <c r="AA68" s="131">
        <f t="shared" si="31"/>
        <v>1.6886467692226337</v>
      </c>
      <c r="AB68" s="131">
        <f t="shared" si="32"/>
        <v>0.81955661219228448</v>
      </c>
      <c r="AC68" s="131">
        <f t="shared" si="46"/>
        <v>0.99628632620909019</v>
      </c>
      <c r="AD68" s="131">
        <f t="shared" si="47"/>
        <v>1.0221291004641111</v>
      </c>
      <c r="AE68" s="131">
        <f t="shared" si="48"/>
        <v>0.80480197919421437</v>
      </c>
      <c r="AF68" s="131">
        <f t="shared" si="49"/>
        <v>1.3839416253735475</v>
      </c>
      <c r="AG68" s="131">
        <f t="shared" si="37"/>
        <v>1.3839416253735484</v>
      </c>
      <c r="AH68" s="131"/>
      <c r="AI68" s="131">
        <f t="shared" si="50"/>
        <v>1.0183332464127912</v>
      </c>
      <c r="AJ68" s="129"/>
      <c r="AL68" s="134"/>
      <c r="AN68" s="129">
        <f t="shared" si="6"/>
        <v>0.87294468385714885</v>
      </c>
      <c r="AO68" s="129">
        <f t="shared" si="7"/>
        <v>4.5939991809948264E-3</v>
      </c>
      <c r="AP68" s="129">
        <f t="shared" si="8"/>
        <v>0.12246131696185633</v>
      </c>
      <c r="AQ68" s="129"/>
      <c r="AR68" s="129">
        <f t="shared" si="55"/>
        <v>0.87328994792210557</v>
      </c>
      <c r="AS68" s="129">
        <f t="shared" si="56"/>
        <v>4.4735121595954703E-3</v>
      </c>
      <c r="AT68" s="129">
        <f t="shared" si="56"/>
        <v>0.12223529260081407</v>
      </c>
      <c r="AU68" s="129">
        <f t="shared" si="21"/>
        <v>0.99999875268251515</v>
      </c>
      <c r="AV68" s="129"/>
      <c r="AW68" s="129">
        <f t="shared" si="22"/>
        <v>0.8732910371932856</v>
      </c>
      <c r="AX68" s="129">
        <f t="shared" si="23"/>
        <v>4.4735177394923656E-3</v>
      </c>
      <c r="AY68" s="129">
        <f t="shared" si="24"/>
        <v>0.12223544506722198</v>
      </c>
      <c r="BB68" s="129">
        <f t="shared" si="57"/>
        <v>-7.2781930982876311E-3</v>
      </c>
      <c r="BC68" s="129">
        <f t="shared" si="58"/>
        <v>-1.9406609001992245E-2</v>
      </c>
      <c r="BD68" s="129">
        <f t="shared" si="58"/>
        <v>-2.0410903954966805E-2</v>
      </c>
      <c r="BF68" s="129">
        <f t="shared" si="13"/>
        <v>0.84380425748757848</v>
      </c>
      <c r="BG68" s="129">
        <f t="shared" si="14"/>
        <v>6.0729905103938525E-3</v>
      </c>
      <c r="BH68" s="129">
        <f t="shared" si="15"/>
        <v>0.15012275200202763</v>
      </c>
      <c r="BJ68" s="129">
        <f t="shared" si="25"/>
        <v>-4.1617483118861912E-3</v>
      </c>
      <c r="BK68" s="129">
        <f t="shared" si="26"/>
        <v>6.3854907761573529E-2</v>
      </c>
      <c r="BL68" s="129">
        <f t="shared" si="27"/>
        <v>2.1160851773972873E-2</v>
      </c>
      <c r="BN68" s="129">
        <f t="shared" si="59"/>
        <v>6.1137127717413758E-4</v>
      </c>
      <c r="BO68" s="129">
        <f t="shared" si="60"/>
        <v>-1.0942775279223545E-3</v>
      </c>
      <c r="BP68" s="129">
        <f t="shared" si="60"/>
        <v>-7.0917850229740764E-3</v>
      </c>
      <c r="BR68" s="129">
        <f t="shared" si="28"/>
        <v>0.9911020902628126</v>
      </c>
      <c r="BS68" s="129">
        <f t="shared" si="61"/>
        <v>0.63076391320968894</v>
      </c>
      <c r="BT68" s="129">
        <f t="shared" si="51"/>
        <v>0.80480197919421437</v>
      </c>
      <c r="BU68" s="129"/>
      <c r="BV68" s="129">
        <f t="shared" si="29"/>
        <v>0.99923813506397341</v>
      </c>
      <c r="BW68" s="129">
        <f t="shared" si="62"/>
        <v>0.95241317874467568</v>
      </c>
      <c r="BX68" s="129">
        <f t="shared" si="52"/>
        <v>0.99628632620909019</v>
      </c>
      <c r="BY68" s="129"/>
      <c r="BZ68" s="129">
        <f t="shared" si="30"/>
        <v>0.99966219935570588</v>
      </c>
      <c r="CA68" s="129">
        <f t="shared" si="63"/>
        <v>1.0531036374120037</v>
      </c>
      <c r="CB68" s="129">
        <f t="shared" si="53"/>
        <v>1.0221291004641111</v>
      </c>
    </row>
    <row r="69" spans="1:80" x14ac:dyDescent="0.2">
      <c r="A69" s="133" t="s">
        <v>664</v>
      </c>
      <c r="B69" s="133">
        <f t="shared" si="54"/>
        <v>2008</v>
      </c>
      <c r="D69" s="5">
        <f>'Passenger-Highway'!G69</f>
        <v>16711.060997351145</v>
      </c>
      <c r="E69" s="5">
        <f>'Passenger-Rail'!F69</f>
        <v>91.907444757999997</v>
      </c>
      <c r="F69" s="5">
        <f>'Passenger-Air'!F67</f>
        <v>2358.5105143329488</v>
      </c>
      <c r="G69" s="5">
        <f>D69+E69+F69</f>
        <v>19161.478956442093</v>
      </c>
      <c r="I69" s="5">
        <f>'Passenger-Highway'!L69</f>
        <v>4746511.2328912979</v>
      </c>
      <c r="J69" s="5">
        <f>'Passenger-Rail'!J69</f>
        <v>36169</v>
      </c>
      <c r="K69" s="5">
        <f>'Passenger-Air'!J67</f>
        <v>849281.77131577313</v>
      </c>
      <c r="L69" s="5">
        <f>I69+J69+K69</f>
        <v>5631962.0042070709</v>
      </c>
      <c r="N69">
        <f>D69/I69*1000000</f>
        <v>3520.7039818110238</v>
      </c>
      <c r="O69">
        <f>E69/J69*1000000</f>
        <v>2541.0557316486493</v>
      </c>
      <c r="P69">
        <f>F69/K69*1000000</f>
        <v>2777.064802272821</v>
      </c>
      <c r="Q69" s="138">
        <f>G69/L69*1000000</f>
        <v>3402.2741883074646</v>
      </c>
      <c r="R69">
        <v>3308.63026764919</v>
      </c>
      <c r="S69" s="129">
        <f>'Passenger-Highway'!AD69</f>
        <v>0.82826089830422345</v>
      </c>
      <c r="T69" s="129">
        <f>'Passenger-Rail'!Z69</f>
        <v>0.93004725117256304</v>
      </c>
      <c r="U69" s="129">
        <f>'Passenger-Air'!W67</f>
        <v>0.60781482563949729</v>
      </c>
      <c r="V69" s="129"/>
      <c r="W69" s="129">
        <f>'Passenger-Highway'!AH69</f>
        <v>1.0272558183362079</v>
      </c>
      <c r="X69" s="129">
        <f>'Passenger-Rail'!AD69</f>
        <v>1.0127880151930295</v>
      </c>
      <c r="Y69" s="129">
        <f>'Passenger-Air'!V67</f>
        <v>1.0055477469438912</v>
      </c>
      <c r="AA69" s="131">
        <f t="shared" si="31"/>
        <v>1.6498567486833895</v>
      </c>
      <c r="AB69" s="131">
        <f t="shared" si="32"/>
        <v>0.81553935730314375</v>
      </c>
      <c r="AC69" s="131">
        <f>BX69</f>
        <v>0.99604105359433759</v>
      </c>
      <c r="AD69" s="131">
        <f>CB69</f>
        <v>1.0243895361715245</v>
      </c>
      <c r="AE69" s="131">
        <f>BT69</f>
        <v>0.79928663653977283</v>
      </c>
      <c r="AF69" s="131">
        <f>AA69*AC69*AD69*AE69</f>
        <v>1.3455231124635052</v>
      </c>
      <c r="AG69" s="131">
        <f t="shared" si="37"/>
        <v>1.3455231124635059</v>
      </c>
      <c r="AH69" s="131"/>
      <c r="AI69" s="131">
        <f>AC69*AD69</f>
        <v>1.0203340328993</v>
      </c>
      <c r="AJ69" s="129"/>
      <c r="AL69" s="134"/>
      <c r="AN69" s="129">
        <f>D69/G69</f>
        <v>0.87211749340114919</v>
      </c>
      <c r="AO69" s="129">
        <f>E69/G69</f>
        <v>4.796469258292857E-3</v>
      </c>
      <c r="AP69" s="129">
        <f>F69/G69</f>
        <v>0.12308603734055805</v>
      </c>
      <c r="AQ69" s="129"/>
      <c r="AR69" s="129">
        <f t="shared" ref="AR69:AT71" si="66">(AN69-AN68)/LN(AN69/AN68)</f>
        <v>0.87253102327862886</v>
      </c>
      <c r="AS69" s="129">
        <f t="shared" si="66"/>
        <v>4.694506545340562E-3</v>
      </c>
      <c r="AT69" s="129">
        <f t="shared" si="66"/>
        <v>0.12277341224899617</v>
      </c>
      <c r="AU69" s="129">
        <f>AR69+AS69+AT69</f>
        <v>0.99999894207296558</v>
      </c>
      <c r="AV69" s="129"/>
      <c r="AW69" s="129">
        <f>AR69/AU69</f>
        <v>0.8725319463537633</v>
      </c>
      <c r="AX69" s="129">
        <f>AS69/AU69</f>
        <v>4.6945115117912033E-3</v>
      </c>
      <c r="AY69" s="129">
        <f>AT69/AU69</f>
        <v>0.12277354213444551</v>
      </c>
      <c r="BB69" s="129">
        <f t="shared" ref="BB69:BD71" si="67">LN(S69/S68)</f>
        <v>-5.9794978501931922E-3</v>
      </c>
      <c r="BC69" s="129">
        <f t="shared" si="67"/>
        <v>-1.7847651324675001E-2</v>
      </c>
      <c r="BD69" s="129">
        <f t="shared" si="67"/>
        <v>-1.2832928923554619E-2</v>
      </c>
      <c r="BF69" s="129">
        <f>I69/L69</f>
        <v>0.8427811177251654</v>
      </c>
      <c r="BG69" s="129">
        <f>J69/L69</f>
        <v>6.422095882923533E-3</v>
      </c>
      <c r="BH69" s="129">
        <f>K69/L69</f>
        <v>0.15079678639191108</v>
      </c>
      <c r="BJ69" s="129">
        <f t="shared" ref="BJ69:BL71" si="68">LN(BF69/BF68)</f>
        <v>-1.2132678285447771E-3</v>
      </c>
      <c r="BK69" s="129">
        <f t="shared" si="68"/>
        <v>5.589337161477486E-2</v>
      </c>
      <c r="BL69" s="129">
        <f t="shared" si="68"/>
        <v>4.4798388349549211E-3</v>
      </c>
      <c r="BN69" s="129">
        <f t="shared" ref="BN69:BP71" si="69">LN(W69/W68)</f>
        <v>1.3309353754195818E-3</v>
      </c>
      <c r="BO69" s="129">
        <f t="shared" si="69"/>
        <v>1.6963505792640652E-4</v>
      </c>
      <c r="BP69" s="129">
        <f t="shared" si="69"/>
        <v>8.5276965707023963E-3</v>
      </c>
      <c r="BR69" s="129">
        <f>EXP(SUMPRODUCT($AW69:$AY69,BB69:BD69))</f>
        <v>0.99314695689495736</v>
      </c>
      <c r="BS69" s="129">
        <f>IF(ISERR(BR69),BS68,BR69*BS68)</f>
        <v>0.62644126092335761</v>
      </c>
      <c r="BT69" s="129">
        <f t="shared" si="51"/>
        <v>0.79928663653977283</v>
      </c>
      <c r="BU69" s="129"/>
      <c r="BV69" s="129">
        <f>EXP(SUMPRODUCT($AW69:$AY69,BJ69:BL69))</f>
        <v>0.99975381312751133</v>
      </c>
      <c r="BW69" s="129">
        <f>IF(ISERR(BV69),BW68,BV69*BW68)</f>
        <v>0.95217870712288355</v>
      </c>
      <c r="BX69" s="129">
        <f t="shared" si="52"/>
        <v>0.99604105359433759</v>
      </c>
      <c r="BY69" s="129"/>
      <c r="BZ69" s="129">
        <f>EXP(SUMPRODUCT($AW69:$AY69,BN69:BP69))</f>
        <v>1.0022114972623195</v>
      </c>
      <c r="CA69" s="129">
        <f>IF(ISERR(BZ69),CA68,BZ69*CA68)</f>
        <v>1.0554325732230792</v>
      </c>
      <c r="CB69" s="129">
        <f t="shared" si="53"/>
        <v>1.0243895361715245</v>
      </c>
    </row>
    <row r="70" spans="1:80" x14ac:dyDescent="0.2">
      <c r="A70" s="133" t="s">
        <v>664</v>
      </c>
      <c r="B70" s="133">
        <f t="shared" si="54"/>
        <v>2009</v>
      </c>
      <c r="D70" s="5">
        <f>'Passenger-Highway'!G70</f>
        <v>16751.986403178802</v>
      </c>
      <c r="E70" s="5">
        <f>'Passenger-Rail'!F70</f>
        <v>93.787004952000004</v>
      </c>
      <c r="F70" s="5">
        <f>'Passenger-Air'!F68</f>
        <v>2137.9693368054609</v>
      </c>
      <c r="G70" s="5">
        <f>D70+E70+F70</f>
        <v>18983.742744936262</v>
      </c>
      <c r="I70" s="5">
        <f>'Passenger-Highway'!L70</f>
        <v>4767297.1806609305</v>
      </c>
      <c r="J70" s="5">
        <f>'Passenger-Rail'!J70</f>
        <v>36150</v>
      </c>
      <c r="K70" s="5">
        <f>'Passenger-Air'!J68</f>
        <v>800178.82857224415</v>
      </c>
      <c r="L70" s="5">
        <f t="shared" si="5"/>
        <v>5603626.0092331748</v>
      </c>
      <c r="N70">
        <f t="shared" si="43"/>
        <v>3513.9379334552691</v>
      </c>
      <c r="O70">
        <f t="shared" si="44"/>
        <v>2594.3846459751035</v>
      </c>
      <c r="P70">
        <f t="shared" si="45"/>
        <v>2671.8644138838704</v>
      </c>
      <c r="Q70" s="138">
        <f t="shared" si="45"/>
        <v>3387.760481098574</v>
      </c>
      <c r="R70">
        <v>3140.1618879033213</v>
      </c>
      <c r="S70" s="129">
        <f>'Passenger-Highway'!AD70</f>
        <v>0.82692451958818947</v>
      </c>
      <c r="T70" s="129">
        <f>'Passenger-Rail'!Z70</f>
        <v>0.94774327523378588</v>
      </c>
      <c r="U70" s="129">
        <f>'Passenger-Air'!W68</f>
        <v>0.59296335878917528</v>
      </c>
      <c r="V70" s="129"/>
      <c r="W70" s="129">
        <f>'Passenger-Highway'!AH70</f>
        <v>1.0269385902540755</v>
      </c>
      <c r="X70" s="129">
        <f>'Passenger-Rail'!AD70</f>
        <v>1.0147359120809789</v>
      </c>
      <c r="Y70" s="129">
        <f>'Passenger-Air'!V68</f>
        <v>0.99168679490780443</v>
      </c>
      <c r="AA70" s="131">
        <f t="shared" si="31"/>
        <v>1.6415558523876725</v>
      </c>
      <c r="AB70" s="131">
        <f t="shared" si="32"/>
        <v>0.81206036096301837</v>
      </c>
      <c r="AC70" s="131">
        <f t="shared" si="46"/>
        <v>0.9978956612687564</v>
      </c>
      <c r="AD70" s="131">
        <f t="shared" si="47"/>
        <v>1.0224485814075481</v>
      </c>
      <c r="AE70" s="131">
        <f t="shared" si="48"/>
        <v>0.79590585718743001</v>
      </c>
      <c r="AF70" s="131">
        <f t="shared" si="49"/>
        <v>1.3330424380308887</v>
      </c>
      <c r="AG70" s="131">
        <f t="shared" si="37"/>
        <v>1.3330424380308887</v>
      </c>
      <c r="AH70" s="131"/>
      <c r="AI70" s="131">
        <f t="shared" si="50"/>
        <v>1.0202970032569871</v>
      </c>
      <c r="AJ70" s="129"/>
      <c r="AL70" s="134"/>
      <c r="AN70" s="129">
        <f>D70/G70</f>
        <v>0.88243854903940055</v>
      </c>
      <c r="AO70" s="129">
        <f>E70/G70</f>
        <v>4.940385371426128E-3</v>
      </c>
      <c r="AP70" s="129">
        <f>F70/G70</f>
        <v>0.11262106558917337</v>
      </c>
      <c r="AQ70" s="129"/>
      <c r="AR70" s="129">
        <f t="shared" si="66"/>
        <v>0.87726790230986862</v>
      </c>
      <c r="AS70" s="129">
        <f t="shared" si="66"/>
        <v>4.8680727675379891E-3</v>
      </c>
      <c r="AT70" s="129">
        <f t="shared" si="66"/>
        <v>0.11777607306110291</v>
      </c>
      <c r="AU70" s="129">
        <f>AR70+AS70+AT70</f>
        <v>0.99991204813850953</v>
      </c>
      <c r="AV70" s="129"/>
      <c r="AW70" s="129">
        <f>AR70/AU70</f>
        <v>0.87734506644163168</v>
      </c>
      <c r="AX70" s="129">
        <f>AS70/AU70</f>
        <v>4.8685009612602003E-3</v>
      </c>
      <c r="AY70" s="129">
        <f>AT70/AU70</f>
        <v>0.11778643259710815</v>
      </c>
      <c r="BB70" s="129">
        <f t="shared" si="67"/>
        <v>-1.6147786126834327E-3</v>
      </c>
      <c r="BC70" s="129">
        <f t="shared" si="67"/>
        <v>1.8848266295779324E-2</v>
      </c>
      <c r="BD70" s="129">
        <f t="shared" si="67"/>
        <v>-2.4737664958747463E-2</v>
      </c>
      <c r="BF70" s="129">
        <f>I70/L70</f>
        <v>0.85075220452003519</v>
      </c>
      <c r="BG70" s="129">
        <f>J70/L70</f>
        <v>6.4511799931749776E-3</v>
      </c>
      <c r="BH70" s="129">
        <f>K70/L70</f>
        <v>0.14279661548678982</v>
      </c>
      <c r="BJ70" s="129">
        <f t="shared" si="68"/>
        <v>9.413627183059315E-3</v>
      </c>
      <c r="BK70" s="129">
        <f t="shared" si="68"/>
        <v>4.5185328141617012E-3</v>
      </c>
      <c r="BL70" s="129">
        <f t="shared" si="68"/>
        <v>-5.4511796396609601E-2</v>
      </c>
      <c r="BN70" s="129">
        <f t="shared" si="69"/>
        <v>-3.0885887268271913E-4</v>
      </c>
      <c r="BO70" s="129">
        <f t="shared" si="69"/>
        <v>1.9214545002872328E-3</v>
      </c>
      <c r="BP70" s="129">
        <f t="shared" si="69"/>
        <v>-1.3880367365784898E-2</v>
      </c>
      <c r="BR70" s="129">
        <f>EXP(SUMPRODUCT($AW70:$AY70,BB70:BD70))</f>
        <v>0.99577025412688169</v>
      </c>
      <c r="BS70" s="129">
        <f>IF(ISERR(BR70),BS69,BR70*BS69)</f>
        <v>0.62379157358521597</v>
      </c>
      <c r="BT70" s="129">
        <f t="shared" si="51"/>
        <v>0.79590585718743001</v>
      </c>
      <c r="BU70" s="129"/>
      <c r="BV70" s="129">
        <f>EXP(SUMPRODUCT($AW70:$AY70,BJ70:BL70))</f>
        <v>1.0018619791500825</v>
      </c>
      <c r="BW70" s="129">
        <f>IF(ISERR(BV70),BW69,BV70*BW69)</f>
        <v>0.95395164402269883</v>
      </c>
      <c r="BX70" s="129">
        <f t="shared" si="52"/>
        <v>0.9978956612687564</v>
      </c>
      <c r="BY70" s="129"/>
      <c r="BZ70" s="129">
        <f>EXP(SUMPRODUCT($AW70:$AY70,BN70:BP70))</f>
        <v>0.99810525713564924</v>
      </c>
      <c r="CA70" s="129">
        <f>IF(ISERR(BZ70),CA69,BZ70*CA69)</f>
        <v>1.0534327998861615</v>
      </c>
      <c r="CB70" s="129">
        <f t="shared" si="53"/>
        <v>1.0224485814075481</v>
      </c>
    </row>
    <row r="71" spans="1:80" x14ac:dyDescent="0.2">
      <c r="A71" s="133" t="s">
        <v>664</v>
      </c>
      <c r="B71" s="133">
        <f t="shared" si="54"/>
        <v>2010</v>
      </c>
      <c r="D71" s="5">
        <f>'Passenger-Highway'!G71</f>
        <v>16939.269880326923</v>
      </c>
      <c r="E71" s="5">
        <f>'Passenger-Rail'!F71</f>
        <v>92.911204218000009</v>
      </c>
      <c r="F71" s="5">
        <f>'Passenger-Air'!F69</f>
        <v>2137.5498253847177</v>
      </c>
      <c r="G71" s="5">
        <f>D71+E71+F71</f>
        <v>19169.73090992964</v>
      </c>
      <c r="I71" s="5">
        <f>'Passenger-Highway'!L71</f>
        <v>4787875.2609185595</v>
      </c>
      <c r="J71" s="5">
        <f>'Passenger-Rail'!J71</f>
        <v>35874</v>
      </c>
      <c r="K71" s="5">
        <f>'Passenger-Air'!J69</f>
        <v>830356.46407957294</v>
      </c>
      <c r="L71" s="5">
        <f t="shared" si="5"/>
        <v>5654105.7249981323</v>
      </c>
      <c r="N71">
        <f t="shared" si="43"/>
        <v>3537.9513786825569</v>
      </c>
      <c r="O71">
        <f t="shared" si="44"/>
        <v>2589.9315442381671</v>
      </c>
      <c r="P71">
        <f t="shared" si="45"/>
        <v>2574.2556574833584</v>
      </c>
      <c r="Q71" s="138">
        <f t="shared" si="45"/>
        <v>3390.4089952148838</v>
      </c>
      <c r="R71">
        <v>3076.3646702729657</v>
      </c>
      <c r="S71" s="129">
        <f>'Passenger-Highway'!AD71</f>
        <v>0.83141473097475882</v>
      </c>
      <c r="T71" s="129">
        <f>'Passenger-Rail'!Z71</f>
        <v>0.94771950485668133</v>
      </c>
      <c r="U71" s="129">
        <f>'Passenger-Air'!W69</f>
        <v>0.57054528576713048</v>
      </c>
      <c r="V71" s="129"/>
      <c r="W71" s="129">
        <f>'Passenger-Highway'!AH71</f>
        <v>1.0283723768593507</v>
      </c>
      <c r="X71" s="129">
        <f>'Passenger-Rail'!AD71</f>
        <v>1.0130195878500858</v>
      </c>
      <c r="Y71" s="129">
        <f>'Passenger-Air'!V69</f>
        <v>0.9930006364439925</v>
      </c>
      <c r="AA71" s="131">
        <f t="shared" si="31"/>
        <v>1.6563436474161584</v>
      </c>
      <c r="AB71" s="131">
        <f t="shared" si="32"/>
        <v>0.81269522087749757</v>
      </c>
      <c r="AC71" s="131">
        <f t="shared" si="46"/>
        <v>0.99684487683479639</v>
      </c>
      <c r="AD71" s="131">
        <f t="shared" si="47"/>
        <v>1.023852455494429</v>
      </c>
      <c r="AE71" s="131">
        <f t="shared" si="48"/>
        <v>0.79627439075489825</v>
      </c>
      <c r="AF71" s="131">
        <f t="shared" si="49"/>
        <v>1.3461025663859139</v>
      </c>
      <c r="AG71" s="131">
        <f t="shared" si="37"/>
        <v>1.3461025663859147</v>
      </c>
      <c r="AH71" s="131"/>
      <c r="AI71" s="131">
        <f t="shared" si="50"/>
        <v>1.020622074894348</v>
      </c>
      <c r="AJ71" s="129"/>
      <c r="AL71" s="134"/>
      <c r="AN71" s="129">
        <f>D71/G71</f>
        <v>0.88364672200759109</v>
      </c>
      <c r="AO71" s="129">
        <f>E71/G71</f>
        <v>4.846766219857232E-3</v>
      </c>
      <c r="AP71" s="129">
        <f>F71/G71</f>
        <v>0.11150651177255171</v>
      </c>
      <c r="AQ71" s="129"/>
      <c r="AR71" s="129">
        <f t="shared" si="66"/>
        <v>0.88304249777235577</v>
      </c>
      <c r="AS71" s="129">
        <f t="shared" si="66"/>
        <v>4.8934265394234332E-3</v>
      </c>
      <c r="AT71" s="129">
        <f t="shared" si="66"/>
        <v>0.11206286492245604</v>
      </c>
      <c r="AU71" s="129">
        <f>AR71+AS71+AT71</f>
        <v>0.99999878923423524</v>
      </c>
      <c r="AV71" s="129"/>
      <c r="AW71" s="129">
        <f>AR71/AU71</f>
        <v>0.88304356693127539</v>
      </c>
      <c r="AX71" s="129">
        <f>AS71/AU71</f>
        <v>4.8934324642239332E-3</v>
      </c>
      <c r="AY71" s="129">
        <f>AT71/AU71</f>
        <v>0.11206300060450067</v>
      </c>
      <c r="BB71" s="129">
        <f t="shared" si="67"/>
        <v>5.4153242266555407E-3</v>
      </c>
      <c r="BC71" s="129">
        <f t="shared" si="67"/>
        <v>-2.5081344097615353E-5</v>
      </c>
      <c r="BD71" s="129">
        <f t="shared" si="67"/>
        <v>-3.8540062290462924E-2</v>
      </c>
      <c r="BF71" s="129">
        <f>I71/L71</f>
        <v>0.84679620328821159</v>
      </c>
      <c r="BG71" s="129">
        <f>J71/L71</f>
        <v>6.3447699326513477E-3</v>
      </c>
      <c r="BH71" s="129">
        <f>K71/L71</f>
        <v>0.14685902677913706</v>
      </c>
      <c r="BJ71" s="129">
        <f t="shared" si="68"/>
        <v>-4.6608489927532889E-3</v>
      </c>
      <c r="BK71" s="129">
        <f t="shared" si="68"/>
        <v>-1.6632217874097754E-2</v>
      </c>
      <c r="BL71" s="129">
        <f t="shared" si="68"/>
        <v>2.8051776588413405E-2</v>
      </c>
      <c r="BN71" s="129">
        <f t="shared" si="69"/>
        <v>1.3952018558744349E-3</v>
      </c>
      <c r="BO71" s="129">
        <f t="shared" si="69"/>
        <v>-1.6928319423333666E-3</v>
      </c>
      <c r="BP71" s="129">
        <f t="shared" si="69"/>
        <v>1.323978483820664E-3</v>
      </c>
      <c r="BR71" s="129">
        <f>EXP(SUMPRODUCT($AW71:$AY71,BB71:BD71))</f>
        <v>1.0004630366319587</v>
      </c>
      <c r="BS71" s="129">
        <f>IF(ISERR(BR71),BS70,BR71*BS70)</f>
        <v>0.62408041193449304</v>
      </c>
      <c r="BT71" s="129">
        <f t="shared" si="51"/>
        <v>0.79627439075489825</v>
      </c>
      <c r="BU71" s="129"/>
      <c r="BV71" s="129">
        <f>EXP(SUMPRODUCT($AW71:$AY71,BJ71:BL71))</f>
        <v>0.99894699969671785</v>
      </c>
      <c r="BW71" s="129">
        <f>IF(ISERR(BV71),BW70,BV71*BW70)</f>
        <v>0.95294713265222641</v>
      </c>
      <c r="BX71" s="129">
        <f t="shared" si="52"/>
        <v>0.99684487683479639</v>
      </c>
      <c r="BY71" s="129"/>
      <c r="BZ71" s="129">
        <f>EXP(SUMPRODUCT($AW71:$AY71,BN71:BP71))</f>
        <v>1.0013730510388585</v>
      </c>
      <c r="CA71" s="129">
        <f>IF(ISERR(BZ71),CA70,BZ71*CA70)</f>
        <v>1.0548792168864127</v>
      </c>
      <c r="CB71" s="129">
        <f t="shared" si="53"/>
        <v>1.023852455494429</v>
      </c>
    </row>
    <row r="72" spans="1:80" x14ac:dyDescent="0.2">
      <c r="A72" s="133" t="s">
        <v>664</v>
      </c>
      <c r="B72" s="133">
        <f t="shared" si="54"/>
        <v>2011</v>
      </c>
      <c r="D72" s="5">
        <f>'Passenger-Highway'!G72</f>
        <v>17089.594037413361</v>
      </c>
      <c r="E72" s="5">
        <f>'Passenger-Rail'!F72</f>
        <v>94.468138074999999</v>
      </c>
      <c r="F72" s="5">
        <f>'Passenger-Air'!F70</f>
        <v>2180.1926281966507</v>
      </c>
      <c r="G72" s="5">
        <f>D72+E72+F72</f>
        <v>19364.254803685013</v>
      </c>
      <c r="I72" s="5">
        <f>'Passenger-Highway'!L72</f>
        <v>4784970.7856969526</v>
      </c>
      <c r="J72" s="5">
        <f>'Passenger-Rail'!J72</f>
        <v>37617</v>
      </c>
      <c r="K72" s="5">
        <f>'Passenger-Air'!J70</f>
        <v>847790.93316348526</v>
      </c>
      <c r="L72" s="5">
        <f t="shared" ref="L72" si="70">I72+J72+K72</f>
        <v>5670378.7188604381</v>
      </c>
      <c r="N72">
        <f t="shared" ref="N72" si="71">D72/I72*1000000</f>
        <v>3571.5148122736518</v>
      </c>
      <c r="O72">
        <f t="shared" ref="O72" si="72">E72/J72*1000000</f>
        <v>2511.3150457240076</v>
      </c>
      <c r="P72">
        <f t="shared" ref="P72" si="73">F72/K72*1000000</f>
        <v>2571.615881832307</v>
      </c>
      <c r="Q72" s="138">
        <f t="shared" ref="Q72" si="74">G72/L72*1000000</f>
        <v>3414.9843888340142</v>
      </c>
      <c r="R72">
        <v>3069.6179267840289</v>
      </c>
      <c r="S72" s="129">
        <f>'Passenger-Highway'!AD72</f>
        <v>0.83902850477255397</v>
      </c>
      <c r="T72" s="129">
        <f>'Passenger-Rail'!Z72</f>
        <v>0.91969927396968687</v>
      </c>
      <c r="U72" s="129">
        <f>'Passenger-Air'!W70</f>
        <v>0.5697036627186961</v>
      </c>
      <c r="V72" s="129"/>
      <c r="W72" s="129">
        <f>'Passenger-Highway'!AH72</f>
        <v>1.0287077161523166</v>
      </c>
      <c r="X72" s="129">
        <f>'Passenger-Rail'!AD72</f>
        <v>1.0121962677908232</v>
      </c>
      <c r="Y72" s="129">
        <f>'Passenger-Air'!V70</f>
        <v>0.99344781718340391</v>
      </c>
      <c r="AA72" s="131">
        <f t="shared" si="31"/>
        <v>1.6611107443399218</v>
      </c>
      <c r="AB72" s="131">
        <f t="shared" si="32"/>
        <v>0.8185860455460372</v>
      </c>
      <c r="AC72" s="131">
        <f t="shared" ref="AC72" si="75">BX72</f>
        <v>0.99599701415847597</v>
      </c>
      <c r="AD72" s="131">
        <f t="shared" ref="AD72" si="76">CB72</f>
        <v>1.0241949004110347</v>
      </c>
      <c r="AE72" s="131">
        <f t="shared" ref="AE72" si="77">BT72</f>
        <v>0.80246055044982545</v>
      </c>
      <c r="AF72" s="131">
        <f t="shared" ref="AF72" si="78">AA72*AC72*AD72*AE72</f>
        <v>1.3597620754232507</v>
      </c>
      <c r="AG72" s="131">
        <f t="shared" si="37"/>
        <v>1.3597620754232511</v>
      </c>
      <c r="AH72" s="131"/>
      <c r="AI72" s="131">
        <f t="shared" ref="AI72" si="79">AC72*AD72</f>
        <v>1.0200950627257281</v>
      </c>
      <c r="AJ72" s="129"/>
      <c r="AL72" s="134"/>
      <c r="AN72" s="129">
        <f>D72/G72</f>
        <v>0.88253300788839106</v>
      </c>
      <c r="AO72" s="129">
        <f>E72/G72</f>
        <v>4.8784804286412685E-3</v>
      </c>
      <c r="AP72" s="129">
        <f>F72/G72</f>
        <v>0.11258851168296756</v>
      </c>
      <c r="AQ72" s="129"/>
      <c r="AR72" s="129">
        <f t="shared" ref="AR72" si="80">(AN72-AN71)/LN(AN72/AN71)</f>
        <v>0.88308974790073624</v>
      </c>
      <c r="AS72" s="129">
        <f t="shared" ref="AS72" si="81">(AO72-AO71)/LN(AO72/AO71)</f>
        <v>4.8626060874304173E-3</v>
      </c>
      <c r="AT72" s="129">
        <f t="shared" ref="AT72" si="82">(AP72-AP71)/LN(AP72/AP71)</f>
        <v>0.11204664101745063</v>
      </c>
      <c r="AU72" s="129">
        <f>AR72+AS72+AT72</f>
        <v>0.99999899500561729</v>
      </c>
      <c r="AV72" s="129"/>
      <c r="AW72" s="129">
        <f>AR72/AU72</f>
        <v>0.88309063540186428</v>
      </c>
      <c r="AX72" s="129">
        <f>AS72/AU72</f>
        <v>4.8626109743271318E-3</v>
      </c>
      <c r="AY72" s="129">
        <f>AT72/AU72</f>
        <v>0.11204675362380861</v>
      </c>
      <c r="BB72" s="129">
        <f t="shared" ref="BB72" si="83">LN(S72/S71)</f>
        <v>9.1159356515086165E-3</v>
      </c>
      <c r="BC72" s="129">
        <f t="shared" ref="BC72" si="84">LN(T72/T71)</f>
        <v>-3.0011837033211988E-2</v>
      </c>
      <c r="BD72" s="129">
        <f t="shared" ref="BD72" si="85">LN(U72/U71)</f>
        <v>-1.4762095635174558E-3</v>
      </c>
      <c r="BF72" s="129">
        <f>I72/L72</f>
        <v>0.84385382757266281</v>
      </c>
      <c r="BG72" s="129">
        <f>J72/L72</f>
        <v>6.6339484300900094E-3</v>
      </c>
      <c r="BH72" s="129">
        <f>K72/L72</f>
        <v>0.14951222399724717</v>
      </c>
      <c r="BJ72" s="129">
        <f t="shared" ref="BJ72" si="86">LN(BF72/BF71)</f>
        <v>-3.4807661344354421E-3</v>
      </c>
      <c r="BK72" s="129">
        <f t="shared" ref="BK72" si="87">LN(BG72/BG71)</f>
        <v>4.4569326038082752E-2</v>
      </c>
      <c r="BL72" s="129">
        <f t="shared" ref="BL72" si="88">LN(BH72/BH71)</f>
        <v>1.7905030215846694E-2</v>
      </c>
      <c r="BN72" s="129">
        <f t="shared" ref="BN72" si="89">LN(W72/W71)</f>
        <v>3.2603426291052896E-4</v>
      </c>
      <c r="BO72" s="129">
        <f t="shared" ref="BO72" si="90">LN(X72/X71)</f>
        <v>-8.1306898948691451E-4</v>
      </c>
      <c r="BP72" s="129">
        <f t="shared" ref="BP72" si="91">LN(Y72/Y71)</f>
        <v>4.5023141290056134E-4</v>
      </c>
      <c r="BR72" s="129">
        <f>EXP(SUMPRODUCT($AW72:$AY72,BB72:BD72))</f>
        <v>1.0077688793797104</v>
      </c>
      <c r="BS72" s="129">
        <f>IF(ISERR(BR72),BS71,BR72*BS71)</f>
        <v>0.62892881737805206</v>
      </c>
      <c r="BT72" s="129">
        <f t="shared" si="51"/>
        <v>0.80246055044982545</v>
      </c>
      <c r="BU72" s="129"/>
      <c r="BV72" s="129">
        <f>EXP(SUMPRODUCT($AW72:$AY72,BJ72:BL72))</f>
        <v>0.9991494537454888</v>
      </c>
      <c r="BW72" s="129">
        <f>IF(ISERR(BV72),BW71,BV72*BW71)</f>
        <v>0.9521366070378019</v>
      </c>
      <c r="BX72" s="129">
        <f t="shared" si="52"/>
        <v>0.99599701415847597</v>
      </c>
      <c r="BY72" s="129"/>
      <c r="BZ72" s="129">
        <f>EXP(SUMPRODUCT($AW72:$AY72,BN72:BP72))</f>
        <v>1.000334467056037</v>
      </c>
      <c r="CA72" s="129">
        <f>IF(ISERR(BZ72),CA71,BZ72*CA71)</f>
        <v>1.0552320392325594</v>
      </c>
      <c r="CB72" s="129">
        <f t="shared" si="53"/>
        <v>1.0241949004110347</v>
      </c>
    </row>
    <row r="73" spans="1:80" hidden="1" x14ac:dyDescent="0.2">
      <c r="A73" s="133"/>
      <c r="B73" s="133"/>
      <c r="C73" s="173"/>
      <c r="D73" s="500"/>
      <c r="E73" s="5"/>
      <c r="F73" s="5"/>
      <c r="G73" s="5"/>
      <c r="I73" s="5"/>
      <c r="J73" s="5"/>
      <c r="K73" s="5"/>
      <c r="L73" s="5"/>
      <c r="AL73" s="134"/>
      <c r="BR73" s="129"/>
      <c r="BS73" s="129"/>
      <c r="BT73" s="129"/>
      <c r="BU73" s="129"/>
      <c r="BV73" s="129"/>
      <c r="BW73" s="129"/>
      <c r="BX73" s="129"/>
      <c r="BY73" s="129"/>
      <c r="BZ73" s="129"/>
      <c r="CA73" s="129"/>
      <c r="CB73" s="129"/>
    </row>
    <row r="74" spans="1:80" hidden="1" x14ac:dyDescent="0.2">
      <c r="A74" s="133" t="s">
        <v>684</v>
      </c>
      <c r="B74" s="133">
        <f>Base_year</f>
        <v>1985</v>
      </c>
      <c r="C74" s="173"/>
      <c r="D74" s="500"/>
      <c r="E74" s="5"/>
      <c r="F74" s="5">
        <f>INDEX(F10:F71,Base_row,0)</f>
        <v>1651.06694282734</v>
      </c>
      <c r="G74" s="5">
        <f>INDEX(G10:G71,Base_row,0)</f>
        <v>14240.914019945387</v>
      </c>
      <c r="I74" s="5"/>
      <c r="J74" s="5"/>
      <c r="K74" s="5">
        <f>INDEX(K10:K71,Base_row,0)</f>
        <v>363373</v>
      </c>
      <c r="L74" s="5">
        <f>INDEX(L10:L71,Base_row,0)</f>
        <v>3413606.6714285719</v>
      </c>
      <c r="N74" s="129">
        <f>INDEX(N10:N71,Base_row,0)</f>
        <v>4137.9357457329543</v>
      </c>
      <c r="O74" s="129">
        <f>INDEX(O10:O71,Base_row,0)</f>
        <v>2697.6811872378507</v>
      </c>
      <c r="P74" s="129">
        <f>INDEX(P10:P71,Base_row,0)</f>
        <v>4543.7248855235248</v>
      </c>
      <c r="Q74" s="129">
        <f>INDEX(Q10:Q71,Base_row,0)</f>
        <v>4171.8087028420468</v>
      </c>
      <c r="AE74" s="129">
        <v>0.80353166139230969</v>
      </c>
      <c r="AL74" s="134"/>
      <c r="BR74" s="129"/>
      <c r="BS74" s="129">
        <f>INDEX(BS10:BS71,Base_row,1)</f>
        <v>0.783750449820245</v>
      </c>
      <c r="BT74" s="129"/>
      <c r="BU74" s="129"/>
      <c r="BV74" s="129"/>
      <c r="BW74" s="129">
        <f>INDEX(BW10:BW71,Base_row,1)</f>
        <v>0.95596331465136775</v>
      </c>
      <c r="BX74" s="129"/>
      <c r="BY74" s="129"/>
      <c r="BZ74" s="129"/>
      <c r="CA74" s="129">
        <f>INDEX(CA10:CA71,Base_row,1)</f>
        <v>1.0303039380581458</v>
      </c>
      <c r="CB74" s="129"/>
    </row>
    <row r="75" spans="1:80" hidden="1" x14ac:dyDescent="0.2">
      <c r="A75" s="133" t="s">
        <v>683</v>
      </c>
      <c r="B75" s="133">
        <f>Base_year2</f>
        <v>1996</v>
      </c>
      <c r="C75" s="508"/>
      <c r="D75" s="500"/>
      <c r="I75" s="5"/>
      <c r="J75" s="5"/>
      <c r="K75" s="5">
        <f>INDEX(K10:K71,Base_row2,0)</f>
        <v>608163.69700000004</v>
      </c>
      <c r="L75" s="5">
        <f>INDEX(L10:L71,Base_row2,0)</f>
        <v>4469332.4431278957</v>
      </c>
      <c r="N75" s="129">
        <f>INDEX(N10:N71,Base_row2,0)</f>
        <v>3853.1347922009659</v>
      </c>
      <c r="O75" s="129">
        <f>INDEX(O10:O71,Base_row2,0)</f>
        <v>2818.2334050911613</v>
      </c>
      <c r="P75" s="129">
        <f>INDEX(P10:P71,Base_row2,0)</f>
        <v>3469.2236679919529</v>
      </c>
      <c r="Q75" s="129">
        <f>INDEX(Q10:Q71,Base_row2,0)</f>
        <v>3794.8996219513074</v>
      </c>
      <c r="AL75" s="134"/>
    </row>
    <row r="76" spans="1:80" x14ac:dyDescent="0.2">
      <c r="A76" s="133"/>
      <c r="B76" s="133"/>
      <c r="I76" s="136"/>
      <c r="J76" s="136"/>
      <c r="K76" s="136"/>
      <c r="L76" s="136"/>
      <c r="AL76" s="134"/>
    </row>
    <row r="77" spans="1:80" x14ac:dyDescent="0.2">
      <c r="A77" s="133"/>
      <c r="B77" s="133"/>
      <c r="Z77" s="275"/>
      <c r="AA77" s="136"/>
      <c r="AB77" s="136"/>
      <c r="AC77" s="136"/>
      <c r="AD77" s="136"/>
      <c r="AE77" s="129">
        <v>0.79619415022234619</v>
      </c>
      <c r="AF77" s="136"/>
      <c r="AG77" s="136"/>
      <c r="AH77" s="136"/>
      <c r="AI77" s="136"/>
      <c r="AL77" s="134"/>
    </row>
    <row r="78" spans="1:80" x14ac:dyDescent="0.2">
      <c r="A78" s="133"/>
      <c r="B78" s="133"/>
      <c r="AE78" s="129">
        <v>0.79649577321816012</v>
      </c>
      <c r="AL78" s="134"/>
    </row>
    <row r="79" spans="1:80" x14ac:dyDescent="0.2">
      <c r="A79" s="133"/>
      <c r="B79" s="133"/>
      <c r="AE79" s="129">
        <v>0.80291773802504407</v>
      </c>
      <c r="AL79" s="134"/>
    </row>
    <row r="80" spans="1:80" x14ac:dyDescent="0.2">
      <c r="A80" s="133"/>
      <c r="B80" s="133"/>
      <c r="AL80" s="134"/>
    </row>
    <row r="81" spans="1:38" x14ac:dyDescent="0.2">
      <c r="A81" s="133"/>
      <c r="B81" s="133"/>
      <c r="N81" s="129"/>
      <c r="O81" s="129"/>
      <c r="P81" s="129"/>
      <c r="AE81" s="131">
        <v>0.79590585718743068</v>
      </c>
      <c r="AL81" s="134"/>
    </row>
    <row r="82" spans="1:38" x14ac:dyDescent="0.2">
      <c r="A82" s="133"/>
      <c r="B82" s="133"/>
      <c r="N82" s="129"/>
      <c r="O82" s="129"/>
      <c r="P82" s="129"/>
      <c r="AE82" s="131">
        <v>0.79627439075489881</v>
      </c>
      <c r="AL82" s="134"/>
    </row>
    <row r="83" spans="1:38" x14ac:dyDescent="0.2">
      <c r="A83" s="133"/>
      <c r="B83" s="133"/>
      <c r="AE83" s="131">
        <v>0.802460550449826</v>
      </c>
      <c r="AL83" s="134"/>
    </row>
    <row r="84" spans="1:38" x14ac:dyDescent="0.2">
      <c r="A84" s="133"/>
      <c r="B84" s="133"/>
      <c r="AL84" s="134"/>
    </row>
    <row r="85" spans="1:38" x14ac:dyDescent="0.2">
      <c r="A85" s="133"/>
      <c r="B85" s="133"/>
      <c r="AL85" s="134"/>
    </row>
    <row r="86" spans="1:38" x14ac:dyDescent="0.2">
      <c r="A86" s="133"/>
      <c r="B86" s="133"/>
      <c r="AL86" s="134"/>
    </row>
    <row r="87" spans="1:38" x14ac:dyDescent="0.2">
      <c r="A87" s="133"/>
      <c r="B87" s="133"/>
      <c r="AL87" s="134"/>
    </row>
    <row r="88" spans="1:38" x14ac:dyDescent="0.2">
      <c r="A88" s="133"/>
      <c r="B88" s="133"/>
      <c r="AL88" s="134"/>
    </row>
    <row r="89" spans="1:38" x14ac:dyDescent="0.2">
      <c r="A89" s="133"/>
      <c r="B89" s="133"/>
      <c r="M89" s="127" t="s">
        <v>1159</v>
      </c>
      <c r="AL89" s="134"/>
    </row>
    <row r="90" spans="1:38" x14ac:dyDescent="0.2">
      <c r="A90" s="133"/>
      <c r="B90" s="133"/>
      <c r="AL90" s="134"/>
    </row>
    <row r="91" spans="1:38" x14ac:dyDescent="0.2">
      <c r="A91" s="133"/>
      <c r="B91" s="133"/>
      <c r="AL91" s="134"/>
    </row>
    <row r="92" spans="1:38" x14ac:dyDescent="0.2">
      <c r="A92" s="133"/>
      <c r="B92" s="133"/>
      <c r="L92" s="556" t="s">
        <v>1160</v>
      </c>
      <c r="N92" s="641" t="str">
        <f t="shared" ref="N92:P92" si="92">N7</f>
        <v>Highway</v>
      </c>
      <c r="O92" s="641" t="str">
        <f t="shared" si="92"/>
        <v>Rail</v>
      </c>
      <c r="P92" s="641" t="str">
        <f t="shared" si="92"/>
        <v>Air</v>
      </c>
      <c r="AL92" s="134"/>
    </row>
    <row r="93" spans="1:38" x14ac:dyDescent="0.2">
      <c r="A93" s="133"/>
      <c r="B93" s="133"/>
      <c r="M93">
        <v>1970</v>
      </c>
      <c r="N93">
        <f>N31</f>
        <v>4923.1024016152023</v>
      </c>
      <c r="O93">
        <f t="shared" ref="O93:P93" si="93">O31</f>
        <v>3208.5724094478378</v>
      </c>
      <c r="P93">
        <f t="shared" si="93"/>
        <v>8130.8678455428826</v>
      </c>
      <c r="AL93" s="134"/>
    </row>
    <row r="94" spans="1:38" x14ac:dyDescent="0.2">
      <c r="A94" s="133"/>
      <c r="B94" s="133"/>
      <c r="M94">
        <f>M93+1</f>
        <v>1971</v>
      </c>
      <c r="N94">
        <f t="shared" ref="N94:P94" si="94">N32</f>
        <v>4918.6092280635503</v>
      </c>
      <c r="O94">
        <f t="shared" si="94"/>
        <v>3264.9578469056869</v>
      </c>
      <c r="P94">
        <f t="shared" si="94"/>
        <v>7784.8668160075295</v>
      </c>
      <c r="AL94" s="134"/>
    </row>
    <row r="95" spans="1:38" x14ac:dyDescent="0.2">
      <c r="A95" s="133"/>
      <c r="B95" s="133"/>
      <c r="M95">
        <f t="shared" ref="M95:M128" si="95">M94+1</f>
        <v>1972</v>
      </c>
      <c r="N95">
        <f t="shared" ref="N95:P95" si="96">N33</f>
        <v>4958.169962251839</v>
      </c>
      <c r="O95">
        <f t="shared" si="96"/>
        <v>3173.7463007336669</v>
      </c>
      <c r="P95">
        <f t="shared" si="96"/>
        <v>7108.92385636163</v>
      </c>
      <c r="AL95" s="134"/>
    </row>
    <row r="96" spans="1:38" x14ac:dyDescent="0.2">
      <c r="A96" s="133"/>
      <c r="B96" s="133"/>
      <c r="M96">
        <f t="shared" si="95"/>
        <v>1973</v>
      </c>
      <c r="N96">
        <f t="shared" ref="N96:P96" si="97">N34</f>
        <v>4991.8668268155261</v>
      </c>
      <c r="O96">
        <f t="shared" si="97"/>
        <v>3083.6305336429086</v>
      </c>
      <c r="P96">
        <f t="shared" si="97"/>
        <v>7266.1695845966487</v>
      </c>
      <c r="AL96" s="134"/>
    </row>
    <row r="97" spans="1:38" x14ac:dyDescent="0.2">
      <c r="A97" s="133"/>
      <c r="B97" s="133"/>
      <c r="M97">
        <f t="shared" si="95"/>
        <v>1974</v>
      </c>
      <c r="N97">
        <f t="shared" ref="N97:P97" si="98">N35</f>
        <v>4898.5354302888491</v>
      </c>
      <c r="O97">
        <f t="shared" si="98"/>
        <v>3193.8108769342862</v>
      </c>
      <c r="P97">
        <f t="shared" si="98"/>
        <v>7143.9643129734695</v>
      </c>
      <c r="AL97" s="134"/>
    </row>
    <row r="98" spans="1:38" x14ac:dyDescent="0.2">
      <c r="A98" s="133"/>
      <c r="B98" s="133"/>
      <c r="M98">
        <f t="shared" si="95"/>
        <v>1975</v>
      </c>
      <c r="N98">
        <f t="shared" ref="N98:P98" si="99">N36</f>
        <v>4857.5472204676589</v>
      </c>
      <c r="O98">
        <f t="shared" si="99"/>
        <v>3348.8972282406248</v>
      </c>
      <c r="P98">
        <f t="shared" si="99"/>
        <v>7239.1836268967818</v>
      </c>
      <c r="AL98" s="134"/>
    </row>
    <row r="99" spans="1:38" x14ac:dyDescent="0.2">
      <c r="A99" s="133"/>
      <c r="B99" s="133"/>
      <c r="M99">
        <f t="shared" si="95"/>
        <v>1976</v>
      </c>
      <c r="N99">
        <f t="shared" ref="N99:P99" si="100">N37</f>
        <v>4900.2518764414035</v>
      </c>
      <c r="O99">
        <f t="shared" si="100"/>
        <v>3061.798115481819</v>
      </c>
      <c r="P99">
        <f t="shared" si="100"/>
        <v>6466.5416655689151</v>
      </c>
      <c r="AL99" s="134"/>
    </row>
    <row r="100" spans="1:38" x14ac:dyDescent="0.2">
      <c r="A100" s="133"/>
      <c r="B100" s="133"/>
      <c r="M100">
        <f t="shared" si="95"/>
        <v>1977</v>
      </c>
      <c r="N100">
        <f t="shared" ref="N100:P100" si="101">N38</f>
        <v>4815.38017179691</v>
      </c>
      <c r="O100">
        <f t="shared" si="101"/>
        <v>2489.8094855578506</v>
      </c>
      <c r="P100">
        <f t="shared" si="101"/>
        <v>5808.8429880204621</v>
      </c>
      <c r="AL100" s="134"/>
    </row>
    <row r="101" spans="1:38" x14ac:dyDescent="0.2">
      <c r="A101" s="133"/>
      <c r="B101" s="133"/>
      <c r="M101">
        <f t="shared" si="95"/>
        <v>1978</v>
      </c>
      <c r="N101">
        <f t="shared" ref="N101:P101" si="102">N39</f>
        <v>4779.8379911958182</v>
      </c>
      <c r="O101">
        <f t="shared" si="102"/>
        <v>2408.8648079970149</v>
      </c>
      <c r="P101">
        <f t="shared" si="102"/>
        <v>5396.3795769062626</v>
      </c>
      <c r="AL101" s="134"/>
    </row>
    <row r="102" spans="1:38" x14ac:dyDescent="0.2">
      <c r="A102" s="133"/>
      <c r="B102" s="133"/>
      <c r="M102">
        <f t="shared" si="95"/>
        <v>1979</v>
      </c>
      <c r="N102">
        <f t="shared" ref="N102:P102" si="103">N40</f>
        <v>4688.7595916626551</v>
      </c>
      <c r="O102">
        <f t="shared" si="103"/>
        <v>2446.0434626765318</v>
      </c>
      <c r="P102">
        <f t="shared" si="103"/>
        <v>5026.779508019913</v>
      </c>
      <c r="AL102" s="134"/>
    </row>
    <row r="103" spans="1:38" x14ac:dyDescent="0.2">
      <c r="A103" s="133"/>
      <c r="B103" s="133"/>
      <c r="M103">
        <f t="shared" si="95"/>
        <v>1980</v>
      </c>
      <c r="N103">
        <f t="shared" ref="N103:P103" si="104">N41</f>
        <v>4384.1643335285553</v>
      </c>
      <c r="O103">
        <f t="shared" si="104"/>
        <v>2469.7499850867243</v>
      </c>
      <c r="P103">
        <f t="shared" si="104"/>
        <v>4865.1451115521313</v>
      </c>
      <c r="AL103" s="134"/>
    </row>
    <row r="104" spans="1:38" x14ac:dyDescent="0.2">
      <c r="A104" s="133"/>
      <c r="B104" s="133"/>
      <c r="M104">
        <f t="shared" si="95"/>
        <v>1981</v>
      </c>
      <c r="N104">
        <f t="shared" ref="N104:P104" si="105">N42</f>
        <v>4281.324678406867</v>
      </c>
      <c r="O104">
        <f t="shared" si="105"/>
        <v>2532.7799865282027</v>
      </c>
      <c r="P104">
        <f t="shared" si="105"/>
        <v>5103.5466242983339</v>
      </c>
      <c r="AL104" s="134"/>
    </row>
    <row r="105" spans="1:38" x14ac:dyDescent="0.2">
      <c r="A105" s="133"/>
      <c r="B105" s="133"/>
      <c r="M105">
        <f t="shared" si="95"/>
        <v>1982</v>
      </c>
      <c r="N105">
        <f t="shared" ref="N105:P105" si="106">N43</f>
        <v>4154.5915656065299</v>
      </c>
      <c r="O105">
        <f t="shared" si="106"/>
        <v>2627.3727996033508</v>
      </c>
      <c r="P105">
        <f t="shared" si="106"/>
        <v>4908.8688644675658</v>
      </c>
      <c r="AL105" s="134"/>
    </row>
    <row r="106" spans="1:38" x14ac:dyDescent="0.2">
      <c r="A106" s="133"/>
      <c r="B106" s="133"/>
      <c r="M106">
        <f t="shared" si="95"/>
        <v>1983</v>
      </c>
      <c r="N106">
        <f t="shared" ref="N106:P106" si="107">N44</f>
        <v>4115.2914750286991</v>
      </c>
      <c r="O106">
        <f t="shared" si="107"/>
        <v>2821.3980776781068</v>
      </c>
      <c r="P106">
        <f t="shared" si="107"/>
        <v>4526.6496035441623</v>
      </c>
      <c r="AL106" s="134"/>
    </row>
    <row r="107" spans="1:38" x14ac:dyDescent="0.2">
      <c r="A107" s="133"/>
      <c r="B107" s="133"/>
      <c r="M107">
        <f t="shared" si="95"/>
        <v>1984</v>
      </c>
      <c r="N107">
        <f t="shared" ref="N107:P107" si="108">N45</f>
        <v>4103.3841392900131</v>
      </c>
      <c r="O107">
        <f t="shared" si="108"/>
        <v>2846.9500077126577</v>
      </c>
      <c r="P107">
        <f t="shared" si="108"/>
        <v>4687.6518146560475</v>
      </c>
      <c r="AL107" s="134"/>
    </row>
    <row r="108" spans="1:38" x14ac:dyDescent="0.2">
      <c r="A108" s="133"/>
      <c r="B108" s="133"/>
      <c r="M108">
        <f t="shared" si="95"/>
        <v>1985</v>
      </c>
      <c r="N108">
        <f t="shared" ref="N108:P108" si="109">N46</f>
        <v>4137.9357457329543</v>
      </c>
      <c r="O108">
        <f t="shared" si="109"/>
        <v>2697.6811872378507</v>
      </c>
      <c r="P108">
        <f t="shared" si="109"/>
        <v>4543.7248855235248</v>
      </c>
      <c r="AL108" s="134"/>
    </row>
    <row r="109" spans="1:38" x14ac:dyDescent="0.2">
      <c r="A109" s="133"/>
      <c r="B109" s="133"/>
      <c r="M109">
        <f t="shared" si="95"/>
        <v>1986</v>
      </c>
      <c r="N109">
        <f t="shared" ref="N109:P109" si="110">N47</f>
        <v>4203.0752577598378</v>
      </c>
      <c r="O109">
        <f t="shared" si="110"/>
        <v>2796.7417809272251</v>
      </c>
      <c r="P109">
        <f t="shared" si="110"/>
        <v>4500.5468029867916</v>
      </c>
      <c r="AL109" s="134"/>
    </row>
    <row r="110" spans="1:38" x14ac:dyDescent="0.2">
      <c r="A110" s="133"/>
      <c r="B110" s="133"/>
      <c r="M110">
        <f t="shared" si="95"/>
        <v>1987</v>
      </c>
      <c r="N110">
        <f t="shared" ref="N110:P110" si="111">N48</f>
        <v>4152.5828135318006</v>
      </c>
      <c r="O110">
        <f t="shared" si="111"/>
        <v>2749.72140157796</v>
      </c>
      <c r="P110">
        <f t="shared" si="111"/>
        <v>4252.7864741005915</v>
      </c>
      <c r="AL110" s="134"/>
    </row>
    <row r="111" spans="1:38" x14ac:dyDescent="0.2">
      <c r="A111" s="133"/>
      <c r="B111" s="133"/>
      <c r="M111">
        <f t="shared" si="95"/>
        <v>1988</v>
      </c>
      <c r="N111">
        <f t="shared" ref="N111:P111" si="112">N49</f>
        <v>4078.0042043316425</v>
      </c>
      <c r="O111">
        <f t="shared" si="112"/>
        <v>2753.8058005717462</v>
      </c>
      <c r="P111">
        <f t="shared" si="112"/>
        <v>4229.7005141876143</v>
      </c>
      <c r="AL111" s="134"/>
    </row>
    <row r="112" spans="1:38" x14ac:dyDescent="0.2">
      <c r="A112" s="133"/>
      <c r="B112" s="133"/>
      <c r="M112">
        <f t="shared" si="95"/>
        <v>1989</v>
      </c>
      <c r="N112">
        <f t="shared" ref="N112:P112" si="113">N50</f>
        <v>4052.3352227909895</v>
      </c>
      <c r="O112">
        <f t="shared" si="113"/>
        <v>2734.2976228139132</v>
      </c>
      <c r="P112">
        <f t="shared" si="113"/>
        <v>4123.2976736515329</v>
      </c>
      <c r="AL112" s="134"/>
    </row>
    <row r="113" spans="1:38" x14ac:dyDescent="0.2">
      <c r="A113" s="133"/>
      <c r="B113" s="133"/>
      <c r="L113" s="136">
        <f>N113/N93</f>
        <v>0.80321522164998493</v>
      </c>
      <c r="M113">
        <f t="shared" si="95"/>
        <v>1990</v>
      </c>
      <c r="N113">
        <f t="shared" ref="N113:P113" si="114">N51</f>
        <v>3954.3107867189278</v>
      </c>
      <c r="O113">
        <f t="shared" si="114"/>
        <v>2748.3354613095794</v>
      </c>
      <c r="P113">
        <f t="shared" si="114"/>
        <v>4157.6434626818645</v>
      </c>
      <c r="AL113" s="134"/>
    </row>
    <row r="114" spans="1:38" x14ac:dyDescent="0.2">
      <c r="A114" s="133"/>
      <c r="B114" s="133"/>
      <c r="M114">
        <f t="shared" si="95"/>
        <v>1991</v>
      </c>
      <c r="N114">
        <f t="shared" ref="N114:P114" si="115">N52</f>
        <v>3815.5455871119384</v>
      </c>
      <c r="O114">
        <f t="shared" si="115"/>
        <v>2804.3508845520123</v>
      </c>
      <c r="P114">
        <f t="shared" si="115"/>
        <v>3843.5480083192556</v>
      </c>
      <c r="AL114" s="134"/>
    </row>
    <row r="115" spans="1:38" x14ac:dyDescent="0.2">
      <c r="A115" s="133"/>
      <c r="B115" s="133"/>
      <c r="M115">
        <f t="shared" si="95"/>
        <v>1992</v>
      </c>
      <c r="N115">
        <f t="shared" ref="N115:P115" si="116">N53</f>
        <v>3838.7146833896222</v>
      </c>
      <c r="O115">
        <f t="shared" si="116"/>
        <v>2748.7812810254445</v>
      </c>
      <c r="P115">
        <f t="shared" si="116"/>
        <v>3823.2162259082797</v>
      </c>
      <c r="AL115" s="134"/>
    </row>
    <row r="116" spans="1:38" x14ac:dyDescent="0.2">
      <c r="A116" s="133"/>
      <c r="B116" s="133"/>
      <c r="M116">
        <f t="shared" si="95"/>
        <v>1993</v>
      </c>
      <c r="N116">
        <f t="shared" ref="N116:P116" si="117">N54</f>
        <v>3897.2148079016629</v>
      </c>
      <c r="O116">
        <f t="shared" si="117"/>
        <v>2946.8137154724818</v>
      </c>
      <c r="P116">
        <f t="shared" si="117"/>
        <v>3719.8502549616173</v>
      </c>
      <c r="AL116" s="134"/>
    </row>
    <row r="117" spans="1:38" x14ac:dyDescent="0.2">
      <c r="A117" s="133"/>
      <c r="B117" s="133"/>
      <c r="M117">
        <f t="shared" si="95"/>
        <v>1994</v>
      </c>
      <c r="N117">
        <f t="shared" ref="N117:P117" si="118">N55</f>
        <v>3892.5498841064755</v>
      </c>
      <c r="O117">
        <f t="shared" si="118"/>
        <v>2881.2633960185699</v>
      </c>
      <c r="P117">
        <f t="shared" si="118"/>
        <v>3616.051650270123</v>
      </c>
      <c r="AL117" s="134"/>
    </row>
    <row r="118" spans="1:38" x14ac:dyDescent="0.2">
      <c r="A118" s="133"/>
      <c r="B118" s="133"/>
      <c r="M118">
        <f t="shared" si="95"/>
        <v>1995</v>
      </c>
      <c r="N118">
        <f t="shared" ref="N118:P118" si="119">N56</f>
        <v>3863.1709180539792</v>
      </c>
      <c r="O118">
        <f t="shared" si="119"/>
        <v>2909.8776103617897</v>
      </c>
      <c r="P118">
        <f t="shared" si="119"/>
        <v>3589.0555037586364</v>
      </c>
      <c r="AL118" s="134"/>
    </row>
    <row r="119" spans="1:38" x14ac:dyDescent="0.2">
      <c r="A119" s="133"/>
      <c r="B119" s="133"/>
      <c r="M119">
        <f t="shared" si="95"/>
        <v>1996</v>
      </c>
      <c r="N119">
        <f t="shared" ref="N119:P119" si="120">N57</f>
        <v>3853.1347922009659</v>
      </c>
      <c r="O119">
        <f t="shared" si="120"/>
        <v>2818.2334050911613</v>
      </c>
      <c r="P119">
        <f t="shared" si="120"/>
        <v>3469.2236679919529</v>
      </c>
      <c r="AL119" s="134"/>
    </row>
    <row r="120" spans="1:38" x14ac:dyDescent="0.2">
      <c r="A120" s="133"/>
      <c r="B120" s="133"/>
      <c r="M120">
        <f t="shared" si="95"/>
        <v>1997</v>
      </c>
      <c r="N120">
        <f t="shared" ref="N120:P120" si="121">N58</f>
        <v>3823.778938966258</v>
      </c>
      <c r="O120">
        <f t="shared" si="121"/>
        <v>2806.0366904283896</v>
      </c>
      <c r="P120">
        <f t="shared" si="121"/>
        <v>3443.2258237411797</v>
      </c>
      <c r="AL120" s="134"/>
    </row>
    <row r="121" spans="1:38" x14ac:dyDescent="0.2">
      <c r="A121" s="133"/>
      <c r="B121" s="133"/>
      <c r="M121">
        <f t="shared" si="95"/>
        <v>1998</v>
      </c>
      <c r="N121">
        <f t="shared" ref="N121:P121" si="122">N59</f>
        <v>3802.7649597555392</v>
      </c>
      <c r="O121">
        <f t="shared" si="122"/>
        <v>2761.3324081740225</v>
      </c>
      <c r="P121">
        <f t="shared" si="122"/>
        <v>3478.2939878150469</v>
      </c>
      <c r="AL121" s="134"/>
    </row>
    <row r="122" spans="1:38" x14ac:dyDescent="0.2">
      <c r="A122" s="133"/>
      <c r="B122" s="133"/>
      <c r="M122">
        <f t="shared" si="95"/>
        <v>1999</v>
      </c>
      <c r="N122">
        <f t="shared" ref="N122:P122" si="123">N60</f>
        <v>3831.1756014963944</v>
      </c>
      <c r="O122">
        <f t="shared" si="123"/>
        <v>2788.8599335300951</v>
      </c>
      <c r="P122">
        <f t="shared" si="123"/>
        <v>3523.0049300540318</v>
      </c>
      <c r="AL122" s="134"/>
    </row>
    <row r="123" spans="1:38" x14ac:dyDescent="0.2">
      <c r="A123" s="133"/>
      <c r="B123" s="133"/>
      <c r="M123">
        <f t="shared" si="95"/>
        <v>2000</v>
      </c>
      <c r="N123">
        <f t="shared" ref="N123:P123" si="124">N61</f>
        <v>3733.7055649053204</v>
      </c>
      <c r="O123">
        <f t="shared" si="124"/>
        <v>2774.0898282392027</v>
      </c>
      <c r="P123">
        <f t="shared" si="124"/>
        <v>3364.4865906382729</v>
      </c>
      <c r="AL123" s="134"/>
    </row>
    <row r="124" spans="1:38" x14ac:dyDescent="0.2">
      <c r="A124" s="133"/>
      <c r="B124" s="133"/>
      <c r="M124">
        <f t="shared" si="95"/>
        <v>2001</v>
      </c>
      <c r="N124">
        <f t="shared" ref="N124:P124" si="125">N62</f>
        <v>3681.1489685040547</v>
      </c>
      <c r="O124">
        <f t="shared" si="125"/>
        <v>2763.1287454267299</v>
      </c>
      <c r="P124">
        <f t="shared" si="125"/>
        <v>3399.1170353905618</v>
      </c>
      <c r="AL124" s="134"/>
    </row>
    <row r="125" spans="1:38" x14ac:dyDescent="0.2">
      <c r="A125" s="133"/>
      <c r="B125" s="133"/>
      <c r="M125">
        <f t="shared" si="95"/>
        <v>2002</v>
      </c>
      <c r="N125">
        <f t="shared" ref="N125:P125" si="126">N63</f>
        <v>3691.8912089546698</v>
      </c>
      <c r="O125">
        <f t="shared" si="126"/>
        <v>2804.304254963914</v>
      </c>
      <c r="P125">
        <f t="shared" si="126"/>
        <v>3132.2986089747401</v>
      </c>
      <c r="AL125" s="134"/>
    </row>
    <row r="126" spans="1:38" x14ac:dyDescent="0.2">
      <c r="A126" s="133"/>
      <c r="B126" s="133"/>
      <c r="M126">
        <f t="shared" si="95"/>
        <v>2003</v>
      </c>
      <c r="N126">
        <f t="shared" ref="N126:P126" si="127">N64</f>
        <v>3773.6906210984362</v>
      </c>
      <c r="O126">
        <f t="shared" si="127"/>
        <v>2737.8706111276015</v>
      </c>
      <c r="P126">
        <f t="shared" si="127"/>
        <v>3021.8097444519276</v>
      </c>
      <c r="AL126" s="134"/>
    </row>
    <row r="127" spans="1:38" x14ac:dyDescent="0.2">
      <c r="A127" s="133"/>
      <c r="B127" s="133"/>
      <c r="M127">
        <f t="shared" si="95"/>
        <v>2004</v>
      </c>
      <c r="N127">
        <f t="shared" ref="N127:P127" si="128">N65</f>
        <v>3723.2871930145161</v>
      </c>
      <c r="O127">
        <f t="shared" si="128"/>
        <v>2694.591665596919</v>
      </c>
      <c r="P127">
        <f t="shared" si="128"/>
        <v>2829.0646391816067</v>
      </c>
      <c r="AL127" s="134"/>
    </row>
    <row r="128" spans="1:38" x14ac:dyDescent="0.2">
      <c r="A128" s="133"/>
      <c r="B128" s="133"/>
      <c r="M128">
        <f t="shared" si="95"/>
        <v>2005</v>
      </c>
      <c r="N128">
        <f t="shared" ref="N128:P128" si="129">N66</f>
        <v>3612.882056531505</v>
      </c>
      <c r="O128">
        <f t="shared" si="129"/>
        <v>2758.3021601123596</v>
      </c>
      <c r="P128">
        <f t="shared" si="129"/>
        <v>2848.8228969046845</v>
      </c>
      <c r="AL128" s="134"/>
    </row>
    <row r="129" spans="1:38" x14ac:dyDescent="0.2">
      <c r="A129" s="133"/>
      <c r="B129" s="133"/>
      <c r="M129">
        <f t="shared" ref="M129:M134" si="130">M128+1</f>
        <v>2006</v>
      </c>
      <c r="N129">
        <f t="shared" ref="N129:P129" si="131">N67</f>
        <v>3560.7683447097597</v>
      </c>
      <c r="O129">
        <f t="shared" si="131"/>
        <v>2639.9462044625748</v>
      </c>
      <c r="P129">
        <f t="shared" si="131"/>
        <v>2866.8173143709078</v>
      </c>
      <c r="AL129" s="134"/>
    </row>
    <row r="130" spans="1:38" x14ac:dyDescent="0.2">
      <c r="A130" s="133"/>
      <c r="B130" s="133"/>
      <c r="M130">
        <f t="shared" si="130"/>
        <v>2007</v>
      </c>
      <c r="N130">
        <f t="shared" ref="N130:P130" si="132">N68</f>
        <v>3537.108292917942</v>
      </c>
      <c r="O130">
        <f t="shared" si="132"/>
        <v>2586.3759618362037</v>
      </c>
      <c r="P130">
        <f t="shared" si="132"/>
        <v>2789.0464849627847</v>
      </c>
      <c r="AL130" s="134"/>
    </row>
    <row r="131" spans="1:38" x14ac:dyDescent="0.2">
      <c r="A131" s="133"/>
      <c r="B131" s="133"/>
      <c r="M131">
        <f t="shared" si="130"/>
        <v>2008</v>
      </c>
      <c r="N131">
        <f t="shared" ref="N131:P131" si="133">N69</f>
        <v>3520.7039818110238</v>
      </c>
      <c r="O131">
        <f t="shared" si="133"/>
        <v>2541.0557316486493</v>
      </c>
      <c r="P131">
        <f t="shared" si="133"/>
        <v>2777.064802272821</v>
      </c>
      <c r="AL131" s="134"/>
    </row>
    <row r="132" spans="1:38" x14ac:dyDescent="0.2">
      <c r="A132" s="133"/>
      <c r="B132" s="133"/>
      <c r="M132">
        <f t="shared" si="130"/>
        <v>2009</v>
      </c>
      <c r="N132">
        <f t="shared" ref="N132:P132" si="134">N70</f>
        <v>3513.9379334552691</v>
      </c>
      <c r="O132">
        <f t="shared" si="134"/>
        <v>2594.3846459751035</v>
      </c>
      <c r="P132">
        <f t="shared" si="134"/>
        <v>2671.8644138838704</v>
      </c>
      <c r="AL132" s="134"/>
    </row>
    <row r="133" spans="1:38" x14ac:dyDescent="0.2">
      <c r="A133" s="133"/>
      <c r="B133" s="133"/>
      <c r="M133">
        <f t="shared" si="130"/>
        <v>2010</v>
      </c>
      <c r="N133">
        <f t="shared" ref="N133:P134" si="135">N71</f>
        <v>3537.9513786825569</v>
      </c>
      <c r="O133">
        <f t="shared" si="135"/>
        <v>2589.9315442381671</v>
      </c>
      <c r="P133">
        <f t="shared" si="135"/>
        <v>2574.2556574833584</v>
      </c>
      <c r="AL133" s="134"/>
    </row>
    <row r="134" spans="1:38" x14ac:dyDescent="0.2">
      <c r="A134" s="133"/>
      <c r="B134" s="133"/>
      <c r="L134" s="136">
        <f>N134/N113</f>
        <v>0.90319527343906636</v>
      </c>
      <c r="M134">
        <f t="shared" si="130"/>
        <v>2011</v>
      </c>
      <c r="N134">
        <f t="shared" si="135"/>
        <v>3571.5148122736518</v>
      </c>
      <c r="O134">
        <f t="shared" si="135"/>
        <v>2511.3150457240076</v>
      </c>
      <c r="P134">
        <f t="shared" si="135"/>
        <v>2571.615881832307</v>
      </c>
      <c r="AL134" s="134"/>
    </row>
    <row r="135" spans="1:38" x14ac:dyDescent="0.2">
      <c r="A135" s="133"/>
      <c r="B135" s="133"/>
      <c r="AL135" s="134"/>
    </row>
    <row r="136" spans="1:38" x14ac:dyDescent="0.2">
      <c r="A136" s="133"/>
      <c r="B136" s="133"/>
      <c r="AL136" s="134"/>
    </row>
    <row r="137" spans="1:38" x14ac:dyDescent="0.2">
      <c r="A137" s="133"/>
      <c r="B137" s="133"/>
      <c r="AL137" s="134"/>
    </row>
    <row r="138" spans="1:38" x14ac:dyDescent="0.2">
      <c r="A138" s="133"/>
      <c r="B138" s="133"/>
      <c r="AL138" s="134"/>
    </row>
    <row r="139" spans="1:38" x14ac:dyDescent="0.2">
      <c r="A139" s="133"/>
      <c r="B139" s="133"/>
      <c r="AL139" s="134"/>
    </row>
    <row r="140" spans="1:38" x14ac:dyDescent="0.2">
      <c r="A140" s="133"/>
      <c r="B140" s="133"/>
      <c r="AL140" s="134"/>
    </row>
    <row r="141" spans="1:38" x14ac:dyDescent="0.2">
      <c r="A141" s="133"/>
      <c r="B141" s="133"/>
      <c r="AL141" s="134"/>
    </row>
    <row r="142" spans="1:38" x14ac:dyDescent="0.2">
      <c r="A142" s="133"/>
      <c r="B142" s="133"/>
      <c r="AL142" s="134"/>
    </row>
    <row r="143" spans="1:38" x14ac:dyDescent="0.2">
      <c r="A143" s="133"/>
      <c r="B143" s="133"/>
      <c r="AL143" s="134"/>
    </row>
    <row r="144" spans="1:38" x14ac:dyDescent="0.2">
      <c r="A144" s="133"/>
      <c r="B144" s="133"/>
      <c r="AL144" s="134"/>
    </row>
    <row r="145" spans="1:38" x14ac:dyDescent="0.2">
      <c r="A145" s="133"/>
      <c r="B145" s="133"/>
      <c r="AL145" s="134"/>
    </row>
    <row r="146" spans="1:38" x14ac:dyDescent="0.2">
      <c r="A146" s="133"/>
      <c r="B146" s="133"/>
      <c r="AL146" s="134"/>
    </row>
    <row r="147" spans="1:38" x14ac:dyDescent="0.2">
      <c r="A147" s="133"/>
      <c r="B147" s="133"/>
      <c r="AL147" s="134"/>
    </row>
    <row r="148" spans="1:38" x14ac:dyDescent="0.2">
      <c r="A148" s="133"/>
      <c r="B148" s="133"/>
      <c r="AL148" s="134"/>
    </row>
    <row r="149" spans="1:38" x14ac:dyDescent="0.2">
      <c r="A149" s="133"/>
      <c r="B149" s="133"/>
      <c r="AL149" s="134"/>
    </row>
    <row r="150" spans="1:38" x14ac:dyDescent="0.2">
      <c r="A150" s="133"/>
      <c r="B150" s="133"/>
      <c r="AL150" s="134"/>
    </row>
    <row r="151" spans="1:38" x14ac:dyDescent="0.2">
      <c r="A151" s="133"/>
      <c r="B151" s="133"/>
      <c r="AL151" s="134"/>
    </row>
    <row r="152" spans="1:38" x14ac:dyDescent="0.2">
      <c r="A152" s="133"/>
      <c r="B152" s="133"/>
      <c r="AL152" s="134"/>
    </row>
    <row r="153" spans="1:38" x14ac:dyDescent="0.2">
      <c r="A153" s="133"/>
      <c r="B153" s="133"/>
      <c r="AL153" s="134"/>
    </row>
    <row r="154" spans="1:38" x14ac:dyDescent="0.2">
      <c r="A154" s="133"/>
      <c r="B154" s="133"/>
      <c r="AL154" s="134"/>
    </row>
    <row r="155" spans="1:38" x14ac:dyDescent="0.2">
      <c r="A155" s="133"/>
      <c r="B155" s="133"/>
      <c r="AL155" s="134"/>
    </row>
    <row r="156" spans="1:38" x14ac:dyDescent="0.2">
      <c r="A156" s="133"/>
      <c r="B156" s="133"/>
      <c r="AL156" s="134"/>
    </row>
    <row r="157" spans="1:38" x14ac:dyDescent="0.2">
      <c r="A157" s="133"/>
      <c r="B157" s="133"/>
      <c r="AL157" s="134"/>
    </row>
    <row r="158" spans="1:38" x14ac:dyDescent="0.2">
      <c r="A158" s="133"/>
      <c r="B158" s="133"/>
      <c r="AL158" s="134"/>
    </row>
    <row r="159" spans="1:38" x14ac:dyDescent="0.2">
      <c r="A159" s="133"/>
      <c r="B159" s="133"/>
      <c r="AL159" s="134"/>
    </row>
    <row r="160" spans="1:38" x14ac:dyDescent="0.2">
      <c r="A160" s="133"/>
      <c r="B160" s="133"/>
      <c r="AL160" s="134"/>
    </row>
    <row r="161" spans="1:38" x14ac:dyDescent="0.2">
      <c r="A161" s="133"/>
      <c r="B161" s="133"/>
      <c r="AL161" s="134"/>
    </row>
    <row r="162" spans="1:38" x14ac:dyDescent="0.2">
      <c r="A162" s="133"/>
      <c r="B162" s="133"/>
      <c r="AL162" s="134"/>
    </row>
    <row r="163" spans="1:38" x14ac:dyDescent="0.2">
      <c r="A163" s="133"/>
      <c r="B163" s="133"/>
      <c r="AL163" s="134"/>
    </row>
    <row r="164" spans="1:38" x14ac:dyDescent="0.2">
      <c r="A164" s="133"/>
      <c r="B164" s="133"/>
      <c r="AL164" s="134"/>
    </row>
    <row r="165" spans="1:38" x14ac:dyDescent="0.2">
      <c r="A165" s="133"/>
      <c r="B165" s="133"/>
      <c r="AL165" s="134"/>
    </row>
    <row r="166" spans="1:38" x14ac:dyDescent="0.2">
      <c r="A166" s="133"/>
      <c r="B166" s="133"/>
      <c r="AL166" s="134"/>
    </row>
    <row r="167" spans="1:38" x14ac:dyDescent="0.2">
      <c r="A167" s="133"/>
      <c r="B167" s="133"/>
      <c r="AL167" s="134"/>
    </row>
    <row r="168" spans="1:38" x14ac:dyDescent="0.2">
      <c r="A168" s="133"/>
      <c r="B168" s="133"/>
      <c r="AL168" s="134"/>
    </row>
    <row r="169" spans="1:38" x14ac:dyDescent="0.2">
      <c r="A169" s="133"/>
      <c r="B169" s="133"/>
      <c r="AL169" s="134"/>
    </row>
    <row r="170" spans="1:38" x14ac:dyDescent="0.2">
      <c r="A170" s="133"/>
      <c r="B170" s="133"/>
      <c r="AL170" s="134"/>
    </row>
    <row r="171" spans="1:38" x14ac:dyDescent="0.2">
      <c r="A171" s="133"/>
      <c r="B171" s="133"/>
      <c r="AL171" s="134"/>
    </row>
    <row r="172" spans="1:38" x14ac:dyDescent="0.2">
      <c r="A172" s="133"/>
      <c r="B172" s="133"/>
      <c r="AL172" s="134"/>
    </row>
    <row r="173" spans="1:38" x14ac:dyDescent="0.2">
      <c r="A173" s="133"/>
      <c r="B173" s="133"/>
      <c r="AL173" s="134"/>
    </row>
    <row r="174" spans="1:38" x14ac:dyDescent="0.2">
      <c r="A174" s="133"/>
      <c r="B174" s="133"/>
      <c r="AL174" s="134"/>
    </row>
    <row r="175" spans="1:38" x14ac:dyDescent="0.2">
      <c r="A175" s="133"/>
      <c r="B175" s="133"/>
      <c r="AL175" s="134"/>
    </row>
    <row r="176" spans="1:38" x14ac:dyDescent="0.2">
      <c r="A176" s="133"/>
      <c r="B176" s="133"/>
      <c r="AL176" s="134"/>
    </row>
    <row r="177" spans="1:38" x14ac:dyDescent="0.2">
      <c r="A177" s="133"/>
      <c r="B177" s="133"/>
      <c r="AL177" s="134"/>
    </row>
    <row r="178" spans="1:38" x14ac:dyDescent="0.2">
      <c r="A178" s="133"/>
      <c r="B178" s="133"/>
      <c r="AL178" s="134"/>
    </row>
    <row r="179" spans="1:38" x14ac:dyDescent="0.2">
      <c r="A179" s="133"/>
      <c r="B179" s="133"/>
      <c r="AL179" s="134"/>
    </row>
    <row r="180" spans="1:38" x14ac:dyDescent="0.2">
      <c r="A180" s="133"/>
      <c r="B180" s="133"/>
      <c r="AL180" s="134"/>
    </row>
    <row r="181" spans="1:38" x14ac:dyDescent="0.2">
      <c r="A181" s="133"/>
      <c r="B181" s="133"/>
      <c r="AL181" s="134"/>
    </row>
    <row r="182" spans="1:38" x14ac:dyDescent="0.2">
      <c r="A182" s="133"/>
      <c r="B182" s="133"/>
      <c r="AL182" s="134"/>
    </row>
    <row r="183" spans="1:38" x14ac:dyDescent="0.2">
      <c r="A183" s="133"/>
      <c r="B183" s="133"/>
      <c r="AL183" s="134"/>
    </row>
    <row r="184" spans="1:38" x14ac:dyDescent="0.2">
      <c r="A184" s="133"/>
      <c r="B184" s="133"/>
      <c r="AL184" s="134"/>
    </row>
    <row r="185" spans="1:38" x14ac:dyDescent="0.2">
      <c r="A185" s="133"/>
      <c r="B185" s="133"/>
      <c r="AL185" s="134"/>
    </row>
    <row r="186" spans="1:38" x14ac:dyDescent="0.2">
      <c r="A186" s="133"/>
      <c r="B186" s="133"/>
      <c r="AL186" s="134"/>
    </row>
    <row r="187" spans="1:38" x14ac:dyDescent="0.2">
      <c r="A187" s="133"/>
      <c r="B187" s="133"/>
      <c r="AL187" s="134"/>
    </row>
    <row r="188" spans="1:38" x14ac:dyDescent="0.2">
      <c r="A188" s="133"/>
      <c r="B188" s="133"/>
      <c r="AL188" s="134"/>
    </row>
    <row r="189" spans="1:38" x14ac:dyDescent="0.2">
      <c r="A189" s="133"/>
      <c r="B189" s="133"/>
      <c r="AL189" s="134"/>
    </row>
    <row r="190" spans="1:38" x14ac:dyDescent="0.2">
      <c r="A190" s="133"/>
      <c r="B190" s="133"/>
      <c r="AL190" s="134"/>
    </row>
    <row r="191" spans="1:38" x14ac:dyDescent="0.2">
      <c r="A191" s="133"/>
      <c r="B191" s="133"/>
      <c r="AL191" s="134"/>
    </row>
    <row r="192" spans="1:38" x14ac:dyDescent="0.2">
      <c r="A192" s="133"/>
      <c r="B192" s="133"/>
      <c r="AL192" s="134"/>
    </row>
    <row r="193" spans="1:38" x14ac:dyDescent="0.2">
      <c r="A193" s="133"/>
      <c r="B193" s="133"/>
      <c r="AL193" s="134"/>
    </row>
    <row r="194" spans="1:38" x14ac:dyDescent="0.2">
      <c r="A194" s="133"/>
      <c r="B194" s="133"/>
      <c r="AL194" s="134"/>
    </row>
    <row r="195" spans="1:38" x14ac:dyDescent="0.2">
      <c r="A195" s="133"/>
      <c r="B195" s="133"/>
      <c r="AL195" s="134"/>
    </row>
    <row r="196" spans="1:38" x14ac:dyDescent="0.2">
      <c r="A196" s="133"/>
      <c r="B196" s="133"/>
      <c r="AL196" s="134"/>
    </row>
    <row r="197" spans="1:38" x14ac:dyDescent="0.2">
      <c r="A197" s="133"/>
      <c r="B197" s="133"/>
      <c r="AL197" s="134"/>
    </row>
    <row r="198" spans="1:38" x14ac:dyDescent="0.2">
      <c r="A198" s="133"/>
      <c r="B198" s="133"/>
      <c r="AL198" s="134"/>
    </row>
    <row r="199" spans="1:38" x14ac:dyDescent="0.2">
      <c r="A199" s="133"/>
      <c r="B199" s="133"/>
      <c r="AL199" s="134"/>
    </row>
    <row r="200" spans="1:38" x14ac:dyDescent="0.2">
      <c r="A200" s="133"/>
      <c r="B200" s="133"/>
      <c r="AL200" s="134"/>
    </row>
    <row r="201" spans="1:38" x14ac:dyDescent="0.2">
      <c r="A201" s="133"/>
      <c r="B201" s="133"/>
      <c r="AL201" s="134"/>
    </row>
    <row r="202" spans="1:38" x14ac:dyDescent="0.2">
      <c r="A202" s="133"/>
      <c r="B202" s="133"/>
      <c r="AL202" s="134"/>
    </row>
    <row r="203" spans="1:38" x14ac:dyDescent="0.2">
      <c r="A203" s="133"/>
      <c r="B203" s="133"/>
      <c r="AL203" s="134"/>
    </row>
    <row r="204" spans="1:38" x14ac:dyDescent="0.2">
      <c r="A204" s="133"/>
      <c r="B204" s="133"/>
      <c r="AL204" s="134"/>
    </row>
    <row r="205" spans="1:38" x14ac:dyDescent="0.2">
      <c r="A205" s="133"/>
      <c r="B205" s="133"/>
      <c r="AL205" s="134"/>
    </row>
    <row r="206" spans="1:38" x14ac:dyDescent="0.2">
      <c r="A206" s="133"/>
      <c r="B206" s="133"/>
      <c r="AL206" s="134"/>
    </row>
    <row r="207" spans="1:38" x14ac:dyDescent="0.2">
      <c r="A207" s="133"/>
      <c r="B207" s="133"/>
      <c r="AL207" s="134"/>
    </row>
    <row r="208" spans="1:38" x14ac:dyDescent="0.2">
      <c r="A208" s="133"/>
      <c r="B208" s="133"/>
      <c r="AL208" s="134"/>
    </row>
    <row r="209" spans="1:38" x14ac:dyDescent="0.2">
      <c r="A209" s="133"/>
      <c r="B209" s="133"/>
      <c r="AL209" s="134"/>
    </row>
    <row r="210" spans="1:38" x14ac:dyDescent="0.2">
      <c r="A210" s="133"/>
      <c r="B210" s="133"/>
      <c r="AL210" s="134"/>
    </row>
    <row r="211" spans="1:38" x14ac:dyDescent="0.2">
      <c r="A211" s="133"/>
      <c r="B211" s="133"/>
      <c r="AL211" s="134"/>
    </row>
    <row r="212" spans="1:38" x14ac:dyDescent="0.2">
      <c r="A212" s="133"/>
      <c r="B212" s="133"/>
      <c r="AL212" s="134"/>
    </row>
    <row r="213" spans="1:38" x14ac:dyDescent="0.2">
      <c r="A213" s="133"/>
      <c r="B213" s="133"/>
      <c r="AL213" s="134"/>
    </row>
    <row r="214" spans="1:38" x14ac:dyDescent="0.2">
      <c r="A214" s="133"/>
      <c r="B214" s="133"/>
      <c r="AL214" s="134"/>
    </row>
    <row r="215" spans="1:38" x14ac:dyDescent="0.2">
      <c r="A215" s="133"/>
      <c r="B215" s="133"/>
      <c r="AL215" s="134"/>
    </row>
    <row r="216" spans="1:38" x14ac:dyDescent="0.2">
      <c r="A216" s="133"/>
      <c r="B216" s="133"/>
      <c r="AL216" s="134"/>
    </row>
    <row r="217" spans="1:38" x14ac:dyDescent="0.2">
      <c r="A217" s="133"/>
      <c r="B217" s="133"/>
      <c r="AL217" s="134"/>
    </row>
    <row r="218" spans="1:38" x14ac:dyDescent="0.2">
      <c r="A218" s="133"/>
      <c r="B218" s="133"/>
      <c r="AL218" s="134"/>
    </row>
    <row r="219" spans="1:38" x14ac:dyDescent="0.2">
      <c r="A219" s="133"/>
      <c r="B219" s="133"/>
      <c r="AL219" s="134"/>
    </row>
    <row r="220" spans="1:38" x14ac:dyDescent="0.2">
      <c r="A220" s="133"/>
      <c r="B220" s="133"/>
      <c r="AL220" s="134"/>
    </row>
    <row r="221" spans="1:38" x14ac:dyDescent="0.2">
      <c r="A221" s="133"/>
      <c r="B221" s="133"/>
      <c r="AL221" s="134"/>
    </row>
    <row r="222" spans="1:38" x14ac:dyDescent="0.2">
      <c r="A222" s="133"/>
      <c r="B222" s="133"/>
      <c r="AL222" s="134"/>
    </row>
    <row r="223" spans="1:38" x14ac:dyDescent="0.2">
      <c r="A223" s="133"/>
      <c r="B223" s="133"/>
      <c r="AL223" s="134"/>
    </row>
    <row r="224" spans="1:38" x14ac:dyDescent="0.2">
      <c r="A224" s="133"/>
      <c r="B224" s="133"/>
      <c r="AL224" s="134"/>
    </row>
    <row r="225" spans="1:38" x14ac:dyDescent="0.2">
      <c r="A225" s="133"/>
      <c r="B225" s="133"/>
      <c r="AL225" s="134"/>
    </row>
    <row r="226" spans="1:38" x14ac:dyDescent="0.2">
      <c r="A226" s="133"/>
      <c r="B226" s="133"/>
      <c r="AL226" s="134"/>
    </row>
    <row r="227" spans="1:38" x14ac:dyDescent="0.2">
      <c r="A227" s="133"/>
      <c r="B227" s="133"/>
      <c r="AL227" s="134"/>
    </row>
    <row r="228" spans="1:38" x14ac:dyDescent="0.2">
      <c r="A228" s="133"/>
      <c r="B228" s="133"/>
      <c r="AL228" s="134"/>
    </row>
    <row r="229" spans="1:38" x14ac:dyDescent="0.2">
      <c r="A229" s="133"/>
      <c r="B229" s="133"/>
      <c r="AL229" s="134"/>
    </row>
    <row r="230" spans="1:38" x14ac:dyDescent="0.2">
      <c r="A230" s="133"/>
      <c r="B230" s="133"/>
      <c r="AL230" s="134"/>
    </row>
    <row r="231" spans="1:38" x14ac:dyDescent="0.2">
      <c r="A231" s="133"/>
      <c r="B231" s="133"/>
      <c r="AL231" s="134"/>
    </row>
    <row r="232" spans="1:38" x14ac:dyDescent="0.2">
      <c r="A232" s="133"/>
      <c r="B232" s="133"/>
      <c r="AL232" s="134"/>
    </row>
    <row r="233" spans="1:38" x14ac:dyDescent="0.2">
      <c r="A233" s="133"/>
      <c r="B233" s="133"/>
      <c r="AL233" s="134"/>
    </row>
    <row r="234" spans="1:38" x14ac:dyDescent="0.2">
      <c r="A234" s="133"/>
      <c r="B234" s="133"/>
      <c r="AL234" s="134"/>
    </row>
    <row r="235" spans="1:38" x14ac:dyDescent="0.2">
      <c r="A235" s="133"/>
      <c r="B235" s="133"/>
      <c r="AL235" s="134"/>
    </row>
    <row r="236" spans="1:38" x14ac:dyDescent="0.2">
      <c r="A236" s="133"/>
      <c r="B236" s="133"/>
      <c r="AL236" s="134"/>
    </row>
    <row r="237" spans="1:38" x14ac:dyDescent="0.2">
      <c r="A237" s="133"/>
      <c r="B237" s="133"/>
      <c r="AL237" s="134"/>
    </row>
    <row r="238" spans="1:38" x14ac:dyDescent="0.2">
      <c r="A238" s="133"/>
      <c r="B238" s="133"/>
      <c r="AL238" s="134"/>
    </row>
    <row r="239" spans="1:38" x14ac:dyDescent="0.2">
      <c r="A239" s="133"/>
      <c r="B239" s="133"/>
      <c r="AL239" s="134"/>
    </row>
    <row r="240" spans="1:38" x14ac:dyDescent="0.2">
      <c r="A240" s="133"/>
      <c r="B240" s="133"/>
      <c r="AL240" s="134"/>
    </row>
    <row r="241" spans="1:38" x14ac:dyDescent="0.2">
      <c r="A241" s="133"/>
      <c r="B241" s="133"/>
      <c r="AL241" s="134"/>
    </row>
    <row r="242" spans="1:38" x14ac:dyDescent="0.2">
      <c r="A242" s="133"/>
      <c r="B242" s="133"/>
      <c r="AL242" s="134"/>
    </row>
    <row r="243" spans="1:38" x14ac:dyDescent="0.2">
      <c r="A243" s="133"/>
      <c r="B243" s="133"/>
      <c r="AL243" s="134"/>
    </row>
    <row r="244" spans="1:38" x14ac:dyDescent="0.2">
      <c r="A244" s="133"/>
      <c r="B244" s="133"/>
      <c r="AL244" s="134"/>
    </row>
    <row r="245" spans="1:38" x14ac:dyDescent="0.2">
      <c r="A245" s="133"/>
      <c r="B245" s="133"/>
      <c r="AL245" s="134"/>
    </row>
    <row r="246" spans="1:38" x14ac:dyDescent="0.2">
      <c r="A246" s="133"/>
      <c r="B246" s="133"/>
      <c r="AL246" s="134"/>
    </row>
    <row r="247" spans="1:38" x14ac:dyDescent="0.2">
      <c r="A247" s="133"/>
      <c r="B247" s="133"/>
      <c r="AL247" s="134"/>
    </row>
    <row r="248" spans="1:38" x14ac:dyDescent="0.2">
      <c r="A248" s="133"/>
      <c r="B248" s="133"/>
      <c r="AL248" s="134"/>
    </row>
    <row r="249" spans="1:38" x14ac:dyDescent="0.2">
      <c r="A249" s="133"/>
      <c r="B249" s="133"/>
      <c r="AL249" s="134"/>
    </row>
    <row r="250" spans="1:38" x14ac:dyDescent="0.2">
      <c r="A250" s="133"/>
      <c r="B250" s="133"/>
      <c r="AL250" s="134"/>
    </row>
    <row r="251" spans="1:38" x14ac:dyDescent="0.2">
      <c r="A251" s="133"/>
      <c r="B251" s="133"/>
      <c r="AL251" s="134"/>
    </row>
    <row r="252" spans="1:38" x14ac:dyDescent="0.2">
      <c r="A252" s="133"/>
      <c r="B252" s="133"/>
      <c r="AL252" s="134"/>
    </row>
    <row r="253" spans="1:38" x14ac:dyDescent="0.2">
      <c r="A253" s="133"/>
      <c r="B253" s="133"/>
      <c r="AL253" s="134"/>
    </row>
    <row r="254" spans="1:38" x14ac:dyDescent="0.2">
      <c r="A254" s="133"/>
      <c r="B254" s="133"/>
      <c r="AL254" s="134"/>
    </row>
    <row r="255" spans="1:38" x14ac:dyDescent="0.2">
      <c r="A255" s="133"/>
      <c r="B255" s="133"/>
      <c r="AL255" s="134"/>
    </row>
    <row r="256" spans="1:38" x14ac:dyDescent="0.2">
      <c r="A256" s="133"/>
      <c r="B256" s="133"/>
      <c r="AL256" s="134"/>
    </row>
    <row r="257" spans="1:38" x14ac:dyDescent="0.2">
      <c r="A257" s="133"/>
      <c r="B257" s="133"/>
      <c r="AL257" s="134"/>
    </row>
    <row r="258" spans="1:38" x14ac:dyDescent="0.2">
      <c r="AL258" s="134"/>
    </row>
    <row r="259" spans="1:38" x14ac:dyDescent="0.2">
      <c r="AL259" s="134"/>
    </row>
    <row r="260" spans="1:38" x14ac:dyDescent="0.2">
      <c r="AL260" s="134"/>
    </row>
    <row r="261" spans="1:38" x14ac:dyDescent="0.2">
      <c r="AL261" s="134"/>
    </row>
    <row r="262" spans="1:38" x14ac:dyDescent="0.2">
      <c r="AL262" s="134"/>
    </row>
    <row r="263" spans="1:38" x14ac:dyDescent="0.2">
      <c r="AL263" s="134"/>
    </row>
    <row r="264" spans="1:38" x14ac:dyDescent="0.2">
      <c r="AL264" s="134"/>
    </row>
    <row r="265" spans="1:38" x14ac:dyDescent="0.2">
      <c r="AL265" s="134"/>
    </row>
    <row r="266" spans="1:38" x14ac:dyDescent="0.2">
      <c r="AL266" s="134"/>
    </row>
    <row r="267" spans="1:38" x14ac:dyDescent="0.2">
      <c r="AL267" s="134"/>
    </row>
    <row r="268" spans="1:38" x14ac:dyDescent="0.2">
      <c r="AL268" s="134"/>
    </row>
    <row r="269" spans="1:38" x14ac:dyDescent="0.2">
      <c r="AL269" s="134"/>
    </row>
    <row r="270" spans="1:38" x14ac:dyDescent="0.2">
      <c r="AL270" s="134"/>
    </row>
    <row r="271" spans="1:38" x14ac:dyDescent="0.2">
      <c r="AL271" s="134"/>
    </row>
    <row r="272" spans="1:38" x14ac:dyDescent="0.2">
      <c r="AL272" s="134"/>
    </row>
    <row r="273" spans="38:38" x14ac:dyDescent="0.2">
      <c r="AL273" s="134"/>
    </row>
    <row r="274" spans="38:38" x14ac:dyDescent="0.2">
      <c r="AL274" s="134"/>
    </row>
    <row r="275" spans="38:38" x14ac:dyDescent="0.2">
      <c r="AL275" s="134"/>
    </row>
    <row r="276" spans="38:38" x14ac:dyDescent="0.2">
      <c r="AL276" s="134"/>
    </row>
    <row r="277" spans="38:38" x14ac:dyDescent="0.2">
      <c r="AL277" s="134"/>
    </row>
    <row r="278" spans="38:38" x14ac:dyDescent="0.2">
      <c r="AL278" s="134"/>
    </row>
    <row r="279" spans="38:38" x14ac:dyDescent="0.2">
      <c r="AL279" s="134"/>
    </row>
    <row r="280" spans="38:38" x14ac:dyDescent="0.2">
      <c r="AL280" s="134"/>
    </row>
    <row r="281" spans="38:38" x14ac:dyDescent="0.2">
      <c r="AL281" s="134"/>
    </row>
    <row r="282" spans="38:38" x14ac:dyDescent="0.2">
      <c r="AL282" s="134"/>
    </row>
    <row r="283" spans="38:38" x14ac:dyDescent="0.2">
      <c r="AL283" s="134"/>
    </row>
    <row r="284" spans="38:38" x14ac:dyDescent="0.2">
      <c r="AL284" s="134"/>
    </row>
    <row r="285" spans="38:38" x14ac:dyDescent="0.2">
      <c r="AL285" s="134"/>
    </row>
    <row r="286" spans="38:38" x14ac:dyDescent="0.2">
      <c r="AL286" s="134"/>
    </row>
    <row r="287" spans="38:38" x14ac:dyDescent="0.2">
      <c r="AL287" s="134"/>
    </row>
    <row r="288" spans="38:38" x14ac:dyDescent="0.2">
      <c r="AL288" s="134"/>
    </row>
    <row r="289" spans="38:38" x14ac:dyDescent="0.2">
      <c r="AL289" s="134"/>
    </row>
    <row r="290" spans="38:38" x14ac:dyDescent="0.2">
      <c r="AL290" s="134"/>
    </row>
    <row r="291" spans="38:38" x14ac:dyDescent="0.2">
      <c r="AL291" s="134"/>
    </row>
    <row r="292" spans="38:38" x14ac:dyDescent="0.2">
      <c r="AL292" s="134"/>
    </row>
    <row r="293" spans="38:38" x14ac:dyDescent="0.2">
      <c r="AL293" s="134"/>
    </row>
    <row r="294" spans="38:38" x14ac:dyDescent="0.2">
      <c r="AL294" s="134"/>
    </row>
    <row r="295" spans="38:38" x14ac:dyDescent="0.2">
      <c r="AL295" s="134"/>
    </row>
    <row r="296" spans="38:38" x14ac:dyDescent="0.2">
      <c r="AL296" s="134"/>
    </row>
    <row r="297" spans="38:38" x14ac:dyDescent="0.2">
      <c r="AL297" s="134"/>
    </row>
    <row r="298" spans="38:38" x14ac:dyDescent="0.2">
      <c r="AL298" s="134"/>
    </row>
    <row r="299" spans="38:38" x14ac:dyDescent="0.2">
      <c r="AL299" s="134"/>
    </row>
    <row r="300" spans="38:38" x14ac:dyDescent="0.2">
      <c r="AL300" s="134"/>
    </row>
    <row r="301" spans="38:38" x14ac:dyDescent="0.2">
      <c r="AL301" s="134"/>
    </row>
    <row r="302" spans="38:38" x14ac:dyDescent="0.2">
      <c r="AL302" s="134"/>
    </row>
    <row r="303" spans="38:38" x14ac:dyDescent="0.2">
      <c r="AL303" s="134"/>
    </row>
    <row r="304" spans="38:38" x14ac:dyDescent="0.2">
      <c r="AL304" s="134"/>
    </row>
    <row r="305" spans="38:38" x14ac:dyDescent="0.2">
      <c r="AL305" s="134"/>
    </row>
    <row r="306" spans="38:38" x14ac:dyDescent="0.2">
      <c r="AL306" s="134"/>
    </row>
    <row r="307" spans="38:38" x14ac:dyDescent="0.2">
      <c r="AL307" s="134"/>
    </row>
    <row r="308" spans="38:38" x14ac:dyDescent="0.2">
      <c r="AL308" s="134"/>
    </row>
    <row r="309" spans="38:38" x14ac:dyDescent="0.2">
      <c r="AL309" s="134"/>
    </row>
    <row r="310" spans="38:38" x14ac:dyDescent="0.2">
      <c r="AL310" s="134"/>
    </row>
    <row r="311" spans="38:38" x14ac:dyDescent="0.2">
      <c r="AL311" s="134"/>
    </row>
    <row r="312" spans="38:38" x14ac:dyDescent="0.2">
      <c r="AL312" s="134"/>
    </row>
    <row r="313" spans="38:38" x14ac:dyDescent="0.2">
      <c r="AL313" s="134"/>
    </row>
    <row r="314" spans="38:38" x14ac:dyDescent="0.2">
      <c r="AL314" s="134"/>
    </row>
    <row r="315" spans="38:38" x14ac:dyDescent="0.2">
      <c r="AL315" s="134"/>
    </row>
    <row r="316" spans="38:38" x14ac:dyDescent="0.2">
      <c r="AL316" s="134"/>
    </row>
    <row r="317" spans="38:38" x14ac:dyDescent="0.2">
      <c r="AL317" s="134"/>
    </row>
    <row r="318" spans="38:38" x14ac:dyDescent="0.2">
      <c r="AL318" s="134"/>
    </row>
    <row r="319" spans="38:38" x14ac:dyDescent="0.2">
      <c r="AL319" s="134"/>
    </row>
    <row r="320" spans="38:38" x14ac:dyDescent="0.2">
      <c r="AL320" s="134"/>
    </row>
    <row r="321" spans="38:38" x14ac:dyDescent="0.2">
      <c r="AL321" s="134"/>
    </row>
    <row r="322" spans="38:38" x14ac:dyDescent="0.2">
      <c r="AL322" s="134"/>
    </row>
    <row r="323" spans="38:38" x14ac:dyDescent="0.2">
      <c r="AL323" s="134"/>
    </row>
    <row r="324" spans="38:38" x14ac:dyDescent="0.2">
      <c r="AL324" s="134"/>
    </row>
    <row r="325" spans="38:38" x14ac:dyDescent="0.2">
      <c r="AL325" s="134"/>
    </row>
    <row r="326" spans="38:38" x14ac:dyDescent="0.2">
      <c r="AL326" s="134"/>
    </row>
    <row r="327" spans="38:38" x14ac:dyDescent="0.2">
      <c r="AL327" s="134"/>
    </row>
    <row r="328" spans="38:38" x14ac:dyDescent="0.2">
      <c r="AL328" s="134"/>
    </row>
    <row r="329" spans="38:38" x14ac:dyDescent="0.2">
      <c r="AL329" s="134"/>
    </row>
    <row r="330" spans="38:38" x14ac:dyDescent="0.2">
      <c r="AL330" s="134"/>
    </row>
    <row r="331" spans="38:38" x14ac:dyDescent="0.2">
      <c r="AL331" s="134"/>
    </row>
    <row r="332" spans="38:38" x14ac:dyDescent="0.2">
      <c r="AL332" s="134"/>
    </row>
    <row r="333" spans="38:38" x14ac:dyDescent="0.2">
      <c r="AL333" s="134"/>
    </row>
    <row r="334" spans="38:38" x14ac:dyDescent="0.2">
      <c r="AL334" s="134"/>
    </row>
    <row r="335" spans="38:38" x14ac:dyDescent="0.2">
      <c r="AL335" s="134"/>
    </row>
    <row r="336" spans="38:38" x14ac:dyDescent="0.2">
      <c r="AL336" s="134"/>
    </row>
    <row r="337" spans="38:38" x14ac:dyDescent="0.2">
      <c r="AL337" s="134"/>
    </row>
    <row r="338" spans="38:38" x14ac:dyDescent="0.2">
      <c r="AL338" s="134"/>
    </row>
    <row r="339" spans="38:38" x14ac:dyDescent="0.2">
      <c r="AL339" s="134"/>
    </row>
    <row r="340" spans="38:38" x14ac:dyDescent="0.2">
      <c r="AL340" s="134"/>
    </row>
    <row r="341" spans="38:38" x14ac:dyDescent="0.2">
      <c r="AL341" s="134"/>
    </row>
    <row r="342" spans="38:38" x14ac:dyDescent="0.2">
      <c r="AL342" s="134"/>
    </row>
    <row r="343" spans="38:38" x14ac:dyDescent="0.2">
      <c r="AL343" s="134"/>
    </row>
    <row r="344" spans="38:38" x14ac:dyDescent="0.2">
      <c r="AL344" s="134"/>
    </row>
    <row r="345" spans="38:38" x14ac:dyDescent="0.2">
      <c r="AL345" s="134"/>
    </row>
    <row r="346" spans="38:38" x14ac:dyDescent="0.2">
      <c r="AL346" s="134"/>
    </row>
    <row r="347" spans="38:38" x14ac:dyDescent="0.2">
      <c r="AL347" s="134"/>
    </row>
    <row r="348" spans="38:38" x14ac:dyDescent="0.2">
      <c r="AL348" s="134"/>
    </row>
    <row r="349" spans="38:38" x14ac:dyDescent="0.2">
      <c r="AL349" s="134"/>
    </row>
    <row r="350" spans="38:38" x14ac:dyDescent="0.2">
      <c r="AL350" s="134"/>
    </row>
    <row r="351" spans="38:38" x14ac:dyDescent="0.2">
      <c r="AL351" s="134"/>
    </row>
    <row r="352" spans="38:38" x14ac:dyDescent="0.2">
      <c r="AL352" s="134"/>
    </row>
    <row r="353" spans="38:38" x14ac:dyDescent="0.2">
      <c r="AL353" s="134"/>
    </row>
    <row r="354" spans="38:38" x14ac:dyDescent="0.2">
      <c r="AL354" s="134"/>
    </row>
    <row r="355" spans="38:38" x14ac:dyDescent="0.2">
      <c r="AL355" s="134"/>
    </row>
    <row r="356" spans="38:38" x14ac:dyDescent="0.2">
      <c r="AL356" s="134"/>
    </row>
    <row r="357" spans="38:38" x14ac:dyDescent="0.2">
      <c r="AL357" s="134"/>
    </row>
    <row r="358" spans="38:38" x14ac:dyDescent="0.2">
      <c r="AL358" s="134"/>
    </row>
    <row r="359" spans="38:38" x14ac:dyDescent="0.2">
      <c r="AL359" s="134"/>
    </row>
    <row r="360" spans="38:38" x14ac:dyDescent="0.2">
      <c r="AL360" s="134"/>
    </row>
    <row r="361" spans="38:38" x14ac:dyDescent="0.2">
      <c r="AL361" s="134"/>
    </row>
    <row r="362" spans="38:38" x14ac:dyDescent="0.2">
      <c r="AL362" s="134"/>
    </row>
    <row r="363" spans="38:38" x14ac:dyDescent="0.2">
      <c r="AL363" s="134"/>
    </row>
    <row r="364" spans="38:38" x14ac:dyDescent="0.2">
      <c r="AL364" s="134"/>
    </row>
    <row r="365" spans="38:38" x14ac:dyDescent="0.2">
      <c r="AL365" s="134"/>
    </row>
    <row r="366" spans="38:38" x14ac:dyDescent="0.2">
      <c r="AL366" s="134"/>
    </row>
    <row r="367" spans="38:38" x14ac:dyDescent="0.2">
      <c r="AL367" s="134"/>
    </row>
    <row r="368" spans="38:38" x14ac:dyDescent="0.2">
      <c r="AL368" s="134"/>
    </row>
    <row r="369" spans="38:38" x14ac:dyDescent="0.2">
      <c r="AL369" s="134"/>
    </row>
    <row r="370" spans="38:38" x14ac:dyDescent="0.2">
      <c r="AL370" s="134"/>
    </row>
    <row r="371" spans="38:38" x14ac:dyDescent="0.2">
      <c r="AL371" s="134"/>
    </row>
    <row r="372" spans="38:38" x14ac:dyDescent="0.2">
      <c r="AL372" s="134"/>
    </row>
    <row r="373" spans="38:38" x14ac:dyDescent="0.2">
      <c r="AL373" s="134"/>
    </row>
    <row r="374" spans="38:38" x14ac:dyDescent="0.2">
      <c r="AL374" s="134"/>
    </row>
    <row r="375" spans="38:38" x14ac:dyDescent="0.2">
      <c r="AL375" s="134"/>
    </row>
    <row r="376" spans="38:38" x14ac:dyDescent="0.2">
      <c r="AL376" s="134"/>
    </row>
    <row r="377" spans="38:38" x14ac:dyDescent="0.2">
      <c r="AL377" s="134"/>
    </row>
    <row r="378" spans="38:38" x14ac:dyDescent="0.2">
      <c r="AL378" s="134"/>
    </row>
    <row r="379" spans="38:38" x14ac:dyDescent="0.2">
      <c r="AL379" s="134"/>
    </row>
    <row r="380" spans="38:38" x14ac:dyDescent="0.2">
      <c r="AL380" s="134"/>
    </row>
    <row r="381" spans="38:38" x14ac:dyDescent="0.2">
      <c r="AL381" s="134"/>
    </row>
    <row r="382" spans="38:38" x14ac:dyDescent="0.2">
      <c r="AL382" s="134"/>
    </row>
    <row r="383" spans="38:38" x14ac:dyDescent="0.2">
      <c r="AL383" s="134"/>
    </row>
    <row r="384" spans="38:38" x14ac:dyDescent="0.2">
      <c r="AL384" s="134"/>
    </row>
    <row r="385" spans="38:38" x14ac:dyDescent="0.2">
      <c r="AL385" s="134"/>
    </row>
    <row r="386" spans="38:38" x14ac:dyDescent="0.2">
      <c r="AL386" s="134"/>
    </row>
    <row r="387" spans="38:38" x14ac:dyDescent="0.2">
      <c r="AL387" s="134"/>
    </row>
    <row r="388" spans="38:38" x14ac:dyDescent="0.2">
      <c r="AL388" s="134"/>
    </row>
    <row r="389" spans="38:38" x14ac:dyDescent="0.2">
      <c r="AL389" s="134"/>
    </row>
    <row r="390" spans="38:38" x14ac:dyDescent="0.2">
      <c r="AL390" s="134"/>
    </row>
    <row r="391" spans="38:38" x14ac:dyDescent="0.2">
      <c r="AL391" s="134"/>
    </row>
    <row r="392" spans="38:38" x14ac:dyDescent="0.2">
      <c r="AL392" s="134"/>
    </row>
    <row r="393" spans="38:38" x14ac:dyDescent="0.2">
      <c r="AL393" s="134"/>
    </row>
    <row r="394" spans="38:38" x14ac:dyDescent="0.2">
      <c r="AL394" s="134"/>
    </row>
    <row r="395" spans="38:38" x14ac:dyDescent="0.2">
      <c r="AL395" s="134"/>
    </row>
    <row r="396" spans="38:38" x14ac:dyDescent="0.2">
      <c r="AL396" s="134"/>
    </row>
    <row r="397" spans="38:38" x14ac:dyDescent="0.2">
      <c r="AL397" s="134"/>
    </row>
    <row r="398" spans="38:38" x14ac:dyDescent="0.2">
      <c r="AL398" s="134"/>
    </row>
    <row r="399" spans="38:38" x14ac:dyDescent="0.2">
      <c r="AL399" s="134"/>
    </row>
    <row r="400" spans="38:38" x14ac:dyDescent="0.2">
      <c r="AL400" s="134"/>
    </row>
    <row r="401" spans="38:38" x14ac:dyDescent="0.2">
      <c r="AL401" s="134"/>
    </row>
    <row r="402" spans="38:38" x14ac:dyDescent="0.2">
      <c r="AL402" s="134"/>
    </row>
    <row r="403" spans="38:38" x14ac:dyDescent="0.2">
      <c r="AL403" s="134"/>
    </row>
    <row r="404" spans="38:38" x14ac:dyDescent="0.2">
      <c r="AL404" s="134"/>
    </row>
    <row r="405" spans="38:38" x14ac:dyDescent="0.2">
      <c r="AL405" s="134"/>
    </row>
    <row r="406" spans="38:38" x14ac:dyDescent="0.2">
      <c r="AL406" s="134"/>
    </row>
    <row r="407" spans="38:38" x14ac:dyDescent="0.2">
      <c r="AL407" s="134"/>
    </row>
    <row r="408" spans="38:38" x14ac:dyDescent="0.2">
      <c r="AL408" s="134"/>
    </row>
    <row r="409" spans="38:38" x14ac:dyDescent="0.2">
      <c r="AL409" s="134"/>
    </row>
    <row r="410" spans="38:38" x14ac:dyDescent="0.2">
      <c r="AL410" s="134"/>
    </row>
    <row r="411" spans="38:38" x14ac:dyDescent="0.2">
      <c r="AL411" s="134"/>
    </row>
    <row r="412" spans="38:38" x14ac:dyDescent="0.2">
      <c r="AL412" s="134"/>
    </row>
    <row r="413" spans="38:38" x14ac:dyDescent="0.2">
      <c r="AL413" s="134"/>
    </row>
    <row r="414" spans="38:38" x14ac:dyDescent="0.2">
      <c r="AL414" s="134"/>
    </row>
    <row r="415" spans="38:38" x14ac:dyDescent="0.2">
      <c r="AL415" s="134"/>
    </row>
    <row r="416" spans="38:38" x14ac:dyDescent="0.2">
      <c r="AL416" s="134"/>
    </row>
    <row r="417" spans="38:38" x14ac:dyDescent="0.2">
      <c r="AL417" s="134"/>
    </row>
    <row r="418" spans="38:38" x14ac:dyDescent="0.2">
      <c r="AL418" s="134"/>
    </row>
    <row r="419" spans="38:38" x14ac:dyDescent="0.2">
      <c r="AL419" s="134"/>
    </row>
    <row r="420" spans="38:38" x14ac:dyDescent="0.2">
      <c r="AL420" s="134"/>
    </row>
    <row r="421" spans="38:38" x14ac:dyDescent="0.2">
      <c r="AL421" s="134"/>
    </row>
    <row r="422" spans="38:38" x14ac:dyDescent="0.2">
      <c r="AL422" s="134"/>
    </row>
    <row r="423" spans="38:38" x14ac:dyDescent="0.2">
      <c r="AL423" s="134"/>
    </row>
    <row r="424" spans="38:38" x14ac:dyDescent="0.2">
      <c r="AL424" s="134"/>
    </row>
    <row r="425" spans="38:38" x14ac:dyDescent="0.2">
      <c r="AL425" s="134"/>
    </row>
    <row r="426" spans="38:38" x14ac:dyDescent="0.2">
      <c r="AL426" s="134"/>
    </row>
    <row r="427" spans="38:38" x14ac:dyDescent="0.2">
      <c r="AL427" s="134"/>
    </row>
    <row r="428" spans="38:38" x14ac:dyDescent="0.2">
      <c r="AL428" s="134"/>
    </row>
    <row r="429" spans="38:38" x14ac:dyDescent="0.2">
      <c r="AL429" s="134"/>
    </row>
    <row r="430" spans="38:38" x14ac:dyDescent="0.2">
      <c r="AL430" s="134"/>
    </row>
    <row r="431" spans="38:38" x14ac:dyDescent="0.2">
      <c r="AL431" s="134"/>
    </row>
    <row r="432" spans="38:38" x14ac:dyDescent="0.2">
      <c r="AL432" s="134"/>
    </row>
    <row r="433" spans="38:38" x14ac:dyDescent="0.2">
      <c r="AL433" s="134"/>
    </row>
    <row r="434" spans="38:38" x14ac:dyDescent="0.2">
      <c r="AL434" s="134"/>
    </row>
    <row r="435" spans="38:38" x14ac:dyDescent="0.2">
      <c r="AL435" s="134"/>
    </row>
    <row r="436" spans="38:38" x14ac:dyDescent="0.2">
      <c r="AL436" s="134"/>
    </row>
    <row r="437" spans="38:38" x14ac:dyDescent="0.2">
      <c r="AL437" s="134"/>
    </row>
    <row r="438" spans="38:38" x14ac:dyDescent="0.2">
      <c r="AL438" s="134"/>
    </row>
    <row r="439" spans="38:38" x14ac:dyDescent="0.2">
      <c r="AL439" s="134"/>
    </row>
    <row r="440" spans="38:38" x14ac:dyDescent="0.2">
      <c r="AL440" s="134"/>
    </row>
    <row r="441" spans="38:38" x14ac:dyDescent="0.2">
      <c r="AL441" s="134"/>
    </row>
    <row r="442" spans="38:38" x14ac:dyDescent="0.2">
      <c r="AL442" s="134"/>
    </row>
    <row r="443" spans="38:38" x14ac:dyDescent="0.2">
      <c r="AL443" s="134"/>
    </row>
    <row r="444" spans="38:38" x14ac:dyDescent="0.2">
      <c r="AL444" s="134"/>
    </row>
    <row r="445" spans="38:38" x14ac:dyDescent="0.2">
      <c r="AL445" s="134"/>
    </row>
    <row r="446" spans="38:38" x14ac:dyDescent="0.2">
      <c r="AL446" s="134"/>
    </row>
    <row r="447" spans="38:38" x14ac:dyDescent="0.2">
      <c r="AL447" s="134"/>
    </row>
    <row r="448" spans="38:38" x14ac:dyDescent="0.2">
      <c r="AL448" s="134"/>
    </row>
    <row r="449" spans="38:38" x14ac:dyDescent="0.2">
      <c r="AL449" s="134"/>
    </row>
    <row r="450" spans="38:38" x14ac:dyDescent="0.2">
      <c r="AL450" s="134"/>
    </row>
    <row r="451" spans="38:38" x14ac:dyDescent="0.2">
      <c r="AL451" s="134"/>
    </row>
    <row r="452" spans="38:38" x14ac:dyDescent="0.2">
      <c r="AL452" s="134"/>
    </row>
    <row r="453" spans="38:38" x14ac:dyDescent="0.2">
      <c r="AL453" s="134"/>
    </row>
    <row r="454" spans="38:38" x14ac:dyDescent="0.2">
      <c r="AL454" s="134"/>
    </row>
    <row r="455" spans="38:38" x14ac:dyDescent="0.2">
      <c r="AL455" s="134"/>
    </row>
    <row r="456" spans="38:38" x14ac:dyDescent="0.2">
      <c r="AL456" s="134"/>
    </row>
    <row r="457" spans="38:38" x14ac:dyDescent="0.2">
      <c r="AL457" s="134"/>
    </row>
    <row r="458" spans="38:38" x14ac:dyDescent="0.2">
      <c r="AL458" s="134"/>
    </row>
    <row r="459" spans="38:38" x14ac:dyDescent="0.2">
      <c r="AL459" s="134"/>
    </row>
    <row r="460" spans="38:38" x14ac:dyDescent="0.2">
      <c r="AL460" s="134"/>
    </row>
    <row r="461" spans="38:38" x14ac:dyDescent="0.2">
      <c r="AL461" s="134"/>
    </row>
    <row r="462" spans="38:38" x14ac:dyDescent="0.2">
      <c r="AL462" s="134"/>
    </row>
    <row r="463" spans="38:38" x14ac:dyDescent="0.2">
      <c r="AL463" s="134"/>
    </row>
    <row r="464" spans="38:38" x14ac:dyDescent="0.2">
      <c r="AL464" s="134"/>
    </row>
    <row r="465" spans="38:38" x14ac:dyDescent="0.2">
      <c r="AL465" s="134"/>
    </row>
    <row r="466" spans="38:38" x14ac:dyDescent="0.2">
      <c r="AL466" s="134"/>
    </row>
    <row r="467" spans="38:38" x14ac:dyDescent="0.2">
      <c r="AL467" s="134"/>
    </row>
    <row r="468" spans="38:38" x14ac:dyDescent="0.2">
      <c r="AL468" s="134"/>
    </row>
    <row r="469" spans="38:38" x14ac:dyDescent="0.2">
      <c r="AL469" s="134"/>
    </row>
    <row r="470" spans="38:38" x14ac:dyDescent="0.2">
      <c r="AL470" s="134"/>
    </row>
    <row r="471" spans="38:38" x14ac:dyDescent="0.2">
      <c r="AL471" s="134"/>
    </row>
    <row r="472" spans="38:38" x14ac:dyDescent="0.2">
      <c r="AL472" s="134"/>
    </row>
    <row r="473" spans="38:38" x14ac:dyDescent="0.2">
      <c r="AL473" s="134"/>
    </row>
    <row r="474" spans="38:38" x14ac:dyDescent="0.2">
      <c r="AL474" s="134"/>
    </row>
    <row r="475" spans="38:38" x14ac:dyDescent="0.2">
      <c r="AL475" s="134"/>
    </row>
    <row r="476" spans="38:38" x14ac:dyDescent="0.2">
      <c r="AL476" s="134"/>
    </row>
    <row r="477" spans="38:38" x14ac:dyDescent="0.2">
      <c r="AL477" s="134"/>
    </row>
    <row r="478" spans="38:38" x14ac:dyDescent="0.2">
      <c r="AL478" s="134"/>
    </row>
    <row r="479" spans="38:38" x14ac:dyDescent="0.2">
      <c r="AL479" s="134"/>
    </row>
    <row r="480" spans="38:38" x14ac:dyDescent="0.2">
      <c r="AL480" s="134"/>
    </row>
    <row r="481" spans="38:38" x14ac:dyDescent="0.2">
      <c r="AL481" s="134"/>
    </row>
    <row r="482" spans="38:38" x14ac:dyDescent="0.2">
      <c r="AL482" s="134"/>
    </row>
    <row r="483" spans="38:38" x14ac:dyDescent="0.2">
      <c r="AL483" s="134"/>
    </row>
    <row r="484" spans="38:38" x14ac:dyDescent="0.2">
      <c r="AL484" s="134"/>
    </row>
    <row r="485" spans="38:38" x14ac:dyDescent="0.2">
      <c r="AL485" s="134"/>
    </row>
    <row r="486" spans="38:38" x14ac:dyDescent="0.2">
      <c r="AL486" s="134"/>
    </row>
    <row r="487" spans="38:38" x14ac:dyDescent="0.2">
      <c r="AL487" s="134"/>
    </row>
    <row r="488" spans="38:38" x14ac:dyDescent="0.2">
      <c r="AL488" s="134"/>
    </row>
    <row r="489" spans="38:38" x14ac:dyDescent="0.2">
      <c r="AL489" s="134"/>
    </row>
    <row r="490" spans="38:38" x14ac:dyDescent="0.2">
      <c r="AL490" s="134"/>
    </row>
    <row r="491" spans="38:38" x14ac:dyDescent="0.2">
      <c r="AL491" s="134"/>
    </row>
    <row r="492" spans="38:38" x14ac:dyDescent="0.2">
      <c r="AL492" s="134"/>
    </row>
    <row r="493" spans="38:38" x14ac:dyDescent="0.2">
      <c r="AL493" s="134"/>
    </row>
    <row r="494" spans="38:38" x14ac:dyDescent="0.2">
      <c r="AL494" s="134"/>
    </row>
    <row r="495" spans="38:38" x14ac:dyDescent="0.2">
      <c r="AL495" s="134"/>
    </row>
    <row r="496" spans="38:38" x14ac:dyDescent="0.2">
      <c r="AL496" s="134"/>
    </row>
    <row r="497" spans="38:38" x14ac:dyDescent="0.2">
      <c r="AL497" s="134"/>
    </row>
    <row r="498" spans="38:38" x14ac:dyDescent="0.2">
      <c r="AL498" s="134"/>
    </row>
    <row r="499" spans="38:38" x14ac:dyDescent="0.2">
      <c r="AL499" s="134"/>
    </row>
    <row r="500" spans="38:38" x14ac:dyDescent="0.2">
      <c r="AL500" s="134"/>
    </row>
    <row r="501" spans="38:38" x14ac:dyDescent="0.2">
      <c r="AL501" s="134"/>
    </row>
    <row r="502" spans="38:38" x14ac:dyDescent="0.2">
      <c r="AL502" s="134"/>
    </row>
    <row r="503" spans="38:38" x14ac:dyDescent="0.2">
      <c r="AL503" s="134"/>
    </row>
    <row r="504" spans="38:38" x14ac:dyDescent="0.2">
      <c r="AL504" s="134"/>
    </row>
    <row r="505" spans="38:38" x14ac:dyDescent="0.2">
      <c r="AL505" s="134"/>
    </row>
    <row r="506" spans="38:38" x14ac:dyDescent="0.2">
      <c r="AL506" s="134"/>
    </row>
    <row r="507" spans="38:38" x14ac:dyDescent="0.2">
      <c r="AL507" s="134"/>
    </row>
    <row r="508" spans="38:38" x14ac:dyDescent="0.2">
      <c r="AL508" s="134"/>
    </row>
    <row r="509" spans="38:38" x14ac:dyDescent="0.2">
      <c r="AL509" s="134"/>
    </row>
    <row r="510" spans="38:38" x14ac:dyDescent="0.2">
      <c r="AL510" s="134"/>
    </row>
    <row r="511" spans="38:38" x14ac:dyDescent="0.2">
      <c r="AL511" s="134"/>
    </row>
    <row r="512" spans="38:38" x14ac:dyDescent="0.2">
      <c r="AL512" s="134"/>
    </row>
    <row r="513" spans="38:38" x14ac:dyDescent="0.2">
      <c r="AL513" s="134"/>
    </row>
    <row r="514" spans="38:38" x14ac:dyDescent="0.2">
      <c r="AL514" s="134"/>
    </row>
    <row r="515" spans="38:38" x14ac:dyDescent="0.2">
      <c r="AL515" s="134"/>
    </row>
    <row r="516" spans="38:38" x14ac:dyDescent="0.2">
      <c r="AL516" s="134"/>
    </row>
    <row r="517" spans="38:38" x14ac:dyDescent="0.2">
      <c r="AL517" s="134"/>
    </row>
    <row r="518" spans="38:38" x14ac:dyDescent="0.2">
      <c r="AL518" s="134"/>
    </row>
    <row r="519" spans="38:38" x14ac:dyDescent="0.2">
      <c r="AL519" s="134"/>
    </row>
    <row r="520" spans="38:38" x14ac:dyDescent="0.2">
      <c r="AL520" s="134"/>
    </row>
    <row r="521" spans="38:38" x14ac:dyDescent="0.2">
      <c r="AL521" s="134"/>
    </row>
    <row r="522" spans="38:38" x14ac:dyDescent="0.2">
      <c r="AL522" s="134"/>
    </row>
    <row r="523" spans="38:38" x14ac:dyDescent="0.2">
      <c r="AL523" s="134"/>
    </row>
    <row r="524" spans="38:38" x14ac:dyDescent="0.2">
      <c r="AL524" s="134"/>
    </row>
    <row r="525" spans="38:38" x14ac:dyDescent="0.2">
      <c r="AL525" s="134"/>
    </row>
    <row r="526" spans="38:38" x14ac:dyDescent="0.2">
      <c r="AL526" s="134"/>
    </row>
    <row r="527" spans="38:38" x14ac:dyDescent="0.2">
      <c r="AL527" s="134"/>
    </row>
    <row r="528" spans="38:38" x14ac:dyDescent="0.2">
      <c r="AL528" s="134"/>
    </row>
    <row r="529" spans="38:38" x14ac:dyDescent="0.2">
      <c r="AL529" s="134"/>
    </row>
    <row r="530" spans="38:38" x14ac:dyDescent="0.2">
      <c r="AL530" s="134"/>
    </row>
    <row r="531" spans="38:38" x14ac:dyDescent="0.2">
      <c r="AL531" s="134"/>
    </row>
    <row r="532" spans="38:38" x14ac:dyDescent="0.2">
      <c r="AL532" s="134"/>
    </row>
    <row r="533" spans="38:38" x14ac:dyDescent="0.2">
      <c r="AL533" s="134"/>
    </row>
    <row r="534" spans="38:38" x14ac:dyDescent="0.2">
      <c r="AL534" s="134"/>
    </row>
    <row r="535" spans="38:38" x14ac:dyDescent="0.2">
      <c r="AL535" s="134"/>
    </row>
    <row r="536" spans="38:38" x14ac:dyDescent="0.2">
      <c r="AL536" s="134"/>
    </row>
    <row r="537" spans="38:38" x14ac:dyDescent="0.2">
      <c r="AL537" s="134"/>
    </row>
    <row r="538" spans="38:38" x14ac:dyDescent="0.2">
      <c r="AL538" s="134"/>
    </row>
    <row r="539" spans="38:38" x14ac:dyDescent="0.2">
      <c r="AL539" s="134"/>
    </row>
    <row r="540" spans="38:38" x14ac:dyDescent="0.2">
      <c r="AL540" s="134"/>
    </row>
    <row r="541" spans="38:38" x14ac:dyDescent="0.2">
      <c r="AL541" s="134"/>
    </row>
    <row r="542" spans="38:38" x14ac:dyDescent="0.2">
      <c r="AL542" s="134"/>
    </row>
    <row r="543" spans="38:38" x14ac:dyDescent="0.2">
      <c r="AL543" s="134"/>
    </row>
    <row r="544" spans="38:38" x14ac:dyDescent="0.2">
      <c r="AL544" s="134"/>
    </row>
    <row r="545" spans="38:38" x14ac:dyDescent="0.2">
      <c r="AL545" s="134"/>
    </row>
    <row r="546" spans="38:38" x14ac:dyDescent="0.2">
      <c r="AL546" s="134"/>
    </row>
    <row r="547" spans="38:38" x14ac:dyDescent="0.2">
      <c r="AL547" s="134"/>
    </row>
    <row r="548" spans="38:38" x14ac:dyDescent="0.2">
      <c r="AL548" s="134"/>
    </row>
    <row r="549" spans="38:38" x14ac:dyDescent="0.2">
      <c r="AL549" s="134"/>
    </row>
    <row r="550" spans="38:38" x14ac:dyDescent="0.2">
      <c r="AL550" s="134"/>
    </row>
    <row r="551" spans="38:38" x14ac:dyDescent="0.2">
      <c r="AL551" s="134"/>
    </row>
    <row r="552" spans="38:38" x14ac:dyDescent="0.2">
      <c r="AL552" s="134"/>
    </row>
    <row r="553" spans="38:38" x14ac:dyDescent="0.2">
      <c r="AL553" s="134"/>
    </row>
    <row r="554" spans="38:38" x14ac:dyDescent="0.2">
      <c r="AL554" s="134"/>
    </row>
    <row r="555" spans="38:38" x14ac:dyDescent="0.2">
      <c r="AL555" s="134"/>
    </row>
    <row r="556" spans="38:38" x14ac:dyDescent="0.2">
      <c r="AL556" s="134"/>
    </row>
    <row r="557" spans="38:38" x14ac:dyDescent="0.2">
      <c r="AL557" s="134"/>
    </row>
    <row r="558" spans="38:38" x14ac:dyDescent="0.2">
      <c r="AL558" s="134"/>
    </row>
    <row r="559" spans="38:38" x14ac:dyDescent="0.2">
      <c r="AL559" s="134"/>
    </row>
    <row r="560" spans="38:38" x14ac:dyDescent="0.2">
      <c r="AL560" s="134"/>
    </row>
    <row r="561" spans="38:38" x14ac:dyDescent="0.2">
      <c r="AL561" s="134"/>
    </row>
    <row r="562" spans="38:38" x14ac:dyDescent="0.2">
      <c r="AL562" s="134"/>
    </row>
    <row r="563" spans="38:38" x14ac:dyDescent="0.2">
      <c r="AL563" s="134"/>
    </row>
    <row r="564" spans="38:38" x14ac:dyDescent="0.2">
      <c r="AL564" s="134"/>
    </row>
    <row r="565" spans="38:38" x14ac:dyDescent="0.2">
      <c r="AL565" s="134"/>
    </row>
    <row r="566" spans="38:38" x14ac:dyDescent="0.2">
      <c r="AL566" s="134"/>
    </row>
    <row r="567" spans="38:38" x14ac:dyDescent="0.2">
      <c r="AL567" s="134"/>
    </row>
    <row r="568" spans="38:38" x14ac:dyDescent="0.2">
      <c r="AL568" s="134"/>
    </row>
    <row r="569" spans="38:38" x14ac:dyDescent="0.2">
      <c r="AL569" s="134"/>
    </row>
    <row r="570" spans="38:38" x14ac:dyDescent="0.2">
      <c r="AL570" s="134"/>
    </row>
    <row r="571" spans="38:38" x14ac:dyDescent="0.2">
      <c r="AL571" s="134"/>
    </row>
    <row r="572" spans="38:38" x14ac:dyDescent="0.2">
      <c r="AL572" s="134"/>
    </row>
    <row r="573" spans="38:38" x14ac:dyDescent="0.2">
      <c r="AL573" s="134"/>
    </row>
    <row r="574" spans="38:38" x14ac:dyDescent="0.2">
      <c r="AL574" s="134"/>
    </row>
    <row r="575" spans="38:38" x14ac:dyDescent="0.2">
      <c r="AL575" s="134"/>
    </row>
    <row r="576" spans="38:38" x14ac:dyDescent="0.2">
      <c r="AL576" s="134"/>
    </row>
    <row r="577" spans="38:38" x14ac:dyDescent="0.2">
      <c r="AL577" s="134"/>
    </row>
    <row r="578" spans="38:38" x14ac:dyDescent="0.2">
      <c r="AL578" s="134"/>
    </row>
    <row r="579" spans="38:38" x14ac:dyDescent="0.2">
      <c r="AL579" s="134"/>
    </row>
    <row r="580" spans="38:38" x14ac:dyDescent="0.2">
      <c r="AL580" s="134"/>
    </row>
    <row r="581" spans="38:38" x14ac:dyDescent="0.2">
      <c r="AL581" s="134"/>
    </row>
    <row r="582" spans="38:38" x14ac:dyDescent="0.2">
      <c r="AL582" s="134"/>
    </row>
    <row r="583" spans="38:38" x14ac:dyDescent="0.2">
      <c r="AL583" s="134"/>
    </row>
    <row r="584" spans="38:38" x14ac:dyDescent="0.2">
      <c r="AL584" s="134"/>
    </row>
    <row r="585" spans="38:38" x14ac:dyDescent="0.2">
      <c r="AL585" s="134"/>
    </row>
    <row r="586" spans="38:38" x14ac:dyDescent="0.2">
      <c r="AL586" s="134"/>
    </row>
    <row r="587" spans="38:38" x14ac:dyDescent="0.2">
      <c r="AL587" s="134"/>
    </row>
    <row r="588" spans="38:38" x14ac:dyDescent="0.2">
      <c r="AL588" s="134"/>
    </row>
    <row r="589" spans="38:38" x14ac:dyDescent="0.2">
      <c r="AL589" s="134"/>
    </row>
    <row r="590" spans="38:38" x14ac:dyDescent="0.2">
      <c r="AL590" s="134"/>
    </row>
    <row r="591" spans="38:38" x14ac:dyDescent="0.2">
      <c r="AL591" s="134"/>
    </row>
    <row r="592" spans="38:38" x14ac:dyDescent="0.2">
      <c r="AL592" s="134"/>
    </row>
    <row r="593" spans="38:38" x14ac:dyDescent="0.2">
      <c r="AL593" s="134"/>
    </row>
    <row r="594" spans="38:38" x14ac:dyDescent="0.2">
      <c r="AL594" s="134"/>
    </row>
    <row r="595" spans="38:38" x14ac:dyDescent="0.2">
      <c r="AL595" s="134"/>
    </row>
    <row r="596" spans="38:38" x14ac:dyDescent="0.2">
      <c r="AL596" s="134"/>
    </row>
    <row r="597" spans="38:38" x14ac:dyDescent="0.2">
      <c r="AL597" s="134"/>
    </row>
    <row r="598" spans="38:38" x14ac:dyDescent="0.2">
      <c r="AL598" s="134"/>
    </row>
    <row r="599" spans="38:38" x14ac:dyDescent="0.2">
      <c r="AL599" s="134"/>
    </row>
    <row r="600" spans="38:38" x14ac:dyDescent="0.2">
      <c r="AL600" s="134"/>
    </row>
    <row r="601" spans="38:38" x14ac:dyDescent="0.2">
      <c r="AL601" s="134"/>
    </row>
    <row r="602" spans="38:38" x14ac:dyDescent="0.2">
      <c r="AL602" s="134"/>
    </row>
    <row r="603" spans="38:38" x14ac:dyDescent="0.2">
      <c r="AL603" s="134"/>
    </row>
    <row r="604" spans="38:38" x14ac:dyDescent="0.2">
      <c r="AL604" s="134"/>
    </row>
    <row r="605" spans="38:38" x14ac:dyDescent="0.2">
      <c r="AL605" s="134"/>
    </row>
    <row r="606" spans="38:38" x14ac:dyDescent="0.2">
      <c r="AL606" s="134"/>
    </row>
    <row r="607" spans="38:38" x14ac:dyDescent="0.2">
      <c r="AL607" s="134"/>
    </row>
    <row r="608" spans="38:38" x14ac:dyDescent="0.2">
      <c r="AL608" s="134"/>
    </row>
    <row r="609" spans="38:38" x14ac:dyDescent="0.2">
      <c r="AL609" s="134"/>
    </row>
    <row r="610" spans="38:38" x14ac:dyDescent="0.2">
      <c r="AL610" s="134"/>
    </row>
    <row r="611" spans="38:38" x14ac:dyDescent="0.2">
      <c r="AL611" s="134"/>
    </row>
    <row r="612" spans="38:38" x14ac:dyDescent="0.2">
      <c r="AL612" s="134"/>
    </row>
    <row r="613" spans="38:38" x14ac:dyDescent="0.2">
      <c r="AL613" s="134"/>
    </row>
    <row r="614" spans="38:38" x14ac:dyDescent="0.2">
      <c r="AL614" s="134"/>
    </row>
    <row r="615" spans="38:38" x14ac:dyDescent="0.2">
      <c r="AL615" s="134"/>
    </row>
    <row r="616" spans="38:38" x14ac:dyDescent="0.2">
      <c r="AL616" s="134"/>
    </row>
    <row r="617" spans="38:38" x14ac:dyDescent="0.2">
      <c r="AL617" s="134"/>
    </row>
    <row r="618" spans="38:38" x14ac:dyDescent="0.2">
      <c r="AL618" s="134"/>
    </row>
    <row r="619" spans="38:38" x14ac:dyDescent="0.2">
      <c r="AL619" s="134"/>
    </row>
    <row r="620" spans="38:38" x14ac:dyDescent="0.2">
      <c r="AL620" s="134"/>
    </row>
    <row r="621" spans="38:38" x14ac:dyDescent="0.2">
      <c r="AL621" s="134"/>
    </row>
    <row r="622" spans="38:38" x14ac:dyDescent="0.2">
      <c r="AL622" s="134"/>
    </row>
    <row r="623" spans="38:38" x14ac:dyDescent="0.2">
      <c r="AL623" s="134"/>
    </row>
    <row r="624" spans="38:38" x14ac:dyDescent="0.2">
      <c r="AL624" s="134"/>
    </row>
    <row r="625" spans="38:38" x14ac:dyDescent="0.2">
      <c r="AL625" s="134"/>
    </row>
    <row r="626" spans="38:38" x14ac:dyDescent="0.2">
      <c r="AL626" s="134"/>
    </row>
    <row r="627" spans="38:38" x14ac:dyDescent="0.2">
      <c r="AL627" s="134"/>
    </row>
    <row r="628" spans="38:38" x14ac:dyDescent="0.2">
      <c r="AL628" s="134"/>
    </row>
    <row r="629" spans="38:38" x14ac:dyDescent="0.2">
      <c r="AL629" s="134"/>
    </row>
    <row r="630" spans="38:38" x14ac:dyDescent="0.2">
      <c r="AL630" s="134"/>
    </row>
    <row r="631" spans="38:38" x14ac:dyDescent="0.2">
      <c r="AL631" s="134"/>
    </row>
    <row r="632" spans="38:38" x14ac:dyDescent="0.2">
      <c r="AL632" s="134"/>
    </row>
    <row r="633" spans="38:38" x14ac:dyDescent="0.2">
      <c r="AL633" s="134"/>
    </row>
    <row r="634" spans="38:38" x14ac:dyDescent="0.2">
      <c r="AL634" s="134"/>
    </row>
    <row r="635" spans="38:38" x14ac:dyDescent="0.2">
      <c r="AL635" s="134"/>
    </row>
    <row r="636" spans="38:38" x14ac:dyDescent="0.2">
      <c r="AL636" s="134"/>
    </row>
    <row r="637" spans="38:38" x14ac:dyDescent="0.2">
      <c r="AL637" s="134"/>
    </row>
    <row r="638" spans="38:38" x14ac:dyDescent="0.2">
      <c r="AL638" s="134"/>
    </row>
    <row r="639" spans="38:38" x14ac:dyDescent="0.2">
      <c r="AL639" s="134"/>
    </row>
    <row r="640" spans="38:38" x14ac:dyDescent="0.2">
      <c r="AL640" s="134"/>
    </row>
    <row r="641" spans="38:38" x14ac:dyDescent="0.2">
      <c r="AL641" s="134"/>
    </row>
    <row r="642" spans="38:38" x14ac:dyDescent="0.2">
      <c r="AL642" s="134"/>
    </row>
    <row r="643" spans="38:38" x14ac:dyDescent="0.2">
      <c r="AL643" s="134"/>
    </row>
    <row r="644" spans="38:38" x14ac:dyDescent="0.2">
      <c r="AL644" s="134"/>
    </row>
    <row r="645" spans="38:38" x14ac:dyDescent="0.2">
      <c r="AL645" s="134"/>
    </row>
    <row r="646" spans="38:38" x14ac:dyDescent="0.2">
      <c r="AL646" s="134"/>
    </row>
    <row r="647" spans="38:38" x14ac:dyDescent="0.2">
      <c r="AL647" s="134"/>
    </row>
    <row r="648" spans="38:38" x14ac:dyDescent="0.2">
      <c r="AL648" s="134"/>
    </row>
    <row r="649" spans="38:38" x14ac:dyDescent="0.2">
      <c r="AL649" s="134"/>
    </row>
    <row r="650" spans="38:38" x14ac:dyDescent="0.2">
      <c r="AL650" s="134"/>
    </row>
    <row r="651" spans="38:38" x14ac:dyDescent="0.2">
      <c r="AL651" s="134"/>
    </row>
    <row r="652" spans="38:38" x14ac:dyDescent="0.2">
      <c r="AL652" s="134"/>
    </row>
    <row r="653" spans="38:38" x14ac:dyDescent="0.2">
      <c r="AL653" s="134"/>
    </row>
    <row r="654" spans="38:38" x14ac:dyDescent="0.2">
      <c r="AL654" s="134"/>
    </row>
    <row r="655" spans="38:38" x14ac:dyDescent="0.2">
      <c r="AL655" s="134"/>
    </row>
    <row r="656" spans="38:38" x14ac:dyDescent="0.2">
      <c r="AL656" s="134"/>
    </row>
    <row r="657" spans="38:38" x14ac:dyDescent="0.2">
      <c r="AL657" s="134"/>
    </row>
    <row r="658" spans="38:38" x14ac:dyDescent="0.2">
      <c r="AL658" s="134"/>
    </row>
    <row r="659" spans="38:38" x14ac:dyDescent="0.2">
      <c r="AL659" s="134"/>
    </row>
    <row r="660" spans="38:38" x14ac:dyDescent="0.2">
      <c r="AL660" s="134"/>
    </row>
    <row r="661" spans="38:38" x14ac:dyDescent="0.2">
      <c r="AL661" s="134"/>
    </row>
    <row r="662" spans="38:38" x14ac:dyDescent="0.2">
      <c r="AL662" s="134"/>
    </row>
    <row r="663" spans="38:38" x14ac:dyDescent="0.2">
      <c r="AL663" s="134"/>
    </row>
    <row r="664" spans="38:38" x14ac:dyDescent="0.2">
      <c r="AL664" s="134"/>
    </row>
    <row r="665" spans="38:38" x14ac:dyDescent="0.2">
      <c r="AL665" s="134"/>
    </row>
    <row r="666" spans="38:38" x14ac:dyDescent="0.2">
      <c r="AL666" s="134"/>
    </row>
    <row r="667" spans="38:38" x14ac:dyDescent="0.2">
      <c r="AL667" s="134"/>
    </row>
    <row r="668" spans="38:38" x14ac:dyDescent="0.2">
      <c r="AL668" s="134"/>
    </row>
    <row r="669" spans="38:38" x14ac:dyDescent="0.2">
      <c r="AL669" s="134"/>
    </row>
    <row r="670" spans="38:38" x14ac:dyDescent="0.2">
      <c r="AL670" s="134"/>
    </row>
    <row r="671" spans="38:38" x14ac:dyDescent="0.2">
      <c r="AL671" s="134"/>
    </row>
    <row r="672" spans="38:38" x14ac:dyDescent="0.2">
      <c r="AL672" s="134"/>
    </row>
    <row r="673" spans="38:38" x14ac:dyDescent="0.2">
      <c r="AL673" s="134"/>
    </row>
    <row r="674" spans="38:38" x14ac:dyDescent="0.2">
      <c r="AL674" s="134"/>
    </row>
    <row r="675" spans="38:38" x14ac:dyDescent="0.2">
      <c r="AL675" s="134"/>
    </row>
    <row r="676" spans="38:38" x14ac:dyDescent="0.2">
      <c r="AL676" s="134"/>
    </row>
    <row r="677" spans="38:38" x14ac:dyDescent="0.2">
      <c r="AL677" s="134"/>
    </row>
    <row r="678" spans="38:38" x14ac:dyDescent="0.2">
      <c r="AL678" s="134"/>
    </row>
    <row r="679" spans="38:38" x14ac:dyDescent="0.2">
      <c r="AL679" s="134"/>
    </row>
    <row r="680" spans="38:38" x14ac:dyDescent="0.2">
      <c r="AL680" s="134"/>
    </row>
    <row r="681" spans="38:38" x14ac:dyDescent="0.2">
      <c r="AL681" s="134"/>
    </row>
    <row r="682" spans="38:38" x14ac:dyDescent="0.2">
      <c r="AL682" s="134"/>
    </row>
    <row r="683" spans="38:38" x14ac:dyDescent="0.2">
      <c r="AL683" s="134"/>
    </row>
    <row r="684" spans="38:38" x14ac:dyDescent="0.2">
      <c r="AL684" s="134"/>
    </row>
    <row r="685" spans="38:38" x14ac:dyDescent="0.2">
      <c r="AL685" s="134"/>
    </row>
    <row r="686" spans="38:38" x14ac:dyDescent="0.2">
      <c r="AL686" s="134"/>
    </row>
    <row r="687" spans="38:38" x14ac:dyDescent="0.2">
      <c r="AL687" s="134"/>
    </row>
    <row r="688" spans="38:38" x14ac:dyDescent="0.2">
      <c r="AL688" s="134"/>
    </row>
    <row r="689" spans="38:38" x14ac:dyDescent="0.2">
      <c r="AL689" s="134"/>
    </row>
    <row r="690" spans="38:38" x14ac:dyDescent="0.2">
      <c r="AL690" s="134"/>
    </row>
    <row r="691" spans="38:38" x14ac:dyDescent="0.2">
      <c r="AL691" s="134"/>
    </row>
    <row r="692" spans="38:38" x14ac:dyDescent="0.2">
      <c r="AL692" s="134"/>
    </row>
    <row r="693" spans="38:38" x14ac:dyDescent="0.2">
      <c r="AL693" s="134"/>
    </row>
    <row r="694" spans="38:38" x14ac:dyDescent="0.2">
      <c r="AL694" s="134"/>
    </row>
    <row r="695" spans="38:38" x14ac:dyDescent="0.2">
      <c r="AL695" s="134"/>
    </row>
    <row r="696" spans="38:38" x14ac:dyDescent="0.2">
      <c r="AL696" s="134"/>
    </row>
    <row r="697" spans="38:38" x14ac:dyDescent="0.2">
      <c r="AL697" s="134"/>
    </row>
    <row r="698" spans="38:38" x14ac:dyDescent="0.2">
      <c r="AL698" s="134"/>
    </row>
    <row r="699" spans="38:38" x14ac:dyDescent="0.2">
      <c r="AL699" s="134"/>
    </row>
    <row r="700" spans="38:38" x14ac:dyDescent="0.2">
      <c r="AL700" s="134"/>
    </row>
    <row r="701" spans="38:38" x14ac:dyDescent="0.2">
      <c r="AL701" s="134"/>
    </row>
    <row r="702" spans="38:38" x14ac:dyDescent="0.2">
      <c r="AL702" s="134"/>
    </row>
    <row r="703" spans="38:38" x14ac:dyDescent="0.2">
      <c r="AL703" s="134"/>
    </row>
    <row r="704" spans="38:38" x14ac:dyDescent="0.2">
      <c r="AL704" s="134"/>
    </row>
    <row r="705" spans="38:38" x14ac:dyDescent="0.2">
      <c r="AL705" s="134"/>
    </row>
    <row r="706" spans="38:38" x14ac:dyDescent="0.2">
      <c r="AL706" s="134"/>
    </row>
    <row r="707" spans="38:38" x14ac:dyDescent="0.2">
      <c r="AL707" s="134"/>
    </row>
    <row r="708" spans="38:38" x14ac:dyDescent="0.2">
      <c r="AL708" s="134"/>
    </row>
    <row r="709" spans="38:38" x14ac:dyDescent="0.2">
      <c r="AL709" s="134"/>
    </row>
    <row r="710" spans="38:38" x14ac:dyDescent="0.2">
      <c r="AL710" s="134"/>
    </row>
    <row r="711" spans="38:38" x14ac:dyDescent="0.2">
      <c r="AL711" s="134"/>
    </row>
    <row r="712" spans="38:38" x14ac:dyDescent="0.2">
      <c r="AL712" s="134"/>
    </row>
    <row r="713" spans="38:38" x14ac:dyDescent="0.2">
      <c r="AL713" s="134"/>
    </row>
    <row r="714" spans="38:38" x14ac:dyDescent="0.2">
      <c r="AL714" s="134"/>
    </row>
    <row r="715" spans="38:38" x14ac:dyDescent="0.2">
      <c r="AL715" s="134"/>
    </row>
    <row r="716" spans="38:38" x14ac:dyDescent="0.2">
      <c r="AL716" s="134"/>
    </row>
    <row r="717" spans="38:38" x14ac:dyDescent="0.2">
      <c r="AL717" s="134"/>
    </row>
    <row r="718" spans="38:38" x14ac:dyDescent="0.2">
      <c r="AL718" s="134"/>
    </row>
    <row r="719" spans="38:38" x14ac:dyDescent="0.2">
      <c r="AL719" s="134"/>
    </row>
    <row r="720" spans="38:38" x14ac:dyDescent="0.2">
      <c r="AL720" s="134"/>
    </row>
    <row r="721" spans="38:38" x14ac:dyDescent="0.2">
      <c r="AL721" s="134"/>
    </row>
    <row r="722" spans="38:38" x14ac:dyDescent="0.2">
      <c r="AL722" s="134"/>
    </row>
    <row r="723" spans="38:38" x14ac:dyDescent="0.2">
      <c r="AL723" s="134"/>
    </row>
    <row r="724" spans="38:38" x14ac:dyDescent="0.2">
      <c r="AL724" s="134"/>
    </row>
    <row r="725" spans="38:38" x14ac:dyDescent="0.2">
      <c r="AL725" s="134"/>
    </row>
    <row r="726" spans="38:38" x14ac:dyDescent="0.2">
      <c r="AL726" s="134"/>
    </row>
    <row r="727" spans="38:38" x14ac:dyDescent="0.2">
      <c r="AL727" s="134"/>
    </row>
    <row r="728" spans="38:38" x14ac:dyDescent="0.2">
      <c r="AL728" s="134"/>
    </row>
    <row r="729" spans="38:38" x14ac:dyDescent="0.2">
      <c r="AL729" s="134"/>
    </row>
    <row r="730" spans="38:38" x14ac:dyDescent="0.2">
      <c r="AL730" s="134"/>
    </row>
    <row r="731" spans="38:38" x14ac:dyDescent="0.2">
      <c r="AL731" s="134"/>
    </row>
    <row r="732" spans="38:38" x14ac:dyDescent="0.2">
      <c r="AL732" s="134"/>
    </row>
    <row r="733" spans="38:38" x14ac:dyDescent="0.2">
      <c r="AL733" s="134"/>
    </row>
    <row r="734" spans="38:38" x14ac:dyDescent="0.2">
      <c r="AL734" s="134"/>
    </row>
    <row r="735" spans="38:38" x14ac:dyDescent="0.2">
      <c r="AL735" s="134"/>
    </row>
    <row r="736" spans="38:38" x14ac:dyDescent="0.2">
      <c r="AL736" s="134"/>
    </row>
    <row r="737" spans="38:38" x14ac:dyDescent="0.2">
      <c r="AL737" s="134"/>
    </row>
  </sheetData>
  <mergeCells count="1">
    <mergeCell ref="S3:X3"/>
  </mergeCells>
  <phoneticPr fontId="0" type="noConversion"/>
  <pageMargins left="0.75" right="0.75" top="1" bottom="1" header="0.5" footer="0.5"/>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37"/>
  <sheetViews>
    <sheetView workbookViewId="0">
      <pane xSplit="2" topLeftCell="C1" activePane="topRight" state="frozen"/>
      <selection pane="topRight" activeCell="A31" sqref="A31"/>
    </sheetView>
  </sheetViews>
  <sheetFormatPr defaultRowHeight="12.75" x14ac:dyDescent="0.2"/>
  <cols>
    <col min="1" max="1" width="5.5703125" customWidth="1"/>
    <col min="2" max="2" width="6.85546875" customWidth="1"/>
    <col min="4" max="4" width="12.5703125" customWidth="1"/>
    <col min="5" max="7" width="10.5703125" customWidth="1"/>
    <col min="9" max="9" width="12" customWidth="1"/>
    <col min="10" max="10" width="15.7109375" customWidth="1"/>
    <col min="11" max="11" width="22" customWidth="1"/>
    <col min="12" max="12" width="15.7109375" customWidth="1"/>
    <col min="14" max="14" width="10.7109375" customWidth="1"/>
    <col min="15" max="15" width="9.5703125" customWidth="1"/>
    <col min="16" max="16" width="11.28515625" customWidth="1"/>
    <col min="17" max="17" width="9.85546875" customWidth="1"/>
    <col min="18" max="18" width="11.7109375" customWidth="1"/>
    <col min="19" max="20" width="11.140625" customWidth="1"/>
    <col min="21" max="24" width="10.140625" customWidth="1"/>
    <col min="26" max="26" width="10.140625" customWidth="1"/>
    <col min="30" max="30" width="10.42578125" customWidth="1"/>
    <col min="31" max="31" width="10.28515625" customWidth="1"/>
    <col min="33" max="33" width="5.7109375" customWidth="1"/>
    <col min="37" max="37" width="6.42578125" customWidth="1"/>
    <col min="39" max="39" width="10.7109375" customWidth="1"/>
    <col min="41" max="41" width="10.28515625" customWidth="1"/>
    <col min="43" max="43" width="11.140625" customWidth="1"/>
    <col min="45" max="45" width="10" customWidth="1"/>
    <col min="46" max="46" width="9.5703125" customWidth="1"/>
    <col min="48" max="48" width="11.42578125" customWidth="1"/>
    <col min="50" max="50" width="10.140625" customWidth="1"/>
    <col min="53" max="53" width="11.7109375" customWidth="1"/>
    <col min="54" max="55" width="10.85546875" customWidth="1"/>
    <col min="56" max="56" width="7.140625" customWidth="1"/>
    <col min="57" max="57" width="12.85546875" customWidth="1"/>
    <col min="58" max="59" width="11" customWidth="1"/>
    <col min="61" max="61" width="11.140625" customWidth="1"/>
    <col min="62" max="62" width="8.42578125" customWidth="1"/>
    <col min="63" max="63" width="10" customWidth="1"/>
    <col min="65" max="65" width="10" customWidth="1"/>
    <col min="66" max="67" width="9.85546875" customWidth="1"/>
  </cols>
  <sheetData>
    <row r="1" spans="1:80" ht="15.75" x14ac:dyDescent="0.25">
      <c r="A1" s="133"/>
      <c r="B1" s="133"/>
      <c r="D1" s="137" t="s">
        <v>724</v>
      </c>
      <c r="AK1" s="134"/>
    </row>
    <row r="2" spans="1:80" x14ac:dyDescent="0.2">
      <c r="A2" s="133"/>
      <c r="B2" s="133"/>
      <c r="AK2" s="134"/>
    </row>
    <row r="3" spans="1:80" x14ac:dyDescent="0.2">
      <c r="A3" s="133"/>
      <c r="B3" s="133"/>
      <c r="R3" s="801" t="s">
        <v>446</v>
      </c>
      <c r="S3" s="802"/>
      <c r="T3" s="802"/>
      <c r="U3" s="802"/>
      <c r="V3" s="802"/>
      <c r="W3" s="802"/>
      <c r="X3" s="140"/>
      <c r="AK3" s="134"/>
    </row>
    <row r="4" spans="1:80" x14ac:dyDescent="0.2">
      <c r="A4" s="133"/>
      <c r="B4" s="133"/>
      <c r="AK4" s="134"/>
    </row>
    <row r="5" spans="1:80" x14ac:dyDescent="0.2">
      <c r="A5" s="133"/>
      <c r="B5" s="133"/>
      <c r="D5" s="6" t="s">
        <v>760</v>
      </c>
      <c r="I5" s="6" t="s">
        <v>722</v>
      </c>
      <c r="N5" s="6" t="s">
        <v>682</v>
      </c>
      <c r="R5" s="6" t="s">
        <v>726</v>
      </c>
      <c r="V5" s="6" t="s">
        <v>728</v>
      </c>
      <c r="Z5" s="6" t="s">
        <v>109</v>
      </c>
      <c r="AA5" s="6"/>
      <c r="AK5" s="134"/>
      <c r="AM5" s="6" t="s">
        <v>694</v>
      </c>
      <c r="AQ5" s="6" t="s">
        <v>695</v>
      </c>
      <c r="AV5" s="6" t="s">
        <v>696</v>
      </c>
      <c r="AW5" s="6"/>
      <c r="AX5" s="6"/>
      <c r="BA5" s="6" t="s">
        <v>698</v>
      </c>
      <c r="BE5" s="6" t="s">
        <v>699</v>
      </c>
      <c r="BI5" s="6" t="s">
        <v>700</v>
      </c>
      <c r="BM5" s="6" t="s">
        <v>729</v>
      </c>
      <c r="BR5" s="6" t="s">
        <v>705</v>
      </c>
      <c r="BV5" s="6" t="s">
        <v>706</v>
      </c>
      <c r="BZ5" s="6" t="s">
        <v>706</v>
      </c>
    </row>
    <row r="6" spans="1:80" x14ac:dyDescent="0.2">
      <c r="A6" s="133" t="s">
        <v>663</v>
      </c>
      <c r="B6" s="133"/>
      <c r="E6" s="396" t="s">
        <v>87</v>
      </c>
      <c r="F6" s="397"/>
      <c r="G6" s="398"/>
      <c r="Z6" s="149" t="s">
        <v>711</v>
      </c>
      <c r="AA6" s="149" t="s">
        <v>712</v>
      </c>
      <c r="AB6" s="149" t="s">
        <v>713</v>
      </c>
      <c r="AC6" s="149" t="s">
        <v>714</v>
      </c>
      <c r="AD6" s="149" t="s">
        <v>715</v>
      </c>
      <c r="AE6" s="149" t="s">
        <v>716</v>
      </c>
      <c r="AF6" s="149" t="s">
        <v>720</v>
      </c>
      <c r="AG6" s="149"/>
      <c r="AH6" s="149" t="s">
        <v>763</v>
      </c>
      <c r="AK6" s="134"/>
      <c r="AV6" s="6" t="s">
        <v>697</v>
      </c>
      <c r="AW6" s="6"/>
      <c r="AX6" s="6"/>
      <c r="BV6" t="s">
        <v>730</v>
      </c>
      <c r="BZ6" t="s">
        <v>731</v>
      </c>
    </row>
    <row r="7" spans="1:80" ht="51" customHeight="1" x14ac:dyDescent="0.2">
      <c r="A7" s="133"/>
      <c r="B7" s="133"/>
      <c r="D7" s="126" t="s">
        <v>725</v>
      </c>
      <c r="E7" s="126" t="s">
        <v>91</v>
      </c>
      <c r="F7" s="126" t="s">
        <v>430</v>
      </c>
      <c r="G7" s="126" t="s">
        <v>690</v>
      </c>
      <c r="H7" s="1"/>
      <c r="I7" s="273" t="str">
        <f>D7</f>
        <v>Passenger Cars and Trucks</v>
      </c>
      <c r="J7" s="273" t="str">
        <f>E7</f>
        <v>Buses</v>
      </c>
      <c r="K7" s="273" t="s">
        <v>430</v>
      </c>
      <c r="L7" s="273" t="s">
        <v>690</v>
      </c>
      <c r="M7" s="1"/>
      <c r="N7" s="126" t="str">
        <f>D7</f>
        <v>Passenger Cars and Trucks</v>
      </c>
      <c r="O7" s="126" t="str">
        <f>E7</f>
        <v>Buses</v>
      </c>
      <c r="P7" s="126" t="s">
        <v>430</v>
      </c>
      <c r="Q7" s="126" t="str">
        <f>G7</f>
        <v xml:space="preserve">   Total</v>
      </c>
      <c r="R7" s="126" t="str">
        <f>D7</f>
        <v>Passenger Cars and Trucks</v>
      </c>
      <c r="S7" s="126" t="str">
        <f>E7</f>
        <v>Buses</v>
      </c>
      <c r="T7" s="126" t="s">
        <v>430</v>
      </c>
      <c r="U7" s="139"/>
      <c r="V7" s="126" t="str">
        <f>D7</f>
        <v>Passenger Cars and Trucks</v>
      </c>
      <c r="W7" s="126" t="str">
        <f>E7</f>
        <v>Buses</v>
      </c>
      <c r="X7" s="126" t="s">
        <v>430</v>
      </c>
      <c r="Y7" s="1"/>
      <c r="Z7" s="150" t="s">
        <v>721</v>
      </c>
      <c r="AA7" s="150" t="s">
        <v>707</v>
      </c>
      <c r="AB7" s="150" t="s">
        <v>448</v>
      </c>
      <c r="AC7" s="150" t="s">
        <v>732</v>
      </c>
      <c r="AD7" s="150" t="s">
        <v>651</v>
      </c>
      <c r="AE7" s="150" t="s">
        <v>692</v>
      </c>
      <c r="AF7" s="150" t="s">
        <v>709</v>
      </c>
      <c r="AG7" s="150"/>
      <c r="AH7" s="150" t="s">
        <v>734</v>
      </c>
      <c r="AK7" s="134"/>
      <c r="AM7" s="126" t="str">
        <f>D7</f>
        <v>Passenger Cars and Trucks</v>
      </c>
      <c r="AN7" s="126" t="str">
        <f>E7</f>
        <v>Buses</v>
      </c>
      <c r="AO7" s="126" t="s">
        <v>430</v>
      </c>
      <c r="AQ7" s="126" t="str">
        <f>D7</f>
        <v>Passenger Cars and Trucks</v>
      </c>
      <c r="AR7" s="126" t="str">
        <f>E7</f>
        <v>Buses</v>
      </c>
      <c r="AS7" s="126" t="s">
        <v>430</v>
      </c>
      <c r="AT7" s="126" t="str">
        <f>G7</f>
        <v xml:space="preserve">   Total</v>
      </c>
      <c r="AU7" s="1"/>
      <c r="AV7" s="126" t="str">
        <f>D7</f>
        <v>Passenger Cars and Trucks</v>
      </c>
      <c r="AW7" s="126" t="str">
        <f>E7</f>
        <v>Buses</v>
      </c>
      <c r="AX7" s="126" t="s">
        <v>430</v>
      </c>
      <c r="AY7" s="1"/>
      <c r="AZ7" s="1"/>
      <c r="BA7" s="126" t="str">
        <f>D7</f>
        <v>Passenger Cars and Trucks</v>
      </c>
      <c r="BB7" s="126" t="str">
        <f>E7</f>
        <v>Buses</v>
      </c>
      <c r="BC7" s="126" t="s">
        <v>430</v>
      </c>
      <c r="BD7" s="1"/>
      <c r="BE7" s="126" t="str">
        <f>D7</f>
        <v>Passenger Cars and Trucks</v>
      </c>
      <c r="BF7" s="126" t="str">
        <f>E7</f>
        <v>Buses</v>
      </c>
      <c r="BG7" s="126" t="s">
        <v>430</v>
      </c>
      <c r="BH7" s="1"/>
      <c r="BI7" s="126" t="str">
        <f>D7</f>
        <v>Passenger Cars and Trucks</v>
      </c>
      <c r="BJ7" s="126" t="str">
        <f>E7</f>
        <v>Buses</v>
      </c>
      <c r="BK7" s="126" t="s">
        <v>430</v>
      </c>
      <c r="BL7" s="1"/>
      <c r="BM7" s="126" t="str">
        <f>D7</f>
        <v>Passenger Cars and Trucks</v>
      </c>
      <c r="BN7" s="126" t="str">
        <f>E7</f>
        <v>Buses</v>
      </c>
      <c r="BO7" s="126" t="s">
        <v>430</v>
      </c>
      <c r="BP7" s="1"/>
      <c r="BQ7" s="1"/>
      <c r="BR7" s="148" t="s">
        <v>701</v>
      </c>
      <c r="BS7" s="148" t="s">
        <v>702</v>
      </c>
      <c r="BT7" s="148" t="s">
        <v>702</v>
      </c>
      <c r="BV7" s="148" t="s">
        <v>701</v>
      </c>
      <c r="BW7" s="148" t="s">
        <v>702</v>
      </c>
      <c r="BX7" s="148" t="s">
        <v>702</v>
      </c>
      <c r="BZ7" s="148" t="s">
        <v>701</v>
      </c>
      <c r="CA7" s="148" t="s">
        <v>702</v>
      </c>
      <c r="CB7" s="148" t="s">
        <v>702</v>
      </c>
    </row>
    <row r="8" spans="1:80" ht="28.5" customHeight="1" x14ac:dyDescent="0.2">
      <c r="A8" s="133" t="s">
        <v>663</v>
      </c>
      <c r="B8" s="133"/>
      <c r="D8" s="135" t="s">
        <v>663</v>
      </c>
      <c r="E8" s="135" t="s">
        <v>663</v>
      </c>
      <c r="F8" s="135" t="s">
        <v>663</v>
      </c>
      <c r="G8" s="135" t="s">
        <v>691</v>
      </c>
      <c r="H8" s="1"/>
      <c r="I8" s="135"/>
      <c r="J8" s="135"/>
      <c r="K8" s="135"/>
      <c r="L8" s="135"/>
      <c r="M8" s="1"/>
      <c r="N8" s="135"/>
      <c r="O8" s="135"/>
      <c r="P8" s="135"/>
      <c r="Q8" s="135"/>
      <c r="R8" s="135"/>
      <c r="S8" s="135"/>
      <c r="T8" s="135"/>
      <c r="U8" s="139"/>
      <c r="V8" s="135"/>
      <c r="W8" s="135"/>
      <c r="X8" s="135"/>
      <c r="Y8" s="1"/>
      <c r="Z8" s="151"/>
      <c r="AA8" s="151"/>
      <c r="AB8" s="151"/>
      <c r="AC8" s="151"/>
      <c r="AD8" s="151"/>
      <c r="AE8" s="154" t="s">
        <v>733</v>
      </c>
      <c r="AF8" s="152" t="s">
        <v>719</v>
      </c>
      <c r="AG8" s="151"/>
      <c r="AH8" s="152" t="s">
        <v>735</v>
      </c>
      <c r="AK8" s="134"/>
      <c r="BR8" t="s">
        <v>703</v>
      </c>
      <c r="BS8" t="s">
        <v>703</v>
      </c>
      <c r="BT8" t="s">
        <v>704</v>
      </c>
      <c r="BV8" t="s">
        <v>703</v>
      </c>
      <c r="BW8" t="s">
        <v>703</v>
      </c>
      <c r="BX8" t="s">
        <v>704</v>
      </c>
      <c r="BZ8" t="s">
        <v>703</v>
      </c>
      <c r="CA8" t="s">
        <v>703</v>
      </c>
      <c r="CB8" t="s">
        <v>704</v>
      </c>
    </row>
    <row r="9" spans="1:80" ht="22.5" customHeight="1" thickBot="1" x14ac:dyDescent="0.25">
      <c r="A9" s="133"/>
      <c r="B9" s="133"/>
      <c r="D9" s="135" t="s">
        <v>761</v>
      </c>
      <c r="E9" s="135" t="s">
        <v>762</v>
      </c>
      <c r="F9" s="135" t="s">
        <v>762</v>
      </c>
      <c r="G9" s="135" t="s">
        <v>762</v>
      </c>
      <c r="H9" s="1"/>
      <c r="I9" s="274" t="s">
        <v>688</v>
      </c>
      <c r="J9" s="274" t="s">
        <v>687</v>
      </c>
      <c r="K9" s="274" t="s">
        <v>687</v>
      </c>
      <c r="L9" s="274" t="s">
        <v>687</v>
      </c>
      <c r="M9" s="1"/>
      <c r="N9" s="135" t="s">
        <v>686</v>
      </c>
      <c r="O9" s="135" t="s">
        <v>686</v>
      </c>
      <c r="P9" s="135" t="s">
        <v>686</v>
      </c>
      <c r="Q9" s="135" t="s">
        <v>686</v>
      </c>
      <c r="R9" s="135" t="s">
        <v>689</v>
      </c>
      <c r="S9" s="135" t="s">
        <v>689</v>
      </c>
      <c r="T9" s="135" t="s">
        <v>689</v>
      </c>
      <c r="U9" s="139"/>
      <c r="V9" s="135" t="s">
        <v>689</v>
      </c>
      <c r="W9" s="135" t="s">
        <v>689</v>
      </c>
      <c r="X9" s="135" t="s">
        <v>689</v>
      </c>
      <c r="Y9" s="1"/>
      <c r="Z9" s="153"/>
      <c r="AA9" s="153"/>
      <c r="AB9" s="153"/>
      <c r="AC9" s="153"/>
      <c r="AD9" s="153"/>
      <c r="AE9" s="153"/>
      <c r="AF9" s="153"/>
      <c r="AG9" s="153"/>
      <c r="AH9" s="153"/>
      <c r="AK9" s="134"/>
      <c r="BR9" s="130"/>
      <c r="BS9" s="130"/>
      <c r="BT9" s="130"/>
      <c r="BV9" s="130"/>
      <c r="BW9" s="130"/>
      <c r="BX9" s="130"/>
      <c r="BZ9" s="130"/>
      <c r="CA9" s="130"/>
      <c r="CB9" s="130"/>
    </row>
    <row r="10" spans="1:80" hidden="1" x14ac:dyDescent="0.2">
      <c r="A10" s="133" t="s">
        <v>664</v>
      </c>
      <c r="B10" s="133">
        <v>1949</v>
      </c>
      <c r="D10" s="5">
        <f>Personal_vehicles!G10</f>
        <v>0</v>
      </c>
      <c r="E10" s="5">
        <f>Buses!G10</f>
        <v>0</v>
      </c>
      <c r="F10" s="5"/>
      <c r="G10" s="5">
        <f t="shared" ref="G10:G30" si="0">D10+E10</f>
        <v>0</v>
      </c>
      <c r="H10" s="5"/>
      <c r="I10" s="5">
        <f>Personal_vehicles!L10</f>
        <v>0</v>
      </c>
      <c r="J10" s="5">
        <f>Buses!L10</f>
        <v>0</v>
      </c>
      <c r="K10" s="5"/>
      <c r="L10" s="5">
        <f t="shared" ref="L10:L30" si="1">I10+J10</f>
        <v>0</v>
      </c>
      <c r="R10" s="129">
        <f>Personal_vehicles!AA10</f>
        <v>0</v>
      </c>
      <c r="S10" s="129">
        <f>Buses!AA10</f>
        <v>0</v>
      </c>
      <c r="T10" s="129"/>
      <c r="U10" s="141"/>
      <c r="V10" s="142">
        <f>Personal_vehicles!Z10</f>
        <v>0</v>
      </c>
      <c r="W10" s="141">
        <f>Buses!Z10</f>
        <v>0</v>
      </c>
      <c r="X10" s="141"/>
      <c r="Z10" s="131">
        <f t="shared" ref="Z10:Z41" si="2">L10/L$74</f>
        <v>0</v>
      </c>
      <c r="AA10" s="131">
        <f t="shared" ref="AA10:AA41" si="3">Q10/Q$74</f>
        <v>0</v>
      </c>
      <c r="AB10" s="131">
        <f>BX10</f>
        <v>0.99682474136476662</v>
      </c>
      <c r="AC10" s="131">
        <f>CB10</f>
        <v>0.96601270433970654</v>
      </c>
      <c r="AD10" s="131">
        <f t="shared" ref="AD10:AD41" si="4">BT10</f>
        <v>1.2355305261852831</v>
      </c>
      <c r="AE10" s="131">
        <f>Z10*AB10*AC10*AD10</f>
        <v>0</v>
      </c>
      <c r="AF10" s="131">
        <f t="shared" ref="AF10:AF41" si="5">G10/G$74</f>
        <v>0</v>
      </c>
      <c r="AG10" s="131"/>
      <c r="AH10" s="131">
        <f>AB10*AC10</f>
        <v>0.96294536415850673</v>
      </c>
      <c r="AK10" s="134"/>
      <c r="AM10" t="e">
        <f t="shared" ref="AM10:AM41" si="6">D10/G10</f>
        <v>#DIV/0!</v>
      </c>
      <c r="AN10" t="e">
        <f t="shared" ref="AN10:AN41" si="7">E10/G10</f>
        <v>#DIV/0!</v>
      </c>
      <c r="BA10" s="129"/>
      <c r="BB10" s="129"/>
      <c r="BC10" s="129"/>
      <c r="BD10" s="129"/>
      <c r="BE10" s="129" t="e">
        <f t="shared" ref="BE10:BE41" si="8">I10/L10</f>
        <v>#DIV/0!</v>
      </c>
      <c r="BF10" s="129" t="e">
        <f t="shared" ref="BF10:BF41" si="9">J10/L10</f>
        <v>#DIV/0!</v>
      </c>
      <c r="BG10" s="129"/>
      <c r="BH10" s="129"/>
      <c r="BI10" s="129"/>
      <c r="BJ10" s="129"/>
      <c r="BK10" s="129"/>
      <c r="BL10" s="129"/>
      <c r="BM10" s="129"/>
      <c r="BN10" s="129"/>
      <c r="BO10" s="129"/>
      <c r="BP10" s="129"/>
      <c r="BQ10" s="129"/>
      <c r="BR10" s="129"/>
      <c r="BS10" s="129">
        <v>1</v>
      </c>
      <c r="BT10" s="129">
        <f t="shared" ref="BT10:BT31" si="10">BS10/BS$74</f>
        <v>1.2355305261852831</v>
      </c>
      <c r="BU10" s="129"/>
      <c r="BV10" s="129"/>
      <c r="BW10" s="129">
        <v>1</v>
      </c>
      <c r="BX10" s="129">
        <f t="shared" ref="BX10:BX31" si="11">BW10/BW$74</f>
        <v>0.99682474136476662</v>
      </c>
      <c r="BY10" s="129"/>
      <c r="BZ10" s="129"/>
      <c r="CA10" s="129">
        <v>1</v>
      </c>
      <c r="CB10" s="129">
        <f t="shared" ref="CB10:CB31" si="12">CA10/CA$74</f>
        <v>0.96601270433970654</v>
      </c>
    </row>
    <row r="11" spans="1:80" hidden="1" x14ac:dyDescent="0.2">
      <c r="A11" s="133" t="s">
        <v>664</v>
      </c>
      <c r="B11" s="133">
        <f t="shared" ref="B11:B42" si="13">B10+1</f>
        <v>1950</v>
      </c>
      <c r="D11" s="5">
        <f>Personal_vehicles!G11</f>
        <v>0</v>
      </c>
      <c r="E11" s="5">
        <f>Buses!G11</f>
        <v>0</v>
      </c>
      <c r="F11" s="5"/>
      <c r="G11" s="5">
        <f t="shared" si="0"/>
        <v>0</v>
      </c>
      <c r="H11" s="5"/>
      <c r="I11" s="5">
        <f>Personal_vehicles!L11</f>
        <v>0</v>
      </c>
      <c r="J11" s="5">
        <f>Buses!L11</f>
        <v>0</v>
      </c>
      <c r="K11" s="5"/>
      <c r="L11" s="5">
        <f t="shared" si="1"/>
        <v>0</v>
      </c>
      <c r="R11" s="129">
        <f>Personal_vehicles!AA11</f>
        <v>0</v>
      </c>
      <c r="S11" s="129">
        <f>Buses!AA11</f>
        <v>0</v>
      </c>
      <c r="T11" s="129"/>
      <c r="U11" s="129"/>
      <c r="V11" s="142">
        <f>Personal_vehicles!Z11</f>
        <v>0</v>
      </c>
      <c r="W11" s="129">
        <f>Buses!Z11</f>
        <v>0</v>
      </c>
      <c r="X11" s="129"/>
      <c r="Z11" s="131">
        <f t="shared" si="2"/>
        <v>0</v>
      </c>
      <c r="AA11" s="131">
        <f t="shared" si="3"/>
        <v>0</v>
      </c>
      <c r="AB11" s="131">
        <f t="shared" ref="AB11:AB62" si="14">BX11</f>
        <v>0.99682474136476662</v>
      </c>
      <c r="AC11" s="131">
        <f t="shared" ref="AC11:AC62" si="15">CB11</f>
        <v>0.96601270433970654</v>
      </c>
      <c r="AD11" s="131">
        <f t="shared" si="4"/>
        <v>1.2355305261852831</v>
      </c>
      <c r="AE11" s="131">
        <f t="shared" ref="AE11:AE62" si="16">Z11*AB11*AC11*AD11</f>
        <v>0</v>
      </c>
      <c r="AF11" s="131">
        <f t="shared" si="5"/>
        <v>0</v>
      </c>
      <c r="AG11" s="131"/>
      <c r="AH11" s="131">
        <f t="shared" ref="AH11:AH62" si="17">AB11*AC11</f>
        <v>0.96294536415850673</v>
      </c>
      <c r="AK11" s="134"/>
      <c r="AM11" t="e">
        <f t="shared" si="6"/>
        <v>#DIV/0!</v>
      </c>
      <c r="AN11" t="e">
        <f t="shared" si="7"/>
        <v>#DIV/0!</v>
      </c>
      <c r="AQ11" t="e">
        <f t="shared" ref="AQ11:AQ42" si="18">(AM11-AM10)/LN(AM11/AM10)</f>
        <v>#DIV/0!</v>
      </c>
      <c r="AR11" t="e">
        <f t="shared" ref="AR11:AS42" si="19">(AN11-AN10)/LN(AN11/AN10)</f>
        <v>#DIV/0!</v>
      </c>
      <c r="AT11" t="e">
        <f t="shared" ref="AT11:AT30" si="20">AQ11+AR11</f>
        <v>#DIV/0!</v>
      </c>
      <c r="AV11" t="e">
        <f t="shared" ref="AV11:AV30" si="21">AQ11/AT11</f>
        <v>#DIV/0!</v>
      </c>
      <c r="AW11" t="e">
        <f t="shared" ref="AW11:AW30" si="22">AR11/AT11</f>
        <v>#DIV/0!</v>
      </c>
      <c r="BA11" s="129" t="e">
        <f t="shared" ref="BA11:BA42" si="23">LN(R11/R10)</f>
        <v>#DIV/0!</v>
      </c>
      <c r="BB11" s="129" t="e">
        <f t="shared" ref="BB11:BC42" si="24">LN(S11/S10)</f>
        <v>#DIV/0!</v>
      </c>
      <c r="BC11" s="129"/>
      <c r="BD11" s="129"/>
      <c r="BE11" s="129" t="e">
        <f t="shared" si="8"/>
        <v>#DIV/0!</v>
      </c>
      <c r="BF11" s="129" t="e">
        <f t="shared" si="9"/>
        <v>#DIV/0!</v>
      </c>
      <c r="BG11" s="129"/>
      <c r="BH11" s="129"/>
      <c r="BI11" s="129" t="e">
        <f t="shared" ref="BI11:BI31" si="25">LN(BE11/BE10)</f>
        <v>#DIV/0!</v>
      </c>
      <c r="BJ11" s="129" t="e">
        <f t="shared" ref="BJ11:BJ31" si="26">LN(BF11/BF10)</f>
        <v>#DIV/0!</v>
      </c>
      <c r="BK11" s="129"/>
      <c r="BL11" s="129"/>
      <c r="BM11" s="129" t="e">
        <f>LN(V11/V10)</f>
        <v>#DIV/0!</v>
      </c>
      <c r="BN11" s="129" t="e">
        <f>LN(W11/W10)</f>
        <v>#DIV/0!</v>
      </c>
      <c r="BO11" s="129"/>
      <c r="BP11" s="129"/>
      <c r="BQ11" s="129"/>
      <c r="BR11" s="129" t="e">
        <f t="shared" ref="BR11:BR30" si="27">EXP(SUMPRODUCT($AV11:$AW11,BA11:BB11))</f>
        <v>#DIV/0!</v>
      </c>
      <c r="BS11" s="129">
        <f t="shared" ref="BS11:BS31" si="28">IF(ISERR(BR11),BS10,BR11*BS10)</f>
        <v>1</v>
      </c>
      <c r="BT11" s="129">
        <f t="shared" si="10"/>
        <v>1.2355305261852831</v>
      </c>
      <c r="BU11" s="129"/>
      <c r="BV11" s="129" t="e">
        <f t="shared" ref="BV11:BV30" si="29">EXP(SUMPRODUCT($AV11:$AW11,BI11:BJ11))</f>
        <v>#DIV/0!</v>
      </c>
      <c r="BW11" s="129">
        <f t="shared" ref="BW11:BW31" si="30">IF(ISERR(BV11),BW10,BV11*BW10)</f>
        <v>1</v>
      </c>
      <c r="BX11" s="129">
        <f t="shared" si="11"/>
        <v>0.99682474136476662</v>
      </c>
      <c r="BY11" s="129"/>
      <c r="BZ11" s="129" t="e">
        <f t="shared" ref="BZ11:BZ30" si="31">EXP(SUMPRODUCT($AV11:$AW11,BM11:BN11))</f>
        <v>#DIV/0!</v>
      </c>
      <c r="CA11" s="129">
        <f t="shared" ref="CA11:CA68" si="32">IF(ISERR(BZ11),CA10,BZ11*CA10)</f>
        <v>1</v>
      </c>
      <c r="CB11" s="129">
        <f t="shared" si="12"/>
        <v>0.96601270433970654</v>
      </c>
    </row>
    <row r="12" spans="1:80" hidden="1" x14ac:dyDescent="0.2">
      <c r="A12" s="133" t="s">
        <v>664</v>
      </c>
      <c r="B12" s="133">
        <f t="shared" si="13"/>
        <v>1951</v>
      </c>
      <c r="D12" s="5">
        <f>Personal_vehicles!G12</f>
        <v>0</v>
      </c>
      <c r="E12" s="5">
        <f>Buses!G12</f>
        <v>0</v>
      </c>
      <c r="F12" s="5"/>
      <c r="G12" s="5">
        <f t="shared" si="0"/>
        <v>0</v>
      </c>
      <c r="H12" s="5"/>
      <c r="I12" s="5">
        <f>Personal_vehicles!L12</f>
        <v>0</v>
      </c>
      <c r="J12" s="5">
        <f>Buses!L12</f>
        <v>0</v>
      </c>
      <c r="K12" s="5"/>
      <c r="L12" s="5">
        <f t="shared" si="1"/>
        <v>0</v>
      </c>
      <c r="R12" s="129">
        <f>Personal_vehicles!AA12</f>
        <v>0</v>
      </c>
      <c r="S12" s="129">
        <f>Buses!AA12</f>
        <v>0</v>
      </c>
      <c r="T12" s="129"/>
      <c r="U12" s="129"/>
      <c r="V12" s="141">
        <f>Personal_vehicles!Z12</f>
        <v>0</v>
      </c>
      <c r="W12" s="129">
        <f>Buses!Z12</f>
        <v>0</v>
      </c>
      <c r="X12" s="129"/>
      <c r="Z12" s="131">
        <f t="shared" si="2"/>
        <v>0</v>
      </c>
      <c r="AA12" s="131">
        <f t="shared" si="3"/>
        <v>0</v>
      </c>
      <c r="AB12" s="131">
        <f t="shared" si="14"/>
        <v>0.99682474136476662</v>
      </c>
      <c r="AC12" s="131">
        <f t="shared" si="15"/>
        <v>0.96601270433970654</v>
      </c>
      <c r="AD12" s="131">
        <f t="shared" si="4"/>
        <v>1.2355305261852831</v>
      </c>
      <c r="AE12" s="131">
        <f t="shared" si="16"/>
        <v>0</v>
      </c>
      <c r="AF12" s="131">
        <f t="shared" si="5"/>
        <v>0</v>
      </c>
      <c r="AG12" s="131"/>
      <c r="AH12" s="131">
        <f t="shared" si="17"/>
        <v>0.96294536415850673</v>
      </c>
      <c r="AK12" s="134"/>
      <c r="AM12" t="e">
        <f t="shared" si="6"/>
        <v>#DIV/0!</v>
      </c>
      <c r="AN12" t="e">
        <f t="shared" si="7"/>
        <v>#DIV/0!</v>
      </c>
      <c r="AQ12" t="e">
        <f t="shared" si="18"/>
        <v>#DIV/0!</v>
      </c>
      <c r="AR12" t="e">
        <f t="shared" si="19"/>
        <v>#DIV/0!</v>
      </c>
      <c r="AT12" t="e">
        <f t="shared" si="20"/>
        <v>#DIV/0!</v>
      </c>
      <c r="AV12" t="e">
        <f t="shared" si="21"/>
        <v>#DIV/0!</v>
      </c>
      <c r="AW12" t="e">
        <f t="shared" si="22"/>
        <v>#DIV/0!</v>
      </c>
      <c r="BA12" s="129" t="e">
        <f t="shared" si="23"/>
        <v>#DIV/0!</v>
      </c>
      <c r="BB12" s="129" t="e">
        <f t="shared" si="24"/>
        <v>#DIV/0!</v>
      </c>
      <c r="BC12" s="129"/>
      <c r="BD12" s="129"/>
      <c r="BE12" s="129" t="e">
        <f t="shared" si="8"/>
        <v>#DIV/0!</v>
      </c>
      <c r="BF12" s="129" t="e">
        <f t="shared" si="9"/>
        <v>#DIV/0!</v>
      </c>
      <c r="BG12" s="129"/>
      <c r="BH12" s="129"/>
      <c r="BI12" s="129" t="e">
        <f t="shared" si="25"/>
        <v>#DIV/0!</v>
      </c>
      <c r="BJ12" s="129" t="e">
        <f t="shared" si="26"/>
        <v>#DIV/0!</v>
      </c>
      <c r="BK12" s="129"/>
      <c r="BL12" s="129"/>
      <c r="BM12" s="129" t="e">
        <f t="shared" ref="BM12:BM68" si="33">LN(V12/V11)</f>
        <v>#DIV/0!</v>
      </c>
      <c r="BN12" s="129" t="e">
        <f t="shared" ref="BN12:BO68" si="34">LN(W12/W11)</f>
        <v>#DIV/0!</v>
      </c>
      <c r="BO12" s="129"/>
      <c r="BP12" s="129"/>
      <c r="BQ12" s="129"/>
      <c r="BR12" s="129" t="e">
        <f t="shared" si="27"/>
        <v>#DIV/0!</v>
      </c>
      <c r="BS12" s="129">
        <f t="shared" si="28"/>
        <v>1</v>
      </c>
      <c r="BT12" s="129">
        <f t="shared" si="10"/>
        <v>1.2355305261852831</v>
      </c>
      <c r="BU12" s="129"/>
      <c r="BV12" s="129" t="e">
        <f t="shared" si="29"/>
        <v>#DIV/0!</v>
      </c>
      <c r="BW12" s="129">
        <f t="shared" si="30"/>
        <v>1</v>
      </c>
      <c r="BX12" s="129">
        <f t="shared" si="11"/>
        <v>0.99682474136476662</v>
      </c>
      <c r="BY12" s="129"/>
      <c r="BZ12" s="129" t="e">
        <f t="shared" si="31"/>
        <v>#DIV/0!</v>
      </c>
      <c r="CA12" s="129">
        <f t="shared" si="32"/>
        <v>1</v>
      </c>
      <c r="CB12" s="129">
        <f t="shared" si="12"/>
        <v>0.96601270433970654</v>
      </c>
    </row>
    <row r="13" spans="1:80" hidden="1" x14ac:dyDescent="0.2">
      <c r="A13" s="133" t="s">
        <v>664</v>
      </c>
      <c r="B13" s="133">
        <f t="shared" si="13"/>
        <v>1952</v>
      </c>
      <c r="D13" s="5">
        <f>Personal_vehicles!G13</f>
        <v>0</v>
      </c>
      <c r="E13" s="5">
        <f>Buses!G13</f>
        <v>0</v>
      </c>
      <c r="F13" s="5"/>
      <c r="G13" s="5">
        <f t="shared" si="0"/>
        <v>0</v>
      </c>
      <c r="H13" s="5"/>
      <c r="I13" s="5">
        <f>Personal_vehicles!L13</f>
        <v>0</v>
      </c>
      <c r="J13" s="5">
        <f>Buses!L13</f>
        <v>0</v>
      </c>
      <c r="K13" s="5"/>
      <c r="L13" s="5">
        <f t="shared" si="1"/>
        <v>0</v>
      </c>
      <c r="R13" s="129">
        <f>Personal_vehicles!AA13</f>
        <v>0</v>
      </c>
      <c r="S13" s="129">
        <f>Buses!AA13</f>
        <v>0</v>
      </c>
      <c r="T13" s="129"/>
      <c r="U13" s="129"/>
      <c r="V13" s="129">
        <f>Personal_vehicles!Z13</f>
        <v>0</v>
      </c>
      <c r="W13" s="129">
        <f>Buses!Z13</f>
        <v>0</v>
      </c>
      <c r="X13" s="129"/>
      <c r="Z13" s="131">
        <f t="shared" si="2"/>
        <v>0</v>
      </c>
      <c r="AA13" s="131">
        <f t="shared" si="3"/>
        <v>0</v>
      </c>
      <c r="AB13" s="131">
        <f t="shared" si="14"/>
        <v>0.99682474136476662</v>
      </c>
      <c r="AC13" s="131">
        <f t="shared" si="15"/>
        <v>0.96601270433970654</v>
      </c>
      <c r="AD13" s="131">
        <f t="shared" si="4"/>
        <v>1.2355305261852831</v>
      </c>
      <c r="AE13" s="131">
        <f t="shared" si="16"/>
        <v>0</v>
      </c>
      <c r="AF13" s="131">
        <f t="shared" si="5"/>
        <v>0</v>
      </c>
      <c r="AG13" s="131"/>
      <c r="AH13" s="131">
        <f t="shared" si="17"/>
        <v>0.96294536415850673</v>
      </c>
      <c r="AK13" s="134"/>
      <c r="AM13" t="e">
        <f t="shared" si="6"/>
        <v>#DIV/0!</v>
      </c>
      <c r="AN13" t="e">
        <f t="shared" si="7"/>
        <v>#DIV/0!</v>
      </c>
      <c r="AQ13" t="e">
        <f t="shared" si="18"/>
        <v>#DIV/0!</v>
      </c>
      <c r="AR13" t="e">
        <f t="shared" si="19"/>
        <v>#DIV/0!</v>
      </c>
      <c r="AT13" t="e">
        <f t="shared" si="20"/>
        <v>#DIV/0!</v>
      </c>
      <c r="AV13" t="e">
        <f t="shared" si="21"/>
        <v>#DIV/0!</v>
      </c>
      <c r="AW13" t="e">
        <f t="shared" si="22"/>
        <v>#DIV/0!</v>
      </c>
      <c r="BA13" s="129" t="e">
        <f t="shared" si="23"/>
        <v>#DIV/0!</v>
      </c>
      <c r="BB13" s="129" t="e">
        <f t="shared" si="24"/>
        <v>#DIV/0!</v>
      </c>
      <c r="BC13" s="129"/>
      <c r="BD13" s="129"/>
      <c r="BE13" s="129" t="e">
        <f t="shared" si="8"/>
        <v>#DIV/0!</v>
      </c>
      <c r="BF13" s="129" t="e">
        <f t="shared" si="9"/>
        <v>#DIV/0!</v>
      </c>
      <c r="BG13" s="129"/>
      <c r="BH13" s="129"/>
      <c r="BI13" s="129" t="e">
        <f t="shared" si="25"/>
        <v>#DIV/0!</v>
      </c>
      <c r="BJ13" s="129" t="e">
        <f t="shared" si="26"/>
        <v>#DIV/0!</v>
      </c>
      <c r="BK13" s="129"/>
      <c r="BL13" s="129"/>
      <c r="BM13" s="129" t="e">
        <f t="shared" si="33"/>
        <v>#DIV/0!</v>
      </c>
      <c r="BN13" s="129" t="e">
        <f t="shared" si="34"/>
        <v>#DIV/0!</v>
      </c>
      <c r="BO13" s="129"/>
      <c r="BP13" s="129"/>
      <c r="BQ13" s="129"/>
      <c r="BR13" s="129" t="e">
        <f t="shared" si="27"/>
        <v>#DIV/0!</v>
      </c>
      <c r="BS13" s="129">
        <f t="shared" si="28"/>
        <v>1</v>
      </c>
      <c r="BT13" s="129">
        <f t="shared" si="10"/>
        <v>1.2355305261852831</v>
      </c>
      <c r="BU13" s="129"/>
      <c r="BV13" s="129" t="e">
        <f t="shared" si="29"/>
        <v>#DIV/0!</v>
      </c>
      <c r="BW13" s="129">
        <f t="shared" si="30"/>
        <v>1</v>
      </c>
      <c r="BX13" s="129">
        <f t="shared" si="11"/>
        <v>0.99682474136476662</v>
      </c>
      <c r="BY13" s="129"/>
      <c r="BZ13" s="129" t="e">
        <f t="shared" si="31"/>
        <v>#DIV/0!</v>
      </c>
      <c r="CA13" s="129">
        <f t="shared" si="32"/>
        <v>1</v>
      </c>
      <c r="CB13" s="129">
        <f t="shared" si="12"/>
        <v>0.96601270433970654</v>
      </c>
    </row>
    <row r="14" spans="1:80" hidden="1" x14ac:dyDescent="0.2">
      <c r="A14" s="133" t="s">
        <v>664</v>
      </c>
      <c r="B14" s="133">
        <f t="shared" si="13"/>
        <v>1953</v>
      </c>
      <c r="D14" s="5">
        <f>Personal_vehicles!G14</f>
        <v>0</v>
      </c>
      <c r="E14" s="5">
        <f>Buses!G14</f>
        <v>0</v>
      </c>
      <c r="F14" s="5"/>
      <c r="G14" s="5">
        <f t="shared" si="0"/>
        <v>0</v>
      </c>
      <c r="H14" s="5"/>
      <c r="I14" s="5">
        <f>Personal_vehicles!L14</f>
        <v>0</v>
      </c>
      <c r="J14" s="5">
        <f>Buses!L14</f>
        <v>0</v>
      </c>
      <c r="K14" s="5"/>
      <c r="L14" s="5">
        <f t="shared" si="1"/>
        <v>0</v>
      </c>
      <c r="R14" s="129">
        <f>Personal_vehicles!AA14</f>
        <v>0</v>
      </c>
      <c r="S14" s="129">
        <f>Buses!AA14</f>
        <v>0</v>
      </c>
      <c r="T14" s="129"/>
      <c r="U14" s="129"/>
      <c r="V14" s="129">
        <f>Personal_vehicles!Z14</f>
        <v>0</v>
      </c>
      <c r="W14" s="129">
        <f>Buses!Z14</f>
        <v>0</v>
      </c>
      <c r="X14" s="129"/>
      <c r="Z14" s="131">
        <f t="shared" si="2"/>
        <v>0</v>
      </c>
      <c r="AA14" s="131">
        <f t="shared" si="3"/>
        <v>0</v>
      </c>
      <c r="AB14" s="131">
        <f t="shared" si="14"/>
        <v>0.99682474136476662</v>
      </c>
      <c r="AC14" s="131">
        <f t="shared" si="15"/>
        <v>0.96601270433970654</v>
      </c>
      <c r="AD14" s="131">
        <f t="shared" si="4"/>
        <v>1.2355305261852831</v>
      </c>
      <c r="AE14" s="131">
        <f t="shared" si="16"/>
        <v>0</v>
      </c>
      <c r="AF14" s="131">
        <f t="shared" si="5"/>
        <v>0</v>
      </c>
      <c r="AG14" s="131"/>
      <c r="AH14" s="131">
        <f t="shared" si="17"/>
        <v>0.96294536415850673</v>
      </c>
      <c r="AK14" s="134"/>
      <c r="AM14" t="e">
        <f t="shared" si="6"/>
        <v>#DIV/0!</v>
      </c>
      <c r="AN14" t="e">
        <f t="shared" si="7"/>
        <v>#DIV/0!</v>
      </c>
      <c r="AQ14" t="e">
        <f t="shared" si="18"/>
        <v>#DIV/0!</v>
      </c>
      <c r="AR14" t="e">
        <f t="shared" si="19"/>
        <v>#DIV/0!</v>
      </c>
      <c r="AT14" t="e">
        <f t="shared" si="20"/>
        <v>#DIV/0!</v>
      </c>
      <c r="AV14" t="e">
        <f t="shared" si="21"/>
        <v>#DIV/0!</v>
      </c>
      <c r="AW14" t="e">
        <f t="shared" si="22"/>
        <v>#DIV/0!</v>
      </c>
      <c r="BA14" s="129" t="e">
        <f t="shared" si="23"/>
        <v>#DIV/0!</v>
      </c>
      <c r="BB14" s="129" t="e">
        <f t="shared" si="24"/>
        <v>#DIV/0!</v>
      </c>
      <c r="BC14" s="129"/>
      <c r="BD14" s="129"/>
      <c r="BE14" s="129" t="e">
        <f t="shared" si="8"/>
        <v>#DIV/0!</v>
      </c>
      <c r="BF14" s="129" t="e">
        <f t="shared" si="9"/>
        <v>#DIV/0!</v>
      </c>
      <c r="BG14" s="129"/>
      <c r="BH14" s="129"/>
      <c r="BI14" s="129" t="e">
        <f t="shared" si="25"/>
        <v>#DIV/0!</v>
      </c>
      <c r="BJ14" s="129" t="e">
        <f t="shared" si="26"/>
        <v>#DIV/0!</v>
      </c>
      <c r="BK14" s="129"/>
      <c r="BL14" s="129"/>
      <c r="BM14" s="129" t="e">
        <f t="shared" si="33"/>
        <v>#DIV/0!</v>
      </c>
      <c r="BN14" s="129" t="e">
        <f t="shared" si="34"/>
        <v>#DIV/0!</v>
      </c>
      <c r="BO14" s="129"/>
      <c r="BP14" s="129"/>
      <c r="BQ14" s="129"/>
      <c r="BR14" s="129" t="e">
        <f t="shared" si="27"/>
        <v>#DIV/0!</v>
      </c>
      <c r="BS14" s="129">
        <f t="shared" si="28"/>
        <v>1</v>
      </c>
      <c r="BT14" s="129">
        <f t="shared" si="10"/>
        <v>1.2355305261852831</v>
      </c>
      <c r="BU14" s="129"/>
      <c r="BV14" s="129" t="e">
        <f t="shared" si="29"/>
        <v>#DIV/0!</v>
      </c>
      <c r="BW14" s="129">
        <f t="shared" si="30"/>
        <v>1</v>
      </c>
      <c r="BX14" s="129">
        <f t="shared" si="11"/>
        <v>0.99682474136476662</v>
      </c>
      <c r="BY14" s="129"/>
      <c r="BZ14" s="129" t="e">
        <f t="shared" si="31"/>
        <v>#DIV/0!</v>
      </c>
      <c r="CA14" s="129">
        <f t="shared" si="32"/>
        <v>1</v>
      </c>
      <c r="CB14" s="129">
        <f t="shared" si="12"/>
        <v>0.96601270433970654</v>
      </c>
    </row>
    <row r="15" spans="1:80" hidden="1" x14ac:dyDescent="0.2">
      <c r="A15" s="133" t="s">
        <v>664</v>
      </c>
      <c r="B15" s="133">
        <f t="shared" si="13"/>
        <v>1954</v>
      </c>
      <c r="D15" s="5">
        <f>Personal_vehicles!G15</f>
        <v>0</v>
      </c>
      <c r="E15" s="5">
        <f>Buses!G15</f>
        <v>0</v>
      </c>
      <c r="F15" s="5"/>
      <c r="G15" s="5">
        <f t="shared" si="0"/>
        <v>0</v>
      </c>
      <c r="H15" s="5"/>
      <c r="I15" s="5">
        <f>Personal_vehicles!L15</f>
        <v>0</v>
      </c>
      <c r="J15" s="5">
        <f>Buses!L15</f>
        <v>0</v>
      </c>
      <c r="K15" s="5"/>
      <c r="L15" s="5">
        <f t="shared" si="1"/>
        <v>0</v>
      </c>
      <c r="R15" s="129">
        <f>Personal_vehicles!AA15</f>
        <v>0</v>
      </c>
      <c r="S15" s="129">
        <f>Buses!AA15</f>
        <v>0</v>
      </c>
      <c r="T15" s="129"/>
      <c r="U15" s="129"/>
      <c r="V15" s="129">
        <f>Personal_vehicles!Z15</f>
        <v>0</v>
      </c>
      <c r="W15" s="129">
        <f>Buses!Z15</f>
        <v>0</v>
      </c>
      <c r="X15" s="129"/>
      <c r="Z15" s="131">
        <f t="shared" si="2"/>
        <v>0</v>
      </c>
      <c r="AA15" s="131">
        <f t="shared" si="3"/>
        <v>0</v>
      </c>
      <c r="AB15" s="131">
        <f t="shared" si="14"/>
        <v>0.99682474136476662</v>
      </c>
      <c r="AC15" s="131">
        <f t="shared" si="15"/>
        <v>0.96601270433970654</v>
      </c>
      <c r="AD15" s="131">
        <f t="shared" si="4"/>
        <v>1.2355305261852831</v>
      </c>
      <c r="AE15" s="131">
        <f t="shared" si="16"/>
        <v>0</v>
      </c>
      <c r="AF15" s="131">
        <f t="shared" si="5"/>
        <v>0</v>
      </c>
      <c r="AG15" s="131"/>
      <c r="AH15" s="131">
        <f t="shared" si="17"/>
        <v>0.96294536415850673</v>
      </c>
      <c r="AK15" s="134"/>
      <c r="AM15" t="e">
        <f t="shared" si="6"/>
        <v>#DIV/0!</v>
      </c>
      <c r="AN15" t="e">
        <f t="shared" si="7"/>
        <v>#DIV/0!</v>
      </c>
      <c r="AQ15" t="e">
        <f t="shared" si="18"/>
        <v>#DIV/0!</v>
      </c>
      <c r="AR15" t="e">
        <f t="shared" si="19"/>
        <v>#DIV/0!</v>
      </c>
      <c r="AT15" t="e">
        <f t="shared" si="20"/>
        <v>#DIV/0!</v>
      </c>
      <c r="AV15" t="e">
        <f t="shared" si="21"/>
        <v>#DIV/0!</v>
      </c>
      <c r="AW15" t="e">
        <f t="shared" si="22"/>
        <v>#DIV/0!</v>
      </c>
      <c r="BA15" s="129" t="e">
        <f t="shared" si="23"/>
        <v>#DIV/0!</v>
      </c>
      <c r="BB15" s="129" t="e">
        <f t="shared" si="24"/>
        <v>#DIV/0!</v>
      </c>
      <c r="BC15" s="129"/>
      <c r="BD15" s="129"/>
      <c r="BE15" s="129" t="e">
        <f t="shared" si="8"/>
        <v>#DIV/0!</v>
      </c>
      <c r="BF15" s="129" t="e">
        <f t="shared" si="9"/>
        <v>#DIV/0!</v>
      </c>
      <c r="BG15" s="129"/>
      <c r="BH15" s="129"/>
      <c r="BI15" s="129" t="e">
        <f t="shared" si="25"/>
        <v>#DIV/0!</v>
      </c>
      <c r="BJ15" s="129" t="e">
        <f t="shared" si="26"/>
        <v>#DIV/0!</v>
      </c>
      <c r="BK15" s="129"/>
      <c r="BL15" s="129"/>
      <c r="BM15" s="129" t="e">
        <f t="shared" si="33"/>
        <v>#DIV/0!</v>
      </c>
      <c r="BN15" s="129" t="e">
        <f t="shared" si="34"/>
        <v>#DIV/0!</v>
      </c>
      <c r="BO15" s="129"/>
      <c r="BP15" s="129"/>
      <c r="BQ15" s="129"/>
      <c r="BR15" s="129" t="e">
        <f t="shared" si="27"/>
        <v>#DIV/0!</v>
      </c>
      <c r="BS15" s="129">
        <f t="shared" si="28"/>
        <v>1</v>
      </c>
      <c r="BT15" s="129">
        <f t="shared" si="10"/>
        <v>1.2355305261852831</v>
      </c>
      <c r="BU15" s="129"/>
      <c r="BV15" s="129" t="e">
        <f t="shared" si="29"/>
        <v>#DIV/0!</v>
      </c>
      <c r="BW15" s="129">
        <f t="shared" si="30"/>
        <v>1</v>
      </c>
      <c r="BX15" s="129">
        <f t="shared" si="11"/>
        <v>0.99682474136476662</v>
      </c>
      <c r="BY15" s="129"/>
      <c r="BZ15" s="129" t="e">
        <f t="shared" si="31"/>
        <v>#DIV/0!</v>
      </c>
      <c r="CA15" s="129">
        <f t="shared" si="32"/>
        <v>1</v>
      </c>
      <c r="CB15" s="129">
        <f t="shared" si="12"/>
        <v>0.96601270433970654</v>
      </c>
    </row>
    <row r="16" spans="1:80" hidden="1" x14ac:dyDescent="0.2">
      <c r="A16" s="133" t="s">
        <v>664</v>
      </c>
      <c r="B16" s="133">
        <f t="shared" si="13"/>
        <v>1955</v>
      </c>
      <c r="D16" s="5">
        <f>Personal_vehicles!G16</f>
        <v>0</v>
      </c>
      <c r="E16" s="5">
        <f>Buses!G16</f>
        <v>0</v>
      </c>
      <c r="F16" s="5"/>
      <c r="G16" s="5">
        <f t="shared" si="0"/>
        <v>0</v>
      </c>
      <c r="H16" s="5"/>
      <c r="I16" s="5">
        <f>Personal_vehicles!L16</f>
        <v>0</v>
      </c>
      <c r="J16" s="5">
        <f>Buses!L16</f>
        <v>0</v>
      </c>
      <c r="K16" s="5"/>
      <c r="L16" s="5">
        <f t="shared" si="1"/>
        <v>0</v>
      </c>
      <c r="R16" s="129">
        <f>Personal_vehicles!AA16</f>
        <v>0</v>
      </c>
      <c r="S16" s="129">
        <f>Buses!AA16</f>
        <v>0</v>
      </c>
      <c r="T16" s="129"/>
      <c r="U16" s="129"/>
      <c r="V16" s="129">
        <f>Personal_vehicles!Z16</f>
        <v>0</v>
      </c>
      <c r="W16" s="129">
        <f>Buses!Z16</f>
        <v>0</v>
      </c>
      <c r="X16" s="129"/>
      <c r="Z16" s="131">
        <f t="shared" si="2"/>
        <v>0</v>
      </c>
      <c r="AA16" s="131">
        <f t="shared" si="3"/>
        <v>0</v>
      </c>
      <c r="AB16" s="131">
        <f t="shared" si="14"/>
        <v>0.99682474136476662</v>
      </c>
      <c r="AC16" s="131">
        <f t="shared" si="15"/>
        <v>0.96601270433970654</v>
      </c>
      <c r="AD16" s="131">
        <f t="shared" si="4"/>
        <v>1.2355305261852831</v>
      </c>
      <c r="AE16" s="131">
        <f t="shared" si="16"/>
        <v>0</v>
      </c>
      <c r="AF16" s="131">
        <f t="shared" si="5"/>
        <v>0</v>
      </c>
      <c r="AG16" s="131"/>
      <c r="AH16" s="131">
        <f t="shared" si="17"/>
        <v>0.96294536415850673</v>
      </c>
      <c r="AK16" s="134"/>
      <c r="AM16" t="e">
        <f t="shared" si="6"/>
        <v>#DIV/0!</v>
      </c>
      <c r="AN16" t="e">
        <f t="shared" si="7"/>
        <v>#DIV/0!</v>
      </c>
      <c r="AQ16" t="e">
        <f t="shared" si="18"/>
        <v>#DIV/0!</v>
      </c>
      <c r="AR16" t="e">
        <f t="shared" si="19"/>
        <v>#DIV/0!</v>
      </c>
      <c r="AT16" t="e">
        <f t="shared" si="20"/>
        <v>#DIV/0!</v>
      </c>
      <c r="AV16" t="e">
        <f t="shared" si="21"/>
        <v>#DIV/0!</v>
      </c>
      <c r="AW16" t="e">
        <f t="shared" si="22"/>
        <v>#DIV/0!</v>
      </c>
      <c r="BA16" s="129" t="e">
        <f t="shared" si="23"/>
        <v>#DIV/0!</v>
      </c>
      <c r="BB16" s="129" t="e">
        <f t="shared" si="24"/>
        <v>#DIV/0!</v>
      </c>
      <c r="BC16" s="129"/>
      <c r="BD16" s="129"/>
      <c r="BE16" s="129" t="e">
        <f t="shared" si="8"/>
        <v>#DIV/0!</v>
      </c>
      <c r="BF16" s="129" t="e">
        <f t="shared" si="9"/>
        <v>#DIV/0!</v>
      </c>
      <c r="BG16" s="129"/>
      <c r="BH16" s="129"/>
      <c r="BI16" s="129" t="e">
        <f t="shared" si="25"/>
        <v>#DIV/0!</v>
      </c>
      <c r="BJ16" s="129" t="e">
        <f t="shared" si="26"/>
        <v>#DIV/0!</v>
      </c>
      <c r="BK16" s="129"/>
      <c r="BL16" s="129"/>
      <c r="BM16" s="129" t="e">
        <f t="shared" si="33"/>
        <v>#DIV/0!</v>
      </c>
      <c r="BN16" s="129" t="e">
        <f t="shared" si="34"/>
        <v>#DIV/0!</v>
      </c>
      <c r="BO16" s="129"/>
      <c r="BP16" s="129"/>
      <c r="BQ16" s="129"/>
      <c r="BR16" s="129" t="e">
        <f t="shared" si="27"/>
        <v>#DIV/0!</v>
      </c>
      <c r="BS16" s="129">
        <f t="shared" si="28"/>
        <v>1</v>
      </c>
      <c r="BT16" s="129">
        <f t="shared" si="10"/>
        <v>1.2355305261852831</v>
      </c>
      <c r="BU16" s="129"/>
      <c r="BV16" s="129" t="e">
        <f t="shared" si="29"/>
        <v>#DIV/0!</v>
      </c>
      <c r="BW16" s="129">
        <f t="shared" si="30"/>
        <v>1</v>
      </c>
      <c r="BX16" s="129">
        <f t="shared" si="11"/>
        <v>0.99682474136476662</v>
      </c>
      <c r="BY16" s="129"/>
      <c r="BZ16" s="129" t="e">
        <f t="shared" si="31"/>
        <v>#DIV/0!</v>
      </c>
      <c r="CA16" s="129">
        <f t="shared" si="32"/>
        <v>1</v>
      </c>
      <c r="CB16" s="129">
        <f t="shared" si="12"/>
        <v>0.96601270433970654</v>
      </c>
    </row>
    <row r="17" spans="1:80" hidden="1" x14ac:dyDescent="0.2">
      <c r="A17" s="133" t="s">
        <v>664</v>
      </c>
      <c r="B17" s="133">
        <f t="shared" si="13"/>
        <v>1956</v>
      </c>
      <c r="D17" s="5">
        <f>Personal_vehicles!G17</f>
        <v>0</v>
      </c>
      <c r="E17" s="5">
        <f>Buses!G17</f>
        <v>0</v>
      </c>
      <c r="F17" s="5"/>
      <c r="G17" s="5">
        <f t="shared" si="0"/>
        <v>0</v>
      </c>
      <c r="H17" s="5"/>
      <c r="I17" s="5">
        <f>Personal_vehicles!L17</f>
        <v>0</v>
      </c>
      <c r="J17" s="5">
        <f>Buses!L17</f>
        <v>0</v>
      </c>
      <c r="K17" s="5"/>
      <c r="L17" s="5">
        <f t="shared" si="1"/>
        <v>0</v>
      </c>
      <c r="R17" s="129">
        <f>Personal_vehicles!AA17</f>
        <v>0</v>
      </c>
      <c r="S17" s="129">
        <f>Buses!AA17</f>
        <v>0</v>
      </c>
      <c r="T17" s="129"/>
      <c r="U17" s="129"/>
      <c r="V17" s="129">
        <f>Personal_vehicles!Z17</f>
        <v>0</v>
      </c>
      <c r="W17" s="129">
        <f>Buses!Z17</f>
        <v>0</v>
      </c>
      <c r="X17" s="129"/>
      <c r="Z17" s="131">
        <f t="shared" si="2"/>
        <v>0</v>
      </c>
      <c r="AA17" s="131">
        <f t="shared" si="3"/>
        <v>0</v>
      </c>
      <c r="AB17" s="131">
        <f t="shared" si="14"/>
        <v>0.99682474136476662</v>
      </c>
      <c r="AC17" s="131">
        <f t="shared" si="15"/>
        <v>0.96601270433970654</v>
      </c>
      <c r="AD17" s="131">
        <f t="shared" si="4"/>
        <v>1.2355305261852831</v>
      </c>
      <c r="AE17" s="131">
        <f t="shared" si="16"/>
        <v>0</v>
      </c>
      <c r="AF17" s="131">
        <f t="shared" si="5"/>
        <v>0</v>
      </c>
      <c r="AG17" s="131"/>
      <c r="AH17" s="131">
        <f t="shared" si="17"/>
        <v>0.96294536415850673</v>
      </c>
      <c r="AK17" s="134"/>
      <c r="AM17" t="e">
        <f t="shared" si="6"/>
        <v>#DIV/0!</v>
      </c>
      <c r="AN17" t="e">
        <f t="shared" si="7"/>
        <v>#DIV/0!</v>
      </c>
      <c r="AQ17" t="e">
        <f t="shared" si="18"/>
        <v>#DIV/0!</v>
      </c>
      <c r="AR17" t="e">
        <f t="shared" si="19"/>
        <v>#DIV/0!</v>
      </c>
      <c r="AT17" t="e">
        <f t="shared" si="20"/>
        <v>#DIV/0!</v>
      </c>
      <c r="AV17" t="e">
        <f t="shared" si="21"/>
        <v>#DIV/0!</v>
      </c>
      <c r="AW17" t="e">
        <f t="shared" si="22"/>
        <v>#DIV/0!</v>
      </c>
      <c r="BA17" s="129" t="e">
        <f t="shared" si="23"/>
        <v>#DIV/0!</v>
      </c>
      <c r="BB17" s="129" t="e">
        <f t="shared" si="24"/>
        <v>#DIV/0!</v>
      </c>
      <c r="BC17" s="129"/>
      <c r="BD17" s="129"/>
      <c r="BE17" s="129" t="e">
        <f t="shared" si="8"/>
        <v>#DIV/0!</v>
      </c>
      <c r="BF17" s="129" t="e">
        <f t="shared" si="9"/>
        <v>#DIV/0!</v>
      </c>
      <c r="BG17" s="129"/>
      <c r="BH17" s="129"/>
      <c r="BI17" s="129" t="e">
        <f t="shared" si="25"/>
        <v>#DIV/0!</v>
      </c>
      <c r="BJ17" s="129" t="e">
        <f t="shared" si="26"/>
        <v>#DIV/0!</v>
      </c>
      <c r="BK17" s="129"/>
      <c r="BL17" s="129"/>
      <c r="BM17" s="129" t="e">
        <f t="shared" si="33"/>
        <v>#DIV/0!</v>
      </c>
      <c r="BN17" s="129" t="e">
        <f t="shared" si="34"/>
        <v>#DIV/0!</v>
      </c>
      <c r="BO17" s="129"/>
      <c r="BP17" s="129"/>
      <c r="BQ17" s="129"/>
      <c r="BR17" s="129" t="e">
        <f t="shared" si="27"/>
        <v>#DIV/0!</v>
      </c>
      <c r="BS17" s="129">
        <f t="shared" si="28"/>
        <v>1</v>
      </c>
      <c r="BT17" s="129">
        <f t="shared" si="10"/>
        <v>1.2355305261852831</v>
      </c>
      <c r="BU17" s="129"/>
      <c r="BV17" s="129" t="e">
        <f t="shared" si="29"/>
        <v>#DIV/0!</v>
      </c>
      <c r="BW17" s="129">
        <f t="shared" si="30"/>
        <v>1</v>
      </c>
      <c r="BX17" s="129">
        <f t="shared" si="11"/>
        <v>0.99682474136476662</v>
      </c>
      <c r="BY17" s="129"/>
      <c r="BZ17" s="129" t="e">
        <f t="shared" si="31"/>
        <v>#DIV/0!</v>
      </c>
      <c r="CA17" s="129">
        <f t="shared" si="32"/>
        <v>1</v>
      </c>
      <c r="CB17" s="129">
        <f t="shared" si="12"/>
        <v>0.96601270433970654</v>
      </c>
    </row>
    <row r="18" spans="1:80" hidden="1" x14ac:dyDescent="0.2">
      <c r="A18" s="133" t="s">
        <v>664</v>
      </c>
      <c r="B18" s="133">
        <f t="shared" si="13"/>
        <v>1957</v>
      </c>
      <c r="D18" s="5">
        <f>Personal_vehicles!G18</f>
        <v>0</v>
      </c>
      <c r="E18" s="5">
        <f>Buses!G18</f>
        <v>0</v>
      </c>
      <c r="F18" s="5"/>
      <c r="G18" s="5">
        <f t="shared" si="0"/>
        <v>0</v>
      </c>
      <c r="H18" s="5"/>
      <c r="I18" s="5">
        <f>Personal_vehicles!L18</f>
        <v>0</v>
      </c>
      <c r="J18" s="5">
        <f>Buses!L18</f>
        <v>0</v>
      </c>
      <c r="K18" s="5"/>
      <c r="L18" s="5">
        <f t="shared" si="1"/>
        <v>0</v>
      </c>
      <c r="R18" s="129">
        <f>Personal_vehicles!AA18</f>
        <v>0</v>
      </c>
      <c r="S18" s="129">
        <f>Buses!AA18</f>
        <v>0</v>
      </c>
      <c r="T18" s="129"/>
      <c r="U18" s="129"/>
      <c r="V18" s="129">
        <f>Personal_vehicles!Z18</f>
        <v>0</v>
      </c>
      <c r="W18" s="129">
        <f>Buses!Z18</f>
        <v>0</v>
      </c>
      <c r="X18" s="129"/>
      <c r="Z18" s="131">
        <f t="shared" si="2"/>
        <v>0</v>
      </c>
      <c r="AA18" s="131">
        <f t="shared" si="3"/>
        <v>0</v>
      </c>
      <c r="AB18" s="131">
        <f t="shared" si="14"/>
        <v>0.99682474136476662</v>
      </c>
      <c r="AC18" s="131">
        <f t="shared" si="15"/>
        <v>0.96601270433970654</v>
      </c>
      <c r="AD18" s="131">
        <f t="shared" si="4"/>
        <v>1.2355305261852831</v>
      </c>
      <c r="AE18" s="131">
        <f t="shared" si="16"/>
        <v>0</v>
      </c>
      <c r="AF18" s="131">
        <f t="shared" si="5"/>
        <v>0</v>
      </c>
      <c r="AG18" s="131"/>
      <c r="AH18" s="131">
        <f t="shared" si="17"/>
        <v>0.96294536415850673</v>
      </c>
      <c r="AK18" s="134"/>
      <c r="AM18" t="e">
        <f t="shared" si="6"/>
        <v>#DIV/0!</v>
      </c>
      <c r="AN18" t="e">
        <f t="shared" si="7"/>
        <v>#DIV/0!</v>
      </c>
      <c r="AQ18" t="e">
        <f t="shared" si="18"/>
        <v>#DIV/0!</v>
      </c>
      <c r="AR18" t="e">
        <f t="shared" si="19"/>
        <v>#DIV/0!</v>
      </c>
      <c r="AT18" t="e">
        <f t="shared" si="20"/>
        <v>#DIV/0!</v>
      </c>
      <c r="AV18" t="e">
        <f t="shared" si="21"/>
        <v>#DIV/0!</v>
      </c>
      <c r="AW18" t="e">
        <f t="shared" si="22"/>
        <v>#DIV/0!</v>
      </c>
      <c r="BA18" s="129" t="e">
        <f t="shared" si="23"/>
        <v>#DIV/0!</v>
      </c>
      <c r="BB18" s="129" t="e">
        <f t="shared" si="24"/>
        <v>#DIV/0!</v>
      </c>
      <c r="BC18" s="129"/>
      <c r="BD18" s="129"/>
      <c r="BE18" s="129" t="e">
        <f t="shared" si="8"/>
        <v>#DIV/0!</v>
      </c>
      <c r="BF18" s="129" t="e">
        <f t="shared" si="9"/>
        <v>#DIV/0!</v>
      </c>
      <c r="BG18" s="129"/>
      <c r="BH18" s="129"/>
      <c r="BI18" s="129" t="e">
        <f t="shared" si="25"/>
        <v>#DIV/0!</v>
      </c>
      <c r="BJ18" s="129" t="e">
        <f t="shared" si="26"/>
        <v>#DIV/0!</v>
      </c>
      <c r="BK18" s="129"/>
      <c r="BL18" s="129"/>
      <c r="BM18" s="129" t="e">
        <f t="shared" si="33"/>
        <v>#DIV/0!</v>
      </c>
      <c r="BN18" s="129" t="e">
        <f t="shared" si="34"/>
        <v>#DIV/0!</v>
      </c>
      <c r="BO18" s="129"/>
      <c r="BP18" s="129"/>
      <c r="BQ18" s="129"/>
      <c r="BR18" s="129" t="e">
        <f t="shared" si="27"/>
        <v>#DIV/0!</v>
      </c>
      <c r="BS18" s="129">
        <f t="shared" si="28"/>
        <v>1</v>
      </c>
      <c r="BT18" s="129">
        <f t="shared" si="10"/>
        <v>1.2355305261852831</v>
      </c>
      <c r="BU18" s="129"/>
      <c r="BV18" s="129" t="e">
        <f t="shared" si="29"/>
        <v>#DIV/0!</v>
      </c>
      <c r="BW18" s="129">
        <f t="shared" si="30"/>
        <v>1</v>
      </c>
      <c r="BX18" s="129">
        <f t="shared" si="11"/>
        <v>0.99682474136476662</v>
      </c>
      <c r="BY18" s="129"/>
      <c r="BZ18" s="129" t="e">
        <f t="shared" si="31"/>
        <v>#DIV/0!</v>
      </c>
      <c r="CA18" s="129">
        <f t="shared" si="32"/>
        <v>1</v>
      </c>
      <c r="CB18" s="129">
        <f t="shared" si="12"/>
        <v>0.96601270433970654</v>
      </c>
    </row>
    <row r="19" spans="1:80" hidden="1" x14ac:dyDescent="0.2">
      <c r="A19" s="133" t="s">
        <v>664</v>
      </c>
      <c r="B19" s="133">
        <f t="shared" si="13"/>
        <v>1958</v>
      </c>
      <c r="D19" s="5">
        <f>Personal_vehicles!G19</f>
        <v>0</v>
      </c>
      <c r="E19" s="5">
        <f>Buses!G19</f>
        <v>0</v>
      </c>
      <c r="F19" s="5"/>
      <c r="G19" s="5">
        <f t="shared" si="0"/>
        <v>0</v>
      </c>
      <c r="H19" s="5"/>
      <c r="I19" s="5">
        <f>Personal_vehicles!L19</f>
        <v>0</v>
      </c>
      <c r="J19" s="5">
        <f>Buses!L19</f>
        <v>0</v>
      </c>
      <c r="K19" s="5"/>
      <c r="L19" s="5">
        <f t="shared" si="1"/>
        <v>0</v>
      </c>
      <c r="R19" s="129">
        <f>Personal_vehicles!AA19</f>
        <v>0</v>
      </c>
      <c r="S19" s="129">
        <f>Buses!AA19</f>
        <v>0</v>
      </c>
      <c r="T19" s="129"/>
      <c r="U19" s="129"/>
      <c r="V19" s="129">
        <f>Personal_vehicles!Z19</f>
        <v>0</v>
      </c>
      <c r="W19" s="129">
        <f>Buses!Z19</f>
        <v>0</v>
      </c>
      <c r="X19" s="129"/>
      <c r="Z19" s="131">
        <f t="shared" si="2"/>
        <v>0</v>
      </c>
      <c r="AA19" s="131">
        <f t="shared" si="3"/>
        <v>0</v>
      </c>
      <c r="AB19" s="131">
        <f t="shared" si="14"/>
        <v>0.99682474136476662</v>
      </c>
      <c r="AC19" s="131">
        <f t="shared" si="15"/>
        <v>0.96601270433970654</v>
      </c>
      <c r="AD19" s="131">
        <f t="shared" si="4"/>
        <v>1.2355305261852831</v>
      </c>
      <c r="AE19" s="131">
        <f t="shared" si="16"/>
        <v>0</v>
      </c>
      <c r="AF19" s="131">
        <f t="shared" si="5"/>
        <v>0</v>
      </c>
      <c r="AG19" s="131"/>
      <c r="AH19" s="131">
        <f t="shared" si="17"/>
        <v>0.96294536415850673</v>
      </c>
      <c r="AK19" s="134"/>
      <c r="AM19" t="e">
        <f t="shared" si="6"/>
        <v>#DIV/0!</v>
      </c>
      <c r="AN19" t="e">
        <f t="shared" si="7"/>
        <v>#DIV/0!</v>
      </c>
      <c r="AQ19" t="e">
        <f t="shared" si="18"/>
        <v>#DIV/0!</v>
      </c>
      <c r="AR19" t="e">
        <f t="shared" si="19"/>
        <v>#DIV/0!</v>
      </c>
      <c r="AT19" t="e">
        <f t="shared" si="20"/>
        <v>#DIV/0!</v>
      </c>
      <c r="AV19" t="e">
        <f t="shared" si="21"/>
        <v>#DIV/0!</v>
      </c>
      <c r="AW19" t="e">
        <f t="shared" si="22"/>
        <v>#DIV/0!</v>
      </c>
      <c r="BA19" s="129" t="e">
        <f t="shared" si="23"/>
        <v>#DIV/0!</v>
      </c>
      <c r="BB19" s="129" t="e">
        <f t="shared" si="24"/>
        <v>#DIV/0!</v>
      </c>
      <c r="BC19" s="129"/>
      <c r="BD19" s="129"/>
      <c r="BE19" s="129" t="e">
        <f t="shared" si="8"/>
        <v>#DIV/0!</v>
      </c>
      <c r="BF19" s="129" t="e">
        <f t="shared" si="9"/>
        <v>#DIV/0!</v>
      </c>
      <c r="BG19" s="129"/>
      <c r="BH19" s="129"/>
      <c r="BI19" s="129" t="e">
        <f t="shared" si="25"/>
        <v>#DIV/0!</v>
      </c>
      <c r="BJ19" s="129" t="e">
        <f t="shared" si="26"/>
        <v>#DIV/0!</v>
      </c>
      <c r="BK19" s="129"/>
      <c r="BL19" s="129"/>
      <c r="BM19" s="129" t="e">
        <f t="shared" si="33"/>
        <v>#DIV/0!</v>
      </c>
      <c r="BN19" s="129" t="e">
        <f t="shared" si="34"/>
        <v>#DIV/0!</v>
      </c>
      <c r="BO19" s="129"/>
      <c r="BP19" s="129"/>
      <c r="BQ19" s="129"/>
      <c r="BR19" s="129" t="e">
        <f t="shared" si="27"/>
        <v>#DIV/0!</v>
      </c>
      <c r="BS19" s="129">
        <f t="shared" si="28"/>
        <v>1</v>
      </c>
      <c r="BT19" s="129">
        <f t="shared" si="10"/>
        <v>1.2355305261852831</v>
      </c>
      <c r="BU19" s="129"/>
      <c r="BV19" s="129" t="e">
        <f t="shared" si="29"/>
        <v>#DIV/0!</v>
      </c>
      <c r="BW19" s="129">
        <f t="shared" si="30"/>
        <v>1</v>
      </c>
      <c r="BX19" s="129">
        <f t="shared" si="11"/>
        <v>0.99682474136476662</v>
      </c>
      <c r="BY19" s="129"/>
      <c r="BZ19" s="129" t="e">
        <f t="shared" si="31"/>
        <v>#DIV/0!</v>
      </c>
      <c r="CA19" s="129">
        <f t="shared" si="32"/>
        <v>1</v>
      </c>
      <c r="CB19" s="129">
        <f t="shared" si="12"/>
        <v>0.96601270433970654</v>
      </c>
    </row>
    <row r="20" spans="1:80" hidden="1" x14ac:dyDescent="0.2">
      <c r="A20" s="133" t="s">
        <v>664</v>
      </c>
      <c r="B20" s="133">
        <f t="shared" si="13"/>
        <v>1959</v>
      </c>
      <c r="D20" s="5">
        <f>Personal_vehicles!G20</f>
        <v>0</v>
      </c>
      <c r="E20" s="5">
        <f>Buses!G20</f>
        <v>0</v>
      </c>
      <c r="F20" s="5"/>
      <c r="G20" s="5">
        <f t="shared" si="0"/>
        <v>0</v>
      </c>
      <c r="H20" s="5"/>
      <c r="I20" s="5">
        <f>Personal_vehicles!L20</f>
        <v>0</v>
      </c>
      <c r="J20" s="5">
        <f>Buses!L20</f>
        <v>0</v>
      </c>
      <c r="K20" s="5"/>
      <c r="L20" s="5">
        <f t="shared" si="1"/>
        <v>0</v>
      </c>
      <c r="R20" s="129">
        <f>Personal_vehicles!AA20</f>
        <v>0</v>
      </c>
      <c r="S20" s="129">
        <f>Buses!AA20</f>
        <v>0</v>
      </c>
      <c r="T20" s="129"/>
      <c r="U20" s="129"/>
      <c r="V20" s="129">
        <f>Personal_vehicles!Z20</f>
        <v>0</v>
      </c>
      <c r="W20" s="129">
        <f>Buses!Z20</f>
        <v>0</v>
      </c>
      <c r="X20" s="129"/>
      <c r="Z20" s="131">
        <f t="shared" si="2"/>
        <v>0</v>
      </c>
      <c r="AA20" s="131">
        <f t="shared" si="3"/>
        <v>0</v>
      </c>
      <c r="AB20" s="131">
        <f t="shared" si="14"/>
        <v>0.99682474136476662</v>
      </c>
      <c r="AC20" s="131">
        <f t="shared" si="15"/>
        <v>0.96601270433970654</v>
      </c>
      <c r="AD20" s="131">
        <f t="shared" si="4"/>
        <v>1.2355305261852831</v>
      </c>
      <c r="AE20" s="131">
        <f t="shared" si="16"/>
        <v>0</v>
      </c>
      <c r="AF20" s="131">
        <f t="shared" si="5"/>
        <v>0</v>
      </c>
      <c r="AG20" s="131"/>
      <c r="AH20" s="131">
        <f t="shared" si="17"/>
        <v>0.96294536415850673</v>
      </c>
      <c r="AK20" s="134"/>
      <c r="AM20" t="e">
        <f t="shared" si="6"/>
        <v>#DIV/0!</v>
      </c>
      <c r="AN20" t="e">
        <f t="shared" si="7"/>
        <v>#DIV/0!</v>
      </c>
      <c r="AQ20" t="e">
        <f t="shared" si="18"/>
        <v>#DIV/0!</v>
      </c>
      <c r="AR20" t="e">
        <f t="shared" si="19"/>
        <v>#DIV/0!</v>
      </c>
      <c r="AT20" t="e">
        <f t="shared" si="20"/>
        <v>#DIV/0!</v>
      </c>
      <c r="AV20" t="e">
        <f t="shared" si="21"/>
        <v>#DIV/0!</v>
      </c>
      <c r="AW20" t="e">
        <f t="shared" si="22"/>
        <v>#DIV/0!</v>
      </c>
      <c r="BA20" s="129" t="e">
        <f t="shared" si="23"/>
        <v>#DIV/0!</v>
      </c>
      <c r="BB20" s="129" t="e">
        <f t="shared" si="24"/>
        <v>#DIV/0!</v>
      </c>
      <c r="BC20" s="129"/>
      <c r="BD20" s="129"/>
      <c r="BE20" s="129" t="e">
        <f t="shared" si="8"/>
        <v>#DIV/0!</v>
      </c>
      <c r="BF20" s="129" t="e">
        <f t="shared" si="9"/>
        <v>#DIV/0!</v>
      </c>
      <c r="BG20" s="129"/>
      <c r="BH20" s="129"/>
      <c r="BI20" s="129" t="e">
        <f t="shared" si="25"/>
        <v>#DIV/0!</v>
      </c>
      <c r="BJ20" s="129" t="e">
        <f t="shared" si="26"/>
        <v>#DIV/0!</v>
      </c>
      <c r="BK20" s="129"/>
      <c r="BL20" s="129"/>
      <c r="BM20" s="129" t="e">
        <f t="shared" si="33"/>
        <v>#DIV/0!</v>
      </c>
      <c r="BN20" s="129" t="e">
        <f t="shared" si="34"/>
        <v>#DIV/0!</v>
      </c>
      <c r="BO20" s="129"/>
      <c r="BP20" s="129"/>
      <c r="BQ20" s="129"/>
      <c r="BR20" s="129" t="e">
        <f t="shared" si="27"/>
        <v>#DIV/0!</v>
      </c>
      <c r="BS20" s="129">
        <f t="shared" si="28"/>
        <v>1</v>
      </c>
      <c r="BT20" s="129">
        <f t="shared" si="10"/>
        <v>1.2355305261852831</v>
      </c>
      <c r="BU20" s="129"/>
      <c r="BV20" s="129" t="e">
        <f t="shared" si="29"/>
        <v>#DIV/0!</v>
      </c>
      <c r="BW20" s="129">
        <f t="shared" si="30"/>
        <v>1</v>
      </c>
      <c r="BX20" s="129">
        <f t="shared" si="11"/>
        <v>0.99682474136476662</v>
      </c>
      <c r="BY20" s="129"/>
      <c r="BZ20" s="129" t="e">
        <f t="shared" si="31"/>
        <v>#DIV/0!</v>
      </c>
      <c r="CA20" s="129">
        <f t="shared" si="32"/>
        <v>1</v>
      </c>
      <c r="CB20" s="129">
        <f t="shared" si="12"/>
        <v>0.96601270433970654</v>
      </c>
    </row>
    <row r="21" spans="1:80" hidden="1" x14ac:dyDescent="0.2">
      <c r="A21" s="133" t="s">
        <v>664</v>
      </c>
      <c r="B21" s="133">
        <f t="shared" si="13"/>
        <v>1960</v>
      </c>
      <c r="D21" s="5">
        <f>Personal_vehicles!G21</f>
        <v>0</v>
      </c>
      <c r="E21" s="5">
        <f>Buses!G21</f>
        <v>0</v>
      </c>
      <c r="F21" s="5"/>
      <c r="G21" s="5">
        <f t="shared" si="0"/>
        <v>0</v>
      </c>
      <c r="H21" s="5"/>
      <c r="I21" s="5">
        <f>Personal_vehicles!L21</f>
        <v>0</v>
      </c>
      <c r="J21" s="5">
        <f>Buses!L21</f>
        <v>0</v>
      </c>
      <c r="K21" s="5"/>
      <c r="L21" s="5">
        <f t="shared" si="1"/>
        <v>0</v>
      </c>
      <c r="R21" s="129">
        <f>Personal_vehicles!AA21</f>
        <v>0</v>
      </c>
      <c r="S21" s="129">
        <f>Buses!AA21</f>
        <v>0</v>
      </c>
      <c r="T21" s="129"/>
      <c r="U21" s="129"/>
      <c r="V21" s="129">
        <f>Personal_vehicles!Z21</f>
        <v>0</v>
      </c>
      <c r="W21" s="129">
        <f>Buses!Z21</f>
        <v>0</v>
      </c>
      <c r="X21" s="129"/>
      <c r="Z21" s="131">
        <f t="shared" si="2"/>
        <v>0</v>
      </c>
      <c r="AA21" s="131">
        <f t="shared" si="3"/>
        <v>0</v>
      </c>
      <c r="AB21" s="131">
        <f t="shared" si="14"/>
        <v>0.99682474136476662</v>
      </c>
      <c r="AC21" s="131">
        <f t="shared" si="15"/>
        <v>0.96601270433970654</v>
      </c>
      <c r="AD21" s="131">
        <f t="shared" si="4"/>
        <v>1.2355305261852831</v>
      </c>
      <c r="AE21" s="131">
        <f t="shared" si="16"/>
        <v>0</v>
      </c>
      <c r="AF21" s="131">
        <f t="shared" si="5"/>
        <v>0</v>
      </c>
      <c r="AG21" s="131"/>
      <c r="AH21" s="131">
        <f t="shared" si="17"/>
        <v>0.96294536415850673</v>
      </c>
      <c r="AK21" s="134"/>
      <c r="AM21" t="e">
        <f t="shared" si="6"/>
        <v>#DIV/0!</v>
      </c>
      <c r="AN21" t="e">
        <f t="shared" si="7"/>
        <v>#DIV/0!</v>
      </c>
      <c r="AQ21" t="e">
        <f t="shared" si="18"/>
        <v>#DIV/0!</v>
      </c>
      <c r="AR21" t="e">
        <f t="shared" si="19"/>
        <v>#DIV/0!</v>
      </c>
      <c r="AT21" t="e">
        <f t="shared" si="20"/>
        <v>#DIV/0!</v>
      </c>
      <c r="AV21" t="e">
        <f t="shared" si="21"/>
        <v>#DIV/0!</v>
      </c>
      <c r="AW21" t="e">
        <f t="shared" si="22"/>
        <v>#DIV/0!</v>
      </c>
      <c r="BA21" s="129" t="e">
        <f t="shared" si="23"/>
        <v>#DIV/0!</v>
      </c>
      <c r="BB21" s="129" t="e">
        <f t="shared" si="24"/>
        <v>#DIV/0!</v>
      </c>
      <c r="BC21" s="129"/>
      <c r="BD21" s="129"/>
      <c r="BE21" s="129" t="e">
        <f t="shared" si="8"/>
        <v>#DIV/0!</v>
      </c>
      <c r="BF21" s="129" t="e">
        <f t="shared" si="9"/>
        <v>#DIV/0!</v>
      </c>
      <c r="BG21" s="129"/>
      <c r="BH21" s="129"/>
      <c r="BI21" s="129" t="e">
        <f t="shared" si="25"/>
        <v>#DIV/0!</v>
      </c>
      <c r="BJ21" s="129" t="e">
        <f t="shared" si="26"/>
        <v>#DIV/0!</v>
      </c>
      <c r="BK21" s="129"/>
      <c r="BL21" s="129"/>
      <c r="BM21" s="129" t="e">
        <f t="shared" si="33"/>
        <v>#DIV/0!</v>
      </c>
      <c r="BN21" s="129" t="e">
        <f t="shared" si="34"/>
        <v>#DIV/0!</v>
      </c>
      <c r="BO21" s="129"/>
      <c r="BP21" s="129"/>
      <c r="BQ21" s="129"/>
      <c r="BR21" s="129" t="e">
        <f t="shared" si="27"/>
        <v>#DIV/0!</v>
      </c>
      <c r="BS21" s="129">
        <f t="shared" si="28"/>
        <v>1</v>
      </c>
      <c r="BT21" s="129">
        <f t="shared" si="10"/>
        <v>1.2355305261852831</v>
      </c>
      <c r="BU21" s="129"/>
      <c r="BV21" s="129" t="e">
        <f t="shared" si="29"/>
        <v>#DIV/0!</v>
      </c>
      <c r="BW21" s="129">
        <f t="shared" si="30"/>
        <v>1</v>
      </c>
      <c r="BX21" s="129">
        <f t="shared" si="11"/>
        <v>0.99682474136476662</v>
      </c>
      <c r="BY21" s="129"/>
      <c r="BZ21" s="129" t="e">
        <f t="shared" si="31"/>
        <v>#DIV/0!</v>
      </c>
      <c r="CA21" s="129">
        <f t="shared" si="32"/>
        <v>1</v>
      </c>
      <c r="CB21" s="129">
        <f t="shared" si="12"/>
        <v>0.96601270433970654</v>
      </c>
    </row>
    <row r="22" spans="1:80" hidden="1" x14ac:dyDescent="0.2">
      <c r="A22" s="133" t="s">
        <v>664</v>
      </c>
      <c r="B22" s="133">
        <f t="shared" si="13"/>
        <v>1961</v>
      </c>
      <c r="D22" s="5">
        <f>Personal_vehicles!G22</f>
        <v>0</v>
      </c>
      <c r="E22" s="5">
        <f>Buses!G22</f>
        <v>0</v>
      </c>
      <c r="F22" s="5"/>
      <c r="G22" s="5">
        <f t="shared" si="0"/>
        <v>0</v>
      </c>
      <c r="H22" s="5"/>
      <c r="I22" s="5">
        <f>Personal_vehicles!L22</f>
        <v>0</v>
      </c>
      <c r="J22" s="5">
        <f>Buses!L22</f>
        <v>0</v>
      </c>
      <c r="K22" s="5"/>
      <c r="L22" s="5">
        <f t="shared" si="1"/>
        <v>0</v>
      </c>
      <c r="R22" s="129">
        <f>Personal_vehicles!AA22</f>
        <v>0</v>
      </c>
      <c r="S22" s="129">
        <f>Buses!AA22</f>
        <v>0</v>
      </c>
      <c r="T22" s="129"/>
      <c r="U22" s="129"/>
      <c r="V22" s="129">
        <f>Personal_vehicles!Z22</f>
        <v>0</v>
      </c>
      <c r="W22" s="129">
        <f>Buses!Z22</f>
        <v>0</v>
      </c>
      <c r="X22" s="129"/>
      <c r="Z22" s="131">
        <f t="shared" si="2"/>
        <v>0</v>
      </c>
      <c r="AA22" s="131">
        <f t="shared" si="3"/>
        <v>0</v>
      </c>
      <c r="AB22" s="131">
        <f t="shared" si="14"/>
        <v>0.99682474136476662</v>
      </c>
      <c r="AC22" s="131">
        <f t="shared" si="15"/>
        <v>0.96601270433970654</v>
      </c>
      <c r="AD22" s="131">
        <f t="shared" si="4"/>
        <v>1.2355305261852831</v>
      </c>
      <c r="AE22" s="131">
        <f t="shared" si="16"/>
        <v>0</v>
      </c>
      <c r="AF22" s="131">
        <f t="shared" si="5"/>
        <v>0</v>
      </c>
      <c r="AG22" s="131"/>
      <c r="AH22" s="131">
        <f t="shared" si="17"/>
        <v>0.96294536415850673</v>
      </c>
      <c r="AK22" s="134"/>
      <c r="AM22" t="e">
        <f t="shared" si="6"/>
        <v>#DIV/0!</v>
      </c>
      <c r="AN22" t="e">
        <f t="shared" si="7"/>
        <v>#DIV/0!</v>
      </c>
      <c r="AQ22" t="e">
        <f t="shared" si="18"/>
        <v>#DIV/0!</v>
      </c>
      <c r="AR22" t="e">
        <f t="shared" si="19"/>
        <v>#DIV/0!</v>
      </c>
      <c r="AT22" t="e">
        <f t="shared" si="20"/>
        <v>#DIV/0!</v>
      </c>
      <c r="AV22" t="e">
        <f t="shared" si="21"/>
        <v>#DIV/0!</v>
      </c>
      <c r="AW22" t="e">
        <f t="shared" si="22"/>
        <v>#DIV/0!</v>
      </c>
      <c r="BA22" s="129" t="e">
        <f t="shared" si="23"/>
        <v>#DIV/0!</v>
      </c>
      <c r="BB22" s="129" t="e">
        <f t="shared" si="24"/>
        <v>#DIV/0!</v>
      </c>
      <c r="BC22" s="129"/>
      <c r="BD22" s="129"/>
      <c r="BE22" s="129" t="e">
        <f t="shared" si="8"/>
        <v>#DIV/0!</v>
      </c>
      <c r="BF22" s="129" t="e">
        <f t="shared" si="9"/>
        <v>#DIV/0!</v>
      </c>
      <c r="BG22" s="129"/>
      <c r="BH22" s="129"/>
      <c r="BI22" s="129" t="e">
        <f t="shared" si="25"/>
        <v>#DIV/0!</v>
      </c>
      <c r="BJ22" s="129" t="e">
        <f t="shared" si="26"/>
        <v>#DIV/0!</v>
      </c>
      <c r="BK22" s="129"/>
      <c r="BL22" s="129"/>
      <c r="BM22" s="129" t="e">
        <f t="shared" si="33"/>
        <v>#DIV/0!</v>
      </c>
      <c r="BN22" s="129" t="e">
        <f t="shared" si="34"/>
        <v>#DIV/0!</v>
      </c>
      <c r="BO22" s="129"/>
      <c r="BP22" s="129"/>
      <c r="BQ22" s="129"/>
      <c r="BR22" s="129" t="e">
        <f t="shared" si="27"/>
        <v>#DIV/0!</v>
      </c>
      <c r="BS22" s="129">
        <f t="shared" si="28"/>
        <v>1</v>
      </c>
      <c r="BT22" s="129">
        <f t="shared" si="10"/>
        <v>1.2355305261852831</v>
      </c>
      <c r="BU22" s="129"/>
      <c r="BV22" s="129" t="e">
        <f t="shared" si="29"/>
        <v>#DIV/0!</v>
      </c>
      <c r="BW22" s="129">
        <f t="shared" si="30"/>
        <v>1</v>
      </c>
      <c r="BX22" s="129">
        <f t="shared" si="11"/>
        <v>0.99682474136476662</v>
      </c>
      <c r="BY22" s="129"/>
      <c r="BZ22" s="129" t="e">
        <f t="shared" si="31"/>
        <v>#DIV/0!</v>
      </c>
      <c r="CA22" s="129">
        <f t="shared" si="32"/>
        <v>1</v>
      </c>
      <c r="CB22" s="129">
        <f t="shared" si="12"/>
        <v>0.96601270433970654</v>
      </c>
    </row>
    <row r="23" spans="1:80" hidden="1" x14ac:dyDescent="0.2">
      <c r="A23" s="133" t="s">
        <v>664</v>
      </c>
      <c r="B23" s="133">
        <f t="shared" si="13"/>
        <v>1962</v>
      </c>
      <c r="D23" s="5">
        <f>Personal_vehicles!G23</f>
        <v>0</v>
      </c>
      <c r="E23" s="5">
        <f>Buses!G23</f>
        <v>0</v>
      </c>
      <c r="F23" s="5"/>
      <c r="G23" s="5">
        <f t="shared" si="0"/>
        <v>0</v>
      </c>
      <c r="H23" s="5"/>
      <c r="I23" s="5">
        <f>Personal_vehicles!L23</f>
        <v>0</v>
      </c>
      <c r="J23" s="5">
        <f>Buses!L23</f>
        <v>0</v>
      </c>
      <c r="K23" s="5"/>
      <c r="L23" s="5">
        <f t="shared" si="1"/>
        <v>0</v>
      </c>
      <c r="R23" s="129">
        <f>Personal_vehicles!AA23</f>
        <v>0</v>
      </c>
      <c r="S23" s="129">
        <f>Buses!AA23</f>
        <v>0</v>
      </c>
      <c r="T23" s="129"/>
      <c r="U23" s="129"/>
      <c r="V23" s="129">
        <f>Personal_vehicles!Z23</f>
        <v>0</v>
      </c>
      <c r="W23" s="129">
        <f>Buses!Z23</f>
        <v>0</v>
      </c>
      <c r="X23" s="129"/>
      <c r="Z23" s="131">
        <f t="shared" si="2"/>
        <v>0</v>
      </c>
      <c r="AA23" s="131">
        <f t="shared" si="3"/>
        <v>0</v>
      </c>
      <c r="AB23" s="131">
        <f t="shared" si="14"/>
        <v>0.99682474136476662</v>
      </c>
      <c r="AC23" s="131">
        <f t="shared" si="15"/>
        <v>0.96601270433970654</v>
      </c>
      <c r="AD23" s="131">
        <f t="shared" si="4"/>
        <v>1.2355305261852831</v>
      </c>
      <c r="AE23" s="131">
        <f t="shared" si="16"/>
        <v>0</v>
      </c>
      <c r="AF23" s="131">
        <f t="shared" si="5"/>
        <v>0</v>
      </c>
      <c r="AG23" s="131"/>
      <c r="AH23" s="131">
        <f t="shared" si="17"/>
        <v>0.96294536415850673</v>
      </c>
      <c r="AK23" s="134"/>
      <c r="AM23" t="e">
        <f t="shared" si="6"/>
        <v>#DIV/0!</v>
      </c>
      <c r="AN23" t="e">
        <f t="shared" si="7"/>
        <v>#DIV/0!</v>
      </c>
      <c r="AQ23" t="e">
        <f t="shared" si="18"/>
        <v>#DIV/0!</v>
      </c>
      <c r="AR23" t="e">
        <f t="shared" si="19"/>
        <v>#DIV/0!</v>
      </c>
      <c r="AT23" t="e">
        <f t="shared" si="20"/>
        <v>#DIV/0!</v>
      </c>
      <c r="AV23" t="e">
        <f t="shared" si="21"/>
        <v>#DIV/0!</v>
      </c>
      <c r="AW23" t="e">
        <f t="shared" si="22"/>
        <v>#DIV/0!</v>
      </c>
      <c r="BA23" s="129" t="e">
        <f t="shared" si="23"/>
        <v>#DIV/0!</v>
      </c>
      <c r="BB23" s="129" t="e">
        <f t="shared" si="24"/>
        <v>#DIV/0!</v>
      </c>
      <c r="BC23" s="129"/>
      <c r="BD23" s="129"/>
      <c r="BE23" s="129" t="e">
        <f t="shared" si="8"/>
        <v>#DIV/0!</v>
      </c>
      <c r="BF23" s="129" t="e">
        <f t="shared" si="9"/>
        <v>#DIV/0!</v>
      </c>
      <c r="BG23" s="129"/>
      <c r="BH23" s="129"/>
      <c r="BI23" s="129" t="e">
        <f t="shared" si="25"/>
        <v>#DIV/0!</v>
      </c>
      <c r="BJ23" s="129" t="e">
        <f t="shared" si="26"/>
        <v>#DIV/0!</v>
      </c>
      <c r="BK23" s="129"/>
      <c r="BL23" s="129"/>
      <c r="BM23" s="129" t="e">
        <f t="shared" si="33"/>
        <v>#DIV/0!</v>
      </c>
      <c r="BN23" s="129" t="e">
        <f t="shared" si="34"/>
        <v>#DIV/0!</v>
      </c>
      <c r="BO23" s="129"/>
      <c r="BP23" s="129"/>
      <c r="BQ23" s="129"/>
      <c r="BR23" s="129" t="e">
        <f t="shared" si="27"/>
        <v>#DIV/0!</v>
      </c>
      <c r="BS23" s="129">
        <f t="shared" si="28"/>
        <v>1</v>
      </c>
      <c r="BT23" s="129">
        <f t="shared" si="10"/>
        <v>1.2355305261852831</v>
      </c>
      <c r="BU23" s="129"/>
      <c r="BV23" s="129" t="e">
        <f t="shared" si="29"/>
        <v>#DIV/0!</v>
      </c>
      <c r="BW23" s="129">
        <f t="shared" si="30"/>
        <v>1</v>
      </c>
      <c r="BX23" s="129">
        <f t="shared" si="11"/>
        <v>0.99682474136476662</v>
      </c>
      <c r="BY23" s="129"/>
      <c r="BZ23" s="129" t="e">
        <f t="shared" si="31"/>
        <v>#DIV/0!</v>
      </c>
      <c r="CA23" s="129">
        <f t="shared" si="32"/>
        <v>1</v>
      </c>
      <c r="CB23" s="129">
        <f t="shared" si="12"/>
        <v>0.96601270433970654</v>
      </c>
    </row>
    <row r="24" spans="1:80" hidden="1" x14ac:dyDescent="0.2">
      <c r="A24" s="133" t="s">
        <v>664</v>
      </c>
      <c r="B24" s="133">
        <f t="shared" si="13"/>
        <v>1963</v>
      </c>
      <c r="D24" s="5">
        <f>Personal_vehicles!G24</f>
        <v>0</v>
      </c>
      <c r="E24" s="5">
        <f>Buses!G24</f>
        <v>0</v>
      </c>
      <c r="F24" s="5"/>
      <c r="G24" s="5">
        <f t="shared" si="0"/>
        <v>0</v>
      </c>
      <c r="H24" s="5"/>
      <c r="I24" s="5">
        <f>Personal_vehicles!L24</f>
        <v>0</v>
      </c>
      <c r="J24" s="5">
        <f>Buses!L24</f>
        <v>0</v>
      </c>
      <c r="K24" s="5"/>
      <c r="L24" s="5">
        <f t="shared" si="1"/>
        <v>0</v>
      </c>
      <c r="R24" s="129">
        <f>Personal_vehicles!AA24</f>
        <v>0</v>
      </c>
      <c r="S24" s="129">
        <f>Buses!AA24</f>
        <v>0</v>
      </c>
      <c r="T24" s="129"/>
      <c r="U24" s="129"/>
      <c r="V24" s="129">
        <f>Personal_vehicles!Z24</f>
        <v>0</v>
      </c>
      <c r="W24" s="129">
        <f>Buses!Z24</f>
        <v>0</v>
      </c>
      <c r="X24" s="129"/>
      <c r="Z24" s="131">
        <f t="shared" si="2"/>
        <v>0</v>
      </c>
      <c r="AA24" s="131">
        <f t="shared" si="3"/>
        <v>0</v>
      </c>
      <c r="AB24" s="131">
        <f t="shared" si="14"/>
        <v>0.99682474136476662</v>
      </c>
      <c r="AC24" s="131">
        <f t="shared" si="15"/>
        <v>0.96601270433970654</v>
      </c>
      <c r="AD24" s="131">
        <f t="shared" si="4"/>
        <v>1.2355305261852831</v>
      </c>
      <c r="AE24" s="131">
        <f t="shared" si="16"/>
        <v>0</v>
      </c>
      <c r="AF24" s="131">
        <f t="shared" si="5"/>
        <v>0</v>
      </c>
      <c r="AG24" s="131"/>
      <c r="AH24" s="131">
        <f t="shared" si="17"/>
        <v>0.96294536415850673</v>
      </c>
      <c r="AK24" s="134"/>
      <c r="AM24" t="e">
        <f t="shared" si="6"/>
        <v>#DIV/0!</v>
      </c>
      <c r="AN24" t="e">
        <f t="shared" si="7"/>
        <v>#DIV/0!</v>
      </c>
      <c r="AQ24" t="e">
        <f t="shared" si="18"/>
        <v>#DIV/0!</v>
      </c>
      <c r="AR24" t="e">
        <f t="shared" si="19"/>
        <v>#DIV/0!</v>
      </c>
      <c r="AT24" t="e">
        <f t="shared" si="20"/>
        <v>#DIV/0!</v>
      </c>
      <c r="AV24" t="e">
        <f t="shared" si="21"/>
        <v>#DIV/0!</v>
      </c>
      <c r="AW24" t="e">
        <f t="shared" si="22"/>
        <v>#DIV/0!</v>
      </c>
      <c r="BA24" s="129" t="e">
        <f t="shared" si="23"/>
        <v>#DIV/0!</v>
      </c>
      <c r="BB24" s="129" t="e">
        <f t="shared" si="24"/>
        <v>#DIV/0!</v>
      </c>
      <c r="BC24" s="129"/>
      <c r="BD24" s="129"/>
      <c r="BE24" s="129" t="e">
        <f t="shared" si="8"/>
        <v>#DIV/0!</v>
      </c>
      <c r="BF24" s="129" t="e">
        <f t="shared" si="9"/>
        <v>#DIV/0!</v>
      </c>
      <c r="BG24" s="129"/>
      <c r="BH24" s="129"/>
      <c r="BI24" s="129" t="e">
        <f t="shared" si="25"/>
        <v>#DIV/0!</v>
      </c>
      <c r="BJ24" s="129" t="e">
        <f t="shared" si="26"/>
        <v>#DIV/0!</v>
      </c>
      <c r="BK24" s="129"/>
      <c r="BL24" s="129"/>
      <c r="BM24" s="129" t="e">
        <f t="shared" si="33"/>
        <v>#DIV/0!</v>
      </c>
      <c r="BN24" s="129" t="e">
        <f t="shared" si="34"/>
        <v>#DIV/0!</v>
      </c>
      <c r="BO24" s="129"/>
      <c r="BP24" s="129"/>
      <c r="BQ24" s="129"/>
      <c r="BR24" s="129" t="e">
        <f t="shared" si="27"/>
        <v>#DIV/0!</v>
      </c>
      <c r="BS24" s="129">
        <f t="shared" si="28"/>
        <v>1</v>
      </c>
      <c r="BT24" s="129">
        <f t="shared" si="10"/>
        <v>1.2355305261852831</v>
      </c>
      <c r="BU24" s="129"/>
      <c r="BV24" s="129" t="e">
        <f t="shared" si="29"/>
        <v>#DIV/0!</v>
      </c>
      <c r="BW24" s="129">
        <f t="shared" si="30"/>
        <v>1</v>
      </c>
      <c r="BX24" s="129">
        <f t="shared" si="11"/>
        <v>0.99682474136476662</v>
      </c>
      <c r="BY24" s="129"/>
      <c r="BZ24" s="129" t="e">
        <f t="shared" si="31"/>
        <v>#DIV/0!</v>
      </c>
      <c r="CA24" s="129">
        <f t="shared" si="32"/>
        <v>1</v>
      </c>
      <c r="CB24" s="129">
        <f t="shared" si="12"/>
        <v>0.96601270433970654</v>
      </c>
    </row>
    <row r="25" spans="1:80" hidden="1" x14ac:dyDescent="0.2">
      <c r="A25" s="133" t="s">
        <v>664</v>
      </c>
      <c r="B25" s="133">
        <f t="shared" si="13"/>
        <v>1964</v>
      </c>
      <c r="D25" s="5">
        <f>Personal_vehicles!G25</f>
        <v>0</v>
      </c>
      <c r="E25" s="5">
        <f>Buses!G25</f>
        <v>0</v>
      </c>
      <c r="F25" s="5"/>
      <c r="G25" s="5">
        <f t="shared" si="0"/>
        <v>0</v>
      </c>
      <c r="H25" s="5"/>
      <c r="I25" s="5">
        <f>Personal_vehicles!L25</f>
        <v>0</v>
      </c>
      <c r="J25" s="5">
        <f>Buses!L25</f>
        <v>0</v>
      </c>
      <c r="K25" s="5"/>
      <c r="L25" s="5">
        <f t="shared" si="1"/>
        <v>0</v>
      </c>
      <c r="R25" s="129">
        <f>Personal_vehicles!AA25</f>
        <v>0</v>
      </c>
      <c r="S25" s="129">
        <f>Buses!AA25</f>
        <v>0</v>
      </c>
      <c r="T25" s="129"/>
      <c r="U25" s="129"/>
      <c r="V25" s="129">
        <f>Personal_vehicles!Z25</f>
        <v>0</v>
      </c>
      <c r="W25" s="129">
        <f>Buses!Z25</f>
        <v>0</v>
      </c>
      <c r="X25" s="129"/>
      <c r="Z25" s="131">
        <f t="shared" si="2"/>
        <v>0</v>
      </c>
      <c r="AA25" s="131">
        <f t="shared" si="3"/>
        <v>0</v>
      </c>
      <c r="AB25" s="131">
        <f t="shared" si="14"/>
        <v>0.99682474136476662</v>
      </c>
      <c r="AC25" s="131">
        <f t="shared" si="15"/>
        <v>0.96601270433970654</v>
      </c>
      <c r="AD25" s="131">
        <f t="shared" si="4"/>
        <v>1.2355305261852831</v>
      </c>
      <c r="AE25" s="131">
        <f t="shared" si="16"/>
        <v>0</v>
      </c>
      <c r="AF25" s="131">
        <f t="shared" si="5"/>
        <v>0</v>
      </c>
      <c r="AG25" s="131"/>
      <c r="AH25" s="131">
        <f t="shared" si="17"/>
        <v>0.96294536415850673</v>
      </c>
      <c r="AK25" s="134"/>
      <c r="AM25" t="e">
        <f t="shared" si="6"/>
        <v>#DIV/0!</v>
      </c>
      <c r="AN25" t="e">
        <f t="shared" si="7"/>
        <v>#DIV/0!</v>
      </c>
      <c r="AQ25" t="e">
        <f t="shared" si="18"/>
        <v>#DIV/0!</v>
      </c>
      <c r="AR25" t="e">
        <f t="shared" si="19"/>
        <v>#DIV/0!</v>
      </c>
      <c r="AT25" t="e">
        <f t="shared" si="20"/>
        <v>#DIV/0!</v>
      </c>
      <c r="AV25" t="e">
        <f t="shared" si="21"/>
        <v>#DIV/0!</v>
      </c>
      <c r="AW25" t="e">
        <f t="shared" si="22"/>
        <v>#DIV/0!</v>
      </c>
      <c r="BA25" s="129" t="e">
        <f t="shared" si="23"/>
        <v>#DIV/0!</v>
      </c>
      <c r="BB25" s="129" t="e">
        <f t="shared" si="24"/>
        <v>#DIV/0!</v>
      </c>
      <c r="BC25" s="129"/>
      <c r="BD25" s="129"/>
      <c r="BE25" s="129" t="e">
        <f t="shared" si="8"/>
        <v>#DIV/0!</v>
      </c>
      <c r="BF25" s="129" t="e">
        <f t="shared" si="9"/>
        <v>#DIV/0!</v>
      </c>
      <c r="BG25" s="129"/>
      <c r="BH25" s="129"/>
      <c r="BI25" s="129" t="e">
        <f t="shared" si="25"/>
        <v>#DIV/0!</v>
      </c>
      <c r="BJ25" s="129" t="e">
        <f t="shared" si="26"/>
        <v>#DIV/0!</v>
      </c>
      <c r="BK25" s="129"/>
      <c r="BL25" s="129"/>
      <c r="BM25" s="129" t="e">
        <f t="shared" si="33"/>
        <v>#DIV/0!</v>
      </c>
      <c r="BN25" s="129" t="e">
        <f t="shared" si="34"/>
        <v>#DIV/0!</v>
      </c>
      <c r="BO25" s="129"/>
      <c r="BP25" s="129"/>
      <c r="BQ25" s="129"/>
      <c r="BR25" s="129" t="e">
        <f t="shared" si="27"/>
        <v>#DIV/0!</v>
      </c>
      <c r="BS25" s="129">
        <f t="shared" si="28"/>
        <v>1</v>
      </c>
      <c r="BT25" s="129">
        <f t="shared" si="10"/>
        <v>1.2355305261852831</v>
      </c>
      <c r="BU25" s="129"/>
      <c r="BV25" s="129" t="e">
        <f t="shared" si="29"/>
        <v>#DIV/0!</v>
      </c>
      <c r="BW25" s="129">
        <f t="shared" si="30"/>
        <v>1</v>
      </c>
      <c r="BX25" s="129">
        <f t="shared" si="11"/>
        <v>0.99682474136476662</v>
      </c>
      <c r="BY25" s="129"/>
      <c r="BZ25" s="129" t="e">
        <f t="shared" si="31"/>
        <v>#DIV/0!</v>
      </c>
      <c r="CA25" s="129">
        <f t="shared" si="32"/>
        <v>1</v>
      </c>
      <c r="CB25" s="129">
        <f t="shared" si="12"/>
        <v>0.96601270433970654</v>
      </c>
    </row>
    <row r="26" spans="1:80" hidden="1" x14ac:dyDescent="0.2">
      <c r="A26" s="133" t="s">
        <v>664</v>
      </c>
      <c r="B26" s="133">
        <f t="shared" si="13"/>
        <v>1965</v>
      </c>
      <c r="D26" s="5">
        <f>Personal_vehicles!G26</f>
        <v>0</v>
      </c>
      <c r="E26" s="5">
        <f>Buses!G26</f>
        <v>45.89058</v>
      </c>
      <c r="F26" s="5"/>
      <c r="G26" s="5">
        <f t="shared" si="0"/>
        <v>45.89058</v>
      </c>
      <c r="H26" s="5"/>
      <c r="I26" s="5">
        <f>Personal_vehicles!L26</f>
        <v>0</v>
      </c>
      <c r="J26" s="5">
        <f>Buses!L26</f>
        <v>0</v>
      </c>
      <c r="K26" s="5"/>
      <c r="L26" s="5">
        <f t="shared" si="1"/>
        <v>0</v>
      </c>
      <c r="R26" s="129">
        <f>Personal_vehicles!AA26</f>
        <v>0</v>
      </c>
      <c r="S26" s="129">
        <f>Buses!AA26</f>
        <v>0</v>
      </c>
      <c r="T26" s="129"/>
      <c r="U26" s="129"/>
      <c r="V26" s="129">
        <f>Personal_vehicles!Z26</f>
        <v>0</v>
      </c>
      <c r="W26" s="129">
        <f>Buses!Z26</f>
        <v>0</v>
      </c>
      <c r="X26" s="129"/>
      <c r="Z26" s="131">
        <f t="shared" si="2"/>
        <v>0</v>
      </c>
      <c r="AA26" s="131">
        <f t="shared" si="3"/>
        <v>0</v>
      </c>
      <c r="AB26" s="131">
        <f t="shared" si="14"/>
        <v>0.99682474136476662</v>
      </c>
      <c r="AC26" s="131">
        <f t="shared" si="15"/>
        <v>0.96601270433970654</v>
      </c>
      <c r="AD26" s="131">
        <f t="shared" si="4"/>
        <v>1.2355305261852831</v>
      </c>
      <c r="AE26" s="131">
        <f t="shared" si="16"/>
        <v>0</v>
      </c>
      <c r="AF26" s="131">
        <f t="shared" si="5"/>
        <v>3.662386614009131E-3</v>
      </c>
      <c r="AG26" s="131"/>
      <c r="AH26" s="131">
        <f t="shared" si="17"/>
        <v>0.96294536415850673</v>
      </c>
      <c r="AK26" s="134"/>
      <c r="AM26" s="129">
        <f t="shared" si="6"/>
        <v>0</v>
      </c>
      <c r="AN26" s="129">
        <f t="shared" si="7"/>
        <v>1</v>
      </c>
      <c r="AO26" s="129"/>
      <c r="AQ26" t="e">
        <f t="shared" si="18"/>
        <v>#DIV/0!</v>
      </c>
      <c r="AR26" t="e">
        <f t="shared" si="19"/>
        <v>#DIV/0!</v>
      </c>
      <c r="AT26" t="e">
        <f t="shared" si="20"/>
        <v>#DIV/0!</v>
      </c>
      <c r="AV26" t="e">
        <f t="shared" si="21"/>
        <v>#DIV/0!</v>
      </c>
      <c r="AW26" t="e">
        <f t="shared" si="22"/>
        <v>#DIV/0!</v>
      </c>
      <c r="BA26" s="129" t="e">
        <f t="shared" si="23"/>
        <v>#DIV/0!</v>
      </c>
      <c r="BB26" s="129" t="e">
        <f t="shared" si="24"/>
        <v>#DIV/0!</v>
      </c>
      <c r="BC26" s="129"/>
      <c r="BD26" s="129"/>
      <c r="BE26" s="129" t="e">
        <f t="shared" si="8"/>
        <v>#DIV/0!</v>
      </c>
      <c r="BF26" s="129" t="e">
        <f t="shared" si="9"/>
        <v>#DIV/0!</v>
      </c>
      <c r="BG26" s="129"/>
      <c r="BH26" s="129"/>
      <c r="BI26" s="129" t="e">
        <f t="shared" si="25"/>
        <v>#DIV/0!</v>
      </c>
      <c r="BJ26" s="129" t="e">
        <f t="shared" si="26"/>
        <v>#DIV/0!</v>
      </c>
      <c r="BK26" s="129"/>
      <c r="BL26" s="129"/>
      <c r="BM26" s="129" t="e">
        <f t="shared" si="33"/>
        <v>#DIV/0!</v>
      </c>
      <c r="BN26" s="129" t="e">
        <f t="shared" si="34"/>
        <v>#DIV/0!</v>
      </c>
      <c r="BO26" s="129"/>
      <c r="BP26" s="129"/>
      <c r="BQ26" s="129"/>
      <c r="BR26" s="129" t="e">
        <f t="shared" si="27"/>
        <v>#DIV/0!</v>
      </c>
      <c r="BS26" s="129">
        <f t="shared" si="28"/>
        <v>1</v>
      </c>
      <c r="BT26" s="129">
        <f t="shared" si="10"/>
        <v>1.2355305261852831</v>
      </c>
      <c r="BU26" s="129"/>
      <c r="BV26" s="129" t="e">
        <f t="shared" si="29"/>
        <v>#DIV/0!</v>
      </c>
      <c r="BW26" s="129">
        <f t="shared" si="30"/>
        <v>1</v>
      </c>
      <c r="BX26" s="129">
        <f t="shared" si="11"/>
        <v>0.99682474136476662</v>
      </c>
      <c r="BY26" s="129"/>
      <c r="BZ26" s="129" t="e">
        <f t="shared" si="31"/>
        <v>#DIV/0!</v>
      </c>
      <c r="CA26" s="129">
        <f t="shared" si="32"/>
        <v>1</v>
      </c>
      <c r="CB26" s="129">
        <f t="shared" si="12"/>
        <v>0.96601270433970654</v>
      </c>
    </row>
    <row r="27" spans="1:80" hidden="1" x14ac:dyDescent="0.2">
      <c r="A27" s="133" t="s">
        <v>664</v>
      </c>
      <c r="B27" s="133">
        <f t="shared" si="13"/>
        <v>1966</v>
      </c>
      <c r="D27" s="5">
        <f>Personal_vehicles!G27</f>
        <v>0</v>
      </c>
      <c r="E27" s="5">
        <f>Buses!G27</f>
        <v>45.007199999999997</v>
      </c>
      <c r="F27" s="5"/>
      <c r="G27" s="5">
        <f t="shared" si="0"/>
        <v>45.007199999999997</v>
      </c>
      <c r="H27" s="5"/>
      <c r="I27" s="5">
        <f>Personal_vehicles!L27</f>
        <v>1648883.8858051558</v>
      </c>
      <c r="J27" s="5">
        <f>Buses!L27</f>
        <v>0</v>
      </c>
      <c r="K27" s="5"/>
      <c r="L27" s="5">
        <f t="shared" si="1"/>
        <v>1648883.8858051558</v>
      </c>
      <c r="R27" s="129">
        <f>Personal_vehicles!AA27</f>
        <v>0</v>
      </c>
      <c r="S27" s="129">
        <f>Buses!AA27</f>
        <v>0</v>
      </c>
      <c r="T27" s="129"/>
      <c r="U27" s="129"/>
      <c r="V27" s="129">
        <f>Personal_vehicles!Z27</f>
        <v>0</v>
      </c>
      <c r="W27" s="129">
        <f>Buses!Z27</f>
        <v>0</v>
      </c>
      <c r="X27" s="129"/>
      <c r="Z27" s="131">
        <f t="shared" si="2"/>
        <v>0.54452077967355716</v>
      </c>
      <c r="AA27" s="131">
        <f t="shared" si="3"/>
        <v>0</v>
      </c>
      <c r="AB27" s="131">
        <f t="shared" si="14"/>
        <v>0.99682474136476662</v>
      </c>
      <c r="AC27" s="131">
        <f t="shared" si="15"/>
        <v>0.96601270433970654</v>
      </c>
      <c r="AD27" s="131">
        <f t="shared" si="4"/>
        <v>1.2355305261852831</v>
      </c>
      <c r="AE27" s="131">
        <f t="shared" si="16"/>
        <v>0.64784272228118656</v>
      </c>
      <c r="AF27" s="131">
        <f t="shared" si="5"/>
        <v>3.5918867622512451E-3</v>
      </c>
      <c r="AG27" s="131"/>
      <c r="AH27" s="131">
        <f t="shared" si="17"/>
        <v>0.96294536415850673</v>
      </c>
      <c r="AK27" s="134"/>
      <c r="AM27" s="129">
        <f t="shared" si="6"/>
        <v>0</v>
      </c>
      <c r="AN27" s="129">
        <f t="shared" si="7"/>
        <v>1</v>
      </c>
      <c r="AO27" s="129"/>
      <c r="AQ27" t="e">
        <f t="shared" si="18"/>
        <v>#DIV/0!</v>
      </c>
      <c r="AR27" t="e">
        <f t="shared" si="19"/>
        <v>#DIV/0!</v>
      </c>
      <c r="AT27" t="e">
        <f t="shared" si="20"/>
        <v>#DIV/0!</v>
      </c>
      <c r="AV27" t="e">
        <f t="shared" si="21"/>
        <v>#DIV/0!</v>
      </c>
      <c r="AW27" t="e">
        <f t="shared" si="22"/>
        <v>#DIV/0!</v>
      </c>
      <c r="BA27" s="129" t="e">
        <f t="shared" si="23"/>
        <v>#DIV/0!</v>
      </c>
      <c r="BB27" s="129" t="e">
        <f t="shared" si="24"/>
        <v>#DIV/0!</v>
      </c>
      <c r="BC27" s="129"/>
      <c r="BD27" s="129"/>
      <c r="BE27" s="129">
        <f t="shared" si="8"/>
        <v>1</v>
      </c>
      <c r="BF27" s="129">
        <f t="shared" si="9"/>
        <v>0</v>
      </c>
      <c r="BG27" s="129"/>
      <c r="BH27" s="129"/>
      <c r="BI27" s="129" t="e">
        <f t="shared" si="25"/>
        <v>#DIV/0!</v>
      </c>
      <c r="BJ27" s="129" t="e">
        <f t="shared" si="26"/>
        <v>#DIV/0!</v>
      </c>
      <c r="BK27" s="129"/>
      <c r="BL27" s="129"/>
      <c r="BM27" s="129" t="e">
        <f t="shared" si="33"/>
        <v>#DIV/0!</v>
      </c>
      <c r="BN27" s="129" t="e">
        <f t="shared" si="34"/>
        <v>#DIV/0!</v>
      </c>
      <c r="BO27" s="129"/>
      <c r="BP27" s="129"/>
      <c r="BQ27" s="129"/>
      <c r="BR27" s="129" t="e">
        <f t="shared" si="27"/>
        <v>#DIV/0!</v>
      </c>
      <c r="BS27" s="129">
        <f t="shared" si="28"/>
        <v>1</v>
      </c>
      <c r="BT27" s="129">
        <f t="shared" si="10"/>
        <v>1.2355305261852831</v>
      </c>
      <c r="BU27" s="129"/>
      <c r="BV27" s="129" t="e">
        <f t="shared" si="29"/>
        <v>#DIV/0!</v>
      </c>
      <c r="BW27" s="129">
        <f t="shared" si="30"/>
        <v>1</v>
      </c>
      <c r="BX27" s="129">
        <f t="shared" si="11"/>
        <v>0.99682474136476662</v>
      </c>
      <c r="BY27" s="129"/>
      <c r="BZ27" s="129" t="e">
        <f t="shared" si="31"/>
        <v>#DIV/0!</v>
      </c>
      <c r="CA27" s="129">
        <f t="shared" si="32"/>
        <v>1</v>
      </c>
      <c r="CB27" s="129">
        <f t="shared" si="12"/>
        <v>0.96601270433970654</v>
      </c>
    </row>
    <row r="28" spans="1:80" hidden="1" x14ac:dyDescent="0.2">
      <c r="A28" s="133" t="s">
        <v>664</v>
      </c>
      <c r="B28" s="133">
        <f t="shared" si="13"/>
        <v>1967</v>
      </c>
      <c r="D28" s="5">
        <f>Personal_vehicles!G28</f>
        <v>0</v>
      </c>
      <c r="E28" s="5">
        <f>Buses!G28</f>
        <v>44.715609999999998</v>
      </c>
      <c r="F28" s="5"/>
      <c r="G28" s="5">
        <f t="shared" si="0"/>
        <v>44.715609999999998</v>
      </c>
      <c r="H28" s="5"/>
      <c r="I28" s="5">
        <f>Personal_vehicles!L28</f>
        <v>1716991.7049224782</v>
      </c>
      <c r="J28" s="5">
        <f>Buses!L28</f>
        <v>0</v>
      </c>
      <c r="K28" s="5"/>
      <c r="L28" s="5">
        <f t="shared" si="1"/>
        <v>1716991.7049224782</v>
      </c>
      <c r="R28" s="129">
        <f>Personal_vehicles!AA28</f>
        <v>0</v>
      </c>
      <c r="S28" s="129">
        <f>Buses!AA28</f>
        <v>0</v>
      </c>
      <c r="T28" s="129"/>
      <c r="U28" s="129"/>
      <c r="V28" s="129">
        <f>Personal_vehicles!Z28</f>
        <v>0</v>
      </c>
      <c r="W28" s="129">
        <f>Buses!Z28</f>
        <v>0</v>
      </c>
      <c r="X28" s="129"/>
      <c r="Z28" s="131">
        <f t="shared" si="2"/>
        <v>0.56701243180679439</v>
      </c>
      <c r="AA28" s="131">
        <f t="shared" si="3"/>
        <v>0</v>
      </c>
      <c r="AB28" s="131">
        <f t="shared" si="14"/>
        <v>0.99682474136476662</v>
      </c>
      <c r="AC28" s="131">
        <f t="shared" si="15"/>
        <v>0.96601270433970654</v>
      </c>
      <c r="AD28" s="131">
        <f t="shared" si="4"/>
        <v>1.2355305261852831</v>
      </c>
      <c r="AE28" s="131">
        <f t="shared" si="16"/>
        <v>0.67460212925061991</v>
      </c>
      <c r="AF28" s="131">
        <f t="shared" si="5"/>
        <v>3.5686158575736638E-3</v>
      </c>
      <c r="AG28" s="131"/>
      <c r="AH28" s="131">
        <f t="shared" si="17"/>
        <v>0.96294536415850673</v>
      </c>
      <c r="AK28" s="134"/>
      <c r="AM28" s="129">
        <f t="shared" si="6"/>
        <v>0</v>
      </c>
      <c r="AN28" s="129">
        <f t="shared" si="7"/>
        <v>1</v>
      </c>
      <c r="AO28" s="129"/>
      <c r="AQ28" t="e">
        <f t="shared" si="18"/>
        <v>#DIV/0!</v>
      </c>
      <c r="AR28" t="e">
        <f t="shared" si="19"/>
        <v>#DIV/0!</v>
      </c>
      <c r="AT28" t="e">
        <f t="shared" si="20"/>
        <v>#DIV/0!</v>
      </c>
      <c r="AV28" t="e">
        <f t="shared" si="21"/>
        <v>#DIV/0!</v>
      </c>
      <c r="AW28" t="e">
        <f t="shared" si="22"/>
        <v>#DIV/0!</v>
      </c>
      <c r="BA28" s="129" t="e">
        <f t="shared" si="23"/>
        <v>#DIV/0!</v>
      </c>
      <c r="BB28" s="129" t="e">
        <f t="shared" si="24"/>
        <v>#DIV/0!</v>
      </c>
      <c r="BC28" s="129"/>
      <c r="BD28" s="129"/>
      <c r="BE28" s="129">
        <f t="shared" si="8"/>
        <v>1</v>
      </c>
      <c r="BF28" s="129">
        <f t="shared" si="9"/>
        <v>0</v>
      </c>
      <c r="BG28" s="129"/>
      <c r="BH28" s="129"/>
      <c r="BI28" s="129">
        <f t="shared" si="25"/>
        <v>0</v>
      </c>
      <c r="BJ28" s="129" t="e">
        <f t="shared" si="26"/>
        <v>#DIV/0!</v>
      </c>
      <c r="BK28" s="129"/>
      <c r="BL28" s="129"/>
      <c r="BM28" s="129" t="e">
        <f t="shared" si="33"/>
        <v>#DIV/0!</v>
      </c>
      <c r="BN28" s="129" t="e">
        <f t="shared" si="34"/>
        <v>#DIV/0!</v>
      </c>
      <c r="BO28" s="129"/>
      <c r="BP28" s="129"/>
      <c r="BQ28" s="129"/>
      <c r="BR28" s="129" t="e">
        <f t="shared" si="27"/>
        <v>#DIV/0!</v>
      </c>
      <c r="BS28" s="129">
        <f t="shared" si="28"/>
        <v>1</v>
      </c>
      <c r="BT28" s="129">
        <f t="shared" si="10"/>
        <v>1.2355305261852831</v>
      </c>
      <c r="BU28" s="129"/>
      <c r="BV28" s="129" t="e">
        <f t="shared" si="29"/>
        <v>#DIV/0!</v>
      </c>
      <c r="BW28" s="129">
        <f t="shared" si="30"/>
        <v>1</v>
      </c>
      <c r="BX28" s="129">
        <f t="shared" si="11"/>
        <v>0.99682474136476662</v>
      </c>
      <c r="BY28" s="129"/>
      <c r="BZ28" s="129" t="e">
        <f t="shared" si="31"/>
        <v>#DIV/0!</v>
      </c>
      <c r="CA28" s="129">
        <f t="shared" si="32"/>
        <v>1</v>
      </c>
      <c r="CB28" s="129">
        <f t="shared" si="12"/>
        <v>0.96601270433970654</v>
      </c>
    </row>
    <row r="29" spans="1:80" hidden="1" x14ac:dyDescent="0.2">
      <c r="A29" s="133" t="s">
        <v>664</v>
      </c>
      <c r="B29" s="133">
        <f t="shared" si="13"/>
        <v>1968</v>
      </c>
      <c r="D29" s="5">
        <f>Personal_vehicles!G29</f>
        <v>0</v>
      </c>
      <c r="E29" s="5">
        <f>Buses!G29</f>
        <v>43.744039999999998</v>
      </c>
      <c r="F29" s="5"/>
      <c r="G29" s="5">
        <f t="shared" si="0"/>
        <v>43.744039999999998</v>
      </c>
      <c r="H29" s="5"/>
      <c r="I29" s="5">
        <f>Personal_vehicles!L29</f>
        <v>1808808.2156000079</v>
      </c>
      <c r="J29" s="5">
        <f>Buses!L29</f>
        <v>0</v>
      </c>
      <c r="K29" s="5"/>
      <c r="L29" s="5">
        <f t="shared" si="1"/>
        <v>1808808.2156000079</v>
      </c>
      <c r="R29" s="129">
        <f>Personal_vehicles!AA29</f>
        <v>0</v>
      </c>
      <c r="S29" s="129">
        <f>Buses!AA29</f>
        <v>0</v>
      </c>
      <c r="T29" s="129"/>
      <c r="U29" s="129"/>
      <c r="V29" s="129">
        <f>Personal_vehicles!Z29</f>
        <v>0</v>
      </c>
      <c r="W29" s="129">
        <f>Buses!Z29</f>
        <v>0</v>
      </c>
      <c r="X29" s="129"/>
      <c r="Z29" s="131">
        <f t="shared" si="2"/>
        <v>0.59733354684190232</v>
      </c>
      <c r="AA29" s="131">
        <f t="shared" si="3"/>
        <v>0</v>
      </c>
      <c r="AB29" s="131">
        <f t="shared" si="14"/>
        <v>0.99682474136476662</v>
      </c>
      <c r="AC29" s="131">
        <f t="shared" si="15"/>
        <v>0.96601270433970654</v>
      </c>
      <c r="AD29" s="131">
        <f t="shared" si="4"/>
        <v>1.2355305261852831</v>
      </c>
      <c r="AE29" s="131">
        <f t="shared" si="16"/>
        <v>0.71067662712142965</v>
      </c>
      <c r="AF29" s="131">
        <f t="shared" si="5"/>
        <v>3.4910778320666239E-3</v>
      </c>
      <c r="AG29" s="131"/>
      <c r="AH29" s="131">
        <f t="shared" si="17"/>
        <v>0.96294536415850673</v>
      </c>
      <c r="AK29" s="134"/>
      <c r="AM29" s="129">
        <f t="shared" si="6"/>
        <v>0</v>
      </c>
      <c r="AN29" s="129">
        <f t="shared" si="7"/>
        <v>1</v>
      </c>
      <c r="AO29" s="129"/>
      <c r="AQ29" t="e">
        <f t="shared" si="18"/>
        <v>#DIV/0!</v>
      </c>
      <c r="AR29" t="e">
        <f t="shared" si="19"/>
        <v>#DIV/0!</v>
      </c>
      <c r="AT29" t="e">
        <f t="shared" si="20"/>
        <v>#DIV/0!</v>
      </c>
      <c r="AV29" t="e">
        <f t="shared" si="21"/>
        <v>#DIV/0!</v>
      </c>
      <c r="AW29" t="e">
        <f t="shared" si="22"/>
        <v>#DIV/0!</v>
      </c>
      <c r="BA29" s="129" t="e">
        <f t="shared" si="23"/>
        <v>#DIV/0!</v>
      </c>
      <c r="BB29" s="129" t="e">
        <f t="shared" si="24"/>
        <v>#DIV/0!</v>
      </c>
      <c r="BC29" s="129"/>
      <c r="BD29" s="129"/>
      <c r="BE29" s="129">
        <f t="shared" si="8"/>
        <v>1</v>
      </c>
      <c r="BF29" s="129">
        <f t="shared" si="9"/>
        <v>0</v>
      </c>
      <c r="BG29" s="129"/>
      <c r="BH29" s="129"/>
      <c r="BI29" s="129">
        <f t="shared" si="25"/>
        <v>0</v>
      </c>
      <c r="BJ29" s="129" t="e">
        <f t="shared" si="26"/>
        <v>#DIV/0!</v>
      </c>
      <c r="BK29" s="129"/>
      <c r="BL29" s="129"/>
      <c r="BM29" s="129" t="e">
        <f t="shared" si="33"/>
        <v>#DIV/0!</v>
      </c>
      <c r="BN29" s="129" t="e">
        <f t="shared" si="34"/>
        <v>#DIV/0!</v>
      </c>
      <c r="BO29" s="129"/>
      <c r="BP29" s="129"/>
      <c r="BQ29" s="129"/>
      <c r="BR29" s="129" t="e">
        <f t="shared" si="27"/>
        <v>#DIV/0!</v>
      </c>
      <c r="BS29" s="129">
        <f t="shared" si="28"/>
        <v>1</v>
      </c>
      <c r="BT29" s="129">
        <f t="shared" si="10"/>
        <v>1.2355305261852831</v>
      </c>
      <c r="BU29" s="129"/>
      <c r="BV29" s="129" t="e">
        <f t="shared" si="29"/>
        <v>#DIV/0!</v>
      </c>
      <c r="BW29" s="129">
        <f t="shared" si="30"/>
        <v>1</v>
      </c>
      <c r="BX29" s="129">
        <f t="shared" si="11"/>
        <v>0.99682474136476662</v>
      </c>
      <c r="BY29" s="129"/>
      <c r="BZ29" s="129" t="e">
        <f t="shared" si="31"/>
        <v>#DIV/0!</v>
      </c>
      <c r="CA29" s="129">
        <f t="shared" si="32"/>
        <v>1</v>
      </c>
      <c r="CB29" s="129">
        <f t="shared" si="12"/>
        <v>0.96601270433970654</v>
      </c>
    </row>
    <row r="30" spans="1:80" hidden="1" x14ac:dyDescent="0.2">
      <c r="A30" s="133" t="s">
        <v>664</v>
      </c>
      <c r="B30" s="133">
        <f t="shared" si="13"/>
        <v>1969</v>
      </c>
      <c r="D30" s="5">
        <f>Personal_vehicles!G30</f>
        <v>0</v>
      </c>
      <c r="E30" s="5">
        <f>Buses!G30</f>
        <v>42.976059999999997</v>
      </c>
      <c r="F30" s="5"/>
      <c r="G30" s="5">
        <f t="shared" si="0"/>
        <v>42.976059999999997</v>
      </c>
      <c r="H30" s="5"/>
      <c r="I30" s="5">
        <f>Personal_vehicles!L30</f>
        <v>1891467.8294878972</v>
      </c>
      <c r="J30" s="5">
        <f>Buses!L30</f>
        <v>0</v>
      </c>
      <c r="K30" s="5"/>
      <c r="L30" s="5">
        <f t="shared" si="1"/>
        <v>1891467.8294878972</v>
      </c>
      <c r="R30" s="129">
        <f>Personal_vehicles!AA30</f>
        <v>0</v>
      </c>
      <c r="S30" s="129">
        <f>Buses!AA30</f>
        <v>0</v>
      </c>
      <c r="T30" s="129"/>
      <c r="U30" s="129"/>
      <c r="V30" s="129">
        <f>Personal_vehicles!Z30</f>
        <v>0</v>
      </c>
      <c r="W30" s="129">
        <f>Buses!Z30</f>
        <v>0</v>
      </c>
      <c r="X30" s="129"/>
      <c r="Z30" s="131">
        <f t="shared" si="2"/>
        <v>0.62463072512669715</v>
      </c>
      <c r="AA30" s="131">
        <f t="shared" si="3"/>
        <v>0</v>
      </c>
      <c r="AB30" s="131">
        <f t="shared" si="14"/>
        <v>0.99682474136476662</v>
      </c>
      <c r="AC30" s="131">
        <f t="shared" si="15"/>
        <v>0.96601270433970654</v>
      </c>
      <c r="AD30" s="131">
        <f t="shared" si="4"/>
        <v>1.2355305261852831</v>
      </c>
      <c r="AE30" s="131">
        <f t="shared" si="16"/>
        <v>0.74315340110463401</v>
      </c>
      <c r="AF30" s="131">
        <f t="shared" si="5"/>
        <v>3.4297877008059876E-3</v>
      </c>
      <c r="AG30" s="131"/>
      <c r="AH30" s="131">
        <f t="shared" si="17"/>
        <v>0.96294536415850673</v>
      </c>
      <c r="AK30" s="134"/>
      <c r="AM30" s="129">
        <f t="shared" si="6"/>
        <v>0</v>
      </c>
      <c r="AN30" s="129">
        <f t="shared" si="7"/>
        <v>1</v>
      </c>
      <c r="AO30" s="129"/>
      <c r="AQ30" t="e">
        <f t="shared" si="18"/>
        <v>#DIV/0!</v>
      </c>
      <c r="AR30" t="e">
        <f t="shared" si="19"/>
        <v>#DIV/0!</v>
      </c>
      <c r="AT30" t="e">
        <f t="shared" si="20"/>
        <v>#DIV/0!</v>
      </c>
      <c r="AV30" t="e">
        <f t="shared" si="21"/>
        <v>#DIV/0!</v>
      </c>
      <c r="AW30" t="e">
        <f t="shared" si="22"/>
        <v>#DIV/0!</v>
      </c>
      <c r="BA30" s="129" t="e">
        <f t="shared" si="23"/>
        <v>#DIV/0!</v>
      </c>
      <c r="BB30" s="129" t="e">
        <f t="shared" si="24"/>
        <v>#DIV/0!</v>
      </c>
      <c r="BC30" s="129"/>
      <c r="BD30" s="129"/>
      <c r="BE30" s="129">
        <f t="shared" si="8"/>
        <v>1</v>
      </c>
      <c r="BF30" s="129">
        <f t="shared" si="9"/>
        <v>0</v>
      </c>
      <c r="BG30" s="129"/>
      <c r="BH30" s="129"/>
      <c r="BI30" s="129">
        <f t="shared" si="25"/>
        <v>0</v>
      </c>
      <c r="BJ30" s="129" t="e">
        <f t="shared" si="26"/>
        <v>#DIV/0!</v>
      </c>
      <c r="BK30" s="129"/>
      <c r="BL30" s="129"/>
      <c r="BM30" s="129" t="e">
        <f t="shared" si="33"/>
        <v>#DIV/0!</v>
      </c>
      <c r="BN30" s="129" t="e">
        <f t="shared" si="34"/>
        <v>#DIV/0!</v>
      </c>
      <c r="BO30" s="129"/>
      <c r="BP30" s="129"/>
      <c r="BQ30" s="129"/>
      <c r="BR30" s="129" t="e">
        <f t="shared" si="27"/>
        <v>#DIV/0!</v>
      </c>
      <c r="BS30" s="129">
        <f t="shared" si="28"/>
        <v>1</v>
      </c>
      <c r="BT30" s="129">
        <f t="shared" si="10"/>
        <v>1.2355305261852831</v>
      </c>
      <c r="BU30" s="129"/>
      <c r="BV30" s="129" t="e">
        <f t="shared" si="29"/>
        <v>#DIV/0!</v>
      </c>
      <c r="BW30" s="129">
        <f t="shared" si="30"/>
        <v>1</v>
      </c>
      <c r="BX30" s="129">
        <f t="shared" si="11"/>
        <v>0.99682474136476662</v>
      </c>
      <c r="BY30" s="129"/>
      <c r="BZ30" s="129" t="e">
        <f t="shared" si="31"/>
        <v>#DIV/0!</v>
      </c>
      <c r="CA30" s="129">
        <f t="shared" si="32"/>
        <v>1</v>
      </c>
      <c r="CB30" s="129">
        <f t="shared" si="12"/>
        <v>0.96601270433970654</v>
      </c>
    </row>
    <row r="31" spans="1:80" x14ac:dyDescent="0.2">
      <c r="A31" s="133" t="s">
        <v>664</v>
      </c>
      <c r="B31" s="133">
        <f t="shared" si="13"/>
        <v>1970</v>
      </c>
      <c r="D31" s="5">
        <f>Personal_vehicles!G31</f>
        <v>10025.3650456744</v>
      </c>
      <c r="E31" s="5">
        <f>Buses!G31</f>
        <v>109.98193087619046</v>
      </c>
      <c r="F31" s="399">
        <v>1.0000000000000001E-9</v>
      </c>
      <c r="G31" s="5">
        <f>D31+E31+F31</f>
        <v>10135.346976551591</v>
      </c>
      <c r="H31" s="700">
        <f>G31/G$74</f>
        <v>0.80887099477192193</v>
      </c>
      <c r="I31" s="5">
        <f>Personal_vehicles!L31</f>
        <v>1966921.7</v>
      </c>
      <c r="J31" s="5">
        <f>Buses!L31</f>
        <v>91810</v>
      </c>
      <c r="K31" s="699">
        <f>F31/P31*1000000</f>
        <v>4.9422192263656778E-8</v>
      </c>
      <c r="L31" s="5">
        <f>I31+J31+K32</f>
        <v>2058731.7000000493</v>
      </c>
      <c r="N31" s="138">
        <f t="shared" ref="N31" si="35">D31/I31*1000000</f>
        <v>5096.9822772682819</v>
      </c>
      <c r="O31" s="138">
        <f t="shared" ref="O31" si="36">E31/J31*1000000</f>
        <v>1197.9297557585282</v>
      </c>
      <c r="P31" s="400">
        <f>P$45</f>
        <v>20233.825214899713</v>
      </c>
      <c r="Q31" s="138">
        <f t="shared" ref="Q31:Q41" si="37">G31/L31*1000000</f>
        <v>4923.1024016152023</v>
      </c>
      <c r="R31" s="129">
        <f>Personal_vehicles!AA31</f>
        <v>1.2397927577353178</v>
      </c>
      <c r="S31" s="129">
        <f>Buses!AA31</f>
        <v>0.91292740619464163</v>
      </c>
      <c r="T31" s="401">
        <f t="shared" ref="T31:T72" si="38">P31/P$74</f>
        <v>1.1012387630464142</v>
      </c>
      <c r="U31" s="129"/>
      <c r="V31" s="129">
        <f>Personal_vehicles!Z31</f>
        <v>0.96502991740506328</v>
      </c>
      <c r="W31" s="129">
        <f>Buses!Z31</f>
        <v>1.0562354499437476</v>
      </c>
      <c r="X31" s="129">
        <v>1</v>
      </c>
      <c r="Z31" s="131">
        <f t="shared" si="2"/>
        <v>0.67986727268869851</v>
      </c>
      <c r="AA31" s="131">
        <f t="shared" si="3"/>
        <v>1.18974839246644</v>
      </c>
      <c r="AB31" s="131">
        <f t="shared" si="14"/>
        <v>0.99682474136476662</v>
      </c>
      <c r="AC31" s="395">
        <f t="shared" si="15"/>
        <v>0.96601270433970654</v>
      </c>
      <c r="AD31" s="131">
        <f t="shared" si="4"/>
        <v>1.2355305261852831</v>
      </c>
      <c r="AE31" s="131">
        <f t="shared" si="16"/>
        <v>0.80887099477192115</v>
      </c>
      <c r="AF31" s="131">
        <f t="shared" si="5"/>
        <v>0.80887099477192193</v>
      </c>
      <c r="AG31" s="131"/>
      <c r="AH31" s="131">
        <f t="shared" si="17"/>
        <v>0.96294536415850673</v>
      </c>
      <c r="AK31" s="134"/>
      <c r="AM31" s="129">
        <f t="shared" si="6"/>
        <v>0.98914867629774916</v>
      </c>
      <c r="AN31" s="129">
        <f t="shared" si="7"/>
        <v>1.0851323702152155E-2</v>
      </c>
      <c r="AO31" s="129">
        <f t="shared" ref="AO31:AO72" si="39">F31/G31</f>
        <v>9.8664604410044178E-14</v>
      </c>
      <c r="BA31" s="129"/>
      <c r="BB31" s="129"/>
      <c r="BC31" s="129"/>
      <c r="BD31" s="129"/>
      <c r="BE31" s="129">
        <f t="shared" si="8"/>
        <v>0.95540458234550563</v>
      </c>
      <c r="BF31" s="129">
        <f t="shared" si="9"/>
        <v>4.4595417654470372E-2</v>
      </c>
      <c r="BG31" s="129">
        <f t="shared" ref="BG31:BG72" si="40">K31/L31</f>
        <v>2.4006135556010331E-14</v>
      </c>
      <c r="BH31" s="129"/>
      <c r="BI31" s="129">
        <f t="shared" si="25"/>
        <v>-4.5620381779136576E-2</v>
      </c>
      <c r="BJ31" s="129" t="e">
        <f t="shared" si="26"/>
        <v>#DIV/0!</v>
      </c>
      <c r="BK31" s="129" t="e">
        <f t="shared" ref="BK31" si="41">LN(BG31/BG30)</f>
        <v>#DIV/0!</v>
      </c>
      <c r="BL31" s="129"/>
      <c r="BM31" s="129" t="e">
        <f t="shared" ref="BM31" si="42">LN(V31/V30)</f>
        <v>#DIV/0!</v>
      </c>
      <c r="BN31" s="129" t="e">
        <f t="shared" ref="BN31" si="43">LN(W31/W30)</f>
        <v>#DIV/0!</v>
      </c>
      <c r="BO31" s="129" t="e">
        <f t="shared" ref="BO31" si="44">LN(X31/X30)</f>
        <v>#DIV/0!</v>
      </c>
      <c r="BP31" s="129"/>
      <c r="BQ31" s="129"/>
      <c r="BR31" s="129">
        <f t="shared" ref="BR31" si="45">EXP(SUMPRODUCT($AV31:$AX31,BA31:BC31))</f>
        <v>1</v>
      </c>
      <c r="BS31" s="129">
        <f t="shared" si="28"/>
        <v>1</v>
      </c>
      <c r="BT31" s="129">
        <f t="shared" si="10"/>
        <v>1.2355305261852831</v>
      </c>
      <c r="BU31" s="129"/>
      <c r="BV31" s="129" t="e">
        <f t="shared" ref="BV31" si="46">EXP(SUMPRODUCT($AV31:$AX31,BI31:BK31))</f>
        <v>#DIV/0!</v>
      </c>
      <c r="BW31" s="129">
        <f t="shared" si="30"/>
        <v>1</v>
      </c>
      <c r="BX31" s="129">
        <f t="shared" si="11"/>
        <v>0.99682474136476662</v>
      </c>
      <c r="BY31" s="129"/>
      <c r="BZ31" s="129" t="e">
        <f t="shared" ref="BZ31" si="47">EXP(SUMPRODUCT($AV31:$AX31,BM31:BO31))</f>
        <v>#DIV/0!</v>
      </c>
      <c r="CA31" s="129">
        <f t="shared" ref="CA31" si="48">IF(ISERR(BZ31),CA30,BZ31*CA30)</f>
        <v>1</v>
      </c>
      <c r="CB31" s="129">
        <f t="shared" si="12"/>
        <v>0.96601270433970654</v>
      </c>
    </row>
    <row r="32" spans="1:80" x14ac:dyDescent="0.2">
      <c r="A32" s="133" t="s">
        <v>664</v>
      </c>
      <c r="B32" s="133">
        <f t="shared" si="13"/>
        <v>1971</v>
      </c>
      <c r="D32" s="5">
        <f>Personal_vehicles!G32</f>
        <v>10619.961656126401</v>
      </c>
      <c r="E32" s="5">
        <f>Buses!G32</f>
        <v>109.40027030478434</v>
      </c>
      <c r="F32" s="399">
        <v>1.0000000000000001E-9</v>
      </c>
      <c r="G32" s="5">
        <f t="shared" ref="G32:G69" si="49">D32+E32+F32</f>
        <v>10729.361926432186</v>
      </c>
      <c r="H32" s="700">
        <f t="shared" ref="H32:H45" si="50">G32/G$74</f>
        <v>0.85627750828654725</v>
      </c>
      <c r="I32" s="5">
        <f>Personal_vehicles!L32</f>
        <v>2088195.2459860889</v>
      </c>
      <c r="J32" s="5">
        <f>Buses!L32</f>
        <v>93186</v>
      </c>
      <c r="K32" s="699">
        <f t="shared" ref="K32:K43" si="51">F32/P32*1000000</f>
        <v>4.9422192263656778E-8</v>
      </c>
      <c r="L32" s="5">
        <f t="shared" ref="L32:L68" si="52">I32+J32+K33</f>
        <v>2181381.2459861385</v>
      </c>
      <c r="N32" s="138">
        <f t="shared" ref="N32:N41" si="53">D32/I32*1000000</f>
        <v>5085.7129746559858</v>
      </c>
      <c r="O32" s="138">
        <f t="shared" ref="O32:O41" si="54">E32/J32*1000000</f>
        <v>1173.9989945354919</v>
      </c>
      <c r="P32" s="400">
        <f t="shared" ref="P32:P44" si="55">P$45</f>
        <v>20233.825214899713</v>
      </c>
      <c r="Q32" s="138">
        <f t="shared" si="37"/>
        <v>4918.6092280635503</v>
      </c>
      <c r="R32" s="129">
        <f>Personal_vehicles!AA32</f>
        <v>1.2342687820280858</v>
      </c>
      <c r="S32" s="129">
        <f>Buses!AA32</f>
        <v>0.91524172816700056</v>
      </c>
      <c r="T32" s="401">
        <f t="shared" si="38"/>
        <v>1.1012387630464142</v>
      </c>
      <c r="U32" s="129"/>
      <c r="V32" s="129">
        <f>Personal_vehicles!Z32</f>
        <v>0.96720570667815475</v>
      </c>
      <c r="W32" s="129">
        <f>Buses!Z32</f>
        <v>1.0325177922888631</v>
      </c>
      <c r="X32" s="129">
        <v>1</v>
      </c>
      <c r="Z32" s="131">
        <f t="shared" si="2"/>
        <v>0.72037056523821696</v>
      </c>
      <c r="AA32" s="131">
        <f t="shared" si="3"/>
        <v>1.1886625434277533</v>
      </c>
      <c r="AB32" s="131">
        <f t="shared" si="14"/>
        <v>0.99831046011119773</v>
      </c>
      <c r="AC32" s="131">
        <f t="shared" si="15"/>
        <v>0.96793647469446675</v>
      </c>
      <c r="AD32" s="131">
        <f t="shared" si="4"/>
        <v>1.2301160935362692</v>
      </c>
      <c r="AE32" s="131">
        <f t="shared" si="16"/>
        <v>0.85627750828654625</v>
      </c>
      <c r="AF32" s="131">
        <f t="shared" si="5"/>
        <v>0.85627750828654725</v>
      </c>
      <c r="AG32" s="131"/>
      <c r="AH32" s="131">
        <f t="shared" si="17"/>
        <v>0.96630110741064379</v>
      </c>
      <c r="AK32" s="134"/>
      <c r="AM32" s="129">
        <f t="shared" si="6"/>
        <v>0.98980365551503369</v>
      </c>
      <c r="AN32" s="129">
        <f t="shared" si="7"/>
        <v>1.019634448487311E-2</v>
      </c>
      <c r="AO32" s="129">
        <f t="shared" si="39"/>
        <v>9.3202187311480517E-14</v>
      </c>
      <c r="AQ32" s="129">
        <f t="shared" si="18"/>
        <v>0.98947612977632249</v>
      </c>
      <c r="AR32" s="129">
        <f t="shared" si="19"/>
        <v>1.0520436182558785E-2</v>
      </c>
      <c r="AS32" s="129">
        <f t="shared" si="19"/>
        <v>9.5907471231604664E-14</v>
      </c>
      <c r="AT32" s="129">
        <f>AQ32+AR32+AS32</f>
        <v>0.99999656595897723</v>
      </c>
      <c r="AV32" s="129">
        <f t="shared" ref="AV32" si="56">AQ32/AT32</f>
        <v>0.98947952768961178</v>
      </c>
      <c r="AW32" s="129">
        <f t="shared" ref="AW32" si="57">AR32/AT32</f>
        <v>1.0520472310292277E-2</v>
      </c>
      <c r="AX32" s="129">
        <f t="shared" ref="AX32" si="58">AS32/AT32</f>
        <v>9.5907800582926264E-14</v>
      </c>
      <c r="BA32" s="129">
        <f t="shared" si="23"/>
        <v>-4.4655193881401791E-3</v>
      </c>
      <c r="BB32" s="129">
        <f t="shared" si="24"/>
        <v>2.5318480277806673E-3</v>
      </c>
      <c r="BC32" s="129">
        <f t="shared" si="24"/>
        <v>0</v>
      </c>
      <c r="BD32" s="129"/>
      <c r="BE32" s="129">
        <f t="shared" si="8"/>
        <v>0.95728119503570641</v>
      </c>
      <c r="BF32" s="129">
        <f t="shared" si="9"/>
        <v>4.2718804964270857E-2</v>
      </c>
      <c r="BG32" s="129">
        <f t="shared" si="40"/>
        <v>2.26563753376886E-14</v>
      </c>
      <c r="BH32" s="129"/>
      <c r="BI32" s="129">
        <f t="shared" ref="BI32:BI46" si="59">LN(BE32/BE31)</f>
        <v>1.962280803839647E-3</v>
      </c>
      <c r="BJ32" s="129">
        <f t="shared" ref="BJ32:BJ46" si="60">LN(BF32/BF31)</f>
        <v>-4.2991889996396616E-2</v>
      </c>
      <c r="BK32" s="129">
        <f t="shared" ref="BK32:BK46" si="61">LN(BG32/BG31)</f>
        <v>-5.7868161656717015E-2</v>
      </c>
      <c r="BL32" s="129"/>
      <c r="BM32" s="129">
        <f t="shared" ref="BM32:BM46" si="62">LN(V32/V31)</f>
        <v>2.2520961373391833E-3</v>
      </c>
      <c r="BN32" s="129">
        <f t="shared" ref="BN32:BN46" si="63">LN(W32/W31)</f>
        <v>-2.2710846447574883E-2</v>
      </c>
      <c r="BO32" s="129">
        <f t="shared" ref="BO32:BO46" si="64">LN(X32/X31)</f>
        <v>0</v>
      </c>
      <c r="BP32" s="129"/>
      <c r="BQ32" s="129"/>
      <c r="BR32" s="129">
        <f t="shared" ref="BR32:BR46" si="65">EXP(SUMPRODUCT($AV32:$AX32,BA32:BC32))</f>
        <v>0.9956177265277848</v>
      </c>
      <c r="BS32" s="129">
        <f t="shared" ref="BS32:BS46" si="66">IF(ISERR(BR32),BS31,BR32*BS31)</f>
        <v>0.9956177265277848</v>
      </c>
      <c r="BT32" s="129">
        <f t="shared" ref="BT32:BT46" si="67">BS32/BS$74</f>
        <v>1.2301160935362692</v>
      </c>
      <c r="BU32" s="129"/>
      <c r="BV32" s="129">
        <f t="shared" ref="BV32:BV46" si="68">EXP(SUMPRODUCT($AV32:$AX32,BI32:BK32))</f>
        <v>1.001490451314839</v>
      </c>
      <c r="BW32" s="129">
        <f t="shared" ref="BW32:BW46" si="69">IF(ISERR(BV32),BW31,BV32*BW31)</f>
        <v>1.001490451314839</v>
      </c>
      <c r="BX32" s="129">
        <f t="shared" ref="BX32:BX46" si="70">BW32/BW$74</f>
        <v>0.99831046011119773</v>
      </c>
      <c r="BY32" s="129"/>
      <c r="BZ32" s="129">
        <f t="shared" ref="BZ32:BZ46" si="71">EXP(SUMPRODUCT($AV32:$AX32,BM32:BO32))</f>
        <v>1.0019914545079147</v>
      </c>
      <c r="CA32" s="129">
        <f t="shared" ref="CA32:CA46" si="72">IF(ISERR(BZ32),CA31,BZ32*CA31)</f>
        <v>1.0019914545079147</v>
      </c>
      <c r="CB32" s="129">
        <f t="shared" ref="CB32:CB46" si="73">CA32/CA$74</f>
        <v>0.96793647469446675</v>
      </c>
    </row>
    <row r="33" spans="1:80" x14ac:dyDescent="0.2">
      <c r="A33" s="133" t="s">
        <v>664</v>
      </c>
      <c r="B33" s="133">
        <f t="shared" si="13"/>
        <v>1972</v>
      </c>
      <c r="D33" s="5">
        <f>Personal_vehicles!G33</f>
        <v>11409.4896840656</v>
      </c>
      <c r="E33" s="5">
        <f>Buses!G33</f>
        <v>110.3572101323322</v>
      </c>
      <c r="F33" s="399">
        <v>1.0000000000000001E-9</v>
      </c>
      <c r="G33" s="5">
        <f t="shared" si="49"/>
        <v>11519.846894198932</v>
      </c>
      <c r="H33" s="700">
        <f t="shared" si="50"/>
        <v>0.91936369208558333</v>
      </c>
      <c r="I33" s="5">
        <f>Personal_vehicles!L33</f>
        <v>2227370.0195057914</v>
      </c>
      <c r="J33" s="5">
        <f>Buses!L33</f>
        <v>96037</v>
      </c>
      <c r="K33" s="699">
        <f t="shared" si="51"/>
        <v>4.9422192263656778E-8</v>
      </c>
      <c r="L33" s="5">
        <f t="shared" si="52"/>
        <v>2323407.0195058407</v>
      </c>
      <c r="N33" s="138">
        <f t="shared" si="53"/>
        <v>5122.4042633909276</v>
      </c>
      <c r="O33" s="138">
        <f t="shared" si="54"/>
        <v>1149.1113855319534</v>
      </c>
      <c r="P33" s="400">
        <f t="shared" si="55"/>
        <v>20233.825214899713</v>
      </c>
      <c r="Q33" s="138">
        <f t="shared" si="37"/>
        <v>4958.169962251839</v>
      </c>
      <c r="R33" s="129">
        <f>Personal_vehicles!AA33</f>
        <v>1.2397820780556517</v>
      </c>
      <c r="S33" s="129">
        <f>Buses!AA33</f>
        <v>0.91086489047449815</v>
      </c>
      <c r="T33" s="401">
        <f t="shared" si="38"/>
        <v>1.1012387630464142</v>
      </c>
      <c r="U33" s="129"/>
      <c r="V33" s="129">
        <f>Personal_vehicles!Z33</f>
        <v>0.96985150750935512</v>
      </c>
      <c r="W33" s="129">
        <f>Buses!Z33</f>
        <v>1.0154856646294241</v>
      </c>
      <c r="X33" s="129">
        <v>1</v>
      </c>
      <c r="Z33" s="131">
        <f t="shared" si="2"/>
        <v>0.76727258520242136</v>
      </c>
      <c r="AA33" s="131">
        <f t="shared" si="3"/>
        <v>1.1982230433047956</v>
      </c>
      <c r="AB33" s="131">
        <f t="shared" si="14"/>
        <v>0.99941428407631983</v>
      </c>
      <c r="AC33" s="131">
        <f t="shared" si="15"/>
        <v>0.97039850189986798</v>
      </c>
      <c r="AD33" s="131">
        <f t="shared" si="4"/>
        <v>1.2354978604987219</v>
      </c>
      <c r="AE33" s="131">
        <f t="shared" si="16"/>
        <v>0.919363692085583</v>
      </c>
      <c r="AF33" s="131">
        <f t="shared" si="5"/>
        <v>0.91936369208558333</v>
      </c>
      <c r="AG33" s="131"/>
      <c r="AH33" s="131">
        <f t="shared" si="17"/>
        <v>0.96983012404498981</v>
      </c>
      <c r="AK33" s="134"/>
      <c r="AM33" s="129">
        <f t="shared" si="6"/>
        <v>0.99042025374582843</v>
      </c>
      <c r="AN33" s="129">
        <f t="shared" si="7"/>
        <v>9.579746254084762E-3</v>
      </c>
      <c r="AO33" s="129">
        <f t="shared" si="39"/>
        <v>8.6806709254406118E-14</v>
      </c>
      <c r="AQ33" s="129">
        <f t="shared" si="18"/>
        <v>0.99011192263129233</v>
      </c>
      <c r="AR33" s="129">
        <f t="shared" si="19"/>
        <v>9.8848403883344746E-3</v>
      </c>
      <c r="AS33" s="129">
        <f t="shared" si="19"/>
        <v>8.9966565047231943E-14</v>
      </c>
      <c r="AT33" s="129">
        <f t="shared" ref="AT33:AT68" si="74">AQ33+AR33+AS33</f>
        <v>0.99999676301971674</v>
      </c>
      <c r="AV33" s="129">
        <f t="shared" ref="AV33:AV49" si="75">AQ33/AT33</f>
        <v>0.99011512761443854</v>
      </c>
      <c r="AW33" s="129">
        <f t="shared" ref="AW33:AW49" si="76">AR33/AT33</f>
        <v>9.8848723854714892E-3</v>
      </c>
      <c r="AX33" s="129">
        <f t="shared" ref="AX33:AX49" si="77">AS33/AT33</f>
        <v>8.9966856268171831E-14</v>
      </c>
      <c r="BA33" s="129">
        <f t="shared" si="23"/>
        <v>4.4569052664674381E-3</v>
      </c>
      <c r="BB33" s="129">
        <f t="shared" si="24"/>
        <v>-4.7936369422048137E-3</v>
      </c>
      <c r="BC33" s="129">
        <f t="shared" si="24"/>
        <v>0</v>
      </c>
      <c r="BD33" s="129"/>
      <c r="BE33" s="129">
        <f t="shared" si="8"/>
        <v>0.95866544294917588</v>
      </c>
      <c r="BF33" s="129">
        <f t="shared" si="9"/>
        <v>4.1334557050802856E-2</v>
      </c>
      <c r="BG33" s="129">
        <f t="shared" si="40"/>
        <v>2.1271431070294457E-14</v>
      </c>
      <c r="BH33" s="129"/>
      <c r="BI33" s="129">
        <f t="shared" si="59"/>
        <v>1.4449756865664409E-3</v>
      </c>
      <c r="BJ33" s="129">
        <f t="shared" si="60"/>
        <v>-3.2940338011383151E-2</v>
      </c>
      <c r="BK33" s="129">
        <f t="shared" si="61"/>
        <v>-6.3076376076032031E-2</v>
      </c>
      <c r="BL33" s="129"/>
      <c r="BM33" s="129">
        <f t="shared" si="62"/>
        <v>2.7317752487640884E-3</v>
      </c>
      <c r="BN33" s="129">
        <f t="shared" si="63"/>
        <v>-1.6633292570780688E-2</v>
      </c>
      <c r="BO33" s="129">
        <f t="shared" si="64"/>
        <v>0</v>
      </c>
      <c r="BP33" s="129"/>
      <c r="BQ33" s="129"/>
      <c r="BR33" s="129">
        <f t="shared" si="65"/>
        <v>1.0043750073596562</v>
      </c>
      <c r="BS33" s="129">
        <f t="shared" si="66"/>
        <v>0.99997356140874805</v>
      </c>
      <c r="BT33" s="129">
        <f t="shared" si="67"/>
        <v>1.2354978604987219</v>
      </c>
      <c r="BU33" s="129"/>
      <c r="BV33" s="129">
        <f t="shared" si="68"/>
        <v>1.0011056920759891</v>
      </c>
      <c r="BW33" s="129">
        <f t="shared" si="69"/>
        <v>1.0025977913710367</v>
      </c>
      <c r="BX33" s="129">
        <f t="shared" si="70"/>
        <v>0.99941428407631983</v>
      </c>
      <c r="BY33" s="129"/>
      <c r="BZ33" s="129">
        <f t="shared" si="71"/>
        <v>1.0025435834579726</v>
      </c>
      <c r="CA33" s="129">
        <f t="shared" si="72"/>
        <v>1.004540103396631</v>
      </c>
      <c r="CB33" s="129">
        <f t="shared" si="73"/>
        <v>0.97039850189986798</v>
      </c>
    </row>
    <row r="34" spans="1:80" x14ac:dyDescent="0.2">
      <c r="A34" s="133" t="s">
        <v>664</v>
      </c>
      <c r="B34" s="133">
        <f t="shared" si="13"/>
        <v>1973</v>
      </c>
      <c r="D34" s="5">
        <f>Personal_vehicles!G34</f>
        <v>11915.135664768801</v>
      </c>
      <c r="E34" s="5">
        <f>Buses!G34</f>
        <v>114.04667577568853</v>
      </c>
      <c r="F34" s="399">
        <v>1.0000000000000001E-9</v>
      </c>
      <c r="G34" s="5">
        <f t="shared" si="49"/>
        <v>12029.182340545489</v>
      </c>
      <c r="H34" s="700">
        <f t="shared" si="50"/>
        <v>0.96001219382036196</v>
      </c>
      <c r="I34" s="5">
        <f>Personal_vehicles!L34</f>
        <v>2311710.2611098439</v>
      </c>
      <c r="J34" s="5">
        <f>Buses!L34</f>
        <v>98046</v>
      </c>
      <c r="K34" s="699">
        <f t="shared" si="51"/>
        <v>4.9422192263656778E-8</v>
      </c>
      <c r="L34" s="5">
        <f t="shared" si="52"/>
        <v>2409756.2611098932</v>
      </c>
      <c r="N34" s="138">
        <f t="shared" si="53"/>
        <v>5154.2513199938767</v>
      </c>
      <c r="O34" s="138">
        <f t="shared" si="54"/>
        <v>1163.1955997765185</v>
      </c>
      <c r="P34" s="400">
        <f t="shared" si="55"/>
        <v>20233.825214899713</v>
      </c>
      <c r="Q34" s="138">
        <f t="shared" si="37"/>
        <v>4991.8668268155261</v>
      </c>
      <c r="R34" s="129">
        <f>Personal_vehicles!AA34</f>
        <v>1.2429017819647969</v>
      </c>
      <c r="S34" s="129">
        <f>Buses!AA34</f>
        <v>0.92606756801091117</v>
      </c>
      <c r="T34" s="401">
        <f t="shared" si="38"/>
        <v>1.1012387630464142</v>
      </c>
      <c r="U34" s="129"/>
      <c r="V34" s="129">
        <f>Personal_vehicles!Z34</f>
        <v>0.97343179873653674</v>
      </c>
      <c r="W34" s="129">
        <f>Buses!Z34</f>
        <v>1.0110571559226045</v>
      </c>
      <c r="X34" s="129">
        <v>1</v>
      </c>
      <c r="Z34" s="131">
        <f t="shared" si="2"/>
        <v>0.79578821129788746</v>
      </c>
      <c r="AA34" s="131">
        <f t="shared" si="3"/>
        <v>1.2063664429693348</v>
      </c>
      <c r="AB34" s="131">
        <f t="shared" si="14"/>
        <v>0.99993236292676968</v>
      </c>
      <c r="AC34" s="131">
        <f t="shared" si="15"/>
        <v>0.97390604404560543</v>
      </c>
      <c r="AD34" s="131">
        <f t="shared" si="4"/>
        <v>1.2387725191358516</v>
      </c>
      <c r="AE34" s="131">
        <f t="shared" si="16"/>
        <v>0.96001219382036107</v>
      </c>
      <c r="AF34" s="131">
        <f t="shared" si="5"/>
        <v>0.96001219382036196</v>
      </c>
      <c r="AG34" s="131"/>
      <c r="AH34" s="131">
        <f t="shared" si="17"/>
        <v>0.97384017189118488</v>
      </c>
      <c r="AK34" s="134"/>
      <c r="AM34" s="129">
        <f t="shared" si="6"/>
        <v>0.99051916642810522</v>
      </c>
      <c r="AN34" s="129">
        <f t="shared" si="7"/>
        <v>9.4808335718117344E-3</v>
      </c>
      <c r="AO34" s="129">
        <f t="shared" si="39"/>
        <v>8.3131169824353404E-14</v>
      </c>
      <c r="AQ34" s="129">
        <f t="shared" si="18"/>
        <v>0.99046970926323752</v>
      </c>
      <c r="AR34" s="129">
        <f t="shared" si="19"/>
        <v>9.5302043630063876E-3</v>
      </c>
      <c r="AS34" s="129">
        <f t="shared" si="19"/>
        <v>8.4955688348345948E-14</v>
      </c>
      <c r="AT34" s="129">
        <f t="shared" si="74"/>
        <v>0.99999991362632878</v>
      </c>
      <c r="AV34" s="129">
        <f t="shared" si="75"/>
        <v>0.99046979481374997</v>
      </c>
      <c r="AW34" s="129">
        <f t="shared" si="76"/>
        <v>9.5302051861651978E-3</v>
      </c>
      <c r="AX34" s="129">
        <f t="shared" si="77"/>
        <v>8.495569568628128E-14</v>
      </c>
      <c r="BA34" s="129">
        <f t="shared" si="23"/>
        <v>2.5131718149020918E-3</v>
      </c>
      <c r="BB34" s="129">
        <f t="shared" si="24"/>
        <v>1.6552622366551643E-2</v>
      </c>
      <c r="BC34" s="129">
        <f t="shared" si="24"/>
        <v>0</v>
      </c>
      <c r="BD34" s="129"/>
      <c r="BE34" s="129">
        <f t="shared" si="8"/>
        <v>0.95931289749823456</v>
      </c>
      <c r="BF34" s="129">
        <f t="shared" si="9"/>
        <v>4.0687102501744996E-2</v>
      </c>
      <c r="BG34" s="129">
        <f t="shared" si="40"/>
        <v>2.0509207948231972E-14</v>
      </c>
      <c r="BH34" s="129"/>
      <c r="BI34" s="129">
        <f t="shared" si="59"/>
        <v>6.7514273753594865E-4</v>
      </c>
      <c r="BJ34" s="129">
        <f t="shared" si="60"/>
        <v>-1.5787732187787173E-2</v>
      </c>
      <c r="BK34" s="129">
        <f t="shared" si="61"/>
        <v>-3.6490954604911398E-2</v>
      </c>
      <c r="BL34" s="129"/>
      <c r="BM34" s="129">
        <f t="shared" si="62"/>
        <v>3.684789826245297E-3</v>
      </c>
      <c r="BN34" s="129">
        <f t="shared" si="63"/>
        <v>-4.3705128864053294E-3</v>
      </c>
      <c r="BO34" s="129">
        <f t="shared" si="64"/>
        <v>0</v>
      </c>
      <c r="BP34" s="129"/>
      <c r="BQ34" s="129"/>
      <c r="BR34" s="129">
        <f t="shared" si="65"/>
        <v>1.0026504769792219</v>
      </c>
      <c r="BS34" s="129">
        <f t="shared" si="66"/>
        <v>1.0026239683130924</v>
      </c>
      <c r="BT34" s="129">
        <f t="shared" si="67"/>
        <v>1.2387725191358516</v>
      </c>
      <c r="BU34" s="129"/>
      <c r="BV34" s="129">
        <f t="shared" si="68"/>
        <v>1.0005183824753203</v>
      </c>
      <c r="BW34" s="129">
        <f t="shared" si="69"/>
        <v>1.0031175204958782</v>
      </c>
      <c r="BX34" s="129">
        <f t="shared" si="70"/>
        <v>0.99993236292676968</v>
      </c>
      <c r="BY34" s="129"/>
      <c r="BZ34" s="129">
        <f t="shared" si="71"/>
        <v>1.0036145378819838</v>
      </c>
      <c r="CA34" s="129">
        <f t="shared" si="72"/>
        <v>1.0081710516543301</v>
      </c>
      <c r="CB34" s="129">
        <f t="shared" si="73"/>
        <v>0.97390604404560543</v>
      </c>
    </row>
    <row r="35" spans="1:80" x14ac:dyDescent="0.2">
      <c r="A35" s="133" t="s">
        <v>664</v>
      </c>
      <c r="B35" s="133">
        <f t="shared" si="13"/>
        <v>1974</v>
      </c>
      <c r="D35" s="5">
        <f>Personal_vehicles!G35</f>
        <v>11398.970534972799</v>
      </c>
      <c r="E35" s="5">
        <f>Buses!G35</f>
        <v>117.53893416310495</v>
      </c>
      <c r="F35" s="399">
        <v>1.0000000000000001E-9</v>
      </c>
      <c r="G35" s="5">
        <f t="shared" si="49"/>
        <v>11516.509469136905</v>
      </c>
      <c r="H35" s="700">
        <f t="shared" si="50"/>
        <v>0.9190973424148573</v>
      </c>
      <c r="I35" s="5">
        <f>Personal_vehicles!L35</f>
        <v>2249050.7527093207</v>
      </c>
      <c r="J35" s="5">
        <f>Buses!L35</f>
        <v>101960</v>
      </c>
      <c r="K35" s="699">
        <f t="shared" si="51"/>
        <v>4.9422192263656778E-8</v>
      </c>
      <c r="L35" s="5">
        <f t="shared" si="52"/>
        <v>2351010.7527093701</v>
      </c>
      <c r="N35" s="138">
        <f t="shared" si="53"/>
        <v>5068.3474000046554</v>
      </c>
      <c r="O35" s="138">
        <f t="shared" si="54"/>
        <v>1152.794568096361</v>
      </c>
      <c r="P35" s="400">
        <f t="shared" si="55"/>
        <v>20233.825214899713</v>
      </c>
      <c r="Q35" s="138">
        <f t="shared" si="37"/>
        <v>4898.5354302888491</v>
      </c>
      <c r="R35" s="129">
        <f>Personal_vehicles!AA35</f>
        <v>1.2190828543051768</v>
      </c>
      <c r="S35" s="129">
        <f>Buses!AA35</f>
        <v>0.90326226388817776</v>
      </c>
      <c r="T35" s="401">
        <f t="shared" si="38"/>
        <v>1.1012387630464142</v>
      </c>
      <c r="U35" s="129"/>
      <c r="V35" s="129">
        <f>Personal_vehicles!Z35</f>
        <v>0.97591029807039698</v>
      </c>
      <c r="W35" s="129">
        <f>Buses!Z35</f>
        <v>1.0273151345411962</v>
      </c>
      <c r="X35" s="129">
        <v>1</v>
      </c>
      <c r="Z35" s="131">
        <f t="shared" si="2"/>
        <v>0.77638833098372428</v>
      </c>
      <c r="AA35" s="131">
        <f t="shared" si="3"/>
        <v>1.1838113811555016</v>
      </c>
      <c r="AB35" s="131">
        <f t="shared" si="14"/>
        <v>0.99779119278838846</v>
      </c>
      <c r="AC35" s="131">
        <f t="shared" si="15"/>
        <v>0.97651457934051633</v>
      </c>
      <c r="AD35" s="131">
        <f t="shared" si="4"/>
        <v>1.2149659675042868</v>
      </c>
      <c r="AE35" s="131">
        <f t="shared" si="16"/>
        <v>0.91909734241485641</v>
      </c>
      <c r="AF35" s="131">
        <f t="shared" si="5"/>
        <v>0.9190973424148573</v>
      </c>
      <c r="AG35" s="131"/>
      <c r="AH35" s="131">
        <f t="shared" si="17"/>
        <v>0.97435764689542514</v>
      </c>
      <c r="AK35" s="134"/>
      <c r="AM35" s="129">
        <f t="shared" si="6"/>
        <v>0.98979387509044314</v>
      </c>
      <c r="AN35" s="129">
        <f t="shared" si="7"/>
        <v>1.020612490946997E-2</v>
      </c>
      <c r="AO35" s="129">
        <f t="shared" si="39"/>
        <v>8.6831865391149996E-14</v>
      </c>
      <c r="AQ35" s="129">
        <f t="shared" si="18"/>
        <v>0.9901564764862204</v>
      </c>
      <c r="AR35" s="129">
        <f t="shared" si="19"/>
        <v>9.8390241927466312E-3</v>
      </c>
      <c r="AS35" s="129">
        <f t="shared" si="19"/>
        <v>8.4968086374038367E-14</v>
      </c>
      <c r="AT35" s="129">
        <f t="shared" si="74"/>
        <v>0.99999550067905196</v>
      </c>
      <c r="AV35" s="129">
        <f t="shared" si="75"/>
        <v>0.99016093153804163</v>
      </c>
      <c r="AW35" s="129">
        <f t="shared" si="76"/>
        <v>9.8390684618734712E-3</v>
      </c>
      <c r="AX35" s="129">
        <f t="shared" si="77"/>
        <v>8.4968468674449393E-14</v>
      </c>
      <c r="BA35" s="129">
        <f t="shared" si="23"/>
        <v>-1.9349975217042854E-2</v>
      </c>
      <c r="BB35" s="129">
        <f t="shared" si="24"/>
        <v>-2.4934252150458011E-2</v>
      </c>
      <c r="BC35" s="129">
        <f t="shared" si="24"/>
        <v>0</v>
      </c>
      <c r="BD35" s="129"/>
      <c r="BE35" s="129">
        <f t="shared" si="8"/>
        <v>0.95663141911088756</v>
      </c>
      <c r="BF35" s="129">
        <f t="shared" si="9"/>
        <v>4.3368580889091408E-2</v>
      </c>
      <c r="BG35" s="129">
        <f t="shared" si="40"/>
        <v>2.1021678529841377E-14</v>
      </c>
      <c r="BH35" s="129"/>
      <c r="BI35" s="129">
        <f t="shared" si="59"/>
        <v>-2.7991211591077429E-3</v>
      </c>
      <c r="BJ35" s="129">
        <f t="shared" si="60"/>
        <v>6.3824085906977399E-2</v>
      </c>
      <c r="BK35" s="129">
        <f t="shared" si="61"/>
        <v>2.4680262696764814E-2</v>
      </c>
      <c r="BL35" s="129"/>
      <c r="BM35" s="129">
        <f t="shared" si="62"/>
        <v>2.5429099115015959E-3</v>
      </c>
      <c r="BN35" s="129">
        <f t="shared" si="63"/>
        <v>1.5952260991233209E-2</v>
      </c>
      <c r="BO35" s="129">
        <f t="shared" si="64"/>
        <v>0</v>
      </c>
      <c r="BP35" s="129"/>
      <c r="BQ35" s="129"/>
      <c r="BR35" s="129">
        <f t="shared" si="65"/>
        <v>0.98078214420822651</v>
      </c>
      <c r="BS35" s="129">
        <f t="shared" si="66"/>
        <v>0.98335568547667573</v>
      </c>
      <c r="BT35" s="129">
        <f t="shared" si="67"/>
        <v>1.2149659675042868</v>
      </c>
      <c r="BU35" s="129"/>
      <c r="BV35" s="129">
        <f t="shared" si="68"/>
        <v>0.99785868502934139</v>
      </c>
      <c r="BW35" s="129">
        <f t="shared" si="69"/>
        <v>1.0009695299319104</v>
      </c>
      <c r="BX35" s="129">
        <f t="shared" si="70"/>
        <v>0.99779119278838846</v>
      </c>
      <c r="BY35" s="129"/>
      <c r="BZ35" s="129">
        <f t="shared" si="71"/>
        <v>1.0026784260256514</v>
      </c>
      <c r="CA35" s="129">
        <f t="shared" si="72"/>
        <v>1.0108713632373894</v>
      </c>
      <c r="CB35" s="129">
        <f t="shared" si="73"/>
        <v>0.97651457934051633</v>
      </c>
    </row>
    <row r="36" spans="1:80" x14ac:dyDescent="0.2">
      <c r="A36" s="133" t="s">
        <v>664</v>
      </c>
      <c r="B36" s="133">
        <f t="shared" si="13"/>
        <v>1975</v>
      </c>
      <c r="D36" s="5">
        <f>Personal_vehicles!G36</f>
        <v>11696.167086182972</v>
      </c>
      <c r="E36" s="5">
        <f>Buses!G36</f>
        <v>123.00745037297298</v>
      </c>
      <c r="F36" s="399">
        <v>1.0000000000000001E-9</v>
      </c>
      <c r="G36" s="5">
        <f t="shared" si="49"/>
        <v>11819.174536556946</v>
      </c>
      <c r="H36" s="700">
        <f t="shared" si="50"/>
        <v>0.9432521142971767</v>
      </c>
      <c r="I36" s="5">
        <f>Personal_vehicles!L36</f>
        <v>2331956.9</v>
      </c>
      <c r="J36" s="5">
        <f>Buses!L36</f>
        <v>101200</v>
      </c>
      <c r="K36" s="699">
        <f t="shared" si="51"/>
        <v>4.9422192263656778E-8</v>
      </c>
      <c r="L36" s="5">
        <f t="shared" si="52"/>
        <v>2433156.9000000493</v>
      </c>
      <c r="N36" s="138">
        <f t="shared" si="53"/>
        <v>5015.6017404022232</v>
      </c>
      <c r="O36" s="138">
        <f t="shared" si="54"/>
        <v>1215.4886400491403</v>
      </c>
      <c r="P36" s="400">
        <f t="shared" si="55"/>
        <v>20233.825214899713</v>
      </c>
      <c r="Q36" s="138">
        <f t="shared" si="37"/>
        <v>4857.5472204676589</v>
      </c>
      <c r="R36" s="129">
        <f>Personal_vehicles!AA36</f>
        <v>1.2030574583779079</v>
      </c>
      <c r="S36" s="129">
        <f>Buses!AA36</f>
        <v>0.94717327552332997</v>
      </c>
      <c r="T36" s="401">
        <f t="shared" si="38"/>
        <v>1.1012387630464142</v>
      </c>
      <c r="U36" s="129"/>
      <c r="V36" s="129">
        <f>Personal_vehicles!Z36</f>
        <v>0.97861850445377174</v>
      </c>
      <c r="W36" s="129">
        <f>Buses!Z36</f>
        <v>1.0329685521332059</v>
      </c>
      <c r="X36" s="129">
        <v>1</v>
      </c>
      <c r="Z36" s="131">
        <f t="shared" si="2"/>
        <v>0.80351594412554206</v>
      </c>
      <c r="AA36" s="131">
        <f t="shared" si="3"/>
        <v>1.1739059083932777</v>
      </c>
      <c r="AB36" s="131">
        <f t="shared" si="14"/>
        <v>0.99919421423306898</v>
      </c>
      <c r="AC36" s="131">
        <f t="shared" si="15"/>
        <v>0.97925188188855961</v>
      </c>
      <c r="AD36" s="131">
        <f t="shared" si="4"/>
        <v>1.1997450396736009</v>
      </c>
      <c r="AE36" s="131">
        <f t="shared" si="16"/>
        <v>0.94325211429717604</v>
      </c>
      <c r="AF36" s="131">
        <f t="shared" si="5"/>
        <v>0.9432521142971767</v>
      </c>
      <c r="AG36" s="131"/>
      <c r="AH36" s="131">
        <f t="shared" si="17"/>
        <v>0.97846281465989338</v>
      </c>
      <c r="AK36" s="134"/>
      <c r="AM36" s="129">
        <f t="shared" si="6"/>
        <v>0.98959255149388736</v>
      </c>
      <c r="AN36" s="129">
        <f t="shared" si="7"/>
        <v>1.0407448506027935E-2</v>
      </c>
      <c r="AO36" s="129">
        <f t="shared" si="39"/>
        <v>8.4608277583766946E-14</v>
      </c>
      <c r="AQ36" s="129">
        <f t="shared" si="18"/>
        <v>0.98969320987929676</v>
      </c>
      <c r="AR36" s="129">
        <f t="shared" si="19"/>
        <v>1.0306458993086314E-2</v>
      </c>
      <c r="AS36" s="129">
        <f t="shared" si="19"/>
        <v>8.5715264596386109E-14</v>
      </c>
      <c r="AT36" s="129">
        <f t="shared" si="74"/>
        <v>0.99999966887246883</v>
      </c>
      <c r="AV36" s="129">
        <f t="shared" si="75"/>
        <v>0.98969353759407452</v>
      </c>
      <c r="AW36" s="129">
        <f t="shared" si="76"/>
        <v>1.0306462405839765E-2</v>
      </c>
      <c r="AX36" s="129">
        <f t="shared" si="77"/>
        <v>8.5715292979079455E-14</v>
      </c>
      <c r="BA36" s="129">
        <f t="shared" si="23"/>
        <v>-1.3232618839500479E-2</v>
      </c>
      <c r="BB36" s="129">
        <f t="shared" si="24"/>
        <v>4.746910209795057E-2</v>
      </c>
      <c r="BC36" s="129">
        <f t="shared" si="24"/>
        <v>0</v>
      </c>
      <c r="BD36" s="129"/>
      <c r="BE36" s="129">
        <f t="shared" si="8"/>
        <v>0.9584079431950947</v>
      </c>
      <c r="BF36" s="129">
        <f t="shared" si="9"/>
        <v>4.1592056804885022E-2</v>
      </c>
      <c r="BG36" s="129">
        <f t="shared" si="40"/>
        <v>2.0311962727786184E-14</v>
      </c>
      <c r="BH36" s="129"/>
      <c r="BI36" s="129">
        <f t="shared" si="59"/>
        <v>1.8553400298537733E-3</v>
      </c>
      <c r="BJ36" s="129">
        <f t="shared" si="60"/>
        <v>-4.182602944050455E-2</v>
      </c>
      <c r="BK36" s="129">
        <f t="shared" si="61"/>
        <v>-3.4344206785955095E-2</v>
      </c>
      <c r="BL36" s="129"/>
      <c r="BM36" s="129">
        <f t="shared" si="62"/>
        <v>2.7712133103837445E-3</v>
      </c>
      <c r="BN36" s="129">
        <f t="shared" si="63"/>
        <v>5.4880129545643802E-3</v>
      </c>
      <c r="BO36" s="129">
        <f t="shared" si="64"/>
        <v>0</v>
      </c>
      <c r="BP36" s="129"/>
      <c r="BQ36" s="129"/>
      <c r="BR36" s="129">
        <f t="shared" si="65"/>
        <v>0.98747213647312948</v>
      </c>
      <c r="BS36" s="129">
        <f t="shared" si="66"/>
        <v>0.97103633965065173</v>
      </c>
      <c r="BT36" s="129">
        <f t="shared" si="67"/>
        <v>1.1997450396736009</v>
      </c>
      <c r="BU36" s="129"/>
      <c r="BV36" s="129">
        <f t="shared" si="68"/>
        <v>1.0014061273088206</v>
      </c>
      <c r="BW36" s="129">
        <f t="shared" si="69"/>
        <v>1.002377020523245</v>
      </c>
      <c r="BX36" s="129">
        <f t="shared" si="70"/>
        <v>0.99919421423306898</v>
      </c>
      <c r="BY36" s="129"/>
      <c r="BZ36" s="129">
        <f t="shared" si="71"/>
        <v>1.0028031353611657</v>
      </c>
      <c r="CA36" s="129">
        <f t="shared" si="72"/>
        <v>1.0137049725012699</v>
      </c>
      <c r="CB36" s="129">
        <f t="shared" si="73"/>
        <v>0.97925188188855961</v>
      </c>
    </row>
    <row r="37" spans="1:80" x14ac:dyDescent="0.2">
      <c r="A37" s="133" t="s">
        <v>664</v>
      </c>
      <c r="B37" s="133">
        <f t="shared" si="13"/>
        <v>1976</v>
      </c>
      <c r="D37" s="5">
        <f>Personal_vehicles!G37</f>
        <v>12443.187480417941</v>
      </c>
      <c r="E37" s="5">
        <f>Buses!G37</f>
        <v>128.10732391535234</v>
      </c>
      <c r="F37" s="399">
        <v>1.0000000000000001E-9</v>
      </c>
      <c r="G37" s="5">
        <f t="shared" si="49"/>
        <v>12571.294804334293</v>
      </c>
      <c r="H37" s="700">
        <f t="shared" si="50"/>
        <v>1.0032765289119565</v>
      </c>
      <c r="I37" s="5">
        <f>Personal_vehicles!L37</f>
        <v>2461178.671479844</v>
      </c>
      <c r="J37" s="5">
        <f>Buses!L37</f>
        <v>104259.82460485354</v>
      </c>
      <c r="K37" s="699">
        <f t="shared" si="51"/>
        <v>4.9422192263656778E-8</v>
      </c>
      <c r="L37" s="5">
        <f t="shared" si="52"/>
        <v>2565438.4960847469</v>
      </c>
      <c r="N37" s="138">
        <f t="shared" si="53"/>
        <v>5055.7838911126955</v>
      </c>
      <c r="O37" s="138">
        <f t="shared" si="54"/>
        <v>1228.7314351513751</v>
      </c>
      <c r="P37" s="400">
        <f t="shared" si="55"/>
        <v>20233.825214899713</v>
      </c>
      <c r="Q37" s="138">
        <f t="shared" si="37"/>
        <v>4900.2518764414035</v>
      </c>
      <c r="R37" s="129">
        <f>Personal_vehicles!AA37</f>
        <v>1.208630394994709</v>
      </c>
      <c r="S37" s="129">
        <f>Buses!AA37</f>
        <v>0.9583518386596338</v>
      </c>
      <c r="T37" s="401">
        <f t="shared" si="38"/>
        <v>1.1012387630464142</v>
      </c>
      <c r="U37" s="129"/>
      <c r="V37" s="129">
        <f>Personal_vehicles!Z37</f>
        <v>0.9819101264097394</v>
      </c>
      <c r="W37" s="129">
        <f>Buses!Z37</f>
        <v>1.0320425909548456</v>
      </c>
      <c r="X37" s="129">
        <v>1</v>
      </c>
      <c r="Z37" s="131">
        <f t="shared" si="2"/>
        <v>0.84720008614220654</v>
      </c>
      <c r="AA37" s="131">
        <f t="shared" si="3"/>
        <v>1.1842261885034224</v>
      </c>
      <c r="AB37" s="131">
        <f t="shared" si="14"/>
        <v>0.99993794561223248</v>
      </c>
      <c r="AC37" s="131">
        <f t="shared" si="15"/>
        <v>0.98250258256350442</v>
      </c>
      <c r="AD37" s="131">
        <f t="shared" si="4"/>
        <v>1.2053909073754709</v>
      </c>
      <c r="AE37" s="131">
        <f t="shared" si="16"/>
        <v>1.0032765289119561</v>
      </c>
      <c r="AF37" s="131">
        <f t="shared" si="5"/>
        <v>1.0032765289119565</v>
      </c>
      <c r="AG37" s="131"/>
      <c r="AH37" s="131">
        <f t="shared" si="17"/>
        <v>0.98244161396726348</v>
      </c>
      <c r="AK37" s="134"/>
      <c r="AM37" s="129">
        <f t="shared" si="6"/>
        <v>0.98980953625618706</v>
      </c>
      <c r="AN37" s="129">
        <f t="shared" si="7"/>
        <v>1.0190463743733372E-2</v>
      </c>
      <c r="AO37" s="129">
        <f t="shared" si="39"/>
        <v>7.9546300962986169E-14</v>
      </c>
      <c r="AQ37" s="129">
        <f t="shared" si="18"/>
        <v>0.98970103991029723</v>
      </c>
      <c r="AR37" s="129">
        <f t="shared" si="19"/>
        <v>1.0298575149535024E-2</v>
      </c>
      <c r="AS37" s="129">
        <f t="shared" si="19"/>
        <v>8.2051266943052832E-14</v>
      </c>
      <c r="AT37" s="129">
        <f t="shared" si="74"/>
        <v>0.9999996150599143</v>
      </c>
      <c r="AV37" s="129">
        <f t="shared" si="75"/>
        <v>0.98970142088604696</v>
      </c>
      <c r="AW37" s="129">
        <f t="shared" si="76"/>
        <v>1.0298579113870951E-2</v>
      </c>
      <c r="AX37" s="129">
        <f t="shared" si="77"/>
        <v>8.2051298527886717E-14</v>
      </c>
      <c r="BA37" s="129">
        <f t="shared" si="23"/>
        <v>4.6216151302654026E-3</v>
      </c>
      <c r="BB37" s="129">
        <f t="shared" si="24"/>
        <v>1.1732924736572193E-2</v>
      </c>
      <c r="BC37" s="129">
        <f t="shared" si="24"/>
        <v>0</v>
      </c>
      <c r="BD37" s="129"/>
      <c r="BE37" s="129">
        <f t="shared" si="8"/>
        <v>0.95935984247370598</v>
      </c>
      <c r="BF37" s="129">
        <f t="shared" si="9"/>
        <v>4.0640157526274763E-2</v>
      </c>
      <c r="BG37" s="129">
        <f t="shared" si="40"/>
        <v>1.9264617857369269E-14</v>
      </c>
      <c r="BH37" s="129"/>
      <c r="BI37" s="129">
        <f t="shared" si="59"/>
        <v>9.9271597312066686E-4</v>
      </c>
      <c r="BJ37" s="129">
        <f t="shared" si="60"/>
        <v>-2.3152527443807892E-2</v>
      </c>
      <c r="BK37" s="129">
        <f t="shared" si="61"/>
        <v>-5.2939867642909942E-2</v>
      </c>
      <c r="BL37" s="129"/>
      <c r="BM37" s="129">
        <f t="shared" si="62"/>
        <v>3.3578954135415431E-3</v>
      </c>
      <c r="BN37" s="129">
        <f t="shared" si="63"/>
        <v>-8.9680992136019814E-4</v>
      </c>
      <c r="BO37" s="129">
        <f t="shared" si="64"/>
        <v>0</v>
      </c>
      <c r="BP37" s="129"/>
      <c r="BQ37" s="129"/>
      <c r="BR37" s="129">
        <f t="shared" si="65"/>
        <v>1.0047058895975147</v>
      </c>
      <c r="BS37" s="129">
        <f t="shared" si="66"/>
        <v>0.97560592946022251</v>
      </c>
      <c r="BT37" s="129">
        <f t="shared" si="67"/>
        <v>1.2053909073754709</v>
      </c>
      <c r="BU37" s="129"/>
      <c r="BV37" s="129">
        <f t="shared" si="68"/>
        <v>1.0007443311506106</v>
      </c>
      <c r="BW37" s="129">
        <f t="shared" si="69"/>
        <v>1.0031231209642766</v>
      </c>
      <c r="BX37" s="129">
        <f t="shared" si="70"/>
        <v>0.99993794561223248</v>
      </c>
      <c r="BY37" s="129"/>
      <c r="BZ37" s="129">
        <f t="shared" si="71"/>
        <v>1.0033195756220306</v>
      </c>
      <c r="CA37" s="129">
        <f t="shared" si="72"/>
        <v>1.0170700428159163</v>
      </c>
      <c r="CB37" s="129">
        <f t="shared" si="73"/>
        <v>0.98250258256350442</v>
      </c>
    </row>
    <row r="38" spans="1:80" x14ac:dyDescent="0.2">
      <c r="A38" s="133" t="s">
        <v>664</v>
      </c>
      <c r="B38" s="133">
        <f t="shared" si="13"/>
        <v>1977</v>
      </c>
      <c r="D38" s="5">
        <f>Personal_vehicles!G38</f>
        <v>12740.568475205342</v>
      </c>
      <c r="E38" s="5">
        <f>Buses!G38</f>
        <v>131.65835882187486</v>
      </c>
      <c r="F38" s="399">
        <v>1.0000000000000001E-9</v>
      </c>
      <c r="G38" s="5">
        <f t="shared" si="49"/>
        <v>12872.226834028217</v>
      </c>
      <c r="H38" s="700">
        <f t="shared" si="50"/>
        <v>1.0272929923621379</v>
      </c>
      <c r="I38" s="5">
        <f>Personal_vehicles!L38</f>
        <v>2564538.7548742993</v>
      </c>
      <c r="J38" s="5">
        <f>Buses!L38</f>
        <v>108609.8595215128</v>
      </c>
      <c r="K38" s="699">
        <f t="shared" si="51"/>
        <v>4.9422192263656778E-8</v>
      </c>
      <c r="L38" s="5">
        <f t="shared" si="52"/>
        <v>2673148.6143958615</v>
      </c>
      <c r="N38" s="138">
        <f t="shared" si="53"/>
        <v>4967.9765809699456</v>
      </c>
      <c r="O38" s="138">
        <f t="shared" si="54"/>
        <v>1212.2136922182165</v>
      </c>
      <c r="P38" s="400">
        <f t="shared" si="55"/>
        <v>20233.825214899713</v>
      </c>
      <c r="Q38" s="138">
        <f t="shared" si="37"/>
        <v>4815.38017179691</v>
      </c>
      <c r="R38" s="129">
        <f>Personal_vehicles!AA38</f>
        <v>1.183936472108347</v>
      </c>
      <c r="S38" s="129">
        <f>Buses!AA38</f>
        <v>0.94488787810660757</v>
      </c>
      <c r="T38" s="401">
        <f t="shared" si="38"/>
        <v>1.1012387630464142</v>
      </c>
      <c r="U38" s="129"/>
      <c r="V38" s="129">
        <f>Personal_vehicles!Z38</f>
        <v>0.98498108192116385</v>
      </c>
      <c r="W38" s="129">
        <f>Buses!Z38</f>
        <v>1.0326770829178769</v>
      </c>
      <c r="X38" s="129">
        <v>1</v>
      </c>
      <c r="Z38" s="131">
        <f t="shared" si="2"/>
        <v>0.88276984220957211</v>
      </c>
      <c r="AA38" s="131">
        <f t="shared" si="3"/>
        <v>1.1637155499001011</v>
      </c>
      <c r="AB38" s="131">
        <f t="shared" si="14"/>
        <v>0.99994592205902488</v>
      </c>
      <c r="AC38" s="131">
        <f t="shared" si="15"/>
        <v>0.98555015533556944</v>
      </c>
      <c r="AD38" s="131">
        <f t="shared" si="4"/>
        <v>1.1808414603192334</v>
      </c>
      <c r="AE38" s="131">
        <f t="shared" si="16"/>
        <v>1.0272929923621372</v>
      </c>
      <c r="AF38" s="131">
        <f t="shared" si="5"/>
        <v>1.0272929923621379</v>
      </c>
      <c r="AG38" s="131"/>
      <c r="AH38" s="131">
        <f t="shared" si="17"/>
        <v>0.9854968588124412</v>
      </c>
      <c r="AK38" s="134"/>
      <c r="AM38" s="129">
        <f t="shared" si="6"/>
        <v>0.98977190500754453</v>
      </c>
      <c r="AN38" s="129">
        <f t="shared" si="7"/>
        <v>1.0228094992377777E-2</v>
      </c>
      <c r="AO38" s="129">
        <f t="shared" si="39"/>
        <v>7.7686635956139493E-14</v>
      </c>
      <c r="AQ38" s="129">
        <f t="shared" si="18"/>
        <v>0.98979072051172068</v>
      </c>
      <c r="AR38" s="129">
        <f t="shared" si="19"/>
        <v>1.0209267809027608E-2</v>
      </c>
      <c r="AS38" s="129">
        <f t="shared" si="19"/>
        <v>7.861280247305028E-14</v>
      </c>
      <c r="AT38" s="129">
        <f t="shared" si="74"/>
        <v>0.99999998832082693</v>
      </c>
      <c r="AV38" s="129">
        <f t="shared" si="75"/>
        <v>0.98979073207165791</v>
      </c>
      <c r="AW38" s="129">
        <f t="shared" si="76"/>
        <v>1.0209267928263415E-2</v>
      </c>
      <c r="AX38" s="129">
        <f t="shared" si="77"/>
        <v>7.8612803391182819E-14</v>
      </c>
      <c r="BA38" s="129">
        <f t="shared" si="23"/>
        <v>-2.0642933848943716E-2</v>
      </c>
      <c r="BB38" s="129">
        <f t="shared" si="24"/>
        <v>-1.4148701334276962E-2</v>
      </c>
      <c r="BC38" s="129">
        <f t="shared" si="24"/>
        <v>0</v>
      </c>
      <c r="BD38" s="129"/>
      <c r="BE38" s="129">
        <f t="shared" si="8"/>
        <v>0.95937006310211892</v>
      </c>
      <c r="BF38" s="129">
        <f t="shared" si="9"/>
        <v>4.0629936897862637E-2</v>
      </c>
      <c r="BG38" s="129">
        <f t="shared" si="40"/>
        <v>1.8488381827145934E-14</v>
      </c>
      <c r="BH38" s="129"/>
      <c r="BI38" s="129">
        <f t="shared" si="59"/>
        <v>1.0653535323864365E-5</v>
      </c>
      <c r="BJ38" s="129">
        <f t="shared" si="60"/>
        <v>-2.5152249516696083E-4</v>
      </c>
      <c r="BK38" s="129">
        <f t="shared" si="61"/>
        <v>-4.1127616312509829E-2</v>
      </c>
      <c r="BL38" s="129"/>
      <c r="BM38" s="129">
        <f t="shared" si="62"/>
        <v>3.1226516177529939E-3</v>
      </c>
      <c r="BN38" s="129">
        <f t="shared" si="63"/>
        <v>6.146035135255768E-4</v>
      </c>
      <c r="BO38" s="129">
        <f t="shared" si="64"/>
        <v>0</v>
      </c>
      <c r="BP38" s="129"/>
      <c r="BQ38" s="129"/>
      <c r="BR38" s="129">
        <f t="shared" si="65"/>
        <v>0.9796336218350199</v>
      </c>
      <c r="BS38" s="129">
        <f t="shared" si="66"/>
        <v>0.95573637016083868</v>
      </c>
      <c r="BT38" s="129">
        <f t="shared" si="67"/>
        <v>1.1808414603192334</v>
      </c>
      <c r="BU38" s="129"/>
      <c r="BV38" s="129">
        <f t="shared" si="68"/>
        <v>1.0000079769417967</v>
      </c>
      <c r="BW38" s="129">
        <f t="shared" si="69"/>
        <v>1.0031311228190274</v>
      </c>
      <c r="BX38" s="129">
        <f t="shared" si="70"/>
        <v>0.99994592205902488</v>
      </c>
      <c r="BY38" s="129"/>
      <c r="BZ38" s="129">
        <f t="shared" si="71"/>
        <v>1.0031018470853414</v>
      </c>
      <c r="CA38" s="129">
        <f t="shared" si="72"/>
        <v>1.0202248385638129</v>
      </c>
      <c r="CB38" s="129">
        <f t="shared" si="73"/>
        <v>0.98555015533556944</v>
      </c>
    </row>
    <row r="39" spans="1:80" x14ac:dyDescent="0.2">
      <c r="A39" s="133" t="s">
        <v>664</v>
      </c>
      <c r="B39" s="133">
        <f t="shared" si="13"/>
        <v>1978</v>
      </c>
      <c r="D39" s="5">
        <f>Personal_vehicles!G39</f>
        <v>13170.875961911672</v>
      </c>
      <c r="E39" s="5">
        <f>Buses!G39</f>
        <v>136.81750453849577</v>
      </c>
      <c r="F39" s="399">
        <v>1.0000000000000001E-9</v>
      </c>
      <c r="G39" s="5">
        <f t="shared" si="49"/>
        <v>13307.693466451168</v>
      </c>
      <c r="H39" s="700">
        <f t="shared" si="50"/>
        <v>1.0620462503386867</v>
      </c>
      <c r="I39" s="5">
        <f>Personal_vehicles!L39</f>
        <v>2673445.5176953049</v>
      </c>
      <c r="J39" s="5">
        <f>Buses!L39</f>
        <v>110685.13505127819</v>
      </c>
      <c r="K39" s="699">
        <f t="shared" si="51"/>
        <v>4.9422192263656778E-8</v>
      </c>
      <c r="L39" s="5">
        <f t="shared" si="52"/>
        <v>2784130.6527466327</v>
      </c>
      <c r="N39" s="138">
        <f t="shared" si="53"/>
        <v>4926.5548427057074</v>
      </c>
      <c r="O39" s="138">
        <f t="shared" si="54"/>
        <v>1236.096468375008</v>
      </c>
      <c r="P39" s="400">
        <f t="shared" si="55"/>
        <v>20233.825214899713</v>
      </c>
      <c r="Q39" s="138">
        <f t="shared" si="37"/>
        <v>4779.8379911958182</v>
      </c>
      <c r="R39" s="129">
        <f>Personal_vehicles!AA39</f>
        <v>1.1697647583113784</v>
      </c>
      <c r="S39" s="129">
        <f>Buses!AA39</f>
        <v>0.95598406383318757</v>
      </c>
      <c r="T39" s="401">
        <f t="shared" si="38"/>
        <v>1.1012387630464142</v>
      </c>
      <c r="U39" s="129"/>
      <c r="V39" s="129">
        <f>Personal_vehicles!Z39</f>
        <v>0.98860212014202742</v>
      </c>
      <c r="W39" s="129">
        <f>Buses!Z39</f>
        <v>1.0408001462287773</v>
      </c>
      <c r="X39" s="129">
        <v>1</v>
      </c>
      <c r="Z39" s="131">
        <f t="shared" si="2"/>
        <v>0.91942010398529039</v>
      </c>
      <c r="AA39" s="131">
        <f t="shared" si="3"/>
        <v>1.1551261993675939</v>
      </c>
      <c r="AB39" s="131">
        <f t="shared" si="14"/>
        <v>1.0006245450387372</v>
      </c>
      <c r="AC39" s="131">
        <f t="shared" si="15"/>
        <v>0.98921554186012084</v>
      </c>
      <c r="AD39" s="131">
        <f t="shared" si="4"/>
        <v>1.16699058239945</v>
      </c>
      <c r="AE39" s="131">
        <f t="shared" si="16"/>
        <v>1.0620462503386865</v>
      </c>
      <c r="AF39" s="131">
        <f t="shared" si="5"/>
        <v>1.0620462503386867</v>
      </c>
      <c r="AG39" s="131"/>
      <c r="AH39" s="131">
        <f t="shared" si="17"/>
        <v>0.98983335151903129</v>
      </c>
      <c r="AK39" s="134"/>
      <c r="AM39" s="129">
        <f t="shared" si="6"/>
        <v>0.98971891673907164</v>
      </c>
      <c r="AN39" s="129">
        <f t="shared" si="7"/>
        <v>1.0281083260853138E-2</v>
      </c>
      <c r="AO39" s="129">
        <f t="shared" si="39"/>
        <v>7.5144502127360412E-14</v>
      </c>
      <c r="AQ39" s="129">
        <f t="shared" si="18"/>
        <v>0.98974541063602561</v>
      </c>
      <c r="AR39" s="129">
        <f t="shared" si="19"/>
        <v>1.0254566309501192E-2</v>
      </c>
      <c r="AS39" s="129">
        <f t="shared" si="19"/>
        <v>7.6408521043813342E-14</v>
      </c>
      <c r="AT39" s="129">
        <f t="shared" si="74"/>
        <v>0.99999997694560316</v>
      </c>
      <c r="AV39" s="129">
        <f t="shared" si="75"/>
        <v>0.98974543345400956</v>
      </c>
      <c r="AW39" s="129">
        <f t="shared" si="76"/>
        <v>1.0254566545914038E-2</v>
      </c>
      <c r="AX39" s="129">
        <f t="shared" si="77"/>
        <v>7.6408522805365744E-14</v>
      </c>
      <c r="BA39" s="129">
        <f t="shared" si="23"/>
        <v>-1.204221238660875E-2</v>
      </c>
      <c r="BB39" s="129">
        <f t="shared" si="24"/>
        <v>1.1674970333569278E-2</v>
      </c>
      <c r="BC39" s="129">
        <f t="shared" si="24"/>
        <v>0</v>
      </c>
      <c r="BD39" s="129"/>
      <c r="BE39" s="129">
        <f t="shared" si="8"/>
        <v>0.9602442741176197</v>
      </c>
      <c r="BF39" s="129">
        <f t="shared" si="9"/>
        <v>3.9755725882362529E-2</v>
      </c>
      <c r="BG39" s="129">
        <f t="shared" si="40"/>
        <v>1.7751391162228764E-14</v>
      </c>
      <c r="BH39" s="129"/>
      <c r="BI39" s="129">
        <f t="shared" si="59"/>
        <v>9.1081949013096402E-4</v>
      </c>
      <c r="BJ39" s="129">
        <f t="shared" si="60"/>
        <v>-2.1751278824648897E-2</v>
      </c>
      <c r="BK39" s="129">
        <f t="shared" si="61"/>
        <v>-4.0678637273277675E-2</v>
      </c>
      <c r="BL39" s="129"/>
      <c r="BM39" s="129">
        <f t="shared" si="62"/>
        <v>3.6695106446761423E-3</v>
      </c>
      <c r="BN39" s="129">
        <f t="shared" si="63"/>
        <v>7.8352486862837845E-3</v>
      </c>
      <c r="BO39" s="129">
        <f t="shared" si="64"/>
        <v>0</v>
      </c>
      <c r="BP39" s="129"/>
      <c r="BQ39" s="129"/>
      <c r="BR39" s="129">
        <f t="shared" si="65"/>
        <v>0.98827033231367145</v>
      </c>
      <c r="BS39" s="129">
        <f t="shared" si="66"/>
        <v>0.94452590014311411</v>
      </c>
      <c r="BT39" s="129">
        <f t="shared" si="67"/>
        <v>1.16699058239945</v>
      </c>
      <c r="BU39" s="129"/>
      <c r="BV39" s="129">
        <f t="shared" si="68"/>
        <v>1.0006786596802304</v>
      </c>
      <c r="BW39" s="129">
        <f t="shared" si="69"/>
        <v>1.003811907466069</v>
      </c>
      <c r="BX39" s="129">
        <f t="shared" si="70"/>
        <v>1.0006245450387372</v>
      </c>
      <c r="BY39" s="129"/>
      <c r="BZ39" s="129">
        <f t="shared" si="71"/>
        <v>1.0037191273368562</v>
      </c>
      <c r="CA39" s="129">
        <f t="shared" si="72"/>
        <v>1.0240191846506552</v>
      </c>
      <c r="CB39" s="129">
        <f t="shared" si="73"/>
        <v>0.98921554186012084</v>
      </c>
    </row>
    <row r="40" spans="1:80" x14ac:dyDescent="0.2">
      <c r="A40" s="133" t="s">
        <v>664</v>
      </c>
      <c r="B40" s="133">
        <f t="shared" si="13"/>
        <v>1979</v>
      </c>
      <c r="D40" s="5">
        <f>Personal_vehicles!G40</f>
        <v>12706.071414578048</v>
      </c>
      <c r="E40" s="5">
        <f>Buses!G40</f>
        <v>139.91142081127143</v>
      </c>
      <c r="F40" s="399">
        <v>1.0000000000000001E-9</v>
      </c>
      <c r="G40" s="5">
        <f t="shared" si="49"/>
        <v>12845.982835390319</v>
      </c>
      <c r="H40" s="700">
        <f t="shared" si="50"/>
        <v>1.0251985392236178</v>
      </c>
      <c r="I40" s="5">
        <f>Personal_vehicles!L40</f>
        <v>2622877.2651962778</v>
      </c>
      <c r="J40" s="5">
        <f>Buses!L40</f>
        <v>116862.86953621001</v>
      </c>
      <c r="K40" s="699">
        <f t="shared" si="51"/>
        <v>4.9422192263656778E-8</v>
      </c>
      <c r="L40" s="5">
        <f t="shared" si="52"/>
        <v>2739740.134732537</v>
      </c>
      <c r="N40" s="138">
        <f t="shared" si="53"/>
        <v>4844.3255745049946</v>
      </c>
      <c r="O40" s="138">
        <f t="shared" si="54"/>
        <v>1197.2273260662987</v>
      </c>
      <c r="P40" s="400">
        <f t="shared" si="55"/>
        <v>20233.825214899713</v>
      </c>
      <c r="Q40" s="138">
        <f t="shared" si="37"/>
        <v>4688.7595916626551</v>
      </c>
      <c r="R40" s="129">
        <f>Personal_vehicles!AA40</f>
        <v>1.1465787278228292</v>
      </c>
      <c r="S40" s="129">
        <f>Buses!AA40</f>
        <v>0.93113283721697904</v>
      </c>
      <c r="T40" s="401">
        <f t="shared" si="38"/>
        <v>1.1012387630464142</v>
      </c>
      <c r="U40" s="129"/>
      <c r="V40" s="129">
        <f>Personal_vehicles!Z40</f>
        <v>0.99175909528811768</v>
      </c>
      <c r="W40" s="129">
        <f>Buses!Z40</f>
        <v>1.0349767880691143</v>
      </c>
      <c r="X40" s="129">
        <v>1</v>
      </c>
      <c r="Z40" s="131">
        <f t="shared" si="2"/>
        <v>0.90476075793476762</v>
      </c>
      <c r="AA40" s="131">
        <f t="shared" si="3"/>
        <v>1.1331156112072815</v>
      </c>
      <c r="AB40" s="131">
        <f t="shared" si="14"/>
        <v>0.99837897548308752</v>
      </c>
      <c r="AC40" s="131">
        <f t="shared" si="15"/>
        <v>0.99228206648730055</v>
      </c>
      <c r="AD40" s="131">
        <f t="shared" si="4"/>
        <v>1.1437830432196245</v>
      </c>
      <c r="AE40" s="131">
        <f t="shared" si="16"/>
        <v>1.0251985392236171</v>
      </c>
      <c r="AF40" s="131">
        <f t="shared" si="5"/>
        <v>1.0251985392236178</v>
      </c>
      <c r="AG40" s="131"/>
      <c r="AH40" s="131">
        <f t="shared" si="17"/>
        <v>0.99067355292983206</v>
      </c>
      <c r="AK40" s="134"/>
      <c r="AM40" s="129">
        <f t="shared" si="6"/>
        <v>0.98910854680368876</v>
      </c>
      <c r="AN40" s="129">
        <f t="shared" si="7"/>
        <v>1.089145319623341E-2</v>
      </c>
      <c r="AO40" s="129">
        <f t="shared" si="39"/>
        <v>7.7845347671260187E-14</v>
      </c>
      <c r="AQ40" s="129">
        <f t="shared" si="18"/>
        <v>0.98941370039331067</v>
      </c>
      <c r="AR40" s="129">
        <f t="shared" si="19"/>
        <v>1.0583334915541007E-2</v>
      </c>
      <c r="AS40" s="129">
        <f t="shared" si="19"/>
        <v>7.6486977560540659E-14</v>
      </c>
      <c r="AT40" s="129">
        <f t="shared" si="74"/>
        <v>0.99999703530892814</v>
      </c>
      <c r="AV40" s="129">
        <f t="shared" si="75"/>
        <v>0.98941663370797095</v>
      </c>
      <c r="AW40" s="129">
        <f t="shared" si="76"/>
        <v>1.0583366291952563E-2</v>
      </c>
      <c r="AX40" s="129">
        <f t="shared" si="77"/>
        <v>7.6487204321472427E-14</v>
      </c>
      <c r="BA40" s="129">
        <f t="shared" si="23"/>
        <v>-2.002017839769148E-2</v>
      </c>
      <c r="BB40" s="129">
        <f t="shared" si="24"/>
        <v>-2.6339293887629241E-2</v>
      </c>
      <c r="BC40" s="129">
        <f t="shared" si="24"/>
        <v>0</v>
      </c>
      <c r="BD40" s="129"/>
      <c r="BE40" s="129">
        <f t="shared" si="8"/>
        <v>0.9573452722560245</v>
      </c>
      <c r="BF40" s="129">
        <f t="shared" si="9"/>
        <v>4.2654727743957573E-2</v>
      </c>
      <c r="BG40" s="129">
        <f t="shared" si="40"/>
        <v>1.8039007290186501E-14</v>
      </c>
      <c r="BH40" s="129"/>
      <c r="BI40" s="129">
        <f t="shared" si="59"/>
        <v>-3.0235918584969727E-3</v>
      </c>
      <c r="BJ40" s="129">
        <f t="shared" si="60"/>
        <v>7.0384239512462712E-2</v>
      </c>
      <c r="BK40" s="129">
        <f t="shared" si="61"/>
        <v>1.607259667312512E-2</v>
      </c>
      <c r="BL40" s="129"/>
      <c r="BM40" s="129">
        <f t="shared" si="62"/>
        <v>3.1882848399122795E-3</v>
      </c>
      <c r="BN40" s="129">
        <f t="shared" si="63"/>
        <v>-5.6107892331870839E-3</v>
      </c>
      <c r="BO40" s="129">
        <f t="shared" si="64"/>
        <v>0</v>
      </c>
      <c r="BP40" s="129"/>
      <c r="BQ40" s="129"/>
      <c r="BR40" s="129">
        <f t="shared" si="65"/>
        <v>0.98011334493196323</v>
      </c>
      <c r="BS40" s="129">
        <f t="shared" si="66"/>
        <v>0.92574243936414102</v>
      </c>
      <c r="BT40" s="129">
        <f t="shared" si="67"/>
        <v>1.1437830432196245</v>
      </c>
      <c r="BU40" s="129"/>
      <c r="BV40" s="129">
        <f t="shared" si="68"/>
        <v>0.99775583202832308</v>
      </c>
      <c r="BW40" s="129">
        <f t="shared" si="69"/>
        <v>1.0015591849337457</v>
      </c>
      <c r="BX40" s="129">
        <f t="shared" si="70"/>
        <v>0.99837897548308752</v>
      </c>
      <c r="BY40" s="129"/>
      <c r="BZ40" s="129">
        <f t="shared" si="71"/>
        <v>1.0030999559726017</v>
      </c>
      <c r="CA40" s="129">
        <f t="shared" si="72"/>
        <v>1.0271935990381718</v>
      </c>
      <c r="CB40" s="129">
        <f t="shared" si="73"/>
        <v>0.99228206648730055</v>
      </c>
    </row>
    <row r="41" spans="1:80" x14ac:dyDescent="0.2">
      <c r="A41" s="133" t="s">
        <v>664</v>
      </c>
      <c r="B41" s="133">
        <f t="shared" si="13"/>
        <v>1980</v>
      </c>
      <c r="D41" s="5">
        <f>Personal_vehicles!G41</f>
        <v>11800.234403837938</v>
      </c>
      <c r="E41" s="5">
        <f>Buses!G41</f>
        <v>142.70163439999999</v>
      </c>
      <c r="F41" s="399">
        <v>1.0000000000000001E-9</v>
      </c>
      <c r="G41" s="5">
        <f t="shared" si="49"/>
        <v>11942.936038238939</v>
      </c>
      <c r="H41" s="700">
        <f t="shared" si="50"/>
        <v>0.95312914063002752</v>
      </c>
      <c r="I41" s="5">
        <f>Personal_vehicles!L41</f>
        <v>2605917.75</v>
      </c>
      <c r="J41" s="5">
        <f>Buses!L41</f>
        <v>118190</v>
      </c>
      <c r="K41" s="699">
        <f t="shared" si="51"/>
        <v>4.9422192263656778E-8</v>
      </c>
      <c r="L41" s="5">
        <f t="shared" si="52"/>
        <v>2724107.7500000494</v>
      </c>
      <c r="N41" s="138">
        <f t="shared" si="53"/>
        <v>4528.2451465852819</v>
      </c>
      <c r="O41" s="138">
        <f t="shared" si="54"/>
        <v>1207.3917793383534</v>
      </c>
      <c r="P41" s="400">
        <f t="shared" si="55"/>
        <v>20233.825214899713</v>
      </c>
      <c r="Q41" s="138">
        <f t="shared" si="37"/>
        <v>4384.1643335285553</v>
      </c>
      <c r="R41" s="129">
        <f>Personal_vehicles!AA41</f>
        <v>1.0712935915357658</v>
      </c>
      <c r="S41" s="129">
        <f>Buses!AA41</f>
        <v>0.93809701528469536</v>
      </c>
      <c r="T41" s="401">
        <f t="shared" si="38"/>
        <v>1.1012387630464142</v>
      </c>
      <c r="U41" s="129"/>
      <c r="V41" s="129">
        <f>Personal_vehicles!Z41</f>
        <v>0.99219760014695213</v>
      </c>
      <c r="W41" s="129">
        <f>Buses!Z41</f>
        <v>1.0360151160188591</v>
      </c>
      <c r="X41" s="129">
        <v>1</v>
      </c>
      <c r="Z41" s="131">
        <f t="shared" si="2"/>
        <v>0.8995983821022604</v>
      </c>
      <c r="AA41" s="131">
        <f t="shared" si="3"/>
        <v>1.0595051743008606</v>
      </c>
      <c r="AB41" s="131">
        <f t="shared" si="14"/>
        <v>0.99781808057250465</v>
      </c>
      <c r="AC41" s="131">
        <f t="shared" si="15"/>
        <v>0.99272715453335669</v>
      </c>
      <c r="AD41" s="131">
        <f t="shared" si="4"/>
        <v>1.0696010272994949</v>
      </c>
      <c r="AE41" s="131">
        <f t="shared" si="16"/>
        <v>0.95312914063002685</v>
      </c>
      <c r="AF41" s="131">
        <f t="shared" si="5"/>
        <v>0.95312914063002752</v>
      </c>
      <c r="AG41" s="131"/>
      <c r="AH41" s="131">
        <f t="shared" si="17"/>
        <v>0.99056110386867824</v>
      </c>
      <c r="AK41" s="134"/>
      <c r="AM41" s="129">
        <f t="shared" si="6"/>
        <v>0.98805137748840832</v>
      </c>
      <c r="AN41" s="129">
        <f t="shared" si="7"/>
        <v>1.1948622511507835E-2</v>
      </c>
      <c r="AO41" s="129">
        <f t="shared" si="39"/>
        <v>8.3731504279868558E-14</v>
      </c>
      <c r="AQ41" s="129">
        <f t="shared" si="18"/>
        <v>0.98857986793619834</v>
      </c>
      <c r="AR41" s="129">
        <f t="shared" si="19"/>
        <v>1.1411877882630735E-2</v>
      </c>
      <c r="AS41" s="129">
        <f t="shared" si="19"/>
        <v>8.0752675073267635E-14</v>
      </c>
      <c r="AT41" s="129">
        <f t="shared" si="74"/>
        <v>0.99999174581890982</v>
      </c>
      <c r="AV41" s="129">
        <f t="shared" si="75"/>
        <v>0.98858802792080436</v>
      </c>
      <c r="AW41" s="129">
        <f t="shared" si="76"/>
        <v>1.1411972079114872E-2</v>
      </c>
      <c r="AX41" s="129">
        <f t="shared" si="77"/>
        <v>8.0753341625973051E-14</v>
      </c>
      <c r="BA41" s="129">
        <f t="shared" si="23"/>
        <v>-6.7915606606755705E-2</v>
      </c>
      <c r="BB41" s="129">
        <f t="shared" si="24"/>
        <v>7.4514220725059692E-3</v>
      </c>
      <c r="BC41" s="129">
        <f t="shared" si="24"/>
        <v>0</v>
      </c>
      <c r="BD41" s="129"/>
      <c r="BE41" s="129">
        <f t="shared" si="8"/>
        <v>0.95661331678233097</v>
      </c>
      <c r="BF41" s="129">
        <f t="shared" si="9"/>
        <v>4.3386683217650941E-2</v>
      </c>
      <c r="BG41" s="129">
        <f t="shared" si="40"/>
        <v>1.8142524745453217E-14</v>
      </c>
      <c r="BH41" s="129"/>
      <c r="BI41" s="129">
        <f t="shared" si="59"/>
        <v>-7.6486034083398638E-4</v>
      </c>
      <c r="BJ41" s="129">
        <f t="shared" si="60"/>
        <v>1.7014438124869864E-2</v>
      </c>
      <c r="BK41" s="129">
        <f t="shared" si="61"/>
        <v>5.7221312584969557E-3</v>
      </c>
      <c r="BL41" s="129"/>
      <c r="BM41" s="129">
        <f t="shared" si="62"/>
        <v>4.420508441378392E-4</v>
      </c>
      <c r="BN41" s="129">
        <f t="shared" si="63"/>
        <v>1.00273500316114E-3</v>
      </c>
      <c r="BO41" s="129">
        <f t="shared" si="64"/>
        <v>0</v>
      </c>
      <c r="BP41" s="129"/>
      <c r="BQ41" s="129"/>
      <c r="BR41" s="129">
        <f t="shared" si="65"/>
        <v>0.93514328057241047</v>
      </c>
      <c r="BS41" s="129">
        <f t="shared" si="66"/>
        <v>0.86570182171208865</v>
      </c>
      <c r="BT41" s="129">
        <f t="shared" si="67"/>
        <v>1.0696010272994949</v>
      </c>
      <c r="BU41" s="129"/>
      <c r="BV41" s="129">
        <f t="shared" si="68"/>
        <v>0.99943819438874748</v>
      </c>
      <c r="BW41" s="129">
        <f t="shared" si="69"/>
        <v>1.0009965033636485</v>
      </c>
      <c r="BX41" s="129">
        <f t="shared" si="70"/>
        <v>0.99781808057250465</v>
      </c>
      <c r="BY41" s="129"/>
      <c r="BZ41" s="129">
        <f t="shared" si="71"/>
        <v>1.000448549924551</v>
      </c>
      <c r="CA41" s="129">
        <f t="shared" si="72"/>
        <v>1.0276543466495196</v>
      </c>
      <c r="CB41" s="129">
        <f t="shared" si="73"/>
        <v>0.99272715453335669</v>
      </c>
    </row>
    <row r="42" spans="1:80" x14ac:dyDescent="0.2">
      <c r="A42" s="133" t="s">
        <v>664</v>
      </c>
      <c r="B42" s="133">
        <f t="shared" si="13"/>
        <v>1981</v>
      </c>
      <c r="D42" s="5">
        <f>Personal_vehicles!G42</f>
        <v>11682.369132370701</v>
      </c>
      <c r="E42" s="5">
        <f>Buses!G42</f>
        <v>145.84129508430595</v>
      </c>
      <c r="F42" s="399">
        <v>1.0000000000000001E-9</v>
      </c>
      <c r="G42" s="5">
        <f t="shared" si="49"/>
        <v>11828.210427456008</v>
      </c>
      <c r="H42" s="700">
        <f t="shared" si="50"/>
        <v>0.9439732410703483</v>
      </c>
      <c r="I42" s="5">
        <f>Personal_vehicles!L42</f>
        <v>2643222.4896175666</v>
      </c>
      <c r="J42" s="5">
        <f>Buses!L42</f>
        <v>119522.99593556831</v>
      </c>
      <c r="K42" s="699">
        <f t="shared" si="51"/>
        <v>4.9422192263656778E-8</v>
      </c>
      <c r="L42" s="5">
        <f t="shared" si="52"/>
        <v>2762745.4855531841</v>
      </c>
      <c r="N42" s="138">
        <f t="shared" ref="N42:N69" si="78">D42/I42*1000000</f>
        <v>4419.7449054169319</v>
      </c>
      <c r="O42" s="138">
        <f t="shared" ref="O42:P69" si="79">E42/J42*1000000</f>
        <v>1220.1944399295776</v>
      </c>
      <c r="P42" s="400">
        <f t="shared" si="55"/>
        <v>20233.825214899713</v>
      </c>
      <c r="Q42" s="138">
        <f t="shared" ref="Q42:Q69" si="80">G42/L42*1000000</f>
        <v>4281.324678406867</v>
      </c>
      <c r="R42" s="129">
        <f>Personal_vehicles!AA42</f>
        <v>1.0447818482474285</v>
      </c>
      <c r="S42" s="129">
        <f>Buses!AA42</f>
        <v>0.96387441129658724</v>
      </c>
      <c r="T42" s="401">
        <f t="shared" si="38"/>
        <v>1.1012387630464142</v>
      </c>
      <c r="U42" s="129"/>
      <c r="V42" s="129">
        <f>Personal_vehicles!Z42</f>
        <v>0.99299790932660281</v>
      </c>
      <c r="W42" s="129">
        <f>Buses!Z42</f>
        <v>1.0190000902517642</v>
      </c>
      <c r="X42" s="129">
        <v>1</v>
      </c>
      <c r="Z42" s="131">
        <f t="shared" ref="Z42:Z72" si="81">L42/L$74</f>
        <v>0.91235795242090667</v>
      </c>
      <c r="AA42" s="131">
        <f t="shared" ref="AA42:AA72" si="82">Q42/Q$74</f>
        <v>1.0346522859427616</v>
      </c>
      <c r="AB42" s="131">
        <f t="shared" si="14"/>
        <v>0.99791139610950963</v>
      </c>
      <c r="AC42" s="131">
        <f t="shared" si="15"/>
        <v>0.9933184814054431</v>
      </c>
      <c r="AD42" s="131">
        <f t="shared" ref="AD42:AD62" si="83">BT42</f>
        <v>1.0437919026138502</v>
      </c>
      <c r="AE42" s="131">
        <f t="shared" si="16"/>
        <v>0.94397324107034764</v>
      </c>
      <c r="AF42" s="131">
        <f t="shared" ref="AF42:AF72" si="84">G42/G$74</f>
        <v>0.9439732410703483</v>
      </c>
      <c r="AG42" s="131"/>
      <c r="AH42" s="131">
        <f t="shared" si="17"/>
        <v>0.99124383256068371</v>
      </c>
      <c r="AK42" s="134"/>
      <c r="AM42" s="129">
        <f t="shared" ref="AM42:AM72" si="85">D42/G42</f>
        <v>0.98767004561004634</v>
      </c>
      <c r="AN42" s="129">
        <f t="shared" ref="AN42:AN72" si="86">E42/G42</f>
        <v>1.232995438986904E-2</v>
      </c>
      <c r="AO42" s="129">
        <f t="shared" si="39"/>
        <v>8.4543643024710575E-14</v>
      </c>
      <c r="AQ42" s="129">
        <f t="shared" si="18"/>
        <v>0.98786069928247966</v>
      </c>
      <c r="AR42" s="129">
        <f t="shared" si="19"/>
        <v>1.2138290152412455E-2</v>
      </c>
      <c r="AS42" s="129">
        <f t="shared" si="19"/>
        <v>8.4136920383473157E-14</v>
      </c>
      <c r="AT42" s="129">
        <f t="shared" si="74"/>
        <v>0.99999898943497623</v>
      </c>
      <c r="AV42" s="129">
        <f t="shared" si="75"/>
        <v>0.98786169758095954</v>
      </c>
      <c r="AW42" s="129">
        <f t="shared" si="76"/>
        <v>1.2138302418956328E-2</v>
      </c>
      <c r="AX42" s="129">
        <f t="shared" si="77"/>
        <v>8.4137005409388023E-14</v>
      </c>
      <c r="BA42" s="129">
        <f t="shared" si="23"/>
        <v>-2.5058776351465816E-2</v>
      </c>
      <c r="BB42" s="129">
        <f t="shared" si="24"/>
        <v>2.710763591877241E-2</v>
      </c>
      <c r="BC42" s="129">
        <f t="shared" si="24"/>
        <v>0</v>
      </c>
      <c r="BD42" s="129"/>
      <c r="BE42" s="129">
        <f t="shared" ref="BE42:BE72" si="87">I42/L42</f>
        <v>0.95673760157762577</v>
      </c>
      <c r="BF42" s="129">
        <f t="shared" ref="BF42:BF72" si="88">J42/L42</f>
        <v>4.3262398422356393E-2</v>
      </c>
      <c r="BG42" s="129">
        <f t="shared" si="40"/>
        <v>1.7888796677831139E-14</v>
      </c>
      <c r="BH42" s="129"/>
      <c r="BI42" s="129">
        <f t="shared" si="59"/>
        <v>1.2991322634760315E-4</v>
      </c>
      <c r="BJ42" s="129">
        <f t="shared" si="60"/>
        <v>-2.8686946976178625E-3</v>
      </c>
      <c r="BK42" s="129">
        <f t="shared" si="61"/>
        <v>-1.4083983139136254E-2</v>
      </c>
      <c r="BL42" s="129"/>
      <c r="BM42" s="129">
        <f t="shared" si="62"/>
        <v>8.0627748671324706E-4</v>
      </c>
      <c r="BN42" s="129">
        <f t="shared" si="63"/>
        <v>-1.6559891673103889E-2</v>
      </c>
      <c r="BO42" s="129">
        <f t="shared" si="64"/>
        <v>0</v>
      </c>
      <c r="BP42" s="129"/>
      <c r="BQ42" s="129"/>
      <c r="BR42" s="129">
        <f t="shared" si="65"/>
        <v>0.97587032545134422</v>
      </c>
      <c r="BS42" s="129">
        <f t="shared" si="66"/>
        <v>0.84481271849799755</v>
      </c>
      <c r="BT42" s="129">
        <f t="shared" si="67"/>
        <v>1.0437919026138502</v>
      </c>
      <c r="BU42" s="129"/>
      <c r="BV42" s="129">
        <f t="shared" si="68"/>
        <v>1.0000935195892136</v>
      </c>
      <c r="BW42" s="129">
        <f t="shared" si="69"/>
        <v>1.0010901161454473</v>
      </c>
      <c r="BX42" s="129">
        <f t="shared" si="70"/>
        <v>0.99791139610950963</v>
      </c>
      <c r="BY42" s="129"/>
      <c r="BZ42" s="129">
        <f t="shared" si="71"/>
        <v>1.0005956590080025</v>
      </c>
      <c r="CA42" s="129">
        <f t="shared" si="72"/>
        <v>1.0282664782182143</v>
      </c>
      <c r="CB42" s="129">
        <f t="shared" si="73"/>
        <v>0.9933184814054431</v>
      </c>
    </row>
    <row r="43" spans="1:80" x14ac:dyDescent="0.2">
      <c r="A43" s="133" t="s">
        <v>664</v>
      </c>
      <c r="B43" s="133">
        <f t="shared" ref="B43:B72" si="89">B42+1</f>
        <v>1982</v>
      </c>
      <c r="D43" s="5">
        <f>Personal_vehicles!G43</f>
        <v>11559.730442685921</v>
      </c>
      <c r="E43" s="5">
        <f>Buses!G43</f>
        <v>147.25354466424409</v>
      </c>
      <c r="F43" s="399">
        <v>1.0000000000000001E-9</v>
      </c>
      <c r="G43" s="5">
        <f t="shared" si="49"/>
        <v>11706.983987351165</v>
      </c>
      <c r="H43" s="700">
        <f t="shared" si="50"/>
        <v>0.934298530236361</v>
      </c>
      <c r="I43" s="5">
        <f>Personal_vehicles!L43</f>
        <v>2697997.0567819783</v>
      </c>
      <c r="J43" s="5">
        <f>Buses!L43</f>
        <v>119845.2756066819</v>
      </c>
      <c r="K43" s="699">
        <f t="shared" si="51"/>
        <v>4.9422192263656778E-8</v>
      </c>
      <c r="L43" s="5">
        <f t="shared" si="52"/>
        <v>2817842.3323887098</v>
      </c>
      <c r="N43" s="138">
        <f t="shared" si="78"/>
        <v>4284.5600641513402</v>
      </c>
      <c r="O43" s="138">
        <f t="shared" si="79"/>
        <v>1228.6971173357965</v>
      </c>
      <c r="P43" s="400">
        <f t="shared" si="55"/>
        <v>20233.825214899713</v>
      </c>
      <c r="Q43" s="138">
        <f t="shared" si="80"/>
        <v>4154.5915656065299</v>
      </c>
      <c r="R43" s="129">
        <f>Personal_vehicles!AA43</f>
        <v>1.011745866555485</v>
      </c>
      <c r="S43" s="129">
        <f>Buses!AA43</f>
        <v>0.98831152780400566</v>
      </c>
      <c r="T43" s="401">
        <f t="shared" si="38"/>
        <v>1.1012387630464142</v>
      </c>
      <c r="U43" s="129"/>
      <c r="V43" s="129">
        <f>Personal_vehicles!Z43</f>
        <v>0.99405758992105775</v>
      </c>
      <c r="W43" s="129">
        <f>Buses!Z43</f>
        <v>1.0007292871477114</v>
      </c>
      <c r="X43" s="129">
        <v>1</v>
      </c>
      <c r="Z43" s="131">
        <f t="shared" si="81"/>
        <v>0.93055291342132007</v>
      </c>
      <c r="AA43" s="131">
        <f t="shared" si="82"/>
        <v>1.0040251518866021</v>
      </c>
      <c r="AB43" s="131">
        <f t="shared" si="14"/>
        <v>0.99845282754299691</v>
      </c>
      <c r="AC43" s="131">
        <f t="shared" si="15"/>
        <v>0.99414126819431714</v>
      </c>
      <c r="AD43" s="131">
        <f t="shared" si="83"/>
        <v>1.0115071079145437</v>
      </c>
      <c r="AE43" s="131">
        <f t="shared" si="16"/>
        <v>0.93429853023636089</v>
      </c>
      <c r="AF43" s="131">
        <f t="shared" si="84"/>
        <v>0.934298530236361</v>
      </c>
      <c r="AG43" s="131"/>
      <c r="AH43" s="131">
        <f t="shared" si="17"/>
        <v>0.99260316020579675</v>
      </c>
      <c r="AK43" s="134"/>
      <c r="AM43" s="129">
        <f t="shared" si="85"/>
        <v>0.98742173519462018</v>
      </c>
      <c r="AN43" s="129">
        <f t="shared" si="86"/>
        <v>1.2578264805294385E-2</v>
      </c>
      <c r="AO43" s="129">
        <f t="shared" si="39"/>
        <v>8.5419096932263009E-14</v>
      </c>
      <c r="AQ43" s="129">
        <f t="shared" ref="AQ43:AQ68" si="90">(AM43-AM42)/LN(AM43/AM42)</f>
        <v>0.98754588519923303</v>
      </c>
      <c r="AR43" s="129">
        <f t="shared" ref="AR43:AS68" si="91">(AN43-AN42)/LN(AN43/AN42)</f>
        <v>1.2453697018263675E-2</v>
      </c>
      <c r="AS43" s="129">
        <f t="shared" si="91"/>
        <v>8.4980618416736457E-14</v>
      </c>
      <c r="AT43" s="129">
        <f t="shared" si="74"/>
        <v>0.99999958221758167</v>
      </c>
      <c r="AV43" s="129">
        <f t="shared" si="75"/>
        <v>0.9875462977787135</v>
      </c>
      <c r="AW43" s="129">
        <f t="shared" si="76"/>
        <v>1.2453702221201506E-2</v>
      </c>
      <c r="AX43" s="129">
        <f t="shared" si="77"/>
        <v>8.4980653920159568E-14</v>
      </c>
      <c r="BA43" s="129">
        <f t="shared" ref="BA43:BA68" si="92">LN(R43/R42)</f>
        <v>-3.2130686640993812E-2</v>
      </c>
      <c r="BB43" s="129">
        <f t="shared" ref="BB43:BC68" si="93">LN(S43/S42)</f>
        <v>2.5036952204592639E-2</v>
      </c>
      <c r="BC43" s="129">
        <f t="shared" si="93"/>
        <v>0</v>
      </c>
      <c r="BD43" s="129"/>
      <c r="BE43" s="129">
        <f t="shared" si="87"/>
        <v>0.95746913365974684</v>
      </c>
      <c r="BF43" s="129">
        <f t="shared" si="88"/>
        <v>4.2530866340235583E-2</v>
      </c>
      <c r="BG43" s="129">
        <f t="shared" si="40"/>
        <v>1.753901972995102E-14</v>
      </c>
      <c r="BH43" s="129"/>
      <c r="BI43" s="129">
        <f t="shared" si="59"/>
        <v>7.6431882122990574E-4</v>
      </c>
      <c r="BJ43" s="129">
        <f t="shared" si="60"/>
        <v>-1.7053781865949923E-2</v>
      </c>
      <c r="BK43" s="129">
        <f t="shared" si="61"/>
        <v>-1.9746535285377481E-2</v>
      </c>
      <c r="BL43" s="129"/>
      <c r="BM43" s="129">
        <f t="shared" si="62"/>
        <v>1.0665838929149664E-3</v>
      </c>
      <c r="BN43" s="129">
        <f t="shared" si="63"/>
        <v>-1.8092821462476302E-2</v>
      </c>
      <c r="BO43" s="129">
        <f t="shared" si="64"/>
        <v>0</v>
      </c>
      <c r="BP43" s="129"/>
      <c r="BQ43" s="129"/>
      <c r="BR43" s="129">
        <f t="shared" si="65"/>
        <v>0.96906970190278408</v>
      </c>
      <c r="BS43" s="129">
        <f t="shared" si="66"/>
        <v>0.81868240927853508</v>
      </c>
      <c r="BT43" s="129">
        <f t="shared" si="67"/>
        <v>1.0115071079145437</v>
      </c>
      <c r="BU43" s="129"/>
      <c r="BV43" s="129">
        <f t="shared" si="68"/>
        <v>1.000542564636097</v>
      </c>
      <c r="BW43" s="129">
        <f t="shared" si="69"/>
        <v>1.0016332722400141</v>
      </c>
      <c r="BX43" s="129">
        <f t="shared" si="70"/>
        <v>0.99845282754299691</v>
      </c>
      <c r="BY43" s="129"/>
      <c r="BZ43" s="129">
        <f t="shared" si="71"/>
        <v>1.0008283212325919</v>
      </c>
      <c r="CA43" s="129">
        <f t="shared" si="72"/>
        <v>1.0291182131748848</v>
      </c>
      <c r="CB43" s="129">
        <f t="shared" si="73"/>
        <v>0.99414126819431714</v>
      </c>
    </row>
    <row r="44" spans="1:80" x14ac:dyDescent="0.2">
      <c r="A44" s="133" t="s">
        <v>664</v>
      </c>
      <c r="B44" s="133">
        <f t="shared" si="89"/>
        <v>1983</v>
      </c>
      <c r="D44" s="5">
        <f>Personal_vehicles!G44</f>
        <v>11814.588654909649</v>
      </c>
      <c r="E44" s="5">
        <f>Buses!G44</f>
        <v>149.5631855432826</v>
      </c>
      <c r="F44" s="399">
        <v>1.0000000000000001E-9</v>
      </c>
      <c r="G44" s="5">
        <f t="shared" si="49"/>
        <v>11964.151840453931</v>
      </c>
      <c r="H44" s="700">
        <f t="shared" si="50"/>
        <v>0.95482230881481955</v>
      </c>
      <c r="I44" s="5">
        <f>Personal_vehicles!L44</f>
        <v>2782660.0201646346</v>
      </c>
      <c r="J44" s="5">
        <f>Buses!L44</f>
        <v>124233.85996951124</v>
      </c>
      <c r="K44" s="699">
        <f>F44/P44*1000000</f>
        <v>4.9422192263656778E-8</v>
      </c>
      <c r="L44" s="5">
        <f t="shared" si="52"/>
        <v>2907242.8801341457</v>
      </c>
      <c r="N44" s="138">
        <f t="shared" si="78"/>
        <v>4245.7894853467023</v>
      </c>
      <c r="O44" s="138">
        <f t="shared" si="79"/>
        <v>1203.8842355859147</v>
      </c>
      <c r="P44" s="400">
        <f t="shared" si="55"/>
        <v>20233.825214899713</v>
      </c>
      <c r="Q44" s="138">
        <f t="shared" si="80"/>
        <v>4115.2914750286991</v>
      </c>
      <c r="R44" s="129">
        <f>Personal_vehicles!AA44</f>
        <v>1.0007294235656909</v>
      </c>
      <c r="S44" s="129">
        <f>Buses!AA44</f>
        <v>0.98175401956427</v>
      </c>
      <c r="T44" s="401">
        <f t="shared" si="38"/>
        <v>1.1012387630464142</v>
      </c>
      <c r="U44" s="129"/>
      <c r="V44" s="129">
        <f>Personal_vehicles!Z44</f>
        <v>0.99590643134987866</v>
      </c>
      <c r="W44" s="129">
        <f>Buses!Z44</f>
        <v>0.9870693602988555</v>
      </c>
      <c r="X44" s="129">
        <v>1</v>
      </c>
      <c r="Z44" s="131">
        <f t="shared" si="81"/>
        <v>0.96007619057907889</v>
      </c>
      <c r="AA44" s="131">
        <f t="shared" si="82"/>
        <v>0.99452764081037126</v>
      </c>
      <c r="AB44" s="131">
        <f t="shared" si="14"/>
        <v>0.99818075751807889</v>
      </c>
      <c r="AC44" s="131">
        <f t="shared" si="15"/>
        <v>0.99579542455342984</v>
      </c>
      <c r="AD44" s="131">
        <f t="shared" si="83"/>
        <v>1.0005471010488447</v>
      </c>
      <c r="AE44" s="131">
        <f t="shared" si="16"/>
        <v>0.95482230881481978</v>
      </c>
      <c r="AF44" s="131">
        <f t="shared" si="84"/>
        <v>0.95482230881481955</v>
      </c>
      <c r="AG44" s="131"/>
      <c r="AH44" s="131">
        <f t="shared" si="17"/>
        <v>0.99398383121377953</v>
      </c>
      <c r="AK44" s="134"/>
      <c r="AM44" s="129">
        <f t="shared" si="85"/>
        <v>0.98749905655338055</v>
      </c>
      <c r="AN44" s="129">
        <f t="shared" si="86"/>
        <v>1.2500943446535866E-2</v>
      </c>
      <c r="AO44" s="129">
        <f t="shared" si="39"/>
        <v>8.3583024800699884E-14</v>
      </c>
      <c r="AQ44" s="129">
        <f t="shared" si="90"/>
        <v>0.98746039537035935</v>
      </c>
      <c r="AR44" s="129">
        <f t="shared" si="91"/>
        <v>1.2539564394413215E-2</v>
      </c>
      <c r="AS44" s="129">
        <f t="shared" si="91"/>
        <v>8.4497736187328524E-14</v>
      </c>
      <c r="AT44" s="129">
        <f t="shared" si="74"/>
        <v>0.999999959764857</v>
      </c>
      <c r="AV44" s="129">
        <f t="shared" si="75"/>
        <v>0.98746043510097115</v>
      </c>
      <c r="AW44" s="129">
        <f t="shared" si="76"/>
        <v>1.2539564898944403E-2</v>
      </c>
      <c r="AX44" s="129">
        <f t="shared" si="77"/>
        <v>8.4497739587107157E-14</v>
      </c>
      <c r="BA44" s="129">
        <f t="shared" si="92"/>
        <v>-1.0948261659287944E-2</v>
      </c>
      <c r="BB44" s="129">
        <f t="shared" si="93"/>
        <v>-6.657171855438182E-3</v>
      </c>
      <c r="BC44" s="129">
        <f t="shared" si="93"/>
        <v>0</v>
      </c>
      <c r="BD44" s="129"/>
      <c r="BE44" s="129">
        <f t="shared" si="87"/>
        <v>0.95714741935707737</v>
      </c>
      <c r="BF44" s="129">
        <f t="shared" si="88"/>
        <v>4.2732535633135282E-2</v>
      </c>
      <c r="BG44" s="129">
        <f t="shared" si="40"/>
        <v>1.6999677805170631E-14</v>
      </c>
      <c r="BH44" s="129"/>
      <c r="BI44" s="129">
        <f t="shared" si="59"/>
        <v>-3.3606134365688791E-4</v>
      </c>
      <c r="BJ44" s="129">
        <f t="shared" si="60"/>
        <v>4.7305095576053082E-3</v>
      </c>
      <c r="BK44" s="129">
        <f t="shared" si="61"/>
        <v>-3.1233706454587808E-2</v>
      </c>
      <c r="BL44" s="129"/>
      <c r="BM44" s="129">
        <f t="shared" si="62"/>
        <v>1.8581662191164462E-3</v>
      </c>
      <c r="BN44" s="129">
        <f t="shared" si="63"/>
        <v>-1.3743989505786284E-2</v>
      </c>
      <c r="BO44" s="129">
        <f t="shared" si="64"/>
        <v>0</v>
      </c>
      <c r="BP44" s="129"/>
      <c r="BQ44" s="129"/>
      <c r="BR44" s="129">
        <f t="shared" si="65"/>
        <v>0.98916467637257077</v>
      </c>
      <c r="BS44" s="129">
        <f t="shared" si="66"/>
        <v>0.80981172042591865</v>
      </c>
      <c r="BT44" s="129">
        <f t="shared" si="67"/>
        <v>1.0005471010488447</v>
      </c>
      <c r="BU44" s="129"/>
      <c r="BV44" s="129">
        <f t="shared" si="68"/>
        <v>0.99972750838355817</v>
      </c>
      <c r="BW44" s="129">
        <f t="shared" si="69"/>
        <v>1.0013603355705796</v>
      </c>
      <c r="BX44" s="129">
        <f t="shared" si="70"/>
        <v>0.99818075751807889</v>
      </c>
      <c r="BY44" s="129"/>
      <c r="BZ44" s="129">
        <f t="shared" si="71"/>
        <v>1.0016639047306799</v>
      </c>
      <c r="CA44" s="129">
        <f t="shared" si="72"/>
        <v>1.0308305678382155</v>
      </c>
      <c r="CB44" s="129">
        <f t="shared" si="73"/>
        <v>0.99579542455342984</v>
      </c>
    </row>
    <row r="45" spans="1:80" x14ac:dyDescent="0.2">
      <c r="A45" s="133" t="s">
        <v>664</v>
      </c>
      <c r="B45" s="133">
        <f t="shared" si="89"/>
        <v>1984</v>
      </c>
      <c r="D45" s="5">
        <f>Personal_vehicles!G45</f>
        <v>12056.444623808122</v>
      </c>
      <c r="E45" s="5">
        <f>Buses!G45</f>
        <v>153.19389768677061</v>
      </c>
      <c r="F45" s="5">
        <f>'Passenger-based Energy Use'!$F42</f>
        <v>7.0616049999999992</v>
      </c>
      <c r="G45" s="5">
        <f t="shared" si="49"/>
        <v>12216.700126494894</v>
      </c>
      <c r="H45" s="700">
        <f t="shared" si="50"/>
        <v>0.97497741389711257</v>
      </c>
      <c r="I45" s="5">
        <f>Personal_vehicles!L45</f>
        <v>2852848.3790993006</v>
      </c>
      <c r="J45" s="5">
        <f>Buses!L45</f>
        <v>124013.17712383297</v>
      </c>
      <c r="K45" s="5">
        <f>'Passenger-based Activity'!G43</f>
        <v>349</v>
      </c>
      <c r="L45" s="5">
        <f t="shared" si="52"/>
        <v>2977225.5562231336</v>
      </c>
      <c r="N45" s="138">
        <f t="shared" si="78"/>
        <v>4226.1077427516757</v>
      </c>
      <c r="O45" s="138">
        <f t="shared" si="79"/>
        <v>1235.303386621563</v>
      </c>
      <c r="P45" s="4">
        <f t="shared" si="79"/>
        <v>20233.825214899713</v>
      </c>
      <c r="Q45" s="138">
        <f t="shared" si="80"/>
        <v>4103.3841392900131</v>
      </c>
      <c r="R45" s="129">
        <f>Personal_vehicles!AA45</f>
        <v>0.99416292612506507</v>
      </c>
      <c r="S45" s="129">
        <f>Buses!AA45</f>
        <v>0.98491303542430397</v>
      </c>
      <c r="T45" s="129">
        <f t="shared" si="38"/>
        <v>1.1012387630464142</v>
      </c>
      <c r="U45" s="129"/>
      <c r="V45" s="129">
        <f>Personal_vehicles!Z45</f>
        <v>0.99783733708271727</v>
      </c>
      <c r="W45" s="129">
        <f>Buses!Z45</f>
        <v>1.0095814872176958</v>
      </c>
      <c r="X45" s="129">
        <v>1</v>
      </c>
      <c r="Z45" s="131">
        <f t="shared" si="81"/>
        <v>0.98318698793459425</v>
      </c>
      <c r="AA45" s="131">
        <f t="shared" si="82"/>
        <v>0.99165003794982298</v>
      </c>
      <c r="AB45" s="131">
        <f t="shared" si="14"/>
        <v>0.99954698196064173</v>
      </c>
      <c r="AC45" s="131">
        <f t="shared" si="15"/>
        <v>0.9979836722997153</v>
      </c>
      <c r="AD45" s="131">
        <f t="shared" si="83"/>
        <v>0.99410391617284155</v>
      </c>
      <c r="AE45" s="131">
        <f t="shared" si="16"/>
        <v>0.97497741389711234</v>
      </c>
      <c r="AF45" s="131">
        <f t="shared" si="84"/>
        <v>0.97497741389711257</v>
      </c>
      <c r="AG45" s="131"/>
      <c r="AH45" s="131">
        <f t="shared" si="17"/>
        <v>0.99753156769317852</v>
      </c>
      <c r="AK45" s="134"/>
      <c r="AM45" s="129">
        <f t="shared" si="85"/>
        <v>0.98688225944588592</v>
      </c>
      <c r="AN45" s="129">
        <f t="shared" si="86"/>
        <v>1.253971171433866E-2</v>
      </c>
      <c r="AO45" s="129">
        <f t="shared" si="39"/>
        <v>5.7802883977525049E-4</v>
      </c>
      <c r="AQ45" s="129">
        <f t="shared" si="90"/>
        <v>0.98719062588498752</v>
      </c>
      <c r="AR45" s="129">
        <f t="shared" si="91"/>
        <v>1.2520317576841612E-2</v>
      </c>
      <c r="AS45" s="129">
        <f t="shared" si="91"/>
        <v>2.5512097174698727E-5</v>
      </c>
      <c r="AT45" s="129">
        <f t="shared" si="74"/>
        <v>0.99973645555900381</v>
      </c>
      <c r="AV45" s="129">
        <f t="shared" si="75"/>
        <v>0.98745086307070673</v>
      </c>
      <c r="AW45" s="129">
        <f t="shared" si="76"/>
        <v>1.2523618106774811E-2</v>
      </c>
      <c r="AX45" s="129">
        <f t="shared" si="77"/>
        <v>2.5518822518514248E-5</v>
      </c>
      <c r="BA45" s="129">
        <f t="shared" si="92"/>
        <v>-6.5833338403270157E-3</v>
      </c>
      <c r="BB45" s="129">
        <f t="shared" si="93"/>
        <v>3.2125606303495826E-3</v>
      </c>
      <c r="BC45" s="129">
        <f t="shared" si="93"/>
        <v>0</v>
      </c>
      <c r="BD45" s="129"/>
      <c r="BE45" s="129">
        <f t="shared" si="87"/>
        <v>0.95822379770190602</v>
      </c>
      <c r="BF45" s="129">
        <f t="shared" si="88"/>
        <v>4.1653940819033654E-2</v>
      </c>
      <c r="BG45" s="129">
        <f t="shared" si="40"/>
        <v>1.1722323129683748E-4</v>
      </c>
      <c r="BH45" s="129"/>
      <c r="BI45" s="129">
        <f t="shared" si="59"/>
        <v>1.1239371757827583E-3</v>
      </c>
      <c r="BJ45" s="129">
        <f t="shared" si="60"/>
        <v>-2.5564607072211785E-2</v>
      </c>
      <c r="BK45" s="129">
        <f t="shared" si="61"/>
        <v>22.654151522463184</v>
      </c>
      <c r="BL45" s="129"/>
      <c r="BM45" s="129">
        <f t="shared" si="62"/>
        <v>1.9369653885461845E-3</v>
      </c>
      <c r="BN45" s="129">
        <f t="shared" si="63"/>
        <v>2.255084404590716E-2</v>
      </c>
      <c r="BO45" s="129">
        <f t="shared" si="64"/>
        <v>0</v>
      </c>
      <c r="BP45" s="129"/>
      <c r="BQ45" s="129"/>
      <c r="BR45" s="129">
        <f t="shared" si="65"/>
        <v>0.99356033826968382</v>
      </c>
      <c r="BS45" s="129">
        <f t="shared" si="66"/>
        <v>0.80459680688113033</v>
      </c>
      <c r="BT45" s="129">
        <f t="shared" si="67"/>
        <v>0.99410391617284155</v>
      </c>
      <c r="BU45" s="129"/>
      <c r="BV45" s="129">
        <f t="shared" si="68"/>
        <v>1.0013687144660652</v>
      </c>
      <c r="BW45" s="129">
        <f t="shared" si="69"/>
        <v>1.0027309119476189</v>
      </c>
      <c r="BX45" s="129">
        <f t="shared" si="70"/>
        <v>0.99954698196064173</v>
      </c>
      <c r="BY45" s="129"/>
      <c r="BZ45" s="129">
        <f t="shared" si="71"/>
        <v>1.0021974872472093</v>
      </c>
      <c r="CA45" s="129">
        <f t="shared" si="72"/>
        <v>1.0330958048650734</v>
      </c>
      <c r="CB45" s="129">
        <f t="shared" si="73"/>
        <v>0.9979836722997153</v>
      </c>
    </row>
    <row r="46" spans="1:80" x14ac:dyDescent="0.2">
      <c r="A46" s="133" t="s">
        <v>664</v>
      </c>
      <c r="B46" s="133">
        <f t="shared" si="89"/>
        <v>1985</v>
      </c>
      <c r="D46" s="5">
        <f>Personal_vehicles!G46</f>
        <v>12369.173876938881</v>
      </c>
      <c r="E46" s="5">
        <f>Buses!G46</f>
        <v>154.37721166595793</v>
      </c>
      <c r="F46" s="5">
        <f>'Passenger-based Energy Use'!$F43</f>
        <v>6.6880249999999997</v>
      </c>
      <c r="G46" s="5">
        <f t="shared" si="49"/>
        <v>12530.239113604839</v>
      </c>
      <c r="H46" s="5"/>
      <c r="I46" s="5">
        <f>Personal_vehicles!L46</f>
        <v>2903470.6714285719</v>
      </c>
      <c r="J46" s="5">
        <f>Buses!L46</f>
        <v>124264.99999999999</v>
      </c>
      <c r="K46" s="5">
        <f>'Passenger-based Activity'!G44</f>
        <v>364</v>
      </c>
      <c r="L46" s="5">
        <f t="shared" si="52"/>
        <v>3028137.6714285719</v>
      </c>
      <c r="N46" s="138">
        <f t="shared" si="78"/>
        <v>4260.1339144414269</v>
      </c>
      <c r="O46" s="138">
        <f t="shared" si="79"/>
        <v>1242.3225499212003</v>
      </c>
      <c r="P46" s="4">
        <f t="shared" si="79"/>
        <v>18373.695054945056</v>
      </c>
      <c r="Q46" s="138">
        <f t="shared" si="80"/>
        <v>4137.9357457329543</v>
      </c>
      <c r="R46" s="129">
        <f>Personal_vehicles!AA46</f>
        <v>1</v>
      </c>
      <c r="S46" s="129">
        <f>Buses!AA46</f>
        <v>1</v>
      </c>
      <c r="T46" s="129">
        <f t="shared" si="38"/>
        <v>1</v>
      </c>
      <c r="U46" s="129"/>
      <c r="V46" s="129">
        <f>Personal_vehicles!Z46</f>
        <v>1</v>
      </c>
      <c r="W46" s="129">
        <f>Buses!Z46</f>
        <v>1</v>
      </c>
      <c r="X46" s="129">
        <v>1</v>
      </c>
      <c r="Z46" s="131">
        <f t="shared" si="81"/>
        <v>1</v>
      </c>
      <c r="AA46" s="131">
        <f t="shared" si="82"/>
        <v>1</v>
      </c>
      <c r="AB46" s="131">
        <f t="shared" si="14"/>
        <v>1</v>
      </c>
      <c r="AC46" s="131">
        <f t="shared" si="15"/>
        <v>1</v>
      </c>
      <c r="AD46" s="131">
        <f t="shared" si="83"/>
        <v>1</v>
      </c>
      <c r="AE46" s="131">
        <f t="shared" si="16"/>
        <v>1</v>
      </c>
      <c r="AF46" s="131">
        <f t="shared" si="84"/>
        <v>1</v>
      </c>
      <c r="AG46" s="131"/>
      <c r="AH46" s="131">
        <f t="shared" si="17"/>
        <v>1</v>
      </c>
      <c r="AK46" s="134"/>
      <c r="AM46" s="129">
        <f t="shared" si="85"/>
        <v>0.98714587684994137</v>
      </c>
      <c r="AN46" s="129">
        <f t="shared" si="86"/>
        <v>1.2320372362115679E-2</v>
      </c>
      <c r="AO46" s="129">
        <f t="shared" si="39"/>
        <v>5.3375078794293761E-4</v>
      </c>
      <c r="AQ46" s="129">
        <f t="shared" si="90"/>
        <v>0.98701406228092814</v>
      </c>
      <c r="AR46" s="129">
        <f t="shared" si="91"/>
        <v>1.2429719494733964E-2</v>
      </c>
      <c r="AS46" s="129">
        <f t="shared" si="91"/>
        <v>5.5559578439429895E-4</v>
      </c>
      <c r="AT46" s="129">
        <f t="shared" si="74"/>
        <v>0.99999937756005641</v>
      </c>
      <c r="AV46" s="129">
        <f t="shared" si="75"/>
        <v>0.98701467663828779</v>
      </c>
      <c r="AW46" s="129">
        <f t="shared" si="76"/>
        <v>1.2429727231492681E-2</v>
      </c>
      <c r="AX46" s="129">
        <f t="shared" si="77"/>
        <v>5.5559613021952288E-4</v>
      </c>
      <c r="BA46" s="129">
        <f t="shared" si="92"/>
        <v>5.854176174710549E-3</v>
      </c>
      <c r="BB46" s="129">
        <f t="shared" si="93"/>
        <v>1.5201930617079435E-2</v>
      </c>
      <c r="BC46" s="129">
        <f t="shared" si="93"/>
        <v>-9.6435694399088875E-2</v>
      </c>
      <c r="BD46" s="129"/>
      <c r="BE46" s="129">
        <f t="shared" si="87"/>
        <v>0.95883047155475387</v>
      </c>
      <c r="BF46" s="129">
        <f t="shared" si="88"/>
        <v>4.1036773582812699E-2</v>
      </c>
      <c r="BG46" s="129">
        <f t="shared" si="40"/>
        <v>1.2020589533773649E-4</v>
      </c>
      <c r="BH46" s="129"/>
      <c r="BI46" s="129">
        <f t="shared" si="59"/>
        <v>6.329230036199035E-4</v>
      </c>
      <c r="BJ46" s="129">
        <f t="shared" si="60"/>
        <v>-1.4927400271823885E-2</v>
      </c>
      <c r="BK46" s="129">
        <f t="shared" si="61"/>
        <v>2.512599021304341E-2</v>
      </c>
      <c r="BL46" s="129"/>
      <c r="BM46" s="129">
        <f t="shared" si="62"/>
        <v>2.1650048498793894E-3</v>
      </c>
      <c r="BN46" s="129">
        <f t="shared" si="63"/>
        <v>-9.5358758871825298E-3</v>
      </c>
      <c r="BO46" s="129">
        <f t="shared" si="64"/>
        <v>0</v>
      </c>
      <c r="BP46" s="129"/>
      <c r="BQ46" s="129"/>
      <c r="BR46" s="129">
        <f t="shared" si="65"/>
        <v>1.0059310538176507</v>
      </c>
      <c r="BS46" s="129">
        <f t="shared" si="66"/>
        <v>0.80936891384425225</v>
      </c>
      <c r="BT46" s="129">
        <f t="shared" si="67"/>
        <v>1</v>
      </c>
      <c r="BU46" s="129"/>
      <c r="BV46" s="129">
        <f t="shared" si="68"/>
        <v>1.0004532233577152</v>
      </c>
      <c r="BW46" s="129">
        <f t="shared" si="69"/>
        <v>1.0031853730184166</v>
      </c>
      <c r="BX46" s="129">
        <f t="shared" si="70"/>
        <v>1</v>
      </c>
      <c r="BY46" s="129"/>
      <c r="BZ46" s="129">
        <f t="shared" si="71"/>
        <v>1.0020204014917782</v>
      </c>
      <c r="CA46" s="129">
        <f t="shared" si="72"/>
        <v>1.0351830731703726</v>
      </c>
      <c r="CB46" s="129">
        <f t="shared" si="73"/>
        <v>1</v>
      </c>
    </row>
    <row r="47" spans="1:80" x14ac:dyDescent="0.2">
      <c r="A47" s="133" t="s">
        <v>664</v>
      </c>
      <c r="B47" s="133">
        <f t="shared" si="89"/>
        <v>1986</v>
      </c>
      <c r="D47" s="5">
        <f>Personal_vehicles!G47</f>
        <v>12789.8754014612</v>
      </c>
      <c r="E47" s="5">
        <f>Buses!G47</f>
        <v>158.79440920819394</v>
      </c>
      <c r="F47" s="5">
        <f>'Passenger-based Energy Use'!$F44</f>
        <v>6.2415799999999999</v>
      </c>
      <c r="G47" s="5">
        <f t="shared" si="49"/>
        <v>12954.911390669395</v>
      </c>
      <c r="H47" s="5"/>
      <c r="I47" s="5">
        <f>Personal_vehicles!L47</f>
        <v>2957032.2544528688</v>
      </c>
      <c r="J47" s="5">
        <f>Buses!L47</f>
        <v>124839.62414558568</v>
      </c>
      <c r="K47" s="5">
        <f>'Passenger-based Activity'!G45</f>
        <v>402</v>
      </c>
      <c r="L47" s="5">
        <f t="shared" si="52"/>
        <v>3082245.8785984544</v>
      </c>
      <c r="N47" s="138">
        <f t="shared" si="78"/>
        <v>4325.2404102800947</v>
      </c>
      <c r="O47" s="138">
        <f t="shared" si="79"/>
        <v>1271.9872419914595</v>
      </c>
      <c r="P47" s="4">
        <f t="shared" si="79"/>
        <v>15526.3184079602</v>
      </c>
      <c r="Q47" s="138">
        <f t="shared" si="80"/>
        <v>4203.0752577598378</v>
      </c>
      <c r="R47" s="129">
        <f>Personal_vehicles!AA47</f>
        <v>1.0136428144485539</v>
      </c>
      <c r="S47" s="129">
        <f>Buses!AA47</f>
        <v>1.0217740779807187</v>
      </c>
      <c r="T47" s="129">
        <f t="shared" si="38"/>
        <v>0.84502972110563468</v>
      </c>
      <c r="U47" s="129"/>
      <c r="V47" s="129">
        <f>Personal_vehicles!Z47</f>
        <v>1.0016178481177984</v>
      </c>
      <c r="W47" s="129">
        <f>Buses!Z47</f>
        <v>1.002059492392211</v>
      </c>
      <c r="X47" s="129">
        <v>1</v>
      </c>
      <c r="Z47" s="131">
        <f t="shared" si="81"/>
        <v>1.0178684766153172</v>
      </c>
      <c r="AA47" s="131">
        <f t="shared" si="82"/>
        <v>1.0157420308167076</v>
      </c>
      <c r="AB47" s="131">
        <f t="shared" si="14"/>
        <v>1.0004418949360996</v>
      </c>
      <c r="AC47" s="131">
        <f t="shared" si="15"/>
        <v>1.0016224528099658</v>
      </c>
      <c r="AD47" s="131">
        <f t="shared" si="83"/>
        <v>1.0136487805021515</v>
      </c>
      <c r="AE47" s="131">
        <f t="shared" si="16"/>
        <v>1.0338917935415504</v>
      </c>
      <c r="AF47" s="131">
        <f t="shared" si="84"/>
        <v>1.0338917935415504</v>
      </c>
      <c r="AG47" s="131"/>
      <c r="AH47" s="131">
        <f t="shared" si="17"/>
        <v>1.0020650646997462</v>
      </c>
      <c r="AK47" s="134"/>
      <c r="AM47" s="129">
        <f t="shared" si="85"/>
        <v>0.9872607396352352</v>
      </c>
      <c r="AN47" s="129">
        <f t="shared" si="86"/>
        <v>1.2257467798858395E-2</v>
      </c>
      <c r="AO47" s="129">
        <f t="shared" si="39"/>
        <v>4.8179256590634933E-4</v>
      </c>
      <c r="AQ47" s="129">
        <f t="shared" si="90"/>
        <v>0.98720330712839255</v>
      </c>
      <c r="AR47" s="129">
        <f t="shared" si="91"/>
        <v>1.2288893247433519E-2</v>
      </c>
      <c r="AS47" s="129">
        <f t="shared" si="91"/>
        <v>5.0732831100236506E-4</v>
      </c>
      <c r="AT47" s="129">
        <f t="shared" si="74"/>
        <v>0.99999952868682851</v>
      </c>
      <c r="AV47" s="129">
        <f t="shared" si="75"/>
        <v>0.98720377241053348</v>
      </c>
      <c r="AW47" s="129">
        <f t="shared" si="76"/>
        <v>1.2288899039353499E-2</v>
      </c>
      <c r="AX47" s="129">
        <f t="shared" si="77"/>
        <v>5.0732855011299295E-4</v>
      </c>
      <c r="BA47" s="129">
        <f t="shared" si="92"/>
        <v>1.3550589117470322E-2</v>
      </c>
      <c r="BB47" s="129">
        <f t="shared" si="93"/>
        <v>2.1540408617149735E-2</v>
      </c>
      <c r="BC47" s="129">
        <f t="shared" si="93"/>
        <v>-0.16838347933743883</v>
      </c>
      <c r="BD47" s="129"/>
      <c r="BE47" s="129">
        <f t="shared" si="87"/>
        <v>0.95937584830106992</v>
      </c>
      <c r="BF47" s="129">
        <f t="shared" si="88"/>
        <v>4.0502811606435568E-2</v>
      </c>
      <c r="BG47" s="129">
        <f t="shared" si="40"/>
        <v>1.3042437749411338E-4</v>
      </c>
      <c r="BH47" s="129"/>
      <c r="BI47" s="129">
        <f t="shared" ref="BI47:BI68" si="94">LN(BE47/BE46)</f>
        <v>5.6863201352844032E-4</v>
      </c>
      <c r="BJ47" s="129">
        <f t="shared" ref="BJ47:BK68" si="95">LN(BF47/BF46)</f>
        <v>-1.3097187284886742E-2</v>
      </c>
      <c r="BK47" s="129">
        <f t="shared" si="95"/>
        <v>8.1587509024560578E-2</v>
      </c>
      <c r="BL47" s="129"/>
      <c r="BM47" s="129">
        <f t="shared" si="33"/>
        <v>1.6165408113578571E-3</v>
      </c>
      <c r="BN47" s="129">
        <f t="shared" si="34"/>
        <v>2.057374545049161E-3</v>
      </c>
      <c r="BO47" s="129">
        <f t="shared" si="34"/>
        <v>0</v>
      </c>
      <c r="BP47" s="129"/>
      <c r="BQ47" s="129"/>
      <c r="BR47" s="129">
        <f t="shared" ref="BR47:BR72" si="96">EXP(SUMPRODUCT($AV47:$AX47,BA47:BC47))</f>
        <v>1.0136487805021515</v>
      </c>
      <c r="BS47" s="129">
        <f t="shared" ref="BS47:BS68" si="97">IF(ISERR(BR47),BS46,BR47*BS46)</f>
        <v>0.82041581249457718</v>
      </c>
      <c r="BT47" s="129">
        <f t="shared" ref="BT47:BT72" si="98">BS47/BS$74</f>
        <v>1.0136487805021515</v>
      </c>
      <c r="BU47" s="129"/>
      <c r="BV47" s="129">
        <f t="shared" ref="BV47:BV72" si="99">EXP(SUMPRODUCT($AV47:$AX47,BI47:BK47))</f>
        <v>1.0004418949360996</v>
      </c>
      <c r="BW47" s="129">
        <f t="shared" ref="BW47:BW68" si="100">IF(ISERR(BV47),BW46,BV47*BW46)</f>
        <v>1.0036286755547226</v>
      </c>
      <c r="BX47" s="129">
        <f t="shared" ref="BX47:BX72" si="101">BW47/BW$74</f>
        <v>1.0004418949360996</v>
      </c>
      <c r="BY47" s="129"/>
      <c r="BZ47" s="129">
        <f t="shared" ref="BZ47:BZ72" si="102">EXP(SUMPRODUCT($AV47:$AX47,BM47:BO47))</f>
        <v>1.0016224528099658</v>
      </c>
      <c r="CA47" s="129">
        <f t="shared" si="32"/>
        <v>1.0368626088562669</v>
      </c>
      <c r="CB47" s="129">
        <f t="shared" ref="CB47:CB72" si="103">CA47/CA$74</f>
        <v>1.0016224528099658</v>
      </c>
    </row>
    <row r="48" spans="1:80" x14ac:dyDescent="0.2">
      <c r="A48" s="133" t="s">
        <v>664</v>
      </c>
      <c r="B48" s="133">
        <f t="shared" si="89"/>
        <v>1987</v>
      </c>
      <c r="D48" s="5">
        <f>Personal_vehicles!G48</f>
        <v>13001.526369307187</v>
      </c>
      <c r="E48" s="5">
        <f>Buses!G48</f>
        <v>159.84035498385168</v>
      </c>
      <c r="F48" s="5">
        <f>'Passenger-based Energy Use'!$F45</f>
        <v>5.9472300000000002</v>
      </c>
      <c r="G48" s="5">
        <f t="shared" si="49"/>
        <v>13167.313954291038</v>
      </c>
      <c r="H48" s="5"/>
      <c r="I48" s="5">
        <f>Personal_vehicles!L48</f>
        <v>3044770.0445958343</v>
      </c>
      <c r="J48" s="5">
        <f>Buses!L48</f>
        <v>125662.25174961457</v>
      </c>
      <c r="K48" s="5">
        <f>'Passenger-based Activity'!G46</f>
        <v>374</v>
      </c>
      <c r="L48" s="5">
        <f t="shared" si="52"/>
        <v>3170873.2963454491</v>
      </c>
      <c r="N48" s="138">
        <f t="shared" si="78"/>
        <v>4270.1176702600615</v>
      </c>
      <c r="O48" s="138">
        <f t="shared" si="79"/>
        <v>1271.9838516210732</v>
      </c>
      <c r="P48" s="4">
        <f t="shared" si="79"/>
        <v>15901.684491978609</v>
      </c>
      <c r="Q48" s="138">
        <f t="shared" si="80"/>
        <v>4152.5828135318006</v>
      </c>
      <c r="R48" s="129">
        <f>Personal_vehicles!AA48</f>
        <v>0.99973156541894637</v>
      </c>
      <c r="S48" s="129">
        <f>Buses!AA48</f>
        <v>1.0336870311477075</v>
      </c>
      <c r="T48" s="129">
        <f t="shared" si="38"/>
        <v>0.86545925816369007</v>
      </c>
      <c r="U48" s="129"/>
      <c r="V48" s="129">
        <f>Personal_vehicles!Z48</f>
        <v>1.0026126668938242</v>
      </c>
      <c r="W48" s="129">
        <f>Buses!Z48</f>
        <v>0.990508397620109</v>
      </c>
      <c r="X48" s="129">
        <v>1</v>
      </c>
      <c r="Z48" s="131">
        <f t="shared" si="81"/>
        <v>1.0471364384333093</v>
      </c>
      <c r="AA48" s="131">
        <f t="shared" si="82"/>
        <v>1.0035397040212504</v>
      </c>
      <c r="AB48" s="131">
        <f t="shared" si="14"/>
        <v>1.0010091345805088</v>
      </c>
      <c r="AC48" s="131">
        <f t="shared" si="15"/>
        <v>1.002462882344958</v>
      </c>
      <c r="AD48" s="131">
        <f t="shared" si="83"/>
        <v>1.0000649759569296</v>
      </c>
      <c r="AE48" s="131">
        <f t="shared" si="16"/>
        <v>1.0508429914952295</v>
      </c>
      <c r="AF48" s="131">
        <f t="shared" si="84"/>
        <v>1.0508429914952291</v>
      </c>
      <c r="AG48" s="131"/>
      <c r="AH48" s="131">
        <f t="shared" si="17"/>
        <v>1.0034745023052087</v>
      </c>
      <c r="AK48" s="134"/>
      <c r="AM48" s="129">
        <f t="shared" si="85"/>
        <v>0.98740915682884411</v>
      </c>
      <c r="AN48" s="129">
        <f t="shared" si="86"/>
        <v>1.2139177021123736E-2</v>
      </c>
      <c r="AO48" s="129">
        <f t="shared" si="39"/>
        <v>4.5166615003220788E-4</v>
      </c>
      <c r="AQ48" s="129">
        <f t="shared" si="90"/>
        <v>0.98733494637218189</v>
      </c>
      <c r="AR48" s="129">
        <f t="shared" si="91"/>
        <v>1.2198226817640026E-2</v>
      </c>
      <c r="AS48" s="129">
        <f t="shared" si="91"/>
        <v>4.6656726310763473E-4</v>
      </c>
      <c r="AT48" s="129">
        <f t="shared" si="74"/>
        <v>0.99999974045292961</v>
      </c>
      <c r="AV48" s="129">
        <f t="shared" si="75"/>
        <v>0.98733520263214125</v>
      </c>
      <c r="AW48" s="129">
        <f t="shared" si="76"/>
        <v>1.2198229983654883E-2</v>
      </c>
      <c r="AX48" s="129">
        <f t="shared" si="77"/>
        <v>4.6656738420383241E-4</v>
      </c>
      <c r="BA48" s="129">
        <f t="shared" si="92"/>
        <v>-1.3819059733534941E-2</v>
      </c>
      <c r="BB48" s="129">
        <f t="shared" si="93"/>
        <v>1.1591643846055728E-2</v>
      </c>
      <c r="BC48" s="129">
        <f t="shared" si="93"/>
        <v>2.388850068472121E-2</v>
      </c>
      <c r="BD48" s="129"/>
      <c r="BE48" s="129">
        <f t="shared" si="87"/>
        <v>0.96023075034409178</v>
      </c>
      <c r="BF48" s="129">
        <f t="shared" si="88"/>
        <v>3.9630171251069872E-2</v>
      </c>
      <c r="BG48" s="129">
        <f t="shared" si="40"/>
        <v>1.179485791598955E-4</v>
      </c>
      <c r="BH48" s="129"/>
      <c r="BI48" s="129">
        <f t="shared" si="94"/>
        <v>8.9070552283516242E-4</v>
      </c>
      <c r="BJ48" s="129">
        <f t="shared" si="95"/>
        <v>-2.1780665642696054E-2</v>
      </c>
      <c r="BK48" s="129">
        <f t="shared" si="95"/>
        <v>-0.10054481633496253</v>
      </c>
      <c r="BL48" s="129"/>
      <c r="BM48" s="129">
        <f t="shared" si="33"/>
        <v>9.9271900140571515E-4</v>
      </c>
      <c r="BN48" s="129">
        <f t="shared" si="34"/>
        <v>-1.1594309261865839E-2</v>
      </c>
      <c r="BO48" s="129">
        <f t="shared" si="34"/>
        <v>0</v>
      </c>
      <c r="BP48" s="129"/>
      <c r="BQ48" s="129"/>
      <c r="BR48" s="129">
        <f t="shared" si="96"/>
        <v>0.9865991013785933</v>
      </c>
      <c r="BS48" s="129">
        <f t="shared" si="97"/>
        <v>0.80942150336393837</v>
      </c>
      <c r="BT48" s="129">
        <f t="shared" si="98"/>
        <v>1.0000649759569296</v>
      </c>
      <c r="BU48" s="129"/>
      <c r="BV48" s="129">
        <f t="shared" si="99"/>
        <v>1.0005669890947995</v>
      </c>
      <c r="BW48" s="129">
        <f t="shared" si="100"/>
        <v>1.0041977220689902</v>
      </c>
      <c r="BX48" s="129">
        <f t="shared" si="101"/>
        <v>1.0010091345805088</v>
      </c>
      <c r="BY48" s="129"/>
      <c r="BZ48" s="129">
        <f t="shared" si="102"/>
        <v>1.0008390681864552</v>
      </c>
      <c r="CA48" s="129">
        <f t="shared" si="32"/>
        <v>1.0377326072850832</v>
      </c>
      <c r="CB48" s="129">
        <f t="shared" si="103"/>
        <v>1.002462882344958</v>
      </c>
    </row>
    <row r="49" spans="1:80" x14ac:dyDescent="0.2">
      <c r="A49" s="133" t="s">
        <v>664</v>
      </c>
      <c r="B49" s="133">
        <f t="shared" si="89"/>
        <v>1988</v>
      </c>
      <c r="D49" s="5">
        <f>Personal_vehicles!G49</f>
        <v>13259.402745531561</v>
      </c>
      <c r="E49" s="5">
        <f>Buses!G49</f>
        <v>163.50852776307917</v>
      </c>
      <c r="F49" s="5">
        <f>'Passenger-based Energy Use'!$F46</f>
        <v>6.6062450000000004</v>
      </c>
      <c r="G49" s="5">
        <f t="shared" si="49"/>
        <v>13429.51751829464</v>
      </c>
      <c r="H49" s="5"/>
      <c r="I49" s="5">
        <f>Personal_vehicles!L49</f>
        <v>3164459.7661497444</v>
      </c>
      <c r="J49" s="5">
        <f>Buses!L49</f>
        <v>128271.54546397412</v>
      </c>
      <c r="K49" s="5">
        <f>'Passenger-based Activity'!G47</f>
        <v>441</v>
      </c>
      <c r="L49" s="5">
        <f t="shared" si="52"/>
        <v>3293159.3116137185</v>
      </c>
      <c r="N49" s="138">
        <f t="shared" si="78"/>
        <v>4190.0999618852848</v>
      </c>
      <c r="O49" s="138">
        <f t="shared" si="79"/>
        <v>1274.7061491435884</v>
      </c>
      <c r="P49" s="4">
        <f t="shared" si="79"/>
        <v>14980.14739229025</v>
      </c>
      <c r="Q49" s="138">
        <f t="shared" si="80"/>
        <v>4078.0042043316425</v>
      </c>
      <c r="R49" s="129">
        <f>Personal_vehicles!AA49</f>
        <v>0.97953745326370334</v>
      </c>
      <c r="S49" s="129">
        <f>Buses!AA49</f>
        <v>1.0487746177515938</v>
      </c>
      <c r="T49" s="129">
        <f t="shared" si="38"/>
        <v>0.81530401737338765</v>
      </c>
      <c r="U49" s="129"/>
      <c r="V49" s="129">
        <f>Personal_vehicles!Z49</f>
        <v>1.0041072125763968</v>
      </c>
      <c r="W49" s="129">
        <f>Buses!Z49</f>
        <v>0.97834841191946298</v>
      </c>
      <c r="X49" s="129">
        <v>1</v>
      </c>
      <c r="Z49" s="131">
        <f t="shared" si="81"/>
        <v>1.0875196800613489</v>
      </c>
      <c r="AA49" s="131">
        <f t="shared" si="82"/>
        <v>0.9855165606515004</v>
      </c>
      <c r="AB49" s="131">
        <f t="shared" si="14"/>
        <v>1.0015671056869866</v>
      </c>
      <c r="AC49" s="131">
        <f t="shared" si="15"/>
        <v>1.0037875672117165</v>
      </c>
      <c r="AD49" s="131">
        <f t="shared" si="83"/>
        <v>0.98026176120370467</v>
      </c>
      <c r="AE49" s="131">
        <f t="shared" si="16"/>
        <v>1.0717686547348806</v>
      </c>
      <c r="AF49" s="131">
        <f t="shared" si="84"/>
        <v>1.0717686547348806</v>
      </c>
      <c r="AG49" s="131"/>
      <c r="AH49" s="131">
        <f t="shared" si="17"/>
        <v>1.0053606084168203</v>
      </c>
      <c r="AK49" s="134"/>
      <c r="AM49" s="129">
        <f t="shared" si="85"/>
        <v>0.98733277107451278</v>
      </c>
      <c r="AN49" s="129">
        <f t="shared" si="86"/>
        <v>1.2175309168057324E-2</v>
      </c>
      <c r="AO49" s="129">
        <f t="shared" si="39"/>
        <v>4.9191975742989317E-4</v>
      </c>
      <c r="AQ49" s="129">
        <f t="shared" si="90"/>
        <v>0.98737096345859221</v>
      </c>
      <c r="AR49" s="129">
        <f t="shared" si="91"/>
        <v>1.2157234145653664E-2</v>
      </c>
      <c r="AS49" s="129">
        <f t="shared" si="91"/>
        <v>4.7150660989935591E-4</v>
      </c>
      <c r="AT49" s="129">
        <f t="shared" si="74"/>
        <v>0.99999970421414519</v>
      </c>
      <c r="AV49" s="129">
        <f t="shared" si="75"/>
        <v>0.98737125550904303</v>
      </c>
      <c r="AW49" s="129">
        <f t="shared" si="76"/>
        <v>1.2157237741592622E-2</v>
      </c>
      <c r="AX49" s="129">
        <f t="shared" si="77"/>
        <v>4.7150674936438284E-4</v>
      </c>
      <c r="BA49" s="129">
        <f t="shared" si="92"/>
        <v>-2.0406334587736247E-2</v>
      </c>
      <c r="BB49" s="129">
        <f t="shared" si="93"/>
        <v>1.4490399482835637E-2</v>
      </c>
      <c r="BC49" s="129">
        <f t="shared" si="93"/>
        <v>-5.9699229193989942E-2</v>
      </c>
      <c r="BD49" s="129"/>
      <c r="BE49" s="129">
        <f t="shared" si="87"/>
        <v>0.96091912559161663</v>
      </c>
      <c r="BF49" s="129">
        <f t="shared" si="88"/>
        <v>3.8950908026711382E-2</v>
      </c>
      <c r="BG49" s="129">
        <f t="shared" si="40"/>
        <v>1.339139586854365E-4</v>
      </c>
      <c r="BH49" s="129"/>
      <c r="BI49" s="129">
        <f t="shared" si="94"/>
        <v>7.1662839594902549E-4</v>
      </c>
      <c r="BJ49" s="129">
        <f t="shared" si="95"/>
        <v>-1.7288643772109275E-2</v>
      </c>
      <c r="BK49" s="129">
        <f t="shared" si="95"/>
        <v>0.12694873469540988</v>
      </c>
      <c r="BL49" s="129"/>
      <c r="BM49" s="129">
        <f t="shared" si="33"/>
        <v>1.4895411902733965E-3</v>
      </c>
      <c r="BN49" s="129">
        <f t="shared" si="34"/>
        <v>-1.235248826585207E-2</v>
      </c>
      <c r="BO49" s="129">
        <f t="shared" si="34"/>
        <v>0</v>
      </c>
      <c r="BP49" s="129"/>
      <c r="BQ49" s="129"/>
      <c r="BR49" s="129">
        <f t="shared" si="96"/>
        <v>0.98019807189600261</v>
      </c>
      <c r="BS49" s="129">
        <f t="shared" si="97"/>
        <v>0.7933933969484962</v>
      </c>
      <c r="BT49" s="129">
        <f t="shared" si="98"/>
        <v>0.98026176120370467</v>
      </c>
      <c r="BU49" s="129"/>
      <c r="BV49" s="129">
        <f t="shared" si="99"/>
        <v>1.0005574086061779</v>
      </c>
      <c r="BW49" s="129">
        <f t="shared" si="100"/>
        <v>1.0047574705215756</v>
      </c>
      <c r="BX49" s="129">
        <f t="shared" si="101"/>
        <v>1.0015671056869866</v>
      </c>
      <c r="BY49" s="129"/>
      <c r="BZ49" s="129">
        <f t="shared" si="102"/>
        <v>1.0013214303393059</v>
      </c>
      <c r="CA49" s="129">
        <f t="shared" si="32"/>
        <v>1.0391038986364367</v>
      </c>
      <c r="CB49" s="129">
        <f t="shared" si="103"/>
        <v>1.0037875672117165</v>
      </c>
    </row>
    <row r="50" spans="1:80" x14ac:dyDescent="0.2">
      <c r="A50" s="133" t="s">
        <v>664</v>
      </c>
      <c r="B50" s="133">
        <f t="shared" si="89"/>
        <v>1989</v>
      </c>
      <c r="D50" s="5">
        <f>Personal_vehicles!G50</f>
        <v>13415.333353942198</v>
      </c>
      <c r="E50" s="5">
        <f>Buses!G50</f>
        <v>165.26938124656778</v>
      </c>
      <c r="F50" s="5">
        <f>'Passenger-based Energy Use'!$F47</f>
        <v>6.4815100000000001</v>
      </c>
      <c r="G50" s="5">
        <f t="shared" si="49"/>
        <v>13587.084245188766</v>
      </c>
      <c r="H50" s="5"/>
      <c r="I50" s="5">
        <f>Personal_vehicles!L50</f>
        <v>3221110.6638091989</v>
      </c>
      <c r="J50" s="5">
        <f>Buses!L50</f>
        <v>131360.67476654466</v>
      </c>
      <c r="K50" s="5">
        <f>'Passenger-based Activity'!G48</f>
        <v>428</v>
      </c>
      <c r="L50" s="5">
        <f t="shared" si="52"/>
        <v>3352902.3385757436</v>
      </c>
      <c r="N50" s="138">
        <f t="shared" si="78"/>
        <v>4164.8160383529284</v>
      </c>
      <c r="O50" s="138">
        <f t="shared" si="79"/>
        <v>1258.1343810869269</v>
      </c>
      <c r="P50" s="4">
        <f t="shared" si="79"/>
        <v>15143.714953271028</v>
      </c>
      <c r="Q50" s="138">
        <f t="shared" si="80"/>
        <v>4052.3352227909895</v>
      </c>
      <c r="R50" s="129">
        <f>Personal_vehicles!AA50</f>
        <v>0.97253620386162964</v>
      </c>
      <c r="S50" s="129">
        <f>Buses!AA50</f>
        <v>1.0434749008300312</v>
      </c>
      <c r="T50" s="129">
        <f t="shared" si="38"/>
        <v>0.82420628556123132</v>
      </c>
      <c r="U50" s="129"/>
      <c r="V50" s="129">
        <f>Personal_vehicles!Z50</f>
        <v>1.0052331328955293</v>
      </c>
      <c r="W50" s="129">
        <f>Buses!Z50</f>
        <v>0.9705337778308667</v>
      </c>
      <c r="X50" s="129">
        <v>1</v>
      </c>
      <c r="Z50" s="131">
        <f t="shared" si="81"/>
        <v>1.10724897689145</v>
      </c>
      <c r="AA50" s="131">
        <f t="shared" si="82"/>
        <v>0.97931323050865737</v>
      </c>
      <c r="AB50" s="131">
        <f t="shared" si="14"/>
        <v>1.0013823262619572</v>
      </c>
      <c r="AC50" s="131">
        <f t="shared" si="15"/>
        <v>1.0048008098963024</v>
      </c>
      <c r="AD50" s="131">
        <f t="shared" si="83"/>
        <v>0.97328879434947768</v>
      </c>
      <c r="AE50" s="131">
        <f t="shared" si="16"/>
        <v>1.0843435725369719</v>
      </c>
      <c r="AF50" s="131">
        <f t="shared" si="84"/>
        <v>1.0843435725369714</v>
      </c>
      <c r="AG50" s="131"/>
      <c r="AH50" s="131">
        <f t="shared" si="17"/>
        <v>1.006189772443858</v>
      </c>
      <c r="AK50" s="134"/>
      <c r="AM50" s="129">
        <f t="shared" si="85"/>
        <v>0.98735925323290863</v>
      </c>
      <c r="AN50" s="129">
        <f t="shared" si="86"/>
        <v>1.2163712115429787E-2</v>
      </c>
      <c r="AO50" s="129">
        <f t="shared" si="39"/>
        <v>4.770346516615679E-4</v>
      </c>
      <c r="AQ50" s="129">
        <f t="shared" si="90"/>
        <v>0.98734601209703188</v>
      </c>
      <c r="AR50" s="129">
        <f t="shared" si="91"/>
        <v>1.2169509720783751E-2</v>
      </c>
      <c r="AS50" s="129">
        <f t="shared" si="91"/>
        <v>4.8443909124256404E-4</v>
      </c>
      <c r="AT50" s="129">
        <f t="shared" si="74"/>
        <v>0.99999996090905818</v>
      </c>
      <c r="AV50" s="129">
        <f t="shared" ref="AV50:AV68" si="104">AQ50/AT50</f>
        <v>0.98734605069331893</v>
      </c>
      <c r="AW50" s="129">
        <f t="shared" ref="AW50:AW68" si="105">AR50/AT50</f>
        <v>1.2169510196501365E-2</v>
      </c>
      <c r="AX50" s="129">
        <f t="shared" ref="AX50:AX68" si="106">AS50/AT50</f>
        <v>4.8443911017974513E-4</v>
      </c>
      <c r="BA50" s="129">
        <f t="shared" si="92"/>
        <v>-7.1731713574525137E-3</v>
      </c>
      <c r="BB50" s="129">
        <f t="shared" si="93"/>
        <v>-5.0660575703161542E-3</v>
      </c>
      <c r="BC50" s="129">
        <f t="shared" si="93"/>
        <v>1.0859773997464853E-2</v>
      </c>
      <c r="BD50" s="129"/>
      <c r="BE50" s="129">
        <f t="shared" si="87"/>
        <v>0.96069325573540931</v>
      </c>
      <c r="BF50" s="129">
        <f t="shared" si="88"/>
        <v>3.9178198915970949E-2</v>
      </c>
      <c r="BG50" s="129">
        <f t="shared" si="40"/>
        <v>1.2765060141352259E-4</v>
      </c>
      <c r="BH50" s="129"/>
      <c r="BI50" s="129">
        <f t="shared" si="94"/>
        <v>-2.350836822684859E-4</v>
      </c>
      <c r="BJ50" s="129">
        <f t="shared" si="95"/>
        <v>5.8183573156117144E-3</v>
      </c>
      <c r="BK50" s="129">
        <f t="shared" si="95"/>
        <v>-4.7900639252070304E-2</v>
      </c>
      <c r="BL50" s="129"/>
      <c r="BM50" s="129">
        <f t="shared" si="33"/>
        <v>1.1206866367962612E-3</v>
      </c>
      <c r="BN50" s="129">
        <f t="shared" si="34"/>
        <v>-8.0196494305177796E-3</v>
      </c>
      <c r="BO50" s="129">
        <f t="shared" si="34"/>
        <v>0</v>
      </c>
      <c r="BP50" s="129"/>
      <c r="BQ50" s="129"/>
      <c r="BR50" s="129">
        <f t="shared" si="96"/>
        <v>0.99288662770476266</v>
      </c>
      <c r="BS50" s="129">
        <f t="shared" si="97"/>
        <v>0.78774969433941855</v>
      </c>
      <c r="BT50" s="129">
        <f t="shared" si="98"/>
        <v>0.97328879434947768</v>
      </c>
      <c r="BU50" s="129"/>
      <c r="BV50" s="129">
        <f t="shared" si="99"/>
        <v>0.99981550969078326</v>
      </c>
      <c r="BW50" s="129">
        <f t="shared" si="100"/>
        <v>1.0045721025051513</v>
      </c>
      <c r="BX50" s="129">
        <f t="shared" si="101"/>
        <v>1.0013823262619572</v>
      </c>
      <c r="BY50" s="129"/>
      <c r="BZ50" s="129">
        <f t="shared" si="102"/>
        <v>1.0010094194406096</v>
      </c>
      <c r="CA50" s="129">
        <f t="shared" si="32"/>
        <v>1.0401527903125336</v>
      </c>
      <c r="CB50" s="129">
        <f t="shared" si="103"/>
        <v>1.0048008098963024</v>
      </c>
    </row>
    <row r="51" spans="1:80" x14ac:dyDescent="0.2">
      <c r="A51" s="133" t="s">
        <v>664</v>
      </c>
      <c r="B51" s="133">
        <f t="shared" si="89"/>
        <v>1990</v>
      </c>
      <c r="D51" s="5">
        <f>Personal_vehicles!G51</f>
        <v>13161.57264524896</v>
      </c>
      <c r="E51" s="5">
        <f>Buses!G51</f>
        <v>167.89313547789345</v>
      </c>
      <c r="F51" s="5">
        <f>'Passenger-based Energy Use'!$F48</f>
        <v>5.8304749999999999</v>
      </c>
      <c r="G51" s="5">
        <f t="shared" si="49"/>
        <v>13335.296255726855</v>
      </c>
      <c r="H51" s="5"/>
      <c r="I51" s="5">
        <f>Personal_vehicles!L51</f>
        <v>3240509</v>
      </c>
      <c r="J51" s="5">
        <f>Buses!L51</f>
        <v>131381</v>
      </c>
      <c r="K51" s="5">
        <f>'Passenger-based Activity'!G49</f>
        <v>431</v>
      </c>
      <c r="L51" s="5">
        <f t="shared" si="52"/>
        <v>3372344</v>
      </c>
      <c r="N51" s="138">
        <f t="shared" si="78"/>
        <v>4061.5757108679404</v>
      </c>
      <c r="O51" s="138">
        <f t="shared" si="79"/>
        <v>1277.9103179142603</v>
      </c>
      <c r="P51" s="4">
        <f t="shared" si="79"/>
        <v>13527.784222737819</v>
      </c>
      <c r="Q51" s="138">
        <f t="shared" si="80"/>
        <v>3954.3107867189278</v>
      </c>
      <c r="R51" s="129">
        <f>Personal_vehicles!AA51</f>
        <v>0.94662810889138227</v>
      </c>
      <c r="S51" s="129">
        <f>Buses!AA51</f>
        <v>1.057856209773719</v>
      </c>
      <c r="T51" s="129">
        <f t="shared" si="38"/>
        <v>0.73625823125310774</v>
      </c>
      <c r="U51" s="129"/>
      <c r="V51" s="129">
        <f>Personal_vehicles!Z51</f>
        <v>1.0071447797228947</v>
      </c>
      <c r="W51" s="129">
        <f>Buses!Z51</f>
        <v>0.97238750261964702</v>
      </c>
      <c r="X51" s="129">
        <v>1</v>
      </c>
      <c r="Z51" s="131">
        <f t="shared" si="81"/>
        <v>1.113669312930889</v>
      </c>
      <c r="AA51" s="131">
        <f t="shared" si="82"/>
        <v>0.95562401876264491</v>
      </c>
      <c r="AB51" s="131">
        <f t="shared" si="14"/>
        <v>1.0015330807379792</v>
      </c>
      <c r="AC51" s="131">
        <f t="shared" si="15"/>
        <v>1.0067108641485198</v>
      </c>
      <c r="AD51" s="131">
        <f t="shared" si="83"/>
        <v>0.94780065117677559</v>
      </c>
      <c r="AE51" s="131">
        <f t="shared" si="16"/>
        <v>1.0642491443956497</v>
      </c>
      <c r="AF51" s="131">
        <f t="shared" si="84"/>
        <v>1.0642491443956497</v>
      </c>
      <c r="AG51" s="131"/>
      <c r="AH51" s="131">
        <f t="shared" si="17"/>
        <v>1.0082542331830604</v>
      </c>
      <c r="AK51" s="134"/>
      <c r="AM51" s="129">
        <f t="shared" si="85"/>
        <v>0.98697264709036447</v>
      </c>
      <c r="AN51" s="129">
        <f t="shared" si="86"/>
        <v>1.2590131651990228E-2</v>
      </c>
      <c r="AO51" s="129">
        <f t="shared" si="39"/>
        <v>4.3722125764518335E-4</v>
      </c>
      <c r="AQ51" s="129">
        <f t="shared" si="90"/>
        <v>0.98716593754429494</v>
      </c>
      <c r="AR51" s="129">
        <f t="shared" si="91"/>
        <v>1.2375697508119787E-2</v>
      </c>
      <c r="AS51" s="129">
        <f t="shared" si="91"/>
        <v>4.5683884728385012E-4</v>
      </c>
      <c r="AT51" s="129">
        <f t="shared" si="74"/>
        <v>0.99999847389969854</v>
      </c>
      <c r="AV51" s="129">
        <f t="shared" si="104"/>
        <v>0.9871674440608289</v>
      </c>
      <c r="AW51" s="129">
        <f t="shared" si="105"/>
        <v>1.2375716394704308E-2</v>
      </c>
      <c r="AX51" s="129">
        <f t="shared" si="106"/>
        <v>4.5683954446681664E-4</v>
      </c>
      <c r="BA51" s="129">
        <f t="shared" si="92"/>
        <v>-2.7000990807546917E-2</v>
      </c>
      <c r="BB51" s="129">
        <f t="shared" si="93"/>
        <v>1.3688022237832841E-2</v>
      </c>
      <c r="BC51" s="129">
        <f t="shared" si="93"/>
        <v>-0.11283993025932811</v>
      </c>
      <c r="BD51" s="129"/>
      <c r="BE51" s="129">
        <f t="shared" si="87"/>
        <v>0.96090701304493253</v>
      </c>
      <c r="BF51" s="129">
        <f t="shared" si="88"/>
        <v>3.8958362492082656E-2</v>
      </c>
      <c r="BG51" s="129">
        <f t="shared" si="40"/>
        <v>1.2780428093931107E-4</v>
      </c>
      <c r="BH51" s="129"/>
      <c r="BI51" s="129">
        <f t="shared" si="94"/>
        <v>2.2247843516442378E-4</v>
      </c>
      <c r="BJ51" s="129">
        <f t="shared" si="95"/>
        <v>-5.6269945844660812E-3</v>
      </c>
      <c r="BK51" s="129">
        <f t="shared" si="95"/>
        <v>1.2031834577795697E-3</v>
      </c>
      <c r="BL51" s="129"/>
      <c r="BM51" s="129">
        <f t="shared" si="33"/>
        <v>1.899889071926943E-3</v>
      </c>
      <c r="BN51" s="129">
        <f t="shared" si="34"/>
        <v>1.9081836921636332E-3</v>
      </c>
      <c r="BO51" s="129">
        <f t="shared" si="34"/>
        <v>0</v>
      </c>
      <c r="BP51" s="129"/>
      <c r="BQ51" s="129"/>
      <c r="BR51" s="129">
        <f t="shared" si="96"/>
        <v>0.9738123532083427</v>
      </c>
      <c r="BS51" s="129">
        <f t="shared" si="97"/>
        <v>0.76712038358382184</v>
      </c>
      <c r="BT51" s="129">
        <f t="shared" si="98"/>
        <v>0.94780065117677559</v>
      </c>
      <c r="BU51" s="129"/>
      <c r="BV51" s="129">
        <f t="shared" si="99"/>
        <v>1.0001505463718185</v>
      </c>
      <c r="BW51" s="129">
        <f t="shared" si="100"/>
        <v>1.0047233371904136</v>
      </c>
      <c r="BX51" s="129">
        <f t="shared" si="101"/>
        <v>1.0015330807379792</v>
      </c>
      <c r="BY51" s="129"/>
      <c r="BZ51" s="129">
        <f t="shared" si="102"/>
        <v>1.001900928257029</v>
      </c>
      <c r="CA51" s="129">
        <f t="shared" si="32"/>
        <v>1.0421300461432663</v>
      </c>
      <c r="CB51" s="129">
        <f t="shared" si="103"/>
        <v>1.0067108641485198</v>
      </c>
    </row>
    <row r="52" spans="1:80" x14ac:dyDescent="0.2">
      <c r="A52" s="133" t="s">
        <v>664</v>
      </c>
      <c r="B52" s="133">
        <f t="shared" si="89"/>
        <v>1991</v>
      </c>
      <c r="D52" s="5">
        <f>Personal_vehicles!G52</f>
        <v>12827.58885005133</v>
      </c>
      <c r="E52" s="5">
        <f>Buses!G52</f>
        <v>172.41474948702324</v>
      </c>
      <c r="F52" s="5">
        <f>'Passenger-based Energy Use'!$F49</f>
        <v>6.2602549999999999</v>
      </c>
      <c r="G52" s="5">
        <f t="shared" si="49"/>
        <v>13006.263854538352</v>
      </c>
      <c r="H52" s="5"/>
      <c r="I52" s="5">
        <f>Personal_vehicles!L52</f>
        <v>3274173.7199999997</v>
      </c>
      <c r="J52" s="5">
        <f>Buses!L52</f>
        <v>134087.26458857622</v>
      </c>
      <c r="K52" s="5">
        <f>'Passenger-based Activity'!G50</f>
        <v>454</v>
      </c>
      <c r="L52" s="5">
        <f t="shared" si="52"/>
        <v>3408755.984588576</v>
      </c>
      <c r="N52" s="138">
        <f t="shared" si="78"/>
        <v>3917.8094832583688</v>
      </c>
      <c r="O52" s="138">
        <f t="shared" si="79"/>
        <v>1285.8398597066496</v>
      </c>
      <c r="P52" s="4">
        <f t="shared" si="79"/>
        <v>13789.107929515418</v>
      </c>
      <c r="Q52" s="138">
        <f t="shared" si="80"/>
        <v>3815.5455871119384</v>
      </c>
      <c r="R52" s="129">
        <f>Personal_vehicles!AA52</f>
        <v>0.90805214166123016</v>
      </c>
      <c r="S52" s="129">
        <f>Buses!AA52</f>
        <v>1.0713077397989028</v>
      </c>
      <c r="T52" s="129">
        <f t="shared" si="38"/>
        <v>0.75048093964116636</v>
      </c>
      <c r="U52" s="129"/>
      <c r="V52" s="129">
        <f>Personal_vehicles!Z52</f>
        <v>1.0127663777289808</v>
      </c>
      <c r="W52" s="129">
        <f>Buses!Z52</f>
        <v>0.96613601868310794</v>
      </c>
      <c r="X52" s="129">
        <v>1</v>
      </c>
      <c r="Z52" s="131">
        <f t="shared" si="81"/>
        <v>1.1256938602069706</v>
      </c>
      <c r="AA52" s="131">
        <f t="shared" si="82"/>
        <v>0.92208913370550394</v>
      </c>
      <c r="AB52" s="131">
        <f t="shared" si="14"/>
        <v>1.0012775046301432</v>
      </c>
      <c r="AC52" s="131">
        <f t="shared" si="15"/>
        <v>1.0121703017238992</v>
      </c>
      <c r="AD52" s="131">
        <f t="shared" si="83"/>
        <v>0.9098396405678334</v>
      </c>
      <c r="AE52" s="131">
        <f t="shared" si="16"/>
        <v>1.0379900763758509</v>
      </c>
      <c r="AF52" s="131">
        <f t="shared" si="84"/>
        <v>1.0379900763758503</v>
      </c>
      <c r="AG52" s="131"/>
      <c r="AH52" s="131">
        <f t="shared" si="17"/>
        <v>1.0134633539708449</v>
      </c>
      <c r="AK52" s="134"/>
      <c r="AM52" s="129">
        <f t="shared" si="85"/>
        <v>0.9862623881473328</v>
      </c>
      <c r="AN52" s="129">
        <f t="shared" si="86"/>
        <v>1.3256285695515976E-2</v>
      </c>
      <c r="AO52" s="129">
        <f t="shared" si="39"/>
        <v>4.8132615715123849E-4</v>
      </c>
      <c r="AQ52" s="129">
        <f t="shared" si="90"/>
        <v>0.98661747500969621</v>
      </c>
      <c r="AR52" s="129">
        <f t="shared" si="91"/>
        <v>1.2920346640438533E-2</v>
      </c>
      <c r="AS52" s="129">
        <f t="shared" si="91"/>
        <v>4.5892053391196068E-4</v>
      </c>
      <c r="AT52" s="129">
        <f t="shared" si="74"/>
        <v>0.99999674218404666</v>
      </c>
      <c r="AV52" s="129">
        <f t="shared" si="104"/>
        <v>0.98662068923831747</v>
      </c>
      <c r="AW52" s="129">
        <f t="shared" si="105"/>
        <v>1.292038873268707E-2</v>
      </c>
      <c r="AX52" s="129">
        <f t="shared" si="106"/>
        <v>4.5892202899546809E-4</v>
      </c>
      <c r="BA52" s="129">
        <f t="shared" si="92"/>
        <v>-4.1604509923742893E-2</v>
      </c>
      <c r="BB52" s="129">
        <f t="shared" si="93"/>
        <v>1.2635672325990464E-2</v>
      </c>
      <c r="BC52" s="129">
        <f t="shared" si="93"/>
        <v>1.9133338996919661E-2</v>
      </c>
      <c r="BD52" s="129"/>
      <c r="BE52" s="129">
        <f t="shared" si="87"/>
        <v>0.960518656895055</v>
      </c>
      <c r="BF52" s="129">
        <f t="shared" si="88"/>
        <v>3.9336128838439004E-2</v>
      </c>
      <c r="BG52" s="129">
        <f t="shared" si="40"/>
        <v>1.3318641816914803E-4</v>
      </c>
      <c r="BH52" s="129"/>
      <c r="BI52" s="129">
        <f t="shared" si="94"/>
        <v>-4.042375005618384E-4</v>
      </c>
      <c r="BJ52" s="129">
        <f t="shared" si="95"/>
        <v>9.6499580354150027E-3</v>
      </c>
      <c r="BK52" s="129">
        <f t="shared" si="95"/>
        <v>4.1249748650222309E-2</v>
      </c>
      <c r="BL52" s="129"/>
      <c r="BM52" s="129">
        <f t="shared" si="33"/>
        <v>5.5661977999672931E-3</v>
      </c>
      <c r="BN52" s="129">
        <f t="shared" si="34"/>
        <v>-6.4497598706694846E-3</v>
      </c>
      <c r="BO52" s="129">
        <f t="shared" si="34"/>
        <v>0</v>
      </c>
      <c r="BP52" s="129"/>
      <c r="BQ52" s="129"/>
      <c r="BR52" s="129">
        <f t="shared" si="96"/>
        <v>0.9599483176532847</v>
      </c>
      <c r="BS52" s="129">
        <f t="shared" si="97"/>
        <v>0.73639592165883216</v>
      </c>
      <c r="BT52" s="129">
        <f t="shared" si="98"/>
        <v>0.9098396405678334</v>
      </c>
      <c r="BU52" s="129"/>
      <c r="BV52" s="129">
        <f t="shared" si="99"/>
        <v>0.9997448151112015</v>
      </c>
      <c r="BW52" s="129">
        <f t="shared" si="100"/>
        <v>1.0044669469773395</v>
      </c>
      <c r="BX52" s="129">
        <f t="shared" si="101"/>
        <v>1.0012775046301432</v>
      </c>
      <c r="BY52" s="129"/>
      <c r="BZ52" s="129">
        <f t="shared" si="102"/>
        <v>1.0054230442620653</v>
      </c>
      <c r="CA52" s="129">
        <f t="shared" si="32"/>
        <v>1.0477815635103294</v>
      </c>
      <c r="CB52" s="129">
        <f t="shared" si="103"/>
        <v>1.0121703017238992</v>
      </c>
    </row>
    <row r="53" spans="1:80" x14ac:dyDescent="0.2">
      <c r="A53" s="133" t="s">
        <v>664</v>
      </c>
      <c r="B53" s="133">
        <f t="shared" si="89"/>
        <v>1992</v>
      </c>
      <c r="D53" s="5">
        <f>Personal_vehicles!G53</f>
        <v>13310.242355613509</v>
      </c>
      <c r="E53" s="5">
        <f>Buses!G53</f>
        <v>179.53974811404476</v>
      </c>
      <c r="F53" s="5">
        <f>'Passenger-based Energy Use'!$F50</f>
        <v>6.0009050000000004</v>
      </c>
      <c r="G53" s="5">
        <f t="shared" si="49"/>
        <v>13495.783008727554</v>
      </c>
      <c r="H53" s="5"/>
      <c r="I53" s="5">
        <f>Personal_vehicles!L53</f>
        <v>3378415.6799999997</v>
      </c>
      <c r="J53" s="5">
        <f>Buses!L53</f>
        <v>136725.91399845984</v>
      </c>
      <c r="K53" s="5">
        <f>'Passenger-based Activity'!G51</f>
        <v>495</v>
      </c>
      <c r="L53" s="5">
        <f t="shared" si="52"/>
        <v>3515703.5939984596</v>
      </c>
      <c r="N53" s="138">
        <f t="shared" si="78"/>
        <v>3939.7882369565341</v>
      </c>
      <c r="O53" s="138">
        <f t="shared" si="79"/>
        <v>1313.1362070548469</v>
      </c>
      <c r="P53" s="4">
        <f t="shared" si="79"/>
        <v>12123.040404040405</v>
      </c>
      <c r="Q53" s="138">
        <f t="shared" si="80"/>
        <v>3838.7146833896222</v>
      </c>
      <c r="R53" s="129">
        <f>Personal_vehicles!AA53</f>
        <v>0.91099210802094999</v>
      </c>
      <c r="S53" s="129">
        <f>Buses!AA53</f>
        <v>1.1197264338773147</v>
      </c>
      <c r="T53" s="129">
        <f t="shared" si="38"/>
        <v>0.65980415848785057</v>
      </c>
      <c r="U53" s="129"/>
      <c r="V53" s="129">
        <f>Personal_vehicles!Z53</f>
        <v>1.0151612070298264</v>
      </c>
      <c r="W53" s="129">
        <f>Buses!Z53</f>
        <v>0.94398148667262693</v>
      </c>
      <c r="X53" s="129">
        <v>1</v>
      </c>
      <c r="Z53" s="131">
        <f t="shared" si="81"/>
        <v>1.1610118084029748</v>
      </c>
      <c r="AA53" s="131">
        <f t="shared" si="82"/>
        <v>0.92768832559763903</v>
      </c>
      <c r="AB53" s="131">
        <f t="shared" si="14"/>
        <v>1.0015951137259749</v>
      </c>
      <c r="AC53" s="131">
        <f t="shared" si="15"/>
        <v>1.0142182966117994</v>
      </c>
      <c r="AD53" s="131">
        <f t="shared" si="83"/>
        <v>0.91322639016668716</v>
      </c>
      <c r="AE53" s="131">
        <f t="shared" si="16"/>
        <v>1.0770571005364427</v>
      </c>
      <c r="AF53" s="131">
        <f t="shared" si="84"/>
        <v>1.0770571005364427</v>
      </c>
      <c r="AG53" s="131"/>
      <c r="AH53" s="131">
        <f t="shared" si="17"/>
        <v>1.0158360901378598</v>
      </c>
      <c r="AK53" s="134"/>
      <c r="AM53" s="129">
        <f t="shared" si="85"/>
        <v>0.98625195344397143</v>
      </c>
      <c r="AN53" s="129">
        <f t="shared" si="86"/>
        <v>1.330339617923159E-2</v>
      </c>
      <c r="AO53" s="129">
        <f t="shared" si="39"/>
        <v>4.4465037679690687E-4</v>
      </c>
      <c r="AQ53" s="129">
        <f t="shared" si="90"/>
        <v>0.98625717078913699</v>
      </c>
      <c r="AR53" s="129">
        <f t="shared" si="91"/>
        <v>1.3279827010252295E-2</v>
      </c>
      <c r="AS53" s="129">
        <f t="shared" si="91"/>
        <v>4.6274605852526275E-4</v>
      </c>
      <c r="AT53" s="129">
        <f t="shared" si="74"/>
        <v>0.99999974385791457</v>
      </c>
      <c r="AV53" s="129">
        <f t="shared" si="104"/>
        <v>0.98625742341117018</v>
      </c>
      <c r="AW53" s="129">
        <f t="shared" si="105"/>
        <v>1.327983041177575E-2</v>
      </c>
      <c r="AX53" s="129">
        <f t="shared" si="106"/>
        <v>4.6274617705403359E-4</v>
      </c>
      <c r="BA53" s="129">
        <f t="shared" si="92"/>
        <v>3.2324325481533902E-3</v>
      </c>
      <c r="BB53" s="129">
        <f t="shared" si="93"/>
        <v>4.4204311065546689E-2</v>
      </c>
      <c r="BC53" s="129">
        <f t="shared" si="93"/>
        <v>-0.12877119244680524</v>
      </c>
      <c r="BD53" s="129"/>
      <c r="BE53" s="129">
        <f t="shared" si="87"/>
        <v>0.96095008855899577</v>
      </c>
      <c r="BF53" s="129">
        <f t="shared" si="88"/>
        <v>3.8890057236867205E-2</v>
      </c>
      <c r="BG53" s="129">
        <f t="shared" si="40"/>
        <v>1.4079685239819364E-4</v>
      </c>
      <c r="BH53" s="129"/>
      <c r="BI53" s="129">
        <f t="shared" si="94"/>
        <v>4.4906446926245343E-4</v>
      </c>
      <c r="BJ53" s="129">
        <f t="shared" si="95"/>
        <v>-1.1404785506072827E-2</v>
      </c>
      <c r="BK53" s="129">
        <f t="shared" si="95"/>
        <v>5.5568301137249976E-2</v>
      </c>
      <c r="BL53" s="129"/>
      <c r="BM53" s="129">
        <f t="shared" si="33"/>
        <v>2.3618500306496117E-3</v>
      </c>
      <c r="BN53" s="129">
        <f t="shared" si="34"/>
        <v>-2.3198076012860641E-2</v>
      </c>
      <c r="BO53" s="129">
        <f t="shared" si="34"/>
        <v>0</v>
      </c>
      <c r="BP53" s="129"/>
      <c r="BQ53" s="129"/>
      <c r="BR53" s="129">
        <f t="shared" si="96"/>
        <v>1.0037223588068114</v>
      </c>
      <c r="BS53" s="129">
        <f t="shared" si="97"/>
        <v>0.73913705150311892</v>
      </c>
      <c r="BT53" s="129">
        <f t="shared" si="98"/>
        <v>0.91322639016668716</v>
      </c>
      <c r="BU53" s="129"/>
      <c r="BV53" s="129">
        <f t="shared" si="99"/>
        <v>1.0003172038664236</v>
      </c>
      <c r="BW53" s="129">
        <f t="shared" si="100"/>
        <v>1.0047855677766155</v>
      </c>
      <c r="BX53" s="129">
        <f t="shared" si="101"/>
        <v>1.0015951137259749</v>
      </c>
      <c r="BY53" s="129"/>
      <c r="BZ53" s="129">
        <f t="shared" si="102"/>
        <v>1.0020233698661303</v>
      </c>
      <c r="CA53" s="129">
        <f t="shared" si="32"/>
        <v>1.049901613152223</v>
      </c>
      <c r="CB53" s="129">
        <f t="shared" si="103"/>
        <v>1.0142182966117994</v>
      </c>
    </row>
    <row r="54" spans="1:80" x14ac:dyDescent="0.2">
      <c r="A54" s="133" t="s">
        <v>664</v>
      </c>
      <c r="B54" s="133">
        <f t="shared" si="89"/>
        <v>1993</v>
      </c>
      <c r="D54" s="5">
        <f>Personal_vehicles!G54</f>
        <v>13748.019661416438</v>
      </c>
      <c r="E54" s="5">
        <f>Buses!G54</f>
        <v>181.37893712828733</v>
      </c>
      <c r="F54" s="5">
        <f>'Passenger-based Energy Use'!$F51</f>
        <v>7.4268549999999989</v>
      </c>
      <c r="G54" s="5">
        <f t="shared" si="49"/>
        <v>13936.825453544725</v>
      </c>
      <c r="H54" s="5"/>
      <c r="I54" s="5">
        <f>Personal_vehicles!L54</f>
        <v>3433461</v>
      </c>
      <c r="J54" s="5">
        <f>Buses!L54</f>
        <v>142060.86560206942</v>
      </c>
      <c r="K54" s="5">
        <f>'Passenger-based Activity'!G52</f>
        <v>562</v>
      </c>
      <c r="L54" s="5">
        <f t="shared" si="52"/>
        <v>3576098.8656020695</v>
      </c>
      <c r="N54" s="138">
        <f t="shared" si="78"/>
        <v>4004.1286798995056</v>
      </c>
      <c r="O54" s="138">
        <f t="shared" si="79"/>
        <v>1276.7691957921249</v>
      </c>
      <c r="P54" s="4">
        <f t="shared" si="79"/>
        <v>13215.044483985763</v>
      </c>
      <c r="Q54" s="138">
        <f t="shared" si="80"/>
        <v>3897.2148079016629</v>
      </c>
      <c r="R54" s="129">
        <f>Personal_vehicles!AA54</f>
        <v>0.92463469558891609</v>
      </c>
      <c r="S54" s="129">
        <f>Buses!AA54</f>
        <v>1.1027391525660994</v>
      </c>
      <c r="T54" s="129">
        <f t="shared" si="38"/>
        <v>0.71923717273347776</v>
      </c>
      <c r="U54" s="129"/>
      <c r="V54" s="129">
        <f>Personal_vehicles!Z54</f>
        <v>1.0165168666657518</v>
      </c>
      <c r="W54" s="129">
        <f>Buses!Z54</f>
        <v>0.93197708291341552</v>
      </c>
      <c r="X54" s="129">
        <v>1</v>
      </c>
      <c r="Z54" s="131">
        <f t="shared" si="81"/>
        <v>1.1809564998790125</v>
      </c>
      <c r="AA54" s="131">
        <f t="shared" si="82"/>
        <v>0.94182583959175215</v>
      </c>
      <c r="AB54" s="131">
        <f t="shared" si="14"/>
        <v>1.001068510533754</v>
      </c>
      <c r="AC54" s="131">
        <f t="shared" si="15"/>
        <v>1.015383192764183</v>
      </c>
      <c r="AD54" s="131">
        <f t="shared" si="83"/>
        <v>0.92656700407725912</v>
      </c>
      <c r="AE54" s="131">
        <f t="shared" si="16"/>
        <v>1.1122553470198886</v>
      </c>
      <c r="AF54" s="131">
        <f t="shared" si="84"/>
        <v>1.1122553470198882</v>
      </c>
      <c r="AG54" s="131"/>
      <c r="AH54" s="131">
        <f t="shared" si="17"/>
        <v>1.0164681404014484</v>
      </c>
      <c r="AK54" s="134"/>
      <c r="AM54" s="129">
        <f t="shared" si="85"/>
        <v>0.98645274042086351</v>
      </c>
      <c r="AN54" s="129">
        <f t="shared" si="86"/>
        <v>1.3014365267963873E-2</v>
      </c>
      <c r="AO54" s="129">
        <f t="shared" si="39"/>
        <v>5.3289431117263758E-4</v>
      </c>
      <c r="AQ54" s="129">
        <f t="shared" si="90"/>
        <v>0.9863523435264212</v>
      </c>
      <c r="AR54" s="129">
        <f t="shared" si="91"/>
        <v>1.3158351666729374E-2</v>
      </c>
      <c r="AS54" s="129">
        <f t="shared" si="91"/>
        <v>4.8744180192883451E-4</v>
      </c>
      <c r="AT54" s="129">
        <f t="shared" si="74"/>
        <v>0.99999813699507945</v>
      </c>
      <c r="AV54" s="129">
        <f t="shared" si="104"/>
        <v>0.98635418110911399</v>
      </c>
      <c r="AW54" s="129">
        <f t="shared" si="105"/>
        <v>1.3158376180848945E-2</v>
      </c>
      <c r="AX54" s="129">
        <f t="shared" si="106"/>
        <v>4.8744271003700178E-4</v>
      </c>
      <c r="BA54" s="129">
        <f t="shared" si="92"/>
        <v>1.4864501584122591E-2</v>
      </c>
      <c r="BB54" s="129">
        <f t="shared" si="93"/>
        <v>-1.5287176762330329E-2</v>
      </c>
      <c r="BC54" s="129">
        <f t="shared" si="93"/>
        <v>8.6248106623679419E-2</v>
      </c>
      <c r="BD54" s="129"/>
      <c r="BE54" s="129">
        <f t="shared" si="87"/>
        <v>0.96011355643042184</v>
      </c>
      <c r="BF54" s="129">
        <f t="shared" si="88"/>
        <v>3.9725094562829473E-2</v>
      </c>
      <c r="BG54" s="129">
        <f t="shared" si="40"/>
        <v>1.5715449184187531E-4</v>
      </c>
      <c r="BH54" s="129"/>
      <c r="BI54" s="129">
        <f t="shared" si="94"/>
        <v>-8.7090522339534492E-4</v>
      </c>
      <c r="BJ54" s="129">
        <f t="shared" si="95"/>
        <v>2.1244472926503166E-2</v>
      </c>
      <c r="BK54" s="129">
        <f t="shared" si="95"/>
        <v>0.10991125763655282</v>
      </c>
      <c r="BL54" s="129"/>
      <c r="BM54" s="129">
        <f t="shared" si="33"/>
        <v>1.3345222894061456E-3</v>
      </c>
      <c r="BN54" s="129">
        <f t="shared" si="34"/>
        <v>-1.2798329143006871E-2</v>
      </c>
      <c r="BO54" s="129">
        <f t="shared" si="34"/>
        <v>0</v>
      </c>
      <c r="BP54" s="129"/>
      <c r="BQ54" s="129"/>
      <c r="BR54" s="129">
        <f t="shared" si="96"/>
        <v>1.0146082220731016</v>
      </c>
      <c r="BS54" s="129">
        <f t="shared" si="97"/>
        <v>0.74993452969393404</v>
      </c>
      <c r="BT54" s="129">
        <f t="shared" si="98"/>
        <v>0.92656700407725912</v>
      </c>
      <c r="BU54" s="129"/>
      <c r="BV54" s="129">
        <f t="shared" si="99"/>
        <v>0.9994742354620102</v>
      </c>
      <c r="BW54" s="129">
        <f t="shared" si="100"/>
        <v>1.0042572871567947</v>
      </c>
      <c r="BX54" s="129">
        <f t="shared" si="101"/>
        <v>1.001068510533754</v>
      </c>
      <c r="BY54" s="129"/>
      <c r="BZ54" s="129">
        <f t="shared" si="102"/>
        <v>1.0011485655073225</v>
      </c>
      <c r="CA54" s="129">
        <f t="shared" si="32"/>
        <v>1.0511074939311718</v>
      </c>
      <c r="CB54" s="129">
        <f t="shared" si="103"/>
        <v>1.015383192764183</v>
      </c>
    </row>
    <row r="55" spans="1:80" x14ac:dyDescent="0.2">
      <c r="A55" s="133" t="s">
        <v>664</v>
      </c>
      <c r="B55" s="133">
        <f t="shared" si="89"/>
        <v>1994</v>
      </c>
      <c r="D55" s="5">
        <f>Personal_vehicles!G55</f>
        <v>14007.393587884051</v>
      </c>
      <c r="E55" s="5">
        <f>Buses!G55</f>
        <v>185.00769030793063</v>
      </c>
      <c r="F55" s="5">
        <f>'Passenger-based Energy Use'!$F52</f>
        <v>9.3819999999999997</v>
      </c>
      <c r="G55" s="5">
        <f t="shared" si="49"/>
        <v>14201.783278191981</v>
      </c>
      <c r="H55" s="5"/>
      <c r="I55" s="5">
        <f>Personal_vehicles!L55</f>
        <v>3499713.4799999995</v>
      </c>
      <c r="J55" s="5">
        <f>Buses!L55</f>
        <v>148132</v>
      </c>
      <c r="K55" s="5">
        <f>'Passenger-based Activity'!G53</f>
        <v>577</v>
      </c>
      <c r="L55" s="5">
        <f t="shared" si="52"/>
        <v>3648452.4799999995</v>
      </c>
      <c r="N55" s="138">
        <f t="shared" si="78"/>
        <v>4002.4401048636851</v>
      </c>
      <c r="O55" s="138">
        <f t="shared" si="79"/>
        <v>1248.9380438253086</v>
      </c>
      <c r="P55" s="4">
        <f t="shared" si="79"/>
        <v>16259.96533795494</v>
      </c>
      <c r="Q55" s="138">
        <f t="shared" si="80"/>
        <v>3892.5498841064755</v>
      </c>
      <c r="R55" s="129">
        <f>Personal_vehicles!AA55</f>
        <v>0.92458965727099196</v>
      </c>
      <c r="S55" s="129">
        <f>Buses!AA55</f>
        <v>1.1186984572275311</v>
      </c>
      <c r="T55" s="129">
        <f t="shared" si="38"/>
        <v>0.88495892031139212</v>
      </c>
      <c r="U55" s="129"/>
      <c r="V55" s="129">
        <f>Personal_vehicles!Z55</f>
        <v>1.0161376882443776</v>
      </c>
      <c r="W55" s="129">
        <f>Buses!Z55</f>
        <v>0.89865601868859679</v>
      </c>
      <c r="X55" s="129">
        <v>1</v>
      </c>
      <c r="Z55" s="131">
        <f t="shared" si="81"/>
        <v>1.2048502663614975</v>
      </c>
      <c r="AA55" s="131">
        <f t="shared" si="82"/>
        <v>0.94069848429146796</v>
      </c>
      <c r="AB55" s="131">
        <f t="shared" si="14"/>
        <v>1.0004500924227728</v>
      </c>
      <c r="AC55" s="131">
        <f t="shared" si="15"/>
        <v>1.0145285337377807</v>
      </c>
      <c r="AD55" s="131">
        <f t="shared" si="83"/>
        <v>0.92681008197110604</v>
      </c>
      <c r="AE55" s="131">
        <f t="shared" si="16"/>
        <v>1.1334008193644329</v>
      </c>
      <c r="AF55" s="131">
        <f t="shared" si="84"/>
        <v>1.133400819364432</v>
      </c>
      <c r="AG55" s="131"/>
      <c r="AH55" s="131">
        <f t="shared" si="17"/>
        <v>1.0149851653435029</v>
      </c>
      <c r="AK55" s="134"/>
      <c r="AM55" s="129">
        <f t="shared" si="85"/>
        <v>0.98631230413109949</v>
      </c>
      <c r="AN55" s="129">
        <f t="shared" si="86"/>
        <v>1.3027074606329568E-2</v>
      </c>
      <c r="AO55" s="129">
        <f t="shared" si="39"/>
        <v>6.6062126257107731E-4</v>
      </c>
      <c r="AQ55" s="129">
        <f t="shared" si="90"/>
        <v>0.98638252060955867</v>
      </c>
      <c r="AR55" s="129">
        <f t="shared" si="91"/>
        <v>1.3020718903364084E-2</v>
      </c>
      <c r="AS55" s="129">
        <f t="shared" si="91"/>
        <v>5.9447261913056536E-4</v>
      </c>
      <c r="AT55" s="129">
        <f t="shared" si="74"/>
        <v>0.99999771213205335</v>
      </c>
      <c r="AV55" s="129">
        <f t="shared" si="104"/>
        <v>0.98638477732767382</v>
      </c>
      <c r="AW55" s="129">
        <f t="shared" si="105"/>
        <v>1.3020748693117661E-2</v>
      </c>
      <c r="AX55" s="129">
        <f t="shared" si="106"/>
        <v>5.9447397920852751E-4</v>
      </c>
      <c r="BA55" s="129">
        <f t="shared" si="92"/>
        <v>-4.8710496228718028E-5</v>
      </c>
      <c r="BB55" s="129">
        <f t="shared" si="93"/>
        <v>1.4368694550900198E-2</v>
      </c>
      <c r="BC55" s="129">
        <f t="shared" si="93"/>
        <v>0.20735005815599283</v>
      </c>
      <c r="BD55" s="129"/>
      <c r="BE55" s="129">
        <f t="shared" si="87"/>
        <v>0.95923230443171348</v>
      </c>
      <c r="BF55" s="129">
        <f t="shared" si="88"/>
        <v>4.0601323660381078E-2</v>
      </c>
      <c r="BG55" s="129">
        <f t="shared" si="40"/>
        <v>1.5814924359382093E-4</v>
      </c>
      <c r="BH55" s="129"/>
      <c r="BI55" s="129">
        <f t="shared" si="94"/>
        <v>-9.1828375344344922E-4</v>
      </c>
      <c r="BJ55" s="129">
        <f t="shared" si="95"/>
        <v>2.1817575692495754E-2</v>
      </c>
      <c r="BK55" s="129">
        <f t="shared" si="95"/>
        <v>6.3098209158613449E-3</v>
      </c>
      <c r="BL55" s="129"/>
      <c r="BM55" s="129">
        <f t="shared" si="33"/>
        <v>-3.7308693192021148E-4</v>
      </c>
      <c r="BN55" s="129">
        <f t="shared" si="34"/>
        <v>-3.6407890580970527E-2</v>
      </c>
      <c r="BO55" s="129">
        <f t="shared" si="34"/>
        <v>0</v>
      </c>
      <c r="BP55" s="129"/>
      <c r="BQ55" s="129"/>
      <c r="BR55" s="129">
        <f t="shared" si="96"/>
        <v>1.000262342488754</v>
      </c>
      <c r="BS55" s="129">
        <f t="shared" si="97"/>
        <v>0.75013126938485652</v>
      </c>
      <c r="BT55" s="129">
        <f t="shared" si="98"/>
        <v>0.92681008197110604</v>
      </c>
      <c r="BU55" s="129"/>
      <c r="BV55" s="129">
        <f t="shared" si="99"/>
        <v>0.99938224196998127</v>
      </c>
      <c r="BW55" s="129">
        <f t="shared" si="100"/>
        <v>1.0036368991534488</v>
      </c>
      <c r="BX55" s="129">
        <f t="shared" si="101"/>
        <v>1.0004500924227728</v>
      </c>
      <c r="BY55" s="129"/>
      <c r="BZ55" s="129">
        <f t="shared" si="102"/>
        <v>0.99915828917349359</v>
      </c>
      <c r="CA55" s="129">
        <f t="shared" si="32"/>
        <v>1.050222765373708</v>
      </c>
      <c r="CB55" s="129">
        <f t="shared" si="103"/>
        <v>1.0145285337377807</v>
      </c>
    </row>
    <row r="56" spans="1:80" x14ac:dyDescent="0.2">
      <c r="A56" s="133" t="s">
        <v>664</v>
      </c>
      <c r="B56" s="133">
        <f t="shared" si="89"/>
        <v>1995</v>
      </c>
      <c r="D56" s="5">
        <f>Personal_vehicles!G56</f>
        <v>14210.030201899999</v>
      </c>
      <c r="E56" s="5">
        <f>Buses!G56</f>
        <v>188.68031239782218</v>
      </c>
      <c r="F56" s="5">
        <f>'Passenger-based Energy Use'!$F53</f>
        <v>8.9335299999999993</v>
      </c>
      <c r="G56" s="5">
        <f t="shared" si="49"/>
        <v>14407.644044297822</v>
      </c>
      <c r="H56" s="5"/>
      <c r="I56" s="5">
        <f>Personal_vehicles!L56</f>
        <v>3576279.1000000006</v>
      </c>
      <c r="J56" s="5">
        <f>Buses!L56</f>
        <v>152551.46684221394</v>
      </c>
      <c r="K56" s="5">
        <f>'Passenger-based Activity'!G54</f>
        <v>607</v>
      </c>
      <c r="L56" s="5">
        <f t="shared" si="52"/>
        <v>3729486.5668422147</v>
      </c>
      <c r="N56" s="138">
        <f t="shared" si="78"/>
        <v>3973.4119750049704</v>
      </c>
      <c r="O56" s="138">
        <f t="shared" si="79"/>
        <v>1236.8305353168239</v>
      </c>
      <c r="P56" s="4">
        <f t="shared" si="79"/>
        <v>14717.512355848434</v>
      </c>
      <c r="Q56" s="138">
        <f t="shared" si="80"/>
        <v>3863.1709180539792</v>
      </c>
      <c r="R56" s="129">
        <f>Personal_vehicles!AA56</f>
        <v>0.91790113113892202</v>
      </c>
      <c r="S56" s="129">
        <f>Buses!AA56</f>
        <v>1.1213812385295843</v>
      </c>
      <c r="T56" s="129">
        <f t="shared" si="38"/>
        <v>0.80100993903713424</v>
      </c>
      <c r="U56" s="129"/>
      <c r="V56" s="129">
        <f>Personal_vehicles!Z56</f>
        <v>1.0161186913056044</v>
      </c>
      <c r="W56" s="129">
        <f>Buses!Z56</f>
        <v>0.88781513543691215</v>
      </c>
      <c r="X56" s="129">
        <v>1</v>
      </c>
      <c r="Z56" s="131">
        <f t="shared" si="81"/>
        <v>1.2316106371355204</v>
      </c>
      <c r="AA56" s="131">
        <f t="shared" si="82"/>
        <v>0.93359857557906423</v>
      </c>
      <c r="AB56" s="131">
        <f t="shared" si="14"/>
        <v>1.0002442488252803</v>
      </c>
      <c r="AC56" s="131">
        <f t="shared" si="15"/>
        <v>1.0143490154093777</v>
      </c>
      <c r="AD56" s="131">
        <f t="shared" si="83"/>
        <v>0.92016710888169639</v>
      </c>
      <c r="AE56" s="131">
        <f t="shared" si="16"/>
        <v>1.1498299364977465</v>
      </c>
      <c r="AF56" s="131">
        <f t="shared" si="84"/>
        <v>1.1498299364977458</v>
      </c>
      <c r="AG56" s="131"/>
      <c r="AH56" s="131">
        <f t="shared" si="17"/>
        <v>1.0145967689648157</v>
      </c>
      <c r="AK56" s="134"/>
      <c r="AM56" s="129">
        <f t="shared" si="85"/>
        <v>0.98628409740064105</v>
      </c>
      <c r="AN56" s="129">
        <f t="shared" si="86"/>
        <v>1.3095847719287389E-2</v>
      </c>
      <c r="AO56" s="129">
        <f t="shared" si="39"/>
        <v>6.2005488007150361E-4</v>
      </c>
      <c r="AQ56" s="129">
        <f t="shared" si="90"/>
        <v>0.9862982006968638</v>
      </c>
      <c r="AR56" s="129">
        <f t="shared" si="91"/>
        <v>1.3061430986566222E-2</v>
      </c>
      <c r="AS56" s="129">
        <f t="shared" si="91"/>
        <v>6.4012385219743863E-4</v>
      </c>
      <c r="AT56" s="129">
        <f t="shared" si="74"/>
        <v>0.99999975553562748</v>
      </c>
      <c r="AV56" s="129">
        <f t="shared" si="104"/>
        <v>0.98629844181169346</v>
      </c>
      <c r="AW56" s="129">
        <f t="shared" si="105"/>
        <v>1.3061434179621533E-2</v>
      </c>
      <c r="AX56" s="129">
        <f t="shared" si="106"/>
        <v>6.4012400868495277E-4</v>
      </c>
      <c r="BA56" s="129">
        <f t="shared" si="92"/>
        <v>-7.2603407896414543E-3</v>
      </c>
      <c r="BB56" s="129">
        <f t="shared" si="93"/>
        <v>2.3952563739442498E-3</v>
      </c>
      <c r="BC56" s="129">
        <f t="shared" si="93"/>
        <v>-9.9667870925915641E-2</v>
      </c>
      <c r="BD56" s="129"/>
      <c r="BE56" s="129">
        <f t="shared" si="87"/>
        <v>0.95891995745357084</v>
      </c>
      <c r="BF56" s="129">
        <f t="shared" si="88"/>
        <v>4.0904147020800356E-2</v>
      </c>
      <c r="BG56" s="129">
        <f t="shared" si="40"/>
        <v>1.6275698789121839E-4</v>
      </c>
      <c r="BH56" s="129"/>
      <c r="BI56" s="129">
        <f t="shared" si="94"/>
        <v>-3.2567485606836667E-4</v>
      </c>
      <c r="BJ56" s="129">
        <f t="shared" si="95"/>
        <v>7.4307835116363173E-3</v>
      </c>
      <c r="BK56" s="129">
        <f t="shared" si="95"/>
        <v>2.8719049618501143E-2</v>
      </c>
      <c r="BL56" s="129"/>
      <c r="BM56" s="129">
        <f t="shared" si="33"/>
        <v>-1.8695415563636646E-5</v>
      </c>
      <c r="BN56" s="129">
        <f t="shared" si="34"/>
        <v>-1.2136794148358459E-2</v>
      </c>
      <c r="BO56" s="129">
        <f t="shared" si="34"/>
        <v>0</v>
      </c>
      <c r="BP56" s="129"/>
      <c r="BQ56" s="129"/>
      <c r="BR56" s="129">
        <f t="shared" si="96"/>
        <v>0.99283243329066762</v>
      </c>
      <c r="BS56" s="129">
        <f t="shared" si="97"/>
        <v>0.7447546534707844</v>
      </c>
      <c r="BT56" s="129">
        <f t="shared" si="98"/>
        <v>0.92016710888169639</v>
      </c>
      <c r="BU56" s="129"/>
      <c r="BV56" s="129">
        <f t="shared" si="99"/>
        <v>0.99979424900946912</v>
      </c>
      <c r="BW56" s="129">
        <f t="shared" si="100"/>
        <v>1.0034303998673146</v>
      </c>
      <c r="BX56" s="129">
        <f t="shared" si="101"/>
        <v>1.0002442488252803</v>
      </c>
      <c r="BY56" s="129"/>
      <c r="BZ56" s="129">
        <f t="shared" si="102"/>
        <v>0.99982305245990311</v>
      </c>
      <c r="CA56" s="129">
        <f t="shared" si="32"/>
        <v>1.0500369310388213</v>
      </c>
      <c r="CB56" s="129">
        <f t="shared" si="103"/>
        <v>1.0143490154093777</v>
      </c>
    </row>
    <row r="57" spans="1:80" x14ac:dyDescent="0.2">
      <c r="A57" s="133" t="s">
        <v>664</v>
      </c>
      <c r="B57" s="133">
        <f t="shared" si="89"/>
        <v>1996</v>
      </c>
      <c r="D57" s="5">
        <f>Personal_vehicles!G57</f>
        <v>14574.850696867401</v>
      </c>
      <c r="E57" s="5">
        <f>Buses!G57</f>
        <v>193.54653389647694</v>
      </c>
      <c r="F57" s="5">
        <f>'Passenger-based Energy Use'!$F54</f>
        <v>9.4564500000000002</v>
      </c>
      <c r="G57" s="5">
        <f t="shared" si="49"/>
        <v>14777.853680763877</v>
      </c>
      <c r="H57" s="5"/>
      <c r="I57" s="5">
        <f>Personal_vehicles!L57</f>
        <v>3678123.9300000006</v>
      </c>
      <c r="J57" s="5">
        <f>Buses!L57</f>
        <v>156402.81612789549</v>
      </c>
      <c r="K57" s="5">
        <f>'Passenger-based Activity'!G55</f>
        <v>656</v>
      </c>
      <c r="L57" s="5">
        <f t="shared" si="52"/>
        <v>3835280.746127896</v>
      </c>
      <c r="N57" s="138">
        <f t="shared" si="78"/>
        <v>3962.5773829941063</v>
      </c>
      <c r="O57" s="138">
        <f t="shared" si="79"/>
        <v>1237.4875254049637</v>
      </c>
      <c r="P57" s="4">
        <f t="shared" si="79"/>
        <v>14415.320121951221</v>
      </c>
      <c r="Q57" s="138">
        <f t="shared" si="80"/>
        <v>3853.1347922009659</v>
      </c>
      <c r="R57" s="129">
        <f>Personal_vehicles!AA57</f>
        <v>0.91423624988444629</v>
      </c>
      <c r="S57" s="129">
        <f>Buses!AA57</f>
        <v>1.1260904098347251</v>
      </c>
      <c r="T57" s="129">
        <f t="shared" si="38"/>
        <v>0.78456293515503372</v>
      </c>
      <c r="U57" s="129"/>
      <c r="V57" s="129">
        <f>Personal_vehicles!Z57</f>
        <v>1.0174101549007095</v>
      </c>
      <c r="W57" s="129">
        <f>Buses!Z57</f>
        <v>0.88457202694192705</v>
      </c>
      <c r="X57" s="129">
        <v>1</v>
      </c>
      <c r="Z57" s="131">
        <f t="shared" si="81"/>
        <v>1.2665476812084775</v>
      </c>
      <c r="AA57" s="131">
        <f t="shared" si="82"/>
        <v>0.93117318125935722</v>
      </c>
      <c r="AB57" s="131">
        <f t="shared" si="14"/>
        <v>1.0003421300927657</v>
      </c>
      <c r="AC57" s="131">
        <f t="shared" si="15"/>
        <v>1.015571847186207</v>
      </c>
      <c r="AD57" s="131">
        <f t="shared" si="83"/>
        <v>0.91658183557458872</v>
      </c>
      <c r="AE57" s="131">
        <f t="shared" si="16"/>
        <v>1.1793752335275614</v>
      </c>
      <c r="AF57" s="131">
        <f t="shared" si="84"/>
        <v>1.1793752335275602</v>
      </c>
      <c r="AG57" s="131"/>
      <c r="AH57" s="131">
        <f t="shared" si="17"/>
        <v>1.015919304876495</v>
      </c>
      <c r="AK57" s="134"/>
      <c r="AM57" s="129">
        <f t="shared" si="85"/>
        <v>0.98626302653404108</v>
      </c>
      <c r="AN57" s="129">
        <f t="shared" si="86"/>
        <v>1.3097066602331685E-2</v>
      </c>
      <c r="AO57" s="129">
        <f t="shared" si="39"/>
        <v>6.3990686362724836E-4</v>
      </c>
      <c r="AQ57" s="129">
        <f t="shared" si="90"/>
        <v>0.98627356193002158</v>
      </c>
      <c r="AR57" s="129">
        <f t="shared" si="91"/>
        <v>1.3096457151354745E-2</v>
      </c>
      <c r="AS57" s="129">
        <f t="shared" si="91"/>
        <v>6.2992873701985983E-4</v>
      </c>
      <c r="AT57" s="129">
        <f t="shared" si="74"/>
        <v>0.99999994781839618</v>
      </c>
      <c r="AV57" s="129">
        <f t="shared" si="104"/>
        <v>0.98627361339536057</v>
      </c>
      <c r="AW57" s="129">
        <f t="shared" si="105"/>
        <v>1.309645783474892E-2</v>
      </c>
      <c r="AX57" s="129">
        <f t="shared" si="106"/>
        <v>6.299287698905533E-4</v>
      </c>
      <c r="BA57" s="129">
        <f t="shared" si="92"/>
        <v>-4.0006673959858624E-3</v>
      </c>
      <c r="BB57" s="129">
        <f t="shared" si="93"/>
        <v>4.1906452526287545E-3</v>
      </c>
      <c r="BC57" s="129">
        <f t="shared" si="93"/>
        <v>-2.0746563052422937E-2</v>
      </c>
      <c r="BD57" s="129"/>
      <c r="BE57" s="129">
        <f t="shared" si="87"/>
        <v>0.95902338667474052</v>
      </c>
      <c r="BF57" s="129">
        <f t="shared" si="88"/>
        <v>4.0780017547815753E-2</v>
      </c>
      <c r="BG57" s="129">
        <f t="shared" si="40"/>
        <v>1.7104354111815631E-4</v>
      </c>
      <c r="BH57" s="129"/>
      <c r="BI57" s="129">
        <f t="shared" si="94"/>
        <v>1.0785430298195146E-4</v>
      </c>
      <c r="BJ57" s="129">
        <f t="shared" si="95"/>
        <v>-3.0392566096410609E-3</v>
      </c>
      <c r="BK57" s="129">
        <f t="shared" si="95"/>
        <v>4.9659933994308902E-2</v>
      </c>
      <c r="BL57" s="129"/>
      <c r="BM57" s="129">
        <f t="shared" si="33"/>
        <v>1.2701700997694815E-3</v>
      </c>
      <c r="BN57" s="129">
        <f t="shared" si="34"/>
        <v>-3.6595978387904816E-3</v>
      </c>
      <c r="BO57" s="129">
        <f t="shared" si="34"/>
        <v>0</v>
      </c>
      <c r="BP57" s="129"/>
      <c r="BQ57" s="129"/>
      <c r="BR57" s="129">
        <f t="shared" si="96"/>
        <v>0.99610367152607215</v>
      </c>
      <c r="BS57" s="129">
        <f t="shared" si="97"/>
        <v>0.74185284470837587</v>
      </c>
      <c r="BT57" s="129">
        <f t="shared" si="98"/>
        <v>0.91658183557458872</v>
      </c>
      <c r="BU57" s="129"/>
      <c r="BV57" s="129">
        <f t="shared" si="99"/>
        <v>1.0000978573659387</v>
      </c>
      <c r="BW57" s="129">
        <f t="shared" si="100"/>
        <v>1.0035285929231486</v>
      </c>
      <c r="BX57" s="129">
        <f t="shared" si="101"/>
        <v>1.0003421300927657</v>
      </c>
      <c r="BY57" s="129"/>
      <c r="BZ57" s="129">
        <f t="shared" si="102"/>
        <v>1.0012055335572398</v>
      </c>
      <c r="CA57" s="129">
        <f t="shared" si="32"/>
        <v>1.0513027857955297</v>
      </c>
      <c r="CB57" s="129">
        <f t="shared" si="103"/>
        <v>1.015571847186207</v>
      </c>
    </row>
    <row r="58" spans="1:80" x14ac:dyDescent="0.2">
      <c r="A58" s="133" t="s">
        <v>664</v>
      </c>
      <c r="B58" s="133">
        <f t="shared" si="89"/>
        <v>1997</v>
      </c>
      <c r="D58" s="5">
        <f>Personal_vehicles!G58</f>
        <v>14907.662588399999</v>
      </c>
      <c r="E58" s="5">
        <f>Buses!G58</f>
        <v>197.38279360127157</v>
      </c>
      <c r="F58" s="5">
        <f>'Passenger-based Energy Use'!$F55</f>
        <v>9.4786000000000001</v>
      </c>
      <c r="G58" s="5">
        <f t="shared" si="49"/>
        <v>15114.52398200127</v>
      </c>
      <c r="H58" s="5"/>
      <c r="I58" s="5">
        <f>Personal_vehicles!L58</f>
        <v>3795365.100000001</v>
      </c>
      <c r="J58" s="5">
        <f>Buses!L58</f>
        <v>156671.28748178051</v>
      </c>
      <c r="K58" s="5">
        <f>'Passenger-based Activity'!G56</f>
        <v>754</v>
      </c>
      <c r="L58" s="5">
        <f t="shared" si="52"/>
        <v>3952771.3874817817</v>
      </c>
      <c r="N58" s="138">
        <f t="shared" si="78"/>
        <v>3927.8599543427313</v>
      </c>
      <c r="O58" s="138">
        <f t="shared" si="79"/>
        <v>1259.8530131069833</v>
      </c>
      <c r="P58" s="4">
        <f t="shared" si="79"/>
        <v>12571.087533156498</v>
      </c>
      <c r="Q58" s="138">
        <f t="shared" si="80"/>
        <v>3823.778938966258</v>
      </c>
      <c r="R58" s="129">
        <f>Personal_vehicles!AA58</f>
        <v>0.90478101869325278</v>
      </c>
      <c r="S58" s="129">
        <f>Buses!AA58</f>
        <v>1.1332911474608496</v>
      </c>
      <c r="T58" s="129">
        <f t="shared" si="38"/>
        <v>0.68418940749607926</v>
      </c>
      <c r="U58" s="129"/>
      <c r="V58" s="129">
        <f>Personal_vehicles!Z58</f>
        <v>1.01903538049654</v>
      </c>
      <c r="W58" s="129">
        <f>Buses!Z58</f>
        <v>0.89483716718765161</v>
      </c>
      <c r="X58" s="129">
        <v>1</v>
      </c>
      <c r="Z58" s="131">
        <f t="shared" si="81"/>
        <v>1.3053473178506443</v>
      </c>
      <c r="AA58" s="131">
        <f t="shared" si="82"/>
        <v>0.92407885813822621</v>
      </c>
      <c r="AB58" s="131">
        <f t="shared" si="14"/>
        <v>1.0012266954096507</v>
      </c>
      <c r="AC58" s="131">
        <f t="shared" si="15"/>
        <v>1.0173253700411751</v>
      </c>
      <c r="AD58" s="131">
        <f t="shared" si="83"/>
        <v>0.9072286122586829</v>
      </c>
      <c r="AE58" s="131">
        <f t="shared" si="16"/>
        <v>1.2062438589532201</v>
      </c>
      <c r="AF58" s="131">
        <f t="shared" si="84"/>
        <v>1.2062438589532196</v>
      </c>
      <c r="AG58" s="131"/>
      <c r="AH58" s="131">
        <f t="shared" si="17"/>
        <v>1.0185733184027257</v>
      </c>
      <c r="AK58" s="134"/>
      <c r="AM58" s="129">
        <f t="shared" si="85"/>
        <v>0.98631373413760126</v>
      </c>
      <c r="AN58" s="129">
        <f t="shared" si="86"/>
        <v>1.3059147204127609E-2</v>
      </c>
      <c r="AO58" s="129">
        <f t="shared" si="39"/>
        <v>6.2711865827116617E-4</v>
      </c>
      <c r="AQ58" s="129">
        <f t="shared" si="90"/>
        <v>0.98628838011738873</v>
      </c>
      <c r="AR58" s="129">
        <f t="shared" si="91"/>
        <v>1.3078097741088446E-2</v>
      </c>
      <c r="AS58" s="129">
        <f t="shared" si="91"/>
        <v>6.3349124827559585E-4</v>
      </c>
      <c r="AT58" s="129">
        <f t="shared" si="74"/>
        <v>0.99999996910675282</v>
      </c>
      <c r="AV58" s="129">
        <f t="shared" si="104"/>
        <v>0.98628841058704042</v>
      </c>
      <c r="AW58" s="129">
        <f t="shared" si="105"/>
        <v>1.3078098145113366E-2</v>
      </c>
      <c r="AX58" s="129">
        <f t="shared" si="106"/>
        <v>6.3349126784619815E-4</v>
      </c>
      <c r="BA58" s="129">
        <f t="shared" si="92"/>
        <v>-1.0396071013887117E-2</v>
      </c>
      <c r="BB58" s="129">
        <f t="shared" si="93"/>
        <v>6.3741000123193276E-3</v>
      </c>
      <c r="BC58" s="129">
        <f t="shared" si="93"/>
        <v>-0.13689200139141353</v>
      </c>
      <c r="BD58" s="129"/>
      <c r="BE58" s="129">
        <f t="shared" si="87"/>
        <v>0.96017824658914552</v>
      </c>
      <c r="BF58" s="129">
        <f t="shared" si="88"/>
        <v>3.9635807924017614E-2</v>
      </c>
      <c r="BG58" s="129">
        <f t="shared" si="40"/>
        <v>1.907522409183284E-4</v>
      </c>
      <c r="BH58" s="129"/>
      <c r="BI58" s="129">
        <f t="shared" si="94"/>
        <v>1.2034796488047987E-3</v>
      </c>
      <c r="BJ58" s="129">
        <f t="shared" si="95"/>
        <v>-2.845924526390518E-2</v>
      </c>
      <c r="BK58" s="129">
        <f t="shared" si="95"/>
        <v>0.10905726751630843</v>
      </c>
      <c r="BL58" s="129"/>
      <c r="BM58" s="129">
        <f t="shared" si="33"/>
        <v>1.5961398550805514E-3</v>
      </c>
      <c r="BN58" s="129">
        <f t="shared" si="34"/>
        <v>1.1537822952834478E-2</v>
      </c>
      <c r="BO58" s="129">
        <f t="shared" si="34"/>
        <v>0</v>
      </c>
      <c r="BP58" s="129"/>
      <c r="BQ58" s="129"/>
      <c r="BR58" s="129">
        <f t="shared" si="96"/>
        <v>0.98979553930387199</v>
      </c>
      <c r="BS58" s="129">
        <f t="shared" si="97"/>
        <v>0.73428263651223846</v>
      </c>
      <c r="BT58" s="129">
        <f t="shared" si="98"/>
        <v>0.9072286122586829</v>
      </c>
      <c r="BU58" s="129"/>
      <c r="BV58" s="129">
        <f t="shared" si="99"/>
        <v>1.0008842627839769</v>
      </c>
      <c r="BW58" s="129">
        <f t="shared" si="100"/>
        <v>1.0044159759105271</v>
      </c>
      <c r="BX58" s="129">
        <f t="shared" si="101"/>
        <v>1.0012266954096507</v>
      </c>
      <c r="BY58" s="129"/>
      <c r="BZ58" s="129">
        <f t="shared" si="102"/>
        <v>1.0017266359439034</v>
      </c>
      <c r="CA58" s="129">
        <f t="shared" si="32"/>
        <v>1.0531180029734102</v>
      </c>
      <c r="CB58" s="129">
        <f t="shared" si="103"/>
        <v>1.0173253700411751</v>
      </c>
    </row>
    <row r="59" spans="1:80" x14ac:dyDescent="0.2">
      <c r="A59" s="133" t="s">
        <v>664</v>
      </c>
      <c r="B59" s="133">
        <f t="shared" si="89"/>
        <v>1998</v>
      </c>
      <c r="D59" s="5">
        <f>Personal_vehicles!G59</f>
        <v>15267.204049700002</v>
      </c>
      <c r="E59" s="5">
        <f>Buses!G59</f>
        <v>201.51596953306802</v>
      </c>
      <c r="F59" s="5">
        <f>'Passenger-based Energy Use'!$F56</f>
        <v>9.8049400000000002</v>
      </c>
      <c r="G59" s="5">
        <f t="shared" si="49"/>
        <v>15478.524959233069</v>
      </c>
      <c r="H59" s="5"/>
      <c r="I59" s="5">
        <f>Personal_vehicles!L59</f>
        <v>3908727.3450000007</v>
      </c>
      <c r="J59" s="5">
        <f>Buses!L59</f>
        <v>160794.03617829512</v>
      </c>
      <c r="K59" s="5">
        <f>'Passenger-based Activity'!G57</f>
        <v>735</v>
      </c>
      <c r="L59" s="5">
        <f t="shared" si="52"/>
        <v>4070334.3811782957</v>
      </c>
      <c r="N59" s="138">
        <f t="shared" si="78"/>
        <v>3905.9270965086971</v>
      </c>
      <c r="O59" s="138">
        <f t="shared" si="79"/>
        <v>1253.2552470392541</v>
      </c>
      <c r="P59" s="4">
        <f t="shared" si="79"/>
        <v>13340.054421768707</v>
      </c>
      <c r="Q59" s="138">
        <f t="shared" si="80"/>
        <v>3802.7649597555392</v>
      </c>
      <c r="R59" s="129">
        <f>Personal_vehicles!AA59</f>
        <v>0.89952277931114255</v>
      </c>
      <c r="S59" s="129">
        <f>Buses!AA59</f>
        <v>1.1191970201656576</v>
      </c>
      <c r="T59" s="129">
        <f t="shared" si="38"/>
        <v>0.72604091783804781</v>
      </c>
      <c r="U59" s="129"/>
      <c r="V59" s="129">
        <f>Personal_vehicles!Z59</f>
        <v>1.0192687660636162</v>
      </c>
      <c r="W59" s="129">
        <f>Buses!Z59</f>
        <v>0.9013606988272459</v>
      </c>
      <c r="X59" s="129">
        <v>1</v>
      </c>
      <c r="Z59" s="131">
        <f t="shared" si="81"/>
        <v>1.3441708478393095</v>
      </c>
      <c r="AA59" s="131">
        <f t="shared" si="82"/>
        <v>0.91900048561096104</v>
      </c>
      <c r="AB59" s="131">
        <f t="shared" si="14"/>
        <v>1.0012700577182265</v>
      </c>
      <c r="AC59" s="131">
        <f t="shared" si="15"/>
        <v>1.0176515586519197</v>
      </c>
      <c r="AD59" s="131">
        <f t="shared" si="83"/>
        <v>0.90191458427803439</v>
      </c>
      <c r="AE59" s="131">
        <f t="shared" si="16"/>
        <v>1.2352936619084236</v>
      </c>
      <c r="AF59" s="131">
        <f t="shared" si="84"/>
        <v>1.2352936619084227</v>
      </c>
      <c r="AG59" s="131"/>
      <c r="AH59" s="131">
        <f t="shared" si="17"/>
        <v>1.0189440348684509</v>
      </c>
      <c r="AK59" s="134"/>
      <c r="AM59" s="129">
        <f t="shared" si="85"/>
        <v>0.98634747754778707</v>
      </c>
      <c r="AN59" s="129">
        <f t="shared" si="86"/>
        <v>1.3019068035475955E-2</v>
      </c>
      <c r="AO59" s="129">
        <f t="shared" si="39"/>
        <v>6.3345441673699483E-4</v>
      </c>
      <c r="AQ59" s="129">
        <f t="shared" si="90"/>
        <v>0.98633060574373388</v>
      </c>
      <c r="AR59" s="129">
        <f t="shared" si="91"/>
        <v>1.3039097353628903E-2</v>
      </c>
      <c r="AS59" s="129">
        <f t="shared" si="91"/>
        <v>6.3028123011565017E-4</v>
      </c>
      <c r="AT59" s="129">
        <f t="shared" si="74"/>
        <v>0.99999998432747839</v>
      </c>
      <c r="AV59" s="129">
        <f t="shared" si="104"/>
        <v>0.98633062120202186</v>
      </c>
      <c r="AW59" s="129">
        <f t="shared" si="105"/>
        <v>1.3039097557984441E-2</v>
      </c>
      <c r="AX59" s="129">
        <f t="shared" si="106"/>
        <v>6.3028123999374656E-4</v>
      </c>
      <c r="BA59" s="129">
        <f t="shared" si="92"/>
        <v>-5.8285686413633245E-3</v>
      </c>
      <c r="BB59" s="129">
        <f t="shared" si="93"/>
        <v>-1.2514437535107307E-2</v>
      </c>
      <c r="BC59" s="129">
        <f t="shared" si="93"/>
        <v>5.9371583061461133E-2</v>
      </c>
      <c r="BD59" s="129"/>
      <c r="BE59" s="129">
        <f t="shared" si="87"/>
        <v>0.96029637345629759</v>
      </c>
      <c r="BF59" s="129">
        <f t="shared" si="88"/>
        <v>3.9503888653921321E-2</v>
      </c>
      <c r="BG59" s="129">
        <f t="shared" si="40"/>
        <v>1.8057484500505076E-4</v>
      </c>
      <c r="BH59" s="129"/>
      <c r="BI59" s="129">
        <f t="shared" si="94"/>
        <v>1.2301841020772417E-4</v>
      </c>
      <c r="BJ59" s="129">
        <f t="shared" si="95"/>
        <v>-3.3338361905565746E-3</v>
      </c>
      <c r="BK59" s="129">
        <f t="shared" si="95"/>
        <v>-5.483007243371571E-2</v>
      </c>
      <c r="BL59" s="129"/>
      <c r="BM59" s="129">
        <f t="shared" si="33"/>
        <v>2.2899974813867815E-4</v>
      </c>
      <c r="BN59" s="129">
        <f t="shared" si="34"/>
        <v>7.2637435394660756E-3</v>
      </c>
      <c r="BO59" s="129">
        <f t="shared" si="34"/>
        <v>0</v>
      </c>
      <c r="BP59" s="129"/>
      <c r="BQ59" s="129"/>
      <c r="BR59" s="129">
        <f t="shared" si="96"/>
        <v>0.99414257012086682</v>
      </c>
      <c r="BS59" s="129">
        <f t="shared" si="97"/>
        <v>0.72998162745740303</v>
      </c>
      <c r="BT59" s="129">
        <f t="shared" si="98"/>
        <v>0.90191458427803439</v>
      </c>
      <c r="BU59" s="129"/>
      <c r="BV59" s="129">
        <f t="shared" si="99"/>
        <v>1.0000433091814016</v>
      </c>
      <c r="BW59" s="129">
        <f t="shared" si="100"/>
        <v>1.0044594763442305</v>
      </c>
      <c r="BX59" s="129">
        <f t="shared" si="101"/>
        <v>1.0012700577182265</v>
      </c>
      <c r="BY59" s="129"/>
      <c r="BZ59" s="129">
        <f t="shared" si="102"/>
        <v>1.000320633516425</v>
      </c>
      <c r="CA59" s="129">
        <f t="shared" si="32"/>
        <v>1.053455667901914</v>
      </c>
      <c r="CB59" s="129">
        <f t="shared" si="103"/>
        <v>1.0176515586519197</v>
      </c>
    </row>
    <row r="60" spans="1:80" x14ac:dyDescent="0.2">
      <c r="A60" s="133" t="s">
        <v>664</v>
      </c>
      <c r="B60" s="133">
        <f t="shared" si="89"/>
        <v>1999</v>
      </c>
      <c r="D60" s="5">
        <f>Personal_vehicles!G60</f>
        <v>15762.2969799032</v>
      </c>
      <c r="E60" s="5">
        <f>Buses!G60</f>
        <v>205.56426610366182</v>
      </c>
      <c r="F60" s="5">
        <f>'Passenger-based Energy Use'!$F57</f>
        <v>10.14326</v>
      </c>
      <c r="G60" s="5">
        <f t="shared" si="49"/>
        <v>15978.004506006862</v>
      </c>
      <c r="H60" s="5"/>
      <c r="I60" s="5">
        <f>Personal_vehicles!L60</f>
        <v>4004537.3600000008</v>
      </c>
      <c r="J60" s="5">
        <f>Buses!L60</f>
        <v>165146.25968000456</v>
      </c>
      <c r="K60" s="5">
        <f>'Passenger-based Activity'!G58</f>
        <v>813</v>
      </c>
      <c r="L60" s="5">
        <f t="shared" si="52"/>
        <v>4170522.6196800051</v>
      </c>
      <c r="N60" s="138">
        <f t="shared" si="78"/>
        <v>3936.1093586858674</v>
      </c>
      <c r="O60" s="138">
        <f t="shared" si="79"/>
        <v>1244.740671099504</v>
      </c>
      <c r="P60" s="4">
        <f t="shared" si="79"/>
        <v>12476.334563345632</v>
      </c>
      <c r="Q60" s="138">
        <f t="shared" si="80"/>
        <v>3831.1756014963944</v>
      </c>
      <c r="R60" s="129">
        <f>Personal_vehicles!AA60</f>
        <v>0.90496885243242275</v>
      </c>
      <c r="S60" s="129">
        <f>Buses!AA60</f>
        <v>1.1033189441849904</v>
      </c>
      <c r="T60" s="129">
        <f t="shared" si="38"/>
        <v>0.67903241705253936</v>
      </c>
      <c r="U60" s="129"/>
      <c r="V60" s="129">
        <f>Personal_vehicles!Z60</f>
        <v>1.0209636344803736</v>
      </c>
      <c r="W60" s="129">
        <f>Buses!Z60</f>
        <v>0.90812041001711619</v>
      </c>
      <c r="X60" s="129">
        <v>1</v>
      </c>
      <c r="Z60" s="131">
        <f t="shared" si="81"/>
        <v>1.3772566085849376</v>
      </c>
      <c r="AA60" s="131">
        <f t="shared" si="82"/>
        <v>0.92586638288115242</v>
      </c>
      <c r="AB60" s="131">
        <f t="shared" si="14"/>
        <v>1.0012508974759686</v>
      </c>
      <c r="AC60" s="131">
        <f t="shared" si="15"/>
        <v>1.0194193152676088</v>
      </c>
      <c r="AD60" s="131">
        <f t="shared" si="83"/>
        <v>0.90709451159588406</v>
      </c>
      <c r="AE60" s="131">
        <f t="shared" si="16"/>
        <v>1.2751555944897</v>
      </c>
      <c r="AF60" s="131">
        <f t="shared" si="84"/>
        <v>1.2751555944896993</v>
      </c>
      <c r="AG60" s="131"/>
      <c r="AH60" s="131">
        <f t="shared" si="17"/>
        <v>1.0206945043160307</v>
      </c>
      <c r="AK60" s="134"/>
      <c r="AM60" s="129">
        <f t="shared" si="85"/>
        <v>0.98649972053628043</v>
      </c>
      <c r="AN60" s="129">
        <f t="shared" si="86"/>
        <v>1.2865453006123562E-2</v>
      </c>
      <c r="AO60" s="129">
        <f t="shared" si="39"/>
        <v>6.3482645759592102E-4</v>
      </c>
      <c r="AQ60" s="129">
        <f t="shared" si="90"/>
        <v>0.98642359708363414</v>
      </c>
      <c r="AR60" s="129">
        <f t="shared" si="91"/>
        <v>1.2942108578004537E-2</v>
      </c>
      <c r="AS60" s="129">
        <f t="shared" si="91"/>
        <v>6.3414018978481064E-4</v>
      </c>
      <c r="AT60" s="129">
        <f t="shared" si="74"/>
        <v>0.99999984585142343</v>
      </c>
      <c r="AV60" s="129">
        <f t="shared" si="104"/>
        <v>0.98642374913945097</v>
      </c>
      <c r="AW60" s="129">
        <f t="shared" si="105"/>
        <v>1.294211057301246E-2</v>
      </c>
      <c r="AX60" s="129">
        <f t="shared" si="106"/>
        <v>6.3414028753663333E-4</v>
      </c>
      <c r="BA60" s="129">
        <f t="shared" si="92"/>
        <v>6.0361484211343547E-3</v>
      </c>
      <c r="BB60" s="129">
        <f t="shared" si="93"/>
        <v>-1.428862278580734E-2</v>
      </c>
      <c r="BC60" s="129">
        <f t="shared" si="93"/>
        <v>-6.6937505130576433E-2</v>
      </c>
      <c r="BD60" s="129"/>
      <c r="BE60" s="129">
        <f t="shared" si="87"/>
        <v>0.96020036939813069</v>
      </c>
      <c r="BF60" s="129">
        <f t="shared" si="88"/>
        <v>3.9598456773908074E-2</v>
      </c>
      <c r="BG60" s="129">
        <f t="shared" si="40"/>
        <v>1.9493959729737173E-4</v>
      </c>
      <c r="BH60" s="129"/>
      <c r="BI60" s="129">
        <f t="shared" si="94"/>
        <v>-9.997836091529152E-5</v>
      </c>
      <c r="BJ60" s="129">
        <f t="shared" si="95"/>
        <v>2.3910331490023524E-3</v>
      </c>
      <c r="BK60" s="129">
        <f t="shared" si="95"/>
        <v>7.6544407534209213E-2</v>
      </c>
      <c r="BL60" s="129"/>
      <c r="BM60" s="129">
        <f t="shared" si="33"/>
        <v>1.6614468098658788E-3</v>
      </c>
      <c r="BN60" s="129">
        <f t="shared" si="34"/>
        <v>7.4714708015950985E-3</v>
      </c>
      <c r="BO60" s="129">
        <f t="shared" si="34"/>
        <v>0</v>
      </c>
      <c r="BP60" s="129"/>
      <c r="BQ60" s="129"/>
      <c r="BR60" s="129">
        <f t="shared" si="96"/>
        <v>1.0057432570757197</v>
      </c>
      <c r="BS60" s="129">
        <f t="shared" si="97"/>
        <v>0.73417409960444313</v>
      </c>
      <c r="BT60" s="129">
        <f t="shared" si="98"/>
        <v>0.90709451159588406</v>
      </c>
      <c r="BU60" s="129"/>
      <c r="BV60" s="129">
        <f t="shared" si="99"/>
        <v>0.99998086406148867</v>
      </c>
      <c r="BW60" s="129">
        <f t="shared" si="100"/>
        <v>1.004440255069454</v>
      </c>
      <c r="BX60" s="129">
        <f t="shared" si="101"/>
        <v>1.0012508974759686</v>
      </c>
      <c r="BY60" s="129"/>
      <c r="BZ60" s="129">
        <f t="shared" si="102"/>
        <v>1.0017370941956112</v>
      </c>
      <c r="CA60" s="129">
        <f t="shared" si="32"/>
        <v>1.0552856196279601</v>
      </c>
      <c r="CB60" s="129">
        <f t="shared" si="103"/>
        <v>1.0194193152676088</v>
      </c>
    </row>
    <row r="61" spans="1:80" x14ac:dyDescent="0.2">
      <c r="A61" s="133" t="s">
        <v>664</v>
      </c>
      <c r="B61" s="133">
        <f t="shared" si="89"/>
        <v>2000</v>
      </c>
      <c r="D61" s="5">
        <f>Personal_vehicles!G61</f>
        <v>15733.4395637</v>
      </c>
      <c r="E61" s="5">
        <f>Buses!G61</f>
        <v>213.39446047339754</v>
      </c>
      <c r="F61" s="5">
        <f>'Passenger-based Energy Use'!$F58</f>
        <v>10.407120000000001</v>
      </c>
      <c r="G61" s="5">
        <f t="shared" si="49"/>
        <v>15957.241144173397</v>
      </c>
      <c r="H61" s="5"/>
      <c r="I61" s="5">
        <f>Personal_vehicles!L61</f>
        <v>4101168.225000001</v>
      </c>
      <c r="J61" s="5">
        <f>Buses!L61</f>
        <v>171811.67354215085</v>
      </c>
      <c r="K61" s="5">
        <f>'Passenger-based Activity'!G59</f>
        <v>839</v>
      </c>
      <c r="L61" s="5">
        <f t="shared" si="52"/>
        <v>4273834.8985421518</v>
      </c>
      <c r="N61" s="138">
        <f t="shared" si="78"/>
        <v>3836.3311867559387</v>
      </c>
      <c r="O61" s="138">
        <f t="shared" si="79"/>
        <v>1242.0253878793931</v>
      </c>
      <c r="P61" s="4">
        <f t="shared" si="79"/>
        <v>12404.19547079857</v>
      </c>
      <c r="Q61" s="138">
        <f t="shared" si="80"/>
        <v>3733.7055649053204</v>
      </c>
      <c r="R61" s="129">
        <f>Personal_vehicles!AA61</f>
        <v>0.88132805377972812</v>
      </c>
      <c r="S61" s="129">
        <f>Buses!AA61</f>
        <v>1.1150969843033565</v>
      </c>
      <c r="T61" s="129">
        <f t="shared" si="38"/>
        <v>0.67510620121346421</v>
      </c>
      <c r="U61" s="129"/>
      <c r="V61" s="129">
        <f>Personal_vehicles!Z61</f>
        <v>1.0217749395133924</v>
      </c>
      <c r="W61" s="129">
        <f>Buses!Z61</f>
        <v>0.89656847367565207</v>
      </c>
      <c r="X61" s="129">
        <v>1</v>
      </c>
      <c r="Z61" s="131">
        <f t="shared" si="81"/>
        <v>1.4113740398486911</v>
      </c>
      <c r="AA61" s="131">
        <f t="shared" si="82"/>
        <v>0.90231115085716918</v>
      </c>
      <c r="AB61" s="131">
        <f t="shared" si="14"/>
        <v>1.0008352709632664</v>
      </c>
      <c r="AC61" s="131">
        <f t="shared" si="15"/>
        <v>1.0200469252071713</v>
      </c>
      <c r="AD61" s="131">
        <f t="shared" si="83"/>
        <v>0.88383983449271231</v>
      </c>
      <c r="AE61" s="131">
        <f t="shared" si="16"/>
        <v>1.2734985341858056</v>
      </c>
      <c r="AF61" s="131">
        <f t="shared" si="84"/>
        <v>1.2734985341858045</v>
      </c>
      <c r="AG61" s="131"/>
      <c r="AH61" s="131">
        <f t="shared" si="17"/>
        <v>1.020898940784966</v>
      </c>
      <c r="AK61" s="134"/>
      <c r="AM61" s="129">
        <f t="shared" si="85"/>
        <v>0.98597492019758592</v>
      </c>
      <c r="AN61" s="129">
        <f t="shared" si="86"/>
        <v>1.3372891876821457E-2</v>
      </c>
      <c r="AO61" s="129">
        <f t="shared" si="39"/>
        <v>6.5218792559264174E-4</v>
      </c>
      <c r="AQ61" s="129">
        <f t="shared" ref="AQ61:AR65" si="107">(AM61-AM60)/LN(AM61/AM60)</f>
        <v>0.98623729709531216</v>
      </c>
      <c r="AR61" s="129">
        <f t="shared" si="107"/>
        <v>1.3117536668231759E-2</v>
      </c>
      <c r="AS61" s="129">
        <f t="shared" si="91"/>
        <v>6.434681561332075E-4</v>
      </c>
      <c r="AT61" s="129">
        <f t="shared" si="74"/>
        <v>0.9999983019196772</v>
      </c>
      <c r="AV61" s="129">
        <f t="shared" si="104"/>
        <v>0.98623897180830378</v>
      </c>
      <c r="AW61" s="129">
        <f t="shared" si="105"/>
        <v>1.3117558942900483E-2</v>
      </c>
      <c r="AX61" s="129">
        <f t="shared" si="106"/>
        <v>6.4346924879567723E-4</v>
      </c>
      <c r="BA61" s="129">
        <f t="shared" si="92"/>
        <v>-2.6470604036718078E-2</v>
      </c>
      <c r="BB61" s="129">
        <f t="shared" si="93"/>
        <v>1.0618523455761489E-2</v>
      </c>
      <c r="BC61" s="129">
        <f t="shared" si="93"/>
        <v>-5.7988551367711789E-3</v>
      </c>
      <c r="BD61" s="129"/>
      <c r="BE61" s="129">
        <f t="shared" si="87"/>
        <v>0.95959912405576331</v>
      </c>
      <c r="BF61" s="129">
        <f t="shared" si="88"/>
        <v>4.020082142170666E-2</v>
      </c>
      <c r="BG61" s="129">
        <f t="shared" si="40"/>
        <v>1.9631081216688818E-4</v>
      </c>
      <c r="BH61" s="129"/>
      <c r="BI61" s="129">
        <f t="shared" si="94"/>
        <v>-6.2636266347057675E-4</v>
      </c>
      <c r="BJ61" s="129">
        <f t="shared" si="95"/>
        <v>1.5097281646790197E-2</v>
      </c>
      <c r="BK61" s="129">
        <f t="shared" si="95"/>
        <v>7.0094264468986813E-3</v>
      </c>
      <c r="BL61" s="129"/>
      <c r="BM61" s="129">
        <f t="shared" si="33"/>
        <v>7.9433079299140463E-4</v>
      </c>
      <c r="BN61" s="129">
        <f t="shared" si="34"/>
        <v>-1.2802310941029311E-2</v>
      </c>
      <c r="BO61" s="129">
        <f t="shared" si="34"/>
        <v>0</v>
      </c>
      <c r="BP61" s="129"/>
      <c r="BQ61" s="129"/>
      <c r="BR61" s="129">
        <f t="shared" si="96"/>
        <v>0.97436355660199192</v>
      </c>
      <c r="BS61" s="129">
        <f t="shared" si="97"/>
        <v>0.71535248685565023</v>
      </c>
      <c r="BT61" s="129">
        <f t="shared" si="98"/>
        <v>0.88383983449271231</v>
      </c>
      <c r="BU61" s="129"/>
      <c r="BV61" s="129">
        <f t="shared" si="99"/>
        <v>0.99958489274391671</v>
      </c>
      <c r="BW61" s="129">
        <f t="shared" si="100"/>
        <v>1.0040233046312725</v>
      </c>
      <c r="BX61" s="129">
        <f t="shared" si="101"/>
        <v>1.0008352709632664</v>
      </c>
      <c r="BY61" s="129"/>
      <c r="BZ61" s="129">
        <f t="shared" si="102"/>
        <v>1.0006156543535747</v>
      </c>
      <c r="CA61" s="129">
        <f t="shared" si="32"/>
        <v>1.0559353108139489</v>
      </c>
      <c r="CB61" s="129">
        <f t="shared" si="103"/>
        <v>1.0200469252071713</v>
      </c>
    </row>
    <row r="62" spans="1:80" x14ac:dyDescent="0.2">
      <c r="A62" s="133" t="s">
        <v>664</v>
      </c>
      <c r="B62" s="133">
        <f t="shared" si="89"/>
        <v>2001</v>
      </c>
      <c r="D62" s="5">
        <f>Personal_vehicles!G62</f>
        <v>15862.498083300001</v>
      </c>
      <c r="E62" s="5">
        <f>Buses!G62</f>
        <v>212.14593926784897</v>
      </c>
      <c r="F62" s="5">
        <f>'Passenger-based Energy Use'!$F59</f>
        <v>11.029680000000001</v>
      </c>
      <c r="G62" s="5">
        <f t="shared" si="49"/>
        <v>16085.67370256785</v>
      </c>
      <c r="H62" s="5"/>
      <c r="I62" s="5">
        <f>Personal_vehicles!L62</f>
        <v>4189403</v>
      </c>
      <c r="J62" s="5">
        <f>Buses!L62</f>
        <v>179486.66464004194</v>
      </c>
      <c r="K62" s="5">
        <f>'Passenger-based Activity'!G60</f>
        <v>855</v>
      </c>
      <c r="L62" s="5">
        <f t="shared" si="52"/>
        <v>4369742.664640042</v>
      </c>
      <c r="N62">
        <f t="shared" si="78"/>
        <v>3786.3385506956483</v>
      </c>
      <c r="O62">
        <f t="shared" si="79"/>
        <v>1181.9593377218569</v>
      </c>
      <c r="P62" s="4">
        <f t="shared" si="79"/>
        <v>12900.21052631579</v>
      </c>
      <c r="Q62">
        <f t="shared" si="80"/>
        <v>3681.1489685040547</v>
      </c>
      <c r="R62" s="129">
        <f>Personal_vehicles!AA62</f>
        <v>0.8691623917805853</v>
      </c>
      <c r="S62" s="129">
        <f>Buses!AA62</f>
        <v>1.0631550471306854</v>
      </c>
      <c r="T62" s="129">
        <f t="shared" si="38"/>
        <v>0.70210213502176611</v>
      </c>
      <c r="U62" s="129"/>
      <c r="V62" s="129">
        <f>Personal_vehicles!Z62</f>
        <v>1.0225752236438588</v>
      </c>
      <c r="W62" s="129">
        <f>Buses!Z62</f>
        <v>0.89489393019555374</v>
      </c>
      <c r="X62" s="129">
        <v>1</v>
      </c>
      <c r="Z62" s="131">
        <f t="shared" si="81"/>
        <v>1.4430462346114359</v>
      </c>
      <c r="AA62" s="131">
        <f t="shared" si="82"/>
        <v>0.8896099878544661</v>
      </c>
      <c r="AB62" s="131">
        <f t="shared" si="14"/>
        <v>1.0002248172438466</v>
      </c>
      <c r="AC62" s="131">
        <f t="shared" si="15"/>
        <v>1.0208093626386743</v>
      </c>
      <c r="AD62" s="131">
        <f t="shared" si="83"/>
        <v>0.87127926691732516</v>
      </c>
      <c r="AE62" s="131">
        <f t="shared" si="16"/>
        <v>1.2837483432461132</v>
      </c>
      <c r="AF62" s="131">
        <f t="shared" si="84"/>
        <v>1.2837483432461125</v>
      </c>
      <c r="AG62" s="131"/>
      <c r="AH62" s="131">
        <f t="shared" si="17"/>
        <v>1.0210388581860754</v>
      </c>
      <c r="AK62" s="134"/>
      <c r="AM62" s="129">
        <f t="shared" si="85"/>
        <v>0.98612581459785409</v>
      </c>
      <c r="AN62" s="129">
        <f t="shared" si="86"/>
        <v>1.3188501967062958E-2</v>
      </c>
      <c r="AO62" s="129">
        <f t="shared" si="39"/>
        <v>6.8568343508293775E-4</v>
      </c>
      <c r="AQ62" s="129">
        <f t="shared" si="107"/>
        <v>0.986050365473784</v>
      </c>
      <c r="AR62" s="129">
        <f t="shared" si="107"/>
        <v>1.3280483579249155E-2</v>
      </c>
      <c r="AS62" s="129">
        <f t="shared" si="91"/>
        <v>6.6879588902609094E-4</v>
      </c>
      <c r="AT62" s="129">
        <f t="shared" si="74"/>
        <v>0.99999964494205928</v>
      </c>
      <c r="AV62" s="129">
        <f>AQ62/AT62</f>
        <v>0.98605071557892054</v>
      </c>
      <c r="AW62" s="129">
        <f>AR62/AT62</f>
        <v>1.3280488294591981E-2</v>
      </c>
      <c r="AX62" s="129">
        <f t="shared" si="106"/>
        <v>6.6879612648746637E-4</v>
      </c>
      <c r="BA62" s="129">
        <f t="shared" si="92"/>
        <v>-1.3899942047705239E-2</v>
      </c>
      <c r="BB62" s="129">
        <f t="shared" si="93"/>
        <v>-4.7700435771706913E-2</v>
      </c>
      <c r="BC62" s="129">
        <f t="shared" si="93"/>
        <v>3.9208871299234574E-2</v>
      </c>
      <c r="BD62" s="129"/>
      <c r="BE62" s="129">
        <f t="shared" si="87"/>
        <v>0.95872991192379575</v>
      </c>
      <c r="BF62" s="129">
        <f t="shared" si="88"/>
        <v>4.1074882073136261E-2</v>
      </c>
      <c r="BG62" s="129">
        <f t="shared" si="40"/>
        <v>1.9566369592394079E-4</v>
      </c>
      <c r="BH62" s="129"/>
      <c r="BI62" s="129">
        <f t="shared" si="94"/>
        <v>-9.0621804200451616E-4</v>
      </c>
      <c r="BJ62" s="129">
        <f t="shared" si="95"/>
        <v>2.1509364114090063E-2</v>
      </c>
      <c r="BK62" s="129">
        <f t="shared" si="95"/>
        <v>-3.3018312033050077E-3</v>
      </c>
      <c r="BL62" s="129"/>
      <c r="BM62" s="129">
        <f t="shared" si="33"/>
        <v>7.829227945073807E-4</v>
      </c>
      <c r="BN62" s="129">
        <f t="shared" si="34"/>
        <v>-1.8694715157626114E-3</v>
      </c>
      <c r="BO62" s="129">
        <f t="shared" si="34"/>
        <v>0</v>
      </c>
      <c r="BP62" s="129"/>
      <c r="BQ62" s="129"/>
      <c r="BR62" s="129">
        <f t="shared" si="96"/>
        <v>0.98578863829712271</v>
      </c>
      <c r="BS62" s="129">
        <f t="shared" si="97"/>
        <v>0.70518635391989182</v>
      </c>
      <c r="BT62" s="129">
        <f t="shared" si="98"/>
        <v>0.87127926691732516</v>
      </c>
      <c r="BU62" s="129"/>
      <c r="BV62" s="129">
        <f t="shared" si="99"/>
        <v>0.99939005574930184</v>
      </c>
      <c r="BW62" s="129">
        <f t="shared" si="100"/>
        <v>1.0034109063890457</v>
      </c>
      <c r="BX62" s="129">
        <f t="shared" si="101"/>
        <v>1.0002248172438466</v>
      </c>
      <c r="BY62" s="129"/>
      <c r="BZ62" s="129">
        <f t="shared" si="102"/>
        <v>1.0007474532912768</v>
      </c>
      <c r="CA62" s="129">
        <f t="shared" si="32"/>
        <v>1.0567245731373922</v>
      </c>
      <c r="CB62" s="129">
        <f t="shared" si="103"/>
        <v>1.0208093626386743</v>
      </c>
    </row>
    <row r="63" spans="1:80" x14ac:dyDescent="0.2">
      <c r="A63" s="133" t="s">
        <v>664</v>
      </c>
      <c r="B63" s="133">
        <f t="shared" si="89"/>
        <v>2002</v>
      </c>
      <c r="D63" s="5">
        <f>Personal_vehicles!G63</f>
        <v>16297.208047899998</v>
      </c>
      <c r="E63" s="5">
        <f>Buses!G63</f>
        <v>212.9976627227623</v>
      </c>
      <c r="F63" s="5">
        <f>'Passenger-based Energy Use'!$F60</f>
        <v>11.324479999999999</v>
      </c>
      <c r="G63" s="5">
        <f t="shared" si="49"/>
        <v>16521.530190622758</v>
      </c>
      <c r="H63" s="5"/>
      <c r="I63" s="5">
        <f>Personal_vehicles!L63</f>
        <v>4290380.37</v>
      </c>
      <c r="J63" s="5">
        <f>Buses!L63</f>
        <v>183775.50212695816</v>
      </c>
      <c r="K63" s="5">
        <f>'Passenger-based Activity'!G61</f>
        <v>853</v>
      </c>
      <c r="L63" s="5">
        <f t="shared" si="52"/>
        <v>4475085.8721269583</v>
      </c>
      <c r="N63">
        <f t="shared" ref="N63:O67" si="108">D63/I63*1000000</f>
        <v>3798.5461992732353</v>
      </c>
      <c r="O63">
        <f t="shared" si="108"/>
        <v>1159.0100979597189</v>
      </c>
      <c r="P63" s="4">
        <f t="shared" si="79"/>
        <v>13276.060961313013</v>
      </c>
      <c r="Q63">
        <f>G63/L63*1000000</f>
        <v>3691.8912089546698</v>
      </c>
      <c r="R63" s="129">
        <f>Personal_vehicles!AA63</f>
        <v>0.87153502008864736</v>
      </c>
      <c r="S63" s="129">
        <f>Buses!AA63</f>
        <v>1.0532317375009919</v>
      </c>
      <c r="T63" s="129">
        <f t="shared" si="38"/>
        <v>0.72255803318886169</v>
      </c>
      <c r="U63" s="129"/>
      <c r="V63" s="129">
        <f>Personal_vehicles!Z63</f>
        <v>1.0230793504930513</v>
      </c>
      <c r="W63" s="129">
        <f>Buses!Z63</f>
        <v>0.88578620828765309</v>
      </c>
      <c r="X63" s="129">
        <v>1</v>
      </c>
      <c r="Z63" s="131">
        <f t="shared" si="81"/>
        <v>1.4778343515721879</v>
      </c>
      <c r="AA63" s="131">
        <f t="shared" si="82"/>
        <v>0.8922060263409729</v>
      </c>
      <c r="AB63" s="131">
        <f t="shared" ref="AB63:AB69" si="109">BX63</f>
        <v>1.0001999606860994</v>
      </c>
      <c r="AC63" s="131">
        <f t="shared" ref="AC63:AC69" si="110">CB63</f>
        <v>1.0211694857612628</v>
      </c>
      <c r="AD63" s="131">
        <f t="shared" ref="AD63:AD69" si="111">BT63</f>
        <v>0.8735353614820307</v>
      </c>
      <c r="AE63" s="131">
        <f t="shared" ref="AE63:AE69" si="112">Z63*AB63*AC63*AD63</f>
        <v>1.3185327144064107</v>
      </c>
      <c r="AF63" s="131">
        <f t="shared" si="84"/>
        <v>1.3185327144064101</v>
      </c>
      <c r="AG63" s="131"/>
      <c r="AH63" s="131">
        <f t="shared" ref="AH63:AH69" si="113">AB63*AC63</f>
        <v>1.0213736795122594</v>
      </c>
      <c r="AK63" s="134"/>
      <c r="AM63" s="129">
        <f t="shared" si="85"/>
        <v>0.98642243544426167</v>
      </c>
      <c r="AN63" s="129">
        <f t="shared" si="86"/>
        <v>1.2892126834816723E-2</v>
      </c>
      <c r="AO63" s="129">
        <f t="shared" si="39"/>
        <v>6.8543772092172889E-4</v>
      </c>
      <c r="AQ63" s="129">
        <f t="shared" si="107"/>
        <v>0.98627411758710459</v>
      </c>
      <c r="AR63" s="129">
        <f t="shared" si="107"/>
        <v>1.3039753056830746E-2</v>
      </c>
      <c r="AS63" s="129">
        <f t="shared" si="91"/>
        <v>6.855605706633474E-4</v>
      </c>
      <c r="AT63" s="129">
        <f t="shared" si="74"/>
        <v>0.99999943121459867</v>
      </c>
      <c r="AV63" s="129">
        <f>AQ63/AT63</f>
        <v>0.98627467856574347</v>
      </c>
      <c r="AW63" s="129">
        <f>AR63/AT63</f>
        <v>1.3039760473656141E-2</v>
      </c>
      <c r="AX63" s="129">
        <f t="shared" si="106"/>
        <v>6.8556096060041355E-4</v>
      </c>
      <c r="BA63" s="129">
        <f>LN(R63/R62)</f>
        <v>2.7260680244850211E-3</v>
      </c>
      <c r="BB63" s="129">
        <f>LN(S63/S62)</f>
        <v>-9.3776642563188576E-3</v>
      </c>
      <c r="BC63" s="129">
        <f t="shared" si="93"/>
        <v>2.8718854586688495E-2</v>
      </c>
      <c r="BD63" s="129"/>
      <c r="BE63" s="129">
        <f t="shared" si="87"/>
        <v>0.95872581948038249</v>
      </c>
      <c r="BF63" s="129">
        <f t="shared" si="88"/>
        <v>4.1066363278435082E-2</v>
      </c>
      <c r="BG63" s="129">
        <f t="shared" si="40"/>
        <v>1.9061086745014318E-4</v>
      </c>
      <c r="BH63" s="129"/>
      <c r="BI63" s="129">
        <f>LN(BE63/BE62)</f>
        <v>-4.2686184053493476E-6</v>
      </c>
      <c r="BJ63" s="129">
        <f>LN(BF63/BF62)</f>
        <v>-2.0741820251836917E-4</v>
      </c>
      <c r="BK63" s="129">
        <f t="shared" si="95"/>
        <v>-2.616334172635755E-2</v>
      </c>
      <c r="BL63" s="129"/>
      <c r="BM63" s="129">
        <f>LN(V63/V62)</f>
        <v>4.9287584108445364E-4</v>
      </c>
      <c r="BN63" s="129">
        <f>LN(W63/W62)</f>
        <v>-1.0229575917054671E-2</v>
      </c>
      <c r="BO63" s="129">
        <f t="shared" si="34"/>
        <v>0</v>
      </c>
      <c r="BP63" s="129"/>
      <c r="BQ63" s="129"/>
      <c r="BR63" s="129">
        <f t="shared" si="96"/>
        <v>1.0025894046264727</v>
      </c>
      <c r="BS63" s="129">
        <f>IF(ISERR(BR63),BS62,BR63*BS62)</f>
        <v>0.70701236672725742</v>
      </c>
      <c r="BT63" s="129">
        <f t="shared" si="98"/>
        <v>0.8735353614820307</v>
      </c>
      <c r="BU63" s="129"/>
      <c r="BV63" s="129">
        <f t="shared" si="99"/>
        <v>0.99997514902917972</v>
      </c>
      <c r="BW63" s="129">
        <f>IF(ISERR(BV63),BW62,BV63*BW62)</f>
        <v>1.0033859706538903</v>
      </c>
      <c r="BX63" s="129">
        <f t="shared" si="101"/>
        <v>1.0001999606860994</v>
      </c>
      <c r="BY63" s="129"/>
      <c r="BZ63" s="129">
        <f t="shared" si="102"/>
        <v>1.0003527819549556</v>
      </c>
      <c r="CA63" s="129">
        <f>IF(ISERR(BZ63),CA62,BZ63*CA62)</f>
        <v>1.0570973664981531</v>
      </c>
      <c r="CB63" s="129">
        <f t="shared" si="103"/>
        <v>1.0211694857612628</v>
      </c>
    </row>
    <row r="64" spans="1:80" x14ac:dyDescent="0.2">
      <c r="A64" s="133" t="s">
        <v>664</v>
      </c>
      <c r="B64" s="133">
        <f t="shared" si="89"/>
        <v>2003</v>
      </c>
      <c r="D64" s="5">
        <f>Personal_vehicles!G64</f>
        <v>16937.4056561</v>
      </c>
      <c r="E64" s="5">
        <f>Buses!G64</f>
        <v>215.33716210549795</v>
      </c>
      <c r="F64" s="5">
        <f>'Passenger-based Energy Use'!$F61</f>
        <v>12.55738</v>
      </c>
      <c r="G64" s="5">
        <f t="shared" si="49"/>
        <v>17165.300198205496</v>
      </c>
      <c r="H64" s="5"/>
      <c r="I64" s="5">
        <f>Personal_vehicles!L64</f>
        <v>4357863.6999999993</v>
      </c>
      <c r="J64" s="5">
        <f>Buses!L64</f>
        <v>189851.42319486995</v>
      </c>
      <c r="K64" s="5">
        <f>'Passenger-based Activity'!G62</f>
        <v>930</v>
      </c>
      <c r="L64" s="5">
        <f t="shared" si="52"/>
        <v>4548677.1231948696</v>
      </c>
      <c r="N64">
        <f t="shared" si="108"/>
        <v>3886.6304276795081</v>
      </c>
      <c r="O64">
        <f t="shared" si="108"/>
        <v>1134.2404417188307</v>
      </c>
      <c r="P64" s="4">
        <f t="shared" si="79"/>
        <v>13502.559139784946</v>
      </c>
      <c r="Q64">
        <f>G64/L64*1000000</f>
        <v>3773.6906210984362</v>
      </c>
      <c r="R64" s="129">
        <f>Personal_vehicles!AA64</f>
        <v>0.8910447643428423</v>
      </c>
      <c r="S64" s="129">
        <f>Buses!AA64</f>
        <v>1.051558495630553</v>
      </c>
      <c r="T64" s="129">
        <f t="shared" si="38"/>
        <v>0.73488534012383622</v>
      </c>
      <c r="U64" s="129"/>
      <c r="V64" s="129">
        <f>Personal_vehicles!Z64</f>
        <v>1.0238833308331519</v>
      </c>
      <c r="W64" s="129">
        <f>Buses!Z64</f>
        <v>0.86823506868817091</v>
      </c>
      <c r="X64" s="129">
        <v>1</v>
      </c>
      <c r="Z64" s="131">
        <f t="shared" si="81"/>
        <v>1.502136830208568</v>
      </c>
      <c r="AA64" s="131">
        <f t="shared" si="82"/>
        <v>0.91197419510195921</v>
      </c>
      <c r="AB64" s="131">
        <f t="shared" si="109"/>
        <v>0.9997609734741767</v>
      </c>
      <c r="AC64" s="131">
        <f t="shared" si="110"/>
        <v>1.0217011086957286</v>
      </c>
      <c r="AD64" s="131">
        <f t="shared" si="111"/>
        <v>0.89281711204838587</v>
      </c>
      <c r="AE64" s="131">
        <f t="shared" si="112"/>
        <v>1.3699100266624678</v>
      </c>
      <c r="AF64" s="131">
        <f t="shared" si="84"/>
        <v>1.3699100266624673</v>
      </c>
      <c r="AG64" s="131"/>
      <c r="AH64" s="131">
        <f t="shared" si="113"/>
        <v>1.0214568950292873</v>
      </c>
      <c r="AK64" s="134"/>
      <c r="AM64" s="129">
        <f t="shared" si="85"/>
        <v>0.98672353297209914</v>
      </c>
      <c r="AN64" s="129">
        <f t="shared" si="86"/>
        <v>1.2544910931881625E-2</v>
      </c>
      <c r="AO64" s="129">
        <f t="shared" si="39"/>
        <v>7.3155609601938576E-4</v>
      </c>
      <c r="AQ64" s="129">
        <f t="shared" si="107"/>
        <v>0.98657297655011067</v>
      </c>
      <c r="AR64" s="129">
        <f t="shared" si="107"/>
        <v>1.2717728927150635E-2</v>
      </c>
      <c r="AS64" s="129">
        <f t="shared" si="91"/>
        <v>7.0824667147489906E-4</v>
      </c>
      <c r="AT64" s="129">
        <f t="shared" si="74"/>
        <v>0.99999895214873613</v>
      </c>
      <c r="AV64" s="129">
        <f>AQ64/AT64</f>
        <v>0.98657401033293435</v>
      </c>
      <c r="AW64" s="129">
        <f>AR64/AT64</f>
        <v>1.2717742253452929E-2</v>
      </c>
      <c r="AX64" s="129">
        <f t="shared" si="106"/>
        <v>7.0824741361284651E-4</v>
      </c>
      <c r="BA64" s="129">
        <f>LN(R64/R63)</f>
        <v>2.2138618927191975E-2</v>
      </c>
      <c r="BB64" s="129">
        <f>LN(S64/S63)</f>
        <v>-1.5899372741118565E-3</v>
      </c>
      <c r="BC64" s="129">
        <f t="shared" si="93"/>
        <v>1.6916747698444659E-2</v>
      </c>
      <c r="BD64" s="129"/>
      <c r="BE64" s="129">
        <f t="shared" si="87"/>
        <v>0.95805078750877615</v>
      </c>
      <c r="BF64" s="129">
        <f t="shared" si="88"/>
        <v>4.1737722430719236E-2</v>
      </c>
      <c r="BG64" s="129">
        <f t="shared" si="40"/>
        <v>2.0445504809688334E-4</v>
      </c>
      <c r="BH64" s="129"/>
      <c r="BI64" s="129">
        <f>LN(BE64/BE63)</f>
        <v>-7.0434081577544526E-4</v>
      </c>
      <c r="BJ64" s="129">
        <f>LN(BF64/BF63)</f>
        <v>1.6215959829486214E-2</v>
      </c>
      <c r="BK64" s="129">
        <f t="shared" si="95"/>
        <v>7.0114130966251464E-2</v>
      </c>
      <c r="BL64" s="129"/>
      <c r="BM64" s="129">
        <f>LN(V64/V63)</f>
        <v>7.8553496727359028E-4</v>
      </c>
      <c r="BN64" s="129">
        <f>LN(W64/W63)</f>
        <v>-2.0013127129288766E-2</v>
      </c>
      <c r="BO64" s="129">
        <f t="shared" si="34"/>
        <v>0</v>
      </c>
      <c r="BP64" s="129"/>
      <c r="BQ64" s="129"/>
      <c r="BR64" s="129">
        <f t="shared" si="96"/>
        <v>1.0220732341431971</v>
      </c>
      <c r="BS64" s="129">
        <f>IF(ISERR(BR64),BS63,BR64*BS63)</f>
        <v>0.7226184162401641</v>
      </c>
      <c r="BT64" s="129">
        <f t="shared" si="98"/>
        <v>0.89281711204838587</v>
      </c>
      <c r="BU64" s="129"/>
      <c r="BV64" s="129">
        <f t="shared" si="99"/>
        <v>0.99956110055071223</v>
      </c>
      <c r="BW64" s="129">
        <f>IF(ISERR(BV64),BW63,BV64*BW63)</f>
        <v>1.0029455851039473</v>
      </c>
      <c r="BX64" s="129">
        <f t="shared" si="101"/>
        <v>0.9997609734741767</v>
      </c>
      <c r="BY64" s="129"/>
      <c r="BZ64" s="129">
        <f t="shared" si="102"/>
        <v>1.0005206020566406</v>
      </c>
      <c r="CA64" s="129">
        <f>IF(ISERR(BZ64),CA63,BZ64*CA63)</f>
        <v>1.0576476935612213</v>
      </c>
      <c r="CB64" s="129">
        <f t="shared" si="103"/>
        <v>1.0217011086957286</v>
      </c>
    </row>
    <row r="65" spans="1:80" x14ac:dyDescent="0.2">
      <c r="A65" s="133" t="s">
        <v>664</v>
      </c>
      <c r="B65" s="133">
        <f t="shared" si="89"/>
        <v>2004</v>
      </c>
      <c r="D65" s="5">
        <f>Personal_vehicles!G65</f>
        <v>17216.6635781</v>
      </c>
      <c r="E65" s="5">
        <f>Buses!G65</f>
        <v>219.96777271728268</v>
      </c>
      <c r="F65" s="5">
        <f>'Passenger-based Energy Use'!$F62</f>
        <v>13.05439</v>
      </c>
      <c r="G65" s="5">
        <f t="shared" si="49"/>
        <v>17449.685740817284</v>
      </c>
      <c r="H65" s="5"/>
      <c r="I65" s="5">
        <f>Personal_vehicles!L65</f>
        <v>4492905.9600000009</v>
      </c>
      <c r="J65" s="5">
        <f>Buses!L65</f>
        <v>192670.41339877719</v>
      </c>
      <c r="K65" s="5">
        <f>'Passenger-based Activity'!G63</f>
        <v>962</v>
      </c>
      <c r="L65" s="5">
        <f t="shared" si="52"/>
        <v>4686634.373398778</v>
      </c>
      <c r="N65">
        <f t="shared" si="108"/>
        <v>3831.9661553966725</v>
      </c>
      <c r="O65">
        <f t="shared" si="108"/>
        <v>1141.6790405800766</v>
      </c>
      <c r="P65" s="4">
        <f t="shared" si="79"/>
        <v>13570.051975051974</v>
      </c>
      <c r="Q65">
        <f>G65/L65*1000000</f>
        <v>3723.2871930145161</v>
      </c>
      <c r="R65" s="129">
        <f>Personal_vehicles!AA65</f>
        <v>0.87695940786282367</v>
      </c>
      <c r="S65" s="129">
        <f>Buses!AA65</f>
        <v>1.061749943043121</v>
      </c>
      <c r="T65" s="129">
        <f t="shared" si="38"/>
        <v>0.73855868046529705</v>
      </c>
      <c r="U65" s="129"/>
      <c r="V65" s="129">
        <f>Personal_vehicles!Z65</f>
        <v>1.025696614618715</v>
      </c>
      <c r="W65" s="129">
        <f>Buses!Z65</f>
        <v>0.86554053874165748</v>
      </c>
      <c r="X65" s="129">
        <v>1</v>
      </c>
      <c r="Z65" s="131">
        <f t="shared" si="81"/>
        <v>1.5476952774038784</v>
      </c>
      <c r="AA65" s="131">
        <f t="shared" si="82"/>
        <v>0.89979338051683755</v>
      </c>
      <c r="AB65" s="131">
        <f t="shared" si="109"/>
        <v>1.0002044766917375</v>
      </c>
      <c r="AC65" s="131">
        <f t="shared" si="110"/>
        <v>1.0234464090901545</v>
      </c>
      <c r="AD65" s="131">
        <f t="shared" si="111"/>
        <v>0.87900003690101625</v>
      </c>
      <c r="AE65" s="131">
        <f t="shared" si="112"/>
        <v>1.392605965665181</v>
      </c>
      <c r="AF65" s="131">
        <f t="shared" si="84"/>
        <v>1.3926059656651806</v>
      </c>
      <c r="AG65" s="131"/>
      <c r="AH65" s="131">
        <f t="shared" si="113"/>
        <v>1.0236556800260559</v>
      </c>
      <c r="AK65" s="134"/>
      <c r="AM65" s="129">
        <f t="shared" si="85"/>
        <v>0.98664605390730842</v>
      </c>
      <c r="AN65" s="129">
        <f t="shared" si="86"/>
        <v>1.2605830040981595E-2</v>
      </c>
      <c r="AO65" s="129">
        <f t="shared" si="39"/>
        <v>7.4811605170997057E-4</v>
      </c>
      <c r="AQ65" s="129">
        <f t="shared" si="107"/>
        <v>0.98668479293226752</v>
      </c>
      <c r="AR65" s="129">
        <f t="shared" si="107"/>
        <v>1.2575345893758806E-2</v>
      </c>
      <c r="AS65" s="129">
        <f t="shared" si="91"/>
        <v>7.3980518399344598E-4</v>
      </c>
      <c r="AT65" s="129">
        <f t="shared" si="74"/>
        <v>0.99999994401001979</v>
      </c>
      <c r="AV65" s="129">
        <f>AQ65/AT65</f>
        <v>0.98668484817673263</v>
      </c>
      <c r="AW65" s="129">
        <f>AR65/AT65</f>
        <v>1.2575346597852213E-2</v>
      </c>
      <c r="AX65" s="129">
        <f t="shared" si="106"/>
        <v>7.3980522541512586E-4</v>
      </c>
      <c r="BA65" s="129">
        <f t="shared" si="92"/>
        <v>-1.5933960691291632E-2</v>
      </c>
      <c r="BB65" s="129">
        <f t="shared" si="93"/>
        <v>9.645091301634828E-3</v>
      </c>
      <c r="BC65" s="129">
        <f t="shared" si="93"/>
        <v>4.9860705942546086E-3</v>
      </c>
      <c r="BD65" s="129"/>
      <c r="BE65" s="129">
        <f t="shared" si="87"/>
        <v>0.95866363834602186</v>
      </c>
      <c r="BF65" s="129">
        <f t="shared" si="88"/>
        <v>4.1110613299038166E-2</v>
      </c>
      <c r="BG65" s="129">
        <f t="shared" si="40"/>
        <v>2.0526457226112803E-4</v>
      </c>
      <c r="BH65" s="129"/>
      <c r="BI65" s="129">
        <f t="shared" si="94"/>
        <v>6.394806131405791E-4</v>
      </c>
      <c r="BJ65" s="129">
        <f t="shared" si="95"/>
        <v>-1.5139015246640216E-2</v>
      </c>
      <c r="BK65" s="129">
        <f t="shared" si="95"/>
        <v>3.951605817378712E-3</v>
      </c>
      <c r="BL65" s="129"/>
      <c r="BM65" s="129">
        <f t="shared" si="33"/>
        <v>1.7694203757994255E-3</v>
      </c>
      <c r="BN65" s="129">
        <f t="shared" si="34"/>
        <v>-3.1082824148424529E-3</v>
      </c>
      <c r="BO65" s="129">
        <f t="shared" si="34"/>
        <v>0</v>
      </c>
      <c r="BP65" s="129"/>
      <c r="BQ65" s="129"/>
      <c r="BR65" s="129">
        <f t="shared" si="96"/>
        <v>0.98452418198429326</v>
      </c>
      <c r="BS65" s="129">
        <f t="shared" si="97"/>
        <v>0.71143530513563313</v>
      </c>
      <c r="BT65" s="129">
        <f t="shared" si="98"/>
        <v>0.87900003690101625</v>
      </c>
      <c r="BU65" s="129"/>
      <c r="BV65" s="129">
        <f t="shared" si="99"/>
        <v>1.0004436092519391</v>
      </c>
      <c r="BW65" s="129">
        <f t="shared" si="100"/>
        <v>1.0033905010446909</v>
      </c>
      <c r="BX65" s="129">
        <f t="shared" si="101"/>
        <v>1.0002044766917375</v>
      </c>
      <c r="BY65" s="129"/>
      <c r="BZ65" s="129">
        <f t="shared" si="102"/>
        <v>1.0017082299114404</v>
      </c>
      <c r="CA65" s="129">
        <f t="shared" si="32"/>
        <v>1.0594543989871286</v>
      </c>
      <c r="CB65" s="129">
        <f t="shared" si="103"/>
        <v>1.0234464090901545</v>
      </c>
    </row>
    <row r="66" spans="1:80" x14ac:dyDescent="0.2">
      <c r="A66" s="133" t="s">
        <v>664</v>
      </c>
      <c r="B66" s="133">
        <f t="shared" si="89"/>
        <v>2005</v>
      </c>
      <c r="D66" s="5">
        <f>Personal_vehicles!G66</f>
        <v>16899.093558400004</v>
      </c>
      <c r="E66" s="5">
        <f>Buses!G66</f>
        <v>219.79876767360497</v>
      </c>
      <c r="F66" s="5">
        <f>'Passenger-based Energy Use'!$F63</f>
        <v>14.440580000000001</v>
      </c>
      <c r="G66" s="5">
        <f t="shared" si="49"/>
        <v>17133.332906073607</v>
      </c>
      <c r="H66" s="5"/>
      <c r="I66" s="5">
        <f>Personal_vehicles!L66</f>
        <v>4546791.1500000004</v>
      </c>
      <c r="J66" s="5">
        <f>Buses!L66</f>
        <v>194420.42325061728</v>
      </c>
      <c r="K66" s="5">
        <f>'Passenger-based Activity'!G64</f>
        <v>1058</v>
      </c>
      <c r="L66" s="5">
        <f t="shared" si="52"/>
        <v>4742289.5732506178</v>
      </c>
      <c r="N66">
        <f t="shared" si="108"/>
        <v>3716.7076738063947</v>
      </c>
      <c r="O66">
        <f t="shared" si="108"/>
        <v>1130.5333256592789</v>
      </c>
      <c r="P66" s="4">
        <f t="shared" si="79"/>
        <v>13648.941398865785</v>
      </c>
      <c r="Q66">
        <f>G66/L66*1000000</f>
        <v>3612.882056531505</v>
      </c>
      <c r="R66" s="129">
        <f>Personal_vehicles!AA66</f>
        <v>0.85005241351599603</v>
      </c>
      <c r="S66" s="129">
        <f>Buses!AA66</f>
        <v>1.0472156689279046</v>
      </c>
      <c r="T66" s="129">
        <f t="shared" si="38"/>
        <v>0.74285228736243447</v>
      </c>
      <c r="U66" s="129"/>
      <c r="V66" s="129">
        <f>Personal_vehicles!Z66</f>
        <v>1.02633573038978</v>
      </c>
      <c r="W66" s="129">
        <f>Buses!Z66</f>
        <v>0.86898617839835257</v>
      </c>
      <c r="X66" s="129">
        <v>1</v>
      </c>
      <c r="Z66" s="131">
        <f t="shared" si="81"/>
        <v>1.5660746266576999</v>
      </c>
      <c r="AA66" s="131">
        <f t="shared" si="82"/>
        <v>0.87311216957805948</v>
      </c>
      <c r="AB66" s="131">
        <f t="shared" si="109"/>
        <v>1.0003506941994962</v>
      </c>
      <c r="AC66" s="131">
        <f t="shared" si="110"/>
        <v>1.0241272459535729</v>
      </c>
      <c r="AD66" s="131">
        <f t="shared" si="111"/>
        <v>0.85224378610814078</v>
      </c>
      <c r="AE66" s="131">
        <f t="shared" si="112"/>
        <v>1.3673588150022546</v>
      </c>
      <c r="AF66" s="131">
        <f t="shared" si="84"/>
        <v>1.367358815002254</v>
      </c>
      <c r="AG66" s="131"/>
      <c r="AH66" s="131">
        <f t="shared" si="113"/>
        <v>1.0244864014382749</v>
      </c>
      <c r="AK66" s="134"/>
      <c r="AM66" s="129">
        <f t="shared" si="85"/>
        <v>0.98632844240185358</v>
      </c>
      <c r="AN66" s="129">
        <f t="shared" si="86"/>
        <v>1.2828722168568169E-2</v>
      </c>
      <c r="AO66" s="129">
        <f t="shared" si="39"/>
        <v>8.4283542957838339E-4</v>
      </c>
      <c r="AQ66" s="129">
        <f>(AM66-AM65)/LN(AM66/AM65)</f>
        <v>0.98648723963285123</v>
      </c>
      <c r="AR66" s="129">
        <f>(AN66-AN65)/LN(AN66/AN65)</f>
        <v>1.2716950550796233E-2</v>
      </c>
      <c r="AS66" s="129">
        <f t="shared" si="91"/>
        <v>7.9453497692393428E-4</v>
      </c>
      <c r="AT66" s="129">
        <f t="shared" si="74"/>
        <v>0.99999872516057142</v>
      </c>
      <c r="AV66" s="129">
        <f>AQ66/AT66</f>
        <v>0.98648849724728338</v>
      </c>
      <c r="AW66" s="129">
        <f>AR66/AT66</f>
        <v>1.2716966762886873E-2</v>
      </c>
      <c r="AX66" s="129">
        <f t="shared" si="106"/>
        <v>7.9453598982974158E-4</v>
      </c>
      <c r="BA66" s="129">
        <f>LN(R66/R65)</f>
        <v>-3.1162695538584688E-2</v>
      </c>
      <c r="BB66" s="129">
        <f>LN(S66/S65)</f>
        <v>-1.3783538376303268E-2</v>
      </c>
      <c r="BC66" s="129">
        <f t="shared" si="93"/>
        <v>5.7966614436308246E-3</v>
      </c>
      <c r="BD66" s="129"/>
      <c r="BE66" s="129">
        <f t="shared" si="87"/>
        <v>0.95877551966599706</v>
      </c>
      <c r="BF66" s="129">
        <f t="shared" si="88"/>
        <v>4.0997163974816321E-2</v>
      </c>
      <c r="BG66" s="129">
        <f t="shared" si="40"/>
        <v>2.2309898703102402E-4</v>
      </c>
      <c r="BH66" s="129"/>
      <c r="BI66" s="129">
        <f>LN(BE66/BE65)</f>
        <v>1.1669869120444294E-4</v>
      </c>
      <c r="BJ66" s="129">
        <f>LN(BF66/BF65)</f>
        <v>-2.7634263205055408E-3</v>
      </c>
      <c r="BK66" s="129">
        <f t="shared" si="95"/>
        <v>8.331581757197945E-2</v>
      </c>
      <c r="BL66" s="129"/>
      <c r="BM66" s="129">
        <f>LN(V66/V65)</f>
        <v>6.2291005625245664E-4</v>
      </c>
      <c r="BN66" s="129">
        <f>LN(W66/W65)</f>
        <v>3.9730079162658858E-3</v>
      </c>
      <c r="BO66" s="129">
        <f t="shared" si="34"/>
        <v>0</v>
      </c>
      <c r="BP66" s="129"/>
      <c r="BQ66" s="129"/>
      <c r="BR66" s="129">
        <f t="shared" si="96"/>
        <v>0.96956058058062589</v>
      </c>
      <c r="BS66" s="129">
        <f>IF(ISERR(BR66),BS65,BR66*BS65)</f>
        <v>0.68977962749285915</v>
      </c>
      <c r="BT66" s="129">
        <f t="shared" si="98"/>
        <v>0.85224378610814078</v>
      </c>
      <c r="BU66" s="129"/>
      <c r="BV66" s="129">
        <f t="shared" si="99"/>
        <v>1.0001461876157987</v>
      </c>
      <c r="BW66" s="129">
        <f>IF(ISERR(BV66),BW65,BV66*BW65)</f>
        <v>1.0035371843097536</v>
      </c>
      <c r="BX66" s="129">
        <f t="shared" si="101"/>
        <v>1.0003506941994962</v>
      </c>
      <c r="BY66" s="129"/>
      <c r="BZ66" s="129">
        <f t="shared" si="102"/>
        <v>1.0006652393885711</v>
      </c>
      <c r="CA66" s="129">
        <f>IF(ISERR(BZ66),CA65,BZ66*CA65)</f>
        <v>1.0601591897837297</v>
      </c>
      <c r="CB66" s="129">
        <f t="shared" si="103"/>
        <v>1.0241272459535729</v>
      </c>
    </row>
    <row r="67" spans="1:80" x14ac:dyDescent="0.2">
      <c r="A67" s="133" t="s">
        <v>664</v>
      </c>
      <c r="B67" s="133">
        <f t="shared" si="89"/>
        <v>2006</v>
      </c>
      <c r="D67" s="5">
        <f>Personal_vehicles!G67</f>
        <v>16892.910000299999</v>
      </c>
      <c r="E67" s="5">
        <f>Buses!G67</f>
        <v>227.44491553099587</v>
      </c>
      <c r="F67" s="5">
        <f>'Passenger-based Energy Use'!$F64</f>
        <v>15.42041</v>
      </c>
      <c r="G67" s="5">
        <f t="shared" si="49"/>
        <v>17135.775325830993</v>
      </c>
      <c r="H67" s="5"/>
      <c r="I67" s="5">
        <f>Personal_vehicles!L67</f>
        <v>4610461.830000001</v>
      </c>
      <c r="J67" s="5">
        <f>Buses!L67</f>
        <v>200417.56270970707</v>
      </c>
      <c r="K67" s="5">
        <f>'Passenger-based Activity'!G65</f>
        <v>1078</v>
      </c>
      <c r="L67" s="5">
        <f t="shared" si="52"/>
        <v>4812381.3927097078</v>
      </c>
      <c r="N67">
        <f t="shared" si="108"/>
        <v>3664.0385764347593</v>
      </c>
      <c r="O67">
        <f t="shared" si="108"/>
        <v>1134.8552115686405</v>
      </c>
      <c r="P67" s="4">
        <f t="shared" si="79"/>
        <v>14304.647495361782</v>
      </c>
      <c r="Q67">
        <f>G67/L67*1000000</f>
        <v>3560.7683447097597</v>
      </c>
      <c r="R67" s="129">
        <f>Personal_vehicles!AA67</f>
        <v>0.83695235733867546</v>
      </c>
      <c r="S67" s="129">
        <f>Buses!AA67</f>
        <v>1.0461777553740641</v>
      </c>
      <c r="T67" s="129">
        <f t="shared" si="38"/>
        <v>0.77853950730024013</v>
      </c>
      <c r="U67" s="129"/>
      <c r="V67" s="129">
        <f>Personal_vehicles!Z67</f>
        <v>1.0276282848313549</v>
      </c>
      <c r="W67" s="129">
        <f>Buses!Z67</f>
        <v>0.87317362011573119</v>
      </c>
      <c r="X67" s="129">
        <v>1</v>
      </c>
      <c r="Z67" s="131">
        <f t="shared" si="81"/>
        <v>1.5892214670805871</v>
      </c>
      <c r="AA67" s="131">
        <f t="shared" si="82"/>
        <v>0.86051803689354756</v>
      </c>
      <c r="AB67" s="131">
        <f t="shared" si="109"/>
        <v>0.99980411584007878</v>
      </c>
      <c r="AC67" s="131">
        <f t="shared" si="110"/>
        <v>1.0254633809949389</v>
      </c>
      <c r="AD67" s="131">
        <f t="shared" si="111"/>
        <v>0.83931483826979836</v>
      </c>
      <c r="AE67" s="131">
        <f t="shared" si="112"/>
        <v>1.3675537370412709</v>
      </c>
      <c r="AF67" s="131">
        <f t="shared" si="84"/>
        <v>1.3675537370412705</v>
      </c>
      <c r="AG67" s="131"/>
      <c r="AH67" s="131">
        <f t="shared" si="113"/>
        <v>1.0252625089620229</v>
      </c>
      <c r="AK67" s="134"/>
      <c r="AM67" s="129">
        <f t="shared" si="85"/>
        <v>0.9858270010598883</v>
      </c>
      <c r="AN67" s="129">
        <f t="shared" si="86"/>
        <v>1.3273103271150995E-2</v>
      </c>
      <c r="AO67" s="129">
        <f t="shared" si="39"/>
        <v>8.9989566896076195E-4</v>
      </c>
      <c r="AQ67" s="129">
        <f t="shared" si="90"/>
        <v>0.9860777004814909</v>
      </c>
      <c r="AR67" s="129">
        <f t="shared" si="91"/>
        <v>1.3049651698030292E-2</v>
      </c>
      <c r="AS67" s="129">
        <f t="shared" si="91"/>
        <v>8.7105408390982463E-4</v>
      </c>
      <c r="AT67" s="129">
        <f t="shared" si="74"/>
        <v>0.99999840626343106</v>
      </c>
      <c r="AV67" s="129">
        <f t="shared" si="104"/>
        <v>0.98607927203208656</v>
      </c>
      <c r="AW67" s="129">
        <f t="shared" si="105"/>
        <v>1.3049672495770562E-2</v>
      </c>
      <c r="AX67" s="129">
        <f t="shared" si="106"/>
        <v>8.7105547214278421E-4</v>
      </c>
      <c r="BA67" s="129">
        <f t="shared" si="92"/>
        <v>-1.5530862416170167E-2</v>
      </c>
      <c r="BB67" s="129">
        <f t="shared" si="93"/>
        <v>-9.9160876960707571E-4</v>
      </c>
      <c r="BC67" s="129">
        <f t="shared" si="93"/>
        <v>4.692251871363759E-2</v>
      </c>
      <c r="BD67" s="129"/>
      <c r="BE67" s="129">
        <f t="shared" si="87"/>
        <v>0.95804165417653819</v>
      </c>
      <c r="BF67" s="129">
        <f t="shared" si="88"/>
        <v>4.1646234235158563E-2</v>
      </c>
      <c r="BG67" s="129">
        <f t="shared" si="40"/>
        <v>2.2400552076630204E-4</v>
      </c>
      <c r="BH67" s="129"/>
      <c r="BI67" s="129">
        <f t="shared" si="94"/>
        <v>-7.6571259411674299E-4</v>
      </c>
      <c r="BJ67" s="129">
        <f t="shared" si="95"/>
        <v>1.5708057037292548E-2</v>
      </c>
      <c r="BK67" s="129">
        <f t="shared" si="95"/>
        <v>4.0551368269906088E-3</v>
      </c>
      <c r="BL67" s="129"/>
      <c r="BM67" s="129">
        <f t="shared" si="33"/>
        <v>1.2585951872770111E-3</v>
      </c>
      <c r="BN67" s="129">
        <f t="shared" si="34"/>
        <v>4.807193674141284E-3</v>
      </c>
      <c r="BO67" s="129">
        <f t="shared" si="34"/>
        <v>0</v>
      </c>
      <c r="BP67" s="129"/>
      <c r="BQ67" s="129"/>
      <c r="BR67" s="129">
        <f t="shared" si="96"/>
        <v>0.98482951938272989</v>
      </c>
      <c r="BS67" s="129">
        <f t="shared" si="97"/>
        <v>0.67931533902379093</v>
      </c>
      <c r="BT67" s="129">
        <f t="shared" si="98"/>
        <v>0.83931483826979836</v>
      </c>
      <c r="BU67" s="129"/>
      <c r="BV67" s="129">
        <f t="shared" si="99"/>
        <v>0.99945361325524473</v>
      </c>
      <c r="BW67" s="129">
        <f t="shared" si="100"/>
        <v>1.0029888648943777</v>
      </c>
      <c r="BX67" s="129">
        <f t="shared" si="101"/>
        <v>0.99980411584007878</v>
      </c>
      <c r="BY67" s="129"/>
      <c r="BZ67" s="129">
        <f t="shared" si="102"/>
        <v>1.001304657254892</v>
      </c>
      <c r="CA67" s="129">
        <f t="shared" si="32"/>
        <v>1.0615423341620216</v>
      </c>
      <c r="CB67" s="129">
        <f t="shared" si="103"/>
        <v>1.0254633809949389</v>
      </c>
    </row>
    <row r="68" spans="1:80" x14ac:dyDescent="0.2">
      <c r="A68" s="133" t="s">
        <v>664</v>
      </c>
      <c r="B68" s="133">
        <f t="shared" si="89"/>
        <v>2007</v>
      </c>
      <c r="D68" s="5">
        <f>Personal_vehicles!G68</f>
        <v>16959.746069100001</v>
      </c>
      <c r="E68" s="5">
        <f>Buses!G68</f>
        <v>219.81692755627549</v>
      </c>
      <c r="F68" s="5">
        <f>'Passenger-based Energy Use'!$F65</f>
        <v>24.94909619047619</v>
      </c>
      <c r="G68" s="5">
        <f t="shared" si="49"/>
        <v>17204.512092846755</v>
      </c>
      <c r="H68" s="5"/>
      <c r="I68" s="5">
        <f>Personal_vehicles!L68</f>
        <v>4662519.3</v>
      </c>
      <c r="J68" s="5">
        <f>Buses!L68</f>
        <v>200073.60685962898</v>
      </c>
      <c r="K68" s="5">
        <f>'Passenger-based Activity'!G66</f>
        <v>1502</v>
      </c>
      <c r="L68" s="5">
        <f t="shared" si="52"/>
        <v>4864004.9068596289</v>
      </c>
      <c r="N68">
        <f t="shared" si="78"/>
        <v>3637.4639927174139</v>
      </c>
      <c r="O68">
        <f t="shared" si="79"/>
        <v>1098.6802857535245</v>
      </c>
      <c r="P68" s="4">
        <f t="shared" si="79"/>
        <v>16610.583349185214</v>
      </c>
      <c r="Q68">
        <f t="shared" si="80"/>
        <v>3537.108292917942</v>
      </c>
      <c r="R68" s="129">
        <f>Personal_vehicles!AA68</f>
        <v>0.83067467556291907</v>
      </c>
      <c r="S68" s="129">
        <f>Buses!AA68</f>
        <v>1.043900956439672</v>
      </c>
      <c r="T68" s="129">
        <f t="shared" si="38"/>
        <v>0.90404152782075686</v>
      </c>
      <c r="U68" s="129"/>
      <c r="V68" s="129">
        <f>Personal_vehicles!Z68</f>
        <v>1.0278848886052099</v>
      </c>
      <c r="W68" s="129">
        <f>Buses!Z68</f>
        <v>0.84718384958794868</v>
      </c>
      <c r="X68" s="129">
        <v>1</v>
      </c>
      <c r="Z68" s="131">
        <f t="shared" si="81"/>
        <v>1.6062694086708935</v>
      </c>
      <c r="AA68" s="131">
        <f t="shared" si="82"/>
        <v>0.85480019755391645</v>
      </c>
      <c r="AB68" s="131">
        <f t="shared" si="109"/>
        <v>1.0005630231861351</v>
      </c>
      <c r="AC68" s="131">
        <f t="shared" si="110"/>
        <v>1.0253122420939571</v>
      </c>
      <c r="AD68" s="131">
        <f t="shared" si="111"/>
        <v>0.83322831910544881</v>
      </c>
      <c r="AE68" s="131">
        <f t="shared" si="112"/>
        <v>1.3730394078566928</v>
      </c>
      <c r="AF68" s="131">
        <f t="shared" si="84"/>
        <v>1.3730394078566925</v>
      </c>
      <c r="AG68" s="131"/>
      <c r="AH68" s="131">
        <f t="shared" si="113"/>
        <v>1.0258895166592841</v>
      </c>
      <c r="AK68" s="134"/>
      <c r="AM68" s="129">
        <f t="shared" si="85"/>
        <v>0.98577314936768701</v>
      </c>
      <c r="AN68" s="129">
        <f t="shared" si="86"/>
        <v>1.2776702202887251E-2</v>
      </c>
      <c r="AO68" s="129">
        <f t="shared" si="39"/>
        <v>1.4501484294256422E-3</v>
      </c>
      <c r="AQ68" s="129">
        <f t="shared" si="90"/>
        <v>0.98580007496894106</v>
      </c>
      <c r="AR68" s="129">
        <f t="shared" si="91"/>
        <v>1.3023326027316704E-2</v>
      </c>
      <c r="AS68" s="129">
        <f t="shared" si="91"/>
        <v>1.1532255448432466E-3</v>
      </c>
      <c r="AT68" s="129">
        <f t="shared" si="74"/>
        <v>0.99997662654110098</v>
      </c>
      <c r="AV68" s="129">
        <f t="shared" si="104"/>
        <v>0.98582311706504944</v>
      </c>
      <c r="AW68" s="129">
        <f t="shared" si="105"/>
        <v>1.3023630434607384E-2</v>
      </c>
      <c r="AX68" s="129">
        <f t="shared" si="106"/>
        <v>1.1532525003431636E-3</v>
      </c>
      <c r="BA68" s="129">
        <f t="shared" si="92"/>
        <v>-7.5289154059565572E-3</v>
      </c>
      <c r="BB68" s="129">
        <f t="shared" si="93"/>
        <v>-2.178673771580359E-3</v>
      </c>
      <c r="BC68" s="129">
        <f t="shared" si="93"/>
        <v>0.14945555922828013</v>
      </c>
      <c r="BD68" s="129"/>
      <c r="BE68" s="129">
        <f t="shared" si="87"/>
        <v>0.95857619169432229</v>
      </c>
      <c r="BF68" s="129">
        <f t="shared" si="88"/>
        <v>4.113351254589985E-2</v>
      </c>
      <c r="BG68" s="129">
        <f t="shared" si="40"/>
        <v>3.0879903058521861E-4</v>
      </c>
      <c r="BH68" s="129"/>
      <c r="BI68" s="129">
        <f t="shared" si="94"/>
        <v>5.5779250182291904E-4</v>
      </c>
      <c r="BJ68" s="129">
        <f t="shared" si="95"/>
        <v>-1.238777033999622E-2</v>
      </c>
      <c r="BK68" s="129">
        <f t="shared" si="95"/>
        <v>0.32101998101966228</v>
      </c>
      <c r="BL68" s="129"/>
      <c r="BM68" s="129">
        <f t="shared" si="33"/>
        <v>2.4967368587479067E-4</v>
      </c>
      <c r="BN68" s="129">
        <f t="shared" si="34"/>
        <v>-3.0216682808750981E-2</v>
      </c>
      <c r="BO68" s="129">
        <f t="shared" si="34"/>
        <v>0</v>
      </c>
      <c r="BP68" s="129"/>
      <c r="BQ68" s="129"/>
      <c r="BR68" s="129">
        <f t="shared" si="96"/>
        <v>0.99274822880899305</v>
      </c>
      <c r="BS68" s="129">
        <f t="shared" si="97"/>
        <v>0.67438909961864912</v>
      </c>
      <c r="BT68" s="129">
        <f t="shared" si="98"/>
        <v>0.83322831910544881</v>
      </c>
      <c r="BU68" s="129"/>
      <c r="BV68" s="129">
        <f t="shared" si="99"/>
        <v>1.0007590560331097</v>
      </c>
      <c r="BW68" s="129">
        <f t="shared" si="100"/>
        <v>1.0037501896434176</v>
      </c>
      <c r="BX68" s="129">
        <f t="shared" si="101"/>
        <v>1.0005630231861351</v>
      </c>
      <c r="BY68" s="129"/>
      <c r="BZ68" s="129">
        <f t="shared" si="102"/>
        <v>0.99985261404377468</v>
      </c>
      <c r="CA68" s="129">
        <f t="shared" si="32"/>
        <v>1.0613858777300276</v>
      </c>
      <c r="CB68" s="129">
        <f t="shared" si="103"/>
        <v>1.0253122420939571</v>
      </c>
    </row>
    <row r="69" spans="1:80" x14ac:dyDescent="0.2">
      <c r="A69" s="133" t="s">
        <v>664</v>
      </c>
      <c r="B69" s="133">
        <f t="shared" si="89"/>
        <v>2008</v>
      </c>
      <c r="D69" s="5">
        <f>Personal_vehicles!G69</f>
        <v>16465.004638900002</v>
      </c>
      <c r="E69" s="5">
        <f>Buses!G69</f>
        <v>219.79479321304674</v>
      </c>
      <c r="F69" s="5">
        <f>'Passenger-based Energy Use'!$F66</f>
        <v>26.26156523809524</v>
      </c>
      <c r="G69" s="5">
        <f t="shared" si="49"/>
        <v>16711.060997351145</v>
      </c>
      <c r="H69" s="5"/>
      <c r="I69" s="5">
        <f>Personal_vehicles!L69</f>
        <v>4550732.1000000006</v>
      </c>
      <c r="J69" s="5">
        <f>Buses!L69</f>
        <v>195779.13289129717</v>
      </c>
      <c r="K69" s="5">
        <f>'Passenger-based Activity'!G67</f>
        <v>1412</v>
      </c>
      <c r="L69" s="5">
        <f>I69+J69</f>
        <v>4746511.2328912979</v>
      </c>
      <c r="N69">
        <f t="shared" si="78"/>
        <v>3618.1001819245744</v>
      </c>
      <c r="O69">
        <f t="shared" si="79"/>
        <v>1122.6671094466633</v>
      </c>
      <c r="P69" s="4">
        <f t="shared" si="79"/>
        <v>18598.842236611359</v>
      </c>
      <c r="Q69">
        <f t="shared" si="80"/>
        <v>3520.7039818110238</v>
      </c>
      <c r="R69" s="129">
        <f>Personal_vehicles!AA69</f>
        <v>0.82549280865774022</v>
      </c>
      <c r="S69" s="129">
        <f>Buses!AA69</f>
        <v>1.045261817570277</v>
      </c>
      <c r="T69" s="129">
        <f t="shared" si="38"/>
        <v>1.0122537780774645</v>
      </c>
      <c r="U69" s="129"/>
      <c r="V69" s="129">
        <f>Personal_vehicles!Z69</f>
        <v>1.0288310023347531</v>
      </c>
      <c r="W69" s="129">
        <f>Buses!Z69</f>
        <v>0.86455284589010717</v>
      </c>
      <c r="X69" s="129">
        <v>1</v>
      </c>
      <c r="Z69" s="131">
        <f t="shared" si="81"/>
        <v>1.567468770550335</v>
      </c>
      <c r="AA69" s="131">
        <f t="shared" si="82"/>
        <v>0.85083582688338721</v>
      </c>
      <c r="AB69" s="131">
        <f t="shared" si="109"/>
        <v>1.0007242584276643</v>
      </c>
      <c r="AC69" s="131">
        <f t="shared" si="110"/>
        <v>1.0265123581097453</v>
      </c>
      <c r="AD69" s="131">
        <f t="shared" si="111"/>
        <v>0.82826089830422345</v>
      </c>
      <c r="AE69" s="131">
        <f t="shared" si="112"/>
        <v>1.3336585875050813</v>
      </c>
      <c r="AF69" s="131">
        <f t="shared" si="84"/>
        <v>1.3336585875050808</v>
      </c>
      <c r="AG69" s="131"/>
      <c r="AH69" s="131">
        <f t="shared" si="113"/>
        <v>1.0272558183362079</v>
      </c>
      <c r="AI69" s="129"/>
      <c r="AK69" s="134"/>
      <c r="AM69" s="129">
        <f t="shared" si="85"/>
        <v>0.98527583865021218</v>
      </c>
      <c r="AN69" s="129">
        <f t="shared" si="86"/>
        <v>1.3152653398122729E-2</v>
      </c>
      <c r="AO69" s="129">
        <f t="shared" si="39"/>
        <v>1.5715079516649443E-3</v>
      </c>
      <c r="AQ69" s="129">
        <f>(AM69-AM68)/LN(AM69/AM68)</f>
        <v>0.98552447309637081</v>
      </c>
      <c r="AR69" s="129">
        <f>(AN69-AN68)/LN(AN69/AN68)</f>
        <v>1.2963769259958388E-2</v>
      </c>
      <c r="AS69" s="129">
        <f>(AO69-AO68)/LN(AO69/AO68)</f>
        <v>1.5100154754569338E-3</v>
      </c>
      <c r="AT69" s="129">
        <f>AQ69+AR69+AS69</f>
        <v>0.99999825783178609</v>
      </c>
      <c r="AV69" s="129">
        <f>AQ69/AT69</f>
        <v>0.98552619004877307</v>
      </c>
      <c r="AW69" s="129">
        <f>AR69/AT69</f>
        <v>1.2963791845064472E-2</v>
      </c>
      <c r="AX69" s="129">
        <f>AS69/AT69</f>
        <v>1.5100181061624808E-3</v>
      </c>
      <c r="BA69" s="129">
        <f>LN(R69/R68)</f>
        <v>-6.257680897711654E-3</v>
      </c>
      <c r="BB69" s="129">
        <f>LN(S69/S68)</f>
        <v>1.3027815161272803E-3</v>
      </c>
      <c r="BC69" s="129">
        <f>LN(T69/T68)</f>
        <v>0.11305929006952256</v>
      </c>
      <c r="BD69" s="129"/>
      <c r="BE69" s="129">
        <f t="shared" si="87"/>
        <v>0.95875304549273344</v>
      </c>
      <c r="BF69" s="129">
        <f t="shared" si="88"/>
        <v>4.1246954507266578E-2</v>
      </c>
      <c r="BG69" s="129">
        <f t="shared" si="40"/>
        <v>2.9748165141071242E-4</v>
      </c>
      <c r="BH69" s="129"/>
      <c r="BI69" s="129">
        <f>LN(BE69/BE68)</f>
        <v>1.8447932205141384E-4</v>
      </c>
      <c r="BJ69" s="129">
        <f>LN(BF69/BF68)</f>
        <v>2.7541002650283185E-3</v>
      </c>
      <c r="BK69" s="129">
        <f>LN(BG69/BG68)</f>
        <v>-3.7338131695853968E-2</v>
      </c>
      <c r="BL69" s="129"/>
      <c r="BM69" s="129">
        <f>LN(V69/V68)</f>
        <v>9.2002381120995539E-4</v>
      </c>
      <c r="BN69" s="129">
        <f>LN(W69/W68)</f>
        <v>2.0294701280190973E-2</v>
      </c>
      <c r="BO69" s="129">
        <f>LN(X69/X68)</f>
        <v>0</v>
      </c>
      <c r="BP69" s="129"/>
      <c r="BQ69" s="129"/>
      <c r="BR69" s="129">
        <f t="shared" si="96"/>
        <v>0.99403834376805822</v>
      </c>
      <c r="BS69" s="129">
        <f>IF(ISERR(BR69),BS68,BR69*BS68)</f>
        <v>0.67036862364015404</v>
      </c>
      <c r="BT69" s="129">
        <f t="shared" si="98"/>
        <v>0.82826089830422345</v>
      </c>
      <c r="BU69" s="129"/>
      <c r="BV69" s="129">
        <f t="shared" si="99"/>
        <v>1.0001611445134317</v>
      </c>
      <c r="BW69" s="129">
        <f>IF(ISERR(BV69),BW68,BV69*BW68)</f>
        <v>1.0039119384793347</v>
      </c>
      <c r="BX69" s="129">
        <f t="shared" si="101"/>
        <v>1.0007242584276643</v>
      </c>
      <c r="BY69" s="129"/>
      <c r="BZ69" s="129">
        <f t="shared" si="102"/>
        <v>1.0011704883317665</v>
      </c>
      <c r="CA69" s="129">
        <f>IF(ISERR(BZ69),CA68,BZ69*CA68)</f>
        <v>1.0626282175154123</v>
      </c>
      <c r="CB69" s="129">
        <f t="shared" si="103"/>
        <v>1.0265123581097453</v>
      </c>
    </row>
    <row r="70" spans="1:80" x14ac:dyDescent="0.2">
      <c r="A70" s="133" t="s">
        <v>664</v>
      </c>
      <c r="B70" s="133">
        <f t="shared" si="89"/>
        <v>2009</v>
      </c>
      <c r="D70" s="5">
        <f>Personal_vehicles!G70</f>
        <v>16508.982679459408</v>
      </c>
      <c r="E70" s="5">
        <f>Buses!G70</f>
        <v>218.90197514796526</v>
      </c>
      <c r="F70" s="5">
        <f>'Passenger-based Energy Use'!$F67</f>
        <v>24.101748571428573</v>
      </c>
      <c r="G70" s="5">
        <f>D70+E70+F70</f>
        <v>16751.986403178802</v>
      </c>
      <c r="H70" s="5"/>
      <c r="I70" s="5">
        <f>Personal_vehicles!L70</f>
        <v>4568906.8061391367</v>
      </c>
      <c r="J70" s="5">
        <f>Buses!L70</f>
        <v>198390.37452179336</v>
      </c>
      <c r="K70" s="5">
        <f>'Passenger-based Activity'!G68</f>
        <v>1477</v>
      </c>
      <c r="L70" s="5">
        <f>I70+J70</f>
        <v>4767297.1806609305</v>
      </c>
      <c r="N70">
        <f t="shared" ref="N70:Q71" si="114">D70/I70*1000000</f>
        <v>3613.3332063759017</v>
      </c>
      <c r="O70">
        <f t="shared" si="114"/>
        <v>1103.3900998252245</v>
      </c>
      <c r="P70" s="4">
        <f t="shared" si="114"/>
        <v>16318.042363864977</v>
      </c>
      <c r="Q70">
        <f t="shared" si="114"/>
        <v>3513.9379334552691</v>
      </c>
      <c r="R70" s="129">
        <f>Personal_vehicles!AA70</f>
        <v>0.82439774892864948</v>
      </c>
      <c r="S70" s="129">
        <f>Buses!AA70</f>
        <v>1.0365313186544585</v>
      </c>
      <c r="T70" s="129">
        <f t="shared" si="38"/>
        <v>0.88811979926014806</v>
      </c>
      <c r="U70" s="129"/>
      <c r="V70" s="129">
        <f>Personal_vehicles!Z70</f>
        <v>1.0288402918181636</v>
      </c>
      <c r="W70" s="129">
        <f>Buses!Z70</f>
        <v>0.8568647672729679</v>
      </c>
      <c r="X70" s="129">
        <v>1</v>
      </c>
      <c r="Z70" s="131">
        <f t="shared" si="81"/>
        <v>1.5743330383033354</v>
      </c>
      <c r="AA70" s="131">
        <f t="shared" si="82"/>
        <v>0.84920070039242324</v>
      </c>
      <c r="AB70" s="131">
        <f>BX70</f>
        <v>1.0005234791304451</v>
      </c>
      <c r="AC70" s="131">
        <f>CB70</f>
        <v>1.026401290598985</v>
      </c>
      <c r="AD70" s="131">
        <f>BT70</f>
        <v>0.82692451958818947</v>
      </c>
      <c r="AE70" s="131">
        <f>Z70*AB70*AC70*AD70</f>
        <v>1.3369247187781252</v>
      </c>
      <c r="AF70" s="131">
        <f t="shared" si="84"/>
        <v>1.3369247187781241</v>
      </c>
      <c r="AG70" s="131"/>
      <c r="AH70" s="131">
        <f>AB70*AC70</f>
        <v>1.0269385902540755</v>
      </c>
      <c r="AI70" s="129"/>
      <c r="AK70" s="134"/>
      <c r="AM70" s="129">
        <f t="shared" si="85"/>
        <v>0.98549403528209156</v>
      </c>
      <c r="AN70" s="129">
        <f t="shared" si="86"/>
        <v>1.3067224977357142E-2</v>
      </c>
      <c r="AO70" s="129">
        <f t="shared" si="39"/>
        <v>1.4387397405513118E-3</v>
      </c>
      <c r="AQ70" s="129">
        <f t="shared" ref="AQ70:AS71" si="115">(AM70-AM69)/LN(AM70/AM69)</f>
        <v>0.98538493293975626</v>
      </c>
      <c r="AR70" s="129">
        <f t="shared" si="115"/>
        <v>1.3109892797773021E-2</v>
      </c>
      <c r="AS70" s="129">
        <f t="shared" si="115"/>
        <v>1.5041473732334231E-3</v>
      </c>
      <c r="AT70" s="129">
        <f>AQ70+AR70+AS70</f>
        <v>0.99999897311076269</v>
      </c>
      <c r="AV70" s="129">
        <f>AQ70/AT70</f>
        <v>0.98538594482197761</v>
      </c>
      <c r="AW70" s="129">
        <f>AR70/AT70</f>
        <v>1.3109906260194662E-2</v>
      </c>
      <c r="AX70" s="129">
        <f>AS70/AT70</f>
        <v>1.5041489178277581E-3</v>
      </c>
      <c r="BA70" s="129">
        <f t="shared" ref="BA70:BC71" si="116">LN(R70/R69)</f>
        <v>-1.3274333680546181E-3</v>
      </c>
      <c r="BB70" s="129">
        <f t="shared" si="116"/>
        <v>-8.3875289497860259E-3</v>
      </c>
      <c r="BC70" s="129">
        <f t="shared" si="116"/>
        <v>-0.13082794429190525</v>
      </c>
      <c r="BD70" s="129"/>
      <c r="BE70" s="129">
        <f t="shared" si="87"/>
        <v>0.95838514634107852</v>
      </c>
      <c r="BF70" s="129">
        <f t="shared" si="88"/>
        <v>4.1614853658921432E-2</v>
      </c>
      <c r="BG70" s="129">
        <f t="shared" si="40"/>
        <v>3.0981915832552128E-4</v>
      </c>
      <c r="BH70" s="129"/>
      <c r="BI70" s="129">
        <f t="shared" ref="BI70:BK71" si="117">LN(BE70/BE69)</f>
        <v>-3.8380035173056493E-4</v>
      </c>
      <c r="BJ70" s="129">
        <f t="shared" si="117"/>
        <v>8.8798827172309695E-3</v>
      </c>
      <c r="BK70" s="129">
        <f t="shared" si="117"/>
        <v>4.0636219864882084E-2</v>
      </c>
      <c r="BL70" s="129"/>
      <c r="BM70" s="129">
        <f t="shared" ref="BM70:BO71" si="118">LN(V70/V69)</f>
        <v>9.0291228117179446E-6</v>
      </c>
      <c r="BN70" s="129">
        <f t="shared" si="118"/>
        <v>-8.932323772334598E-3</v>
      </c>
      <c r="BO70" s="129">
        <f t="shared" si="118"/>
        <v>0</v>
      </c>
      <c r="BP70" s="129"/>
      <c r="BQ70" s="129"/>
      <c r="BR70" s="129">
        <f t="shared" si="96"/>
        <v>0.99838652444082521</v>
      </c>
      <c r="BS70" s="129">
        <f>IF(ISERR(BR70),BS69,BR70*BS69)</f>
        <v>0.66928700025027299</v>
      </c>
      <c r="BT70" s="129">
        <f t="shared" si="98"/>
        <v>0.82692451958818947</v>
      </c>
      <c r="BU70" s="129"/>
      <c r="BV70" s="129">
        <f t="shared" si="99"/>
        <v>0.9997993660136365</v>
      </c>
      <c r="BW70" s="129">
        <f>IF(ISERR(BV70),BW69,BV70*BW69)</f>
        <v>1.0037105196251597</v>
      </c>
      <c r="BX70" s="129">
        <f t="shared" si="101"/>
        <v>1.0005234791304451</v>
      </c>
      <c r="BY70" s="129"/>
      <c r="BZ70" s="129">
        <f t="shared" si="102"/>
        <v>0.99989180109729525</v>
      </c>
      <c r="CA70" s="129">
        <f>IF(ISERR(BZ70),CA69,BZ70*CA69)</f>
        <v>1.0625132423082939</v>
      </c>
      <c r="CB70" s="129">
        <f t="shared" si="103"/>
        <v>1.026401290598985</v>
      </c>
    </row>
    <row r="71" spans="1:80" x14ac:dyDescent="0.2">
      <c r="A71" s="133" t="s">
        <v>664</v>
      </c>
      <c r="B71" s="133">
        <f t="shared" si="89"/>
        <v>2010</v>
      </c>
      <c r="D71" s="5">
        <f>Personal_vehicles!G71</f>
        <v>16703.202802838452</v>
      </c>
      <c r="E71" s="5">
        <f>Buses!G71</f>
        <v>212.19789653608905</v>
      </c>
      <c r="F71" s="5">
        <f>'Passenger-based Energy Use'!$F68</f>
        <v>23.869180952380951</v>
      </c>
      <c r="G71" s="5">
        <f>D71+E71+F71</f>
        <v>16939.269880326923</v>
      </c>
      <c r="H71" s="5"/>
      <c r="I71" s="5">
        <f>Personal_vehicles!L71</f>
        <v>4595019.4880983932</v>
      </c>
      <c r="J71" s="5">
        <f>Buses!L71</f>
        <v>192855.77282016649</v>
      </c>
      <c r="K71" s="5">
        <f>'Passenger-based Activity'!G69</f>
        <v>1494</v>
      </c>
      <c r="L71" s="5">
        <f>I71+J71</f>
        <v>4787875.2609185595</v>
      </c>
      <c r="N71">
        <f t="shared" si="114"/>
        <v>3635.066803547099</v>
      </c>
      <c r="O71">
        <f t="shared" si="114"/>
        <v>1100.2932058142674</v>
      </c>
      <c r="P71" s="4">
        <f t="shared" si="114"/>
        <v>15976.694077898896</v>
      </c>
      <c r="Q71">
        <f t="shared" si="114"/>
        <v>3537.9513786825569</v>
      </c>
      <c r="R71" s="129">
        <f>Personal_vehicles!AA71</f>
        <v>0.82901868853506511</v>
      </c>
      <c r="S71" s="129">
        <f>Buses!AA71</f>
        <v>1.0313052100271614</v>
      </c>
      <c r="T71" s="129">
        <f t="shared" si="38"/>
        <v>0.86954170242413831</v>
      </c>
      <c r="U71" s="129"/>
      <c r="V71" s="129">
        <f>Personal_vehicles!Z71</f>
        <v>1.0292593585461642</v>
      </c>
      <c r="W71" s="129">
        <f>Buses!Z71</f>
        <v>0.85878974766342941</v>
      </c>
      <c r="X71" s="129">
        <v>1</v>
      </c>
      <c r="Z71" s="131">
        <f t="shared" si="81"/>
        <v>1.5811286607255883</v>
      </c>
      <c r="AA71" s="131">
        <f t="shared" si="82"/>
        <v>0.85500394304839022</v>
      </c>
      <c r="AB71" s="131">
        <f>BX71</f>
        <v>1.0014894934287994</v>
      </c>
      <c r="AC71" s="131">
        <f>CB71</f>
        <v>1.0268429011057443</v>
      </c>
      <c r="AD71" s="131">
        <f>BT71</f>
        <v>0.83141473097475882</v>
      </c>
      <c r="AE71" s="131">
        <f>Z71*AB71*AC71*AD71</f>
        <v>1.3518712393871986</v>
      </c>
      <c r="AF71" s="131">
        <f t="shared" si="84"/>
        <v>1.3518712393871983</v>
      </c>
      <c r="AG71" s="131"/>
      <c r="AH71" s="131">
        <f>AB71*AC71</f>
        <v>1.0283723768593507</v>
      </c>
      <c r="AI71" s="129"/>
      <c r="AK71" s="134"/>
      <c r="AM71" s="129">
        <f t="shared" si="85"/>
        <v>0.98606391661764381</v>
      </c>
      <c r="AN71" s="129">
        <f t="shared" si="86"/>
        <v>1.2526980090359933E-2</v>
      </c>
      <c r="AO71" s="129">
        <f t="shared" si="39"/>
        <v>1.4091032919962122E-3</v>
      </c>
      <c r="AQ71" s="129">
        <f t="shared" si="115"/>
        <v>0.98577894849566516</v>
      </c>
      <c r="AR71" s="129">
        <f t="shared" si="115"/>
        <v>1.2795201718011271E-2</v>
      </c>
      <c r="AS71" s="129">
        <f t="shared" si="115"/>
        <v>1.4238701121970794E-3</v>
      </c>
      <c r="AT71" s="129">
        <f>AQ71+AR71+AS71</f>
        <v>0.99999802032587359</v>
      </c>
      <c r="AV71" s="129">
        <f>AQ71/AT71</f>
        <v>0.98578090002060725</v>
      </c>
      <c r="AW71" s="129">
        <f>AR71/AT71</f>
        <v>1.27952270483912E-2</v>
      </c>
      <c r="AX71" s="129">
        <f>AS71/AT71</f>
        <v>1.4238729310014802E-3</v>
      </c>
      <c r="BA71" s="129">
        <f t="shared" si="116"/>
        <v>5.5895798939248273E-3</v>
      </c>
      <c r="BB71" s="129">
        <f t="shared" si="116"/>
        <v>-5.0546739860163545E-3</v>
      </c>
      <c r="BC71" s="129">
        <f t="shared" si="116"/>
        <v>-2.114034894041205E-2</v>
      </c>
      <c r="BD71" s="129"/>
      <c r="BE71" s="129">
        <f t="shared" si="87"/>
        <v>0.95971996714401309</v>
      </c>
      <c r="BF71" s="129">
        <f t="shared" si="88"/>
        <v>4.0280032855986914E-2</v>
      </c>
      <c r="BG71" s="129">
        <f t="shared" si="40"/>
        <v>3.1203820454448811E-4</v>
      </c>
      <c r="BH71" s="129"/>
      <c r="BI71" s="129">
        <f t="shared" si="117"/>
        <v>1.3918121681947648E-3</v>
      </c>
      <c r="BJ71" s="129">
        <f t="shared" si="117"/>
        <v>-3.2601279105599373E-2</v>
      </c>
      <c r="BK71" s="129">
        <f t="shared" si="117"/>
        <v>7.1368637579895542E-3</v>
      </c>
      <c r="BL71" s="129"/>
      <c r="BM71" s="129">
        <f t="shared" si="118"/>
        <v>4.0723658226945049E-4</v>
      </c>
      <c r="BN71" s="129">
        <f t="shared" si="118"/>
        <v>2.2440196222402878E-3</v>
      </c>
      <c r="BO71" s="129">
        <f t="shared" si="118"/>
        <v>0</v>
      </c>
      <c r="BP71" s="129"/>
      <c r="BQ71" s="129"/>
      <c r="BR71" s="129">
        <f t="shared" si="96"/>
        <v>1.0054300135988294</v>
      </c>
      <c r="BS71" s="129">
        <f>IF(ISERR(BR71),BS70,BR71*BS70)</f>
        <v>0.67292123776315171</v>
      </c>
      <c r="BT71" s="129">
        <f t="shared" si="98"/>
        <v>0.83141473097475882</v>
      </c>
      <c r="BU71" s="129"/>
      <c r="BV71" s="129">
        <f t="shared" si="99"/>
        <v>1.0009655088746081</v>
      </c>
      <c r="BW71" s="129">
        <f>IF(ISERR(BV71),BW70,BV71*BW70)</f>
        <v>1.0046796110393952</v>
      </c>
      <c r="BX71" s="129">
        <f t="shared" si="101"/>
        <v>1.0014894934287994</v>
      </c>
      <c r="BY71" s="129"/>
      <c r="BZ71" s="129">
        <f t="shared" si="102"/>
        <v>1.000430251316716</v>
      </c>
      <c r="CA71" s="129">
        <f>IF(ISERR(BZ71),CA70,BZ71*CA70)</f>
        <v>1.0629703900298253</v>
      </c>
      <c r="CB71" s="129">
        <f t="shared" si="103"/>
        <v>1.0268429011057443</v>
      </c>
    </row>
    <row r="72" spans="1:80" x14ac:dyDescent="0.2">
      <c r="A72" s="133" t="s">
        <v>664</v>
      </c>
      <c r="B72" s="133">
        <f t="shared" si="89"/>
        <v>2011</v>
      </c>
      <c r="D72" s="5">
        <f>Personal_vehicles!G72</f>
        <v>16854.667994254603</v>
      </c>
      <c r="E72" s="5">
        <f>Buses!G72</f>
        <v>209.42787411113784</v>
      </c>
      <c r="F72" s="5">
        <f>'Passenger-based Energy Use'!$F69</f>
        <v>25.498169047619047</v>
      </c>
      <c r="G72" s="5">
        <f>D72+E72+F72</f>
        <v>17089.594037413361</v>
      </c>
      <c r="H72" s="5"/>
      <c r="I72" s="5">
        <f>Personal_vehicles!L72</f>
        <v>4593326.538900774</v>
      </c>
      <c r="J72" s="5">
        <f>Buses!L72</f>
        <v>191644.24679617849</v>
      </c>
      <c r="K72" s="5">
        <f>'Passenger-based Activity'!G70</f>
        <v>1580</v>
      </c>
      <c r="L72" s="5">
        <f>I72+J72</f>
        <v>4784970.7856969526</v>
      </c>
      <c r="N72">
        <f t="shared" ref="N72" si="119">D72/I72*1000000</f>
        <v>3669.381623865148</v>
      </c>
      <c r="O72">
        <f t="shared" ref="O72" si="120">E72/J72*1000000</f>
        <v>1092.7949970440436</v>
      </c>
      <c r="P72" s="4">
        <f t="shared" ref="P72" si="121">F72/K72*1000000</f>
        <v>16138.081675708259</v>
      </c>
      <c r="Q72">
        <f t="shared" ref="Q72" si="122">G72/L72*1000000</f>
        <v>3571.5148122736518</v>
      </c>
      <c r="R72" s="129">
        <f>Personal_vehicles!AA72</f>
        <v>0.83684648264451822</v>
      </c>
      <c r="S72" s="129">
        <f>Buses!AA72</f>
        <v>1.0175386420109724</v>
      </c>
      <c r="T72" s="129">
        <f t="shared" si="38"/>
        <v>0.8783253247345526</v>
      </c>
      <c r="U72" s="129"/>
      <c r="V72" s="129">
        <f>Personal_vehicles!Z72</f>
        <v>1.0292570147341009</v>
      </c>
      <c r="W72" s="129">
        <f>Buses!Z72</f>
        <v>0.86447695164000338</v>
      </c>
      <c r="X72" s="129">
        <v>1</v>
      </c>
      <c r="Z72" s="131">
        <f t="shared" si="81"/>
        <v>1.5801694985154249</v>
      </c>
      <c r="AA72" s="131">
        <f t="shared" si="82"/>
        <v>0.86311509693126665</v>
      </c>
      <c r="AB72" s="131">
        <f>BX72</f>
        <v>1.0017363882201196</v>
      </c>
      <c r="AC72" s="131">
        <f>CB72</f>
        <v>1.0269245764148784</v>
      </c>
      <c r="AD72" s="131">
        <f>BT72</f>
        <v>0.83902850477255397</v>
      </c>
      <c r="AE72" s="131">
        <f>Z72*AB72*AC72*AD72</f>
        <v>1.3638681498789724</v>
      </c>
      <c r="AF72" s="131">
        <f t="shared" si="84"/>
        <v>1.363868149878972</v>
      </c>
      <c r="AG72" s="131"/>
      <c r="AH72" s="131">
        <f>AB72*AC72</f>
        <v>1.0287077161523166</v>
      </c>
      <c r="AI72" s="129"/>
      <c r="AK72" s="134"/>
      <c r="AM72" s="129">
        <f t="shared" si="85"/>
        <v>0.98625326952504278</v>
      </c>
      <c r="AN72" s="129">
        <f t="shared" si="86"/>
        <v>1.2254701524954207E-2</v>
      </c>
      <c r="AO72" s="129">
        <f t="shared" si="39"/>
        <v>1.4920289500029802E-3</v>
      </c>
      <c r="AQ72" s="129">
        <f t="shared" ref="AQ72" si="123">(AM72-AM71)/LN(AM72/AM71)</f>
        <v>0.98615859004145856</v>
      </c>
      <c r="AR72" s="129">
        <f t="shared" ref="AR72" si="124">(AN72-AN71)/LN(AN72/AN71)</f>
        <v>1.239034220009025E-2</v>
      </c>
      <c r="AS72" s="129">
        <f t="shared" ref="AS72" si="125">(AO72-AO71)/LN(AO72/AO71)</f>
        <v>1.4501709785120376E-3</v>
      </c>
      <c r="AT72" s="129">
        <f>AQ72+AR72+AS72</f>
        <v>0.99999910322006091</v>
      </c>
      <c r="AV72" s="129">
        <f>AQ72/AT72</f>
        <v>0.98615947440949192</v>
      </c>
      <c r="AW72" s="129">
        <f>AR72/AT72</f>
        <v>1.2390353311510538E-2</v>
      </c>
      <c r="AX72" s="129">
        <f>AS72/AT72</f>
        <v>1.4501722789974456E-3</v>
      </c>
      <c r="BA72" s="129">
        <f t="shared" ref="BA72" si="126">LN(R72/R71)</f>
        <v>9.3979415119666513E-3</v>
      </c>
      <c r="BB72" s="129">
        <f t="shared" ref="BB72" si="127">LN(S72/S71)</f>
        <v>-1.3438579209884447E-2</v>
      </c>
      <c r="BC72" s="129">
        <f t="shared" ref="BC72" si="128">LN(T72/T71)</f>
        <v>1.0050760287417995E-2</v>
      </c>
      <c r="BD72" s="129"/>
      <c r="BE72" s="129">
        <f t="shared" si="87"/>
        <v>0.95994871120863812</v>
      </c>
      <c r="BF72" s="129">
        <f t="shared" si="88"/>
        <v>4.0051288791361897E-2</v>
      </c>
      <c r="BG72" s="129">
        <f t="shared" si="40"/>
        <v>3.3020055309906471E-4</v>
      </c>
      <c r="BH72" s="129"/>
      <c r="BI72" s="129">
        <f t="shared" ref="BI72" si="129">LN(BE72/BE71)</f>
        <v>2.3831619308800798E-4</v>
      </c>
      <c r="BJ72" s="129">
        <f t="shared" ref="BJ72" si="130">LN(BF72/BF71)</f>
        <v>-5.695030983657561E-3</v>
      </c>
      <c r="BK72" s="129">
        <f t="shared" ref="BK72" si="131">LN(BG72/BG71)</f>
        <v>5.6574575751079971E-2</v>
      </c>
      <c r="BL72" s="129"/>
      <c r="BM72" s="129">
        <f t="shared" ref="BM72" si="132">LN(V72/V71)</f>
        <v>-2.2771857379461517E-6</v>
      </c>
      <c r="BN72" s="129">
        <f t="shared" ref="BN72" si="133">LN(W72/W71)</f>
        <v>6.600515899989094E-3</v>
      </c>
      <c r="BO72" s="129">
        <f t="shared" ref="BO72" si="134">LN(X72/X71)</f>
        <v>0</v>
      </c>
      <c r="BP72" s="129"/>
      <c r="BQ72" s="129"/>
      <c r="BR72" s="129">
        <f t="shared" si="96"/>
        <v>1.0091576123373094</v>
      </c>
      <c r="BS72" s="129">
        <f>IF(ISERR(BR72),BS71,BR72*BS71)</f>
        <v>0.679083589592129</v>
      </c>
      <c r="BT72" s="129">
        <f t="shared" si="98"/>
        <v>0.83902850477255397</v>
      </c>
      <c r="BU72" s="129"/>
      <c r="BV72" s="129">
        <f t="shared" si="99"/>
        <v>1.0002465275900947</v>
      </c>
      <c r="BW72" s="129">
        <f>IF(ISERR(BV72),BW71,BV72*BW71)</f>
        <v>1.0049272922827219</v>
      </c>
      <c r="BX72" s="129">
        <f t="shared" si="101"/>
        <v>1.0017363882201196</v>
      </c>
      <c r="BY72" s="129"/>
      <c r="BZ72" s="129">
        <f t="shared" si="102"/>
        <v>1.0000795402189042</v>
      </c>
      <c r="CA72" s="129">
        <f>IF(ISERR(BZ72),CA71,BZ72*CA71)</f>
        <v>1.0630549389273369</v>
      </c>
      <c r="CB72" s="129">
        <f t="shared" si="103"/>
        <v>1.0269245764148784</v>
      </c>
    </row>
    <row r="73" spans="1:80" x14ac:dyDescent="0.2">
      <c r="A73" s="133"/>
      <c r="B73" s="133"/>
      <c r="D73" s="5"/>
      <c r="E73" s="5"/>
      <c r="F73" s="5"/>
      <c r="G73" s="5"/>
      <c r="H73" s="5"/>
      <c r="I73" s="5"/>
      <c r="J73" s="5"/>
      <c r="K73" s="5"/>
      <c r="L73" s="5"/>
      <c r="AK73" s="134"/>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row>
    <row r="74" spans="1:80" hidden="1" x14ac:dyDescent="0.2">
      <c r="A74" s="133" t="s">
        <v>684</v>
      </c>
      <c r="B74" s="133">
        <f>Base_year</f>
        <v>1985</v>
      </c>
      <c r="D74" s="5"/>
      <c r="E74" s="5"/>
      <c r="F74" s="5"/>
      <c r="G74" s="5">
        <f>INDEX(G10:G71,Base_row,0)</f>
        <v>12530.239113604839</v>
      </c>
      <c r="H74" s="5"/>
      <c r="I74" s="5"/>
      <c r="J74" s="5"/>
      <c r="K74" s="5"/>
      <c r="L74" s="5">
        <f>INDEX(L10:L71,Base_row,0)</f>
        <v>3028137.6714285719</v>
      </c>
      <c r="N74" s="129">
        <f>INDEX(N10:N71,Base_row,0)</f>
        <v>4260.1339144414269</v>
      </c>
      <c r="O74" s="129">
        <f>INDEX(O10:O71,Base_row,0)</f>
        <v>1242.3225499212003</v>
      </c>
      <c r="P74" s="129">
        <f>INDEX(P10:P71,Base_row,0)</f>
        <v>18373.695054945056</v>
      </c>
      <c r="Q74" s="129">
        <f>INDEX(Q10:Q71,Base_row,0)</f>
        <v>4137.9357457329543</v>
      </c>
      <c r="AA74" s="131">
        <f>AA71/AA51</f>
        <v>0.89470746471552809</v>
      </c>
      <c r="AD74" s="131">
        <f>AD72/AD51</f>
        <v>0.88523731623398683</v>
      </c>
      <c r="AK74" s="134"/>
      <c r="BA74" s="129"/>
      <c r="BB74" s="129"/>
      <c r="BC74" s="129"/>
      <c r="BD74" s="129"/>
      <c r="BE74" s="129"/>
      <c r="BF74" s="129"/>
      <c r="BG74" s="129"/>
      <c r="BH74" s="129"/>
      <c r="BI74" s="129"/>
      <c r="BJ74" s="129"/>
      <c r="BK74" s="129"/>
      <c r="BL74" s="129"/>
      <c r="BM74" s="129"/>
      <c r="BN74" s="129"/>
      <c r="BO74" s="129"/>
      <c r="BP74" s="129"/>
      <c r="BQ74" s="129"/>
      <c r="BR74" s="129"/>
      <c r="BS74" s="129">
        <f>INDEX(BS10:BS71,Base_row,1)</f>
        <v>0.80936891384425225</v>
      </c>
      <c r="BT74" s="129"/>
      <c r="BU74" s="129"/>
      <c r="BV74" s="129"/>
      <c r="BW74" s="129">
        <f>INDEX(BW10:BW71,Base_row,1)</f>
        <v>1.0031853730184166</v>
      </c>
      <c r="BX74" s="129"/>
      <c r="BY74" s="129"/>
      <c r="BZ74" s="129"/>
      <c r="CA74" s="129">
        <f>INDEX(CA10:CA71,Base_row,1)</f>
        <v>1.0351830731703726</v>
      </c>
      <c r="CB74" s="129"/>
    </row>
    <row r="75" spans="1:80" hidden="1" x14ac:dyDescent="0.2">
      <c r="A75" s="133" t="s">
        <v>683</v>
      </c>
      <c r="B75" s="133">
        <f>Base_year2</f>
        <v>1996</v>
      </c>
      <c r="D75" s="5"/>
      <c r="E75" s="5"/>
      <c r="F75" s="5"/>
      <c r="G75" s="5"/>
      <c r="H75" s="5"/>
      <c r="I75" s="5"/>
      <c r="J75" s="5"/>
      <c r="K75" s="5"/>
      <c r="L75" s="5">
        <f>INDEX(L10:L71,Base_row2,0)</f>
        <v>3835280.746127896</v>
      </c>
      <c r="N75" s="129">
        <f>INDEX(N10:N71,Base_row2,0)</f>
        <v>3962.5773829941063</v>
      </c>
      <c r="O75" s="129">
        <f>INDEX(O10:O71,Base_row2,0)</f>
        <v>1237.4875254049637</v>
      </c>
      <c r="P75" s="129">
        <f>INDEX(P10:P71,Base_row2,0)</f>
        <v>14415.320121951221</v>
      </c>
      <c r="Q75" s="129">
        <f>INDEX(Q10:Q71,Base_row2,0)</f>
        <v>3853.1347922009659</v>
      </c>
      <c r="AA75" s="129">
        <f>AA51/AA31</f>
        <v>0.80321522164998493</v>
      </c>
      <c r="AK75" s="134"/>
    </row>
    <row r="76" spans="1:80" hidden="1" x14ac:dyDescent="0.2">
      <c r="A76" s="133"/>
      <c r="B76" s="133"/>
      <c r="AD76" s="136" t="e">
        <f>(1-AD74)/(1-#REF!)</f>
        <v>#REF!</v>
      </c>
      <c r="AK76" s="134"/>
    </row>
    <row r="77" spans="1:80" x14ac:dyDescent="0.2">
      <c r="A77" s="133"/>
      <c r="B77" s="133"/>
      <c r="D77" s="394" t="s">
        <v>447</v>
      </c>
      <c r="E77" s="394"/>
      <c r="F77" s="394"/>
      <c r="G77" s="394"/>
      <c r="H77" s="394"/>
      <c r="I77" s="394"/>
      <c r="J77" s="394"/>
      <c r="K77" s="394"/>
      <c r="AK77" s="134"/>
    </row>
    <row r="78" spans="1:80" x14ac:dyDescent="0.2">
      <c r="A78" s="133"/>
      <c r="B78" s="133"/>
      <c r="AK78" s="134"/>
    </row>
    <row r="79" spans="1:80" x14ac:dyDescent="0.2">
      <c r="A79" s="133"/>
      <c r="B79" s="133"/>
      <c r="AA79" s="129"/>
      <c r="AK79" s="134"/>
    </row>
    <row r="80" spans="1:80" x14ac:dyDescent="0.2">
      <c r="A80" s="133"/>
      <c r="B80" s="133"/>
      <c r="E80" s="129">
        <f>E72/G72</f>
        <v>1.2254701524954207E-2</v>
      </c>
      <c r="AA80" s="129"/>
      <c r="AK80" s="134"/>
    </row>
    <row r="81" spans="1:37" x14ac:dyDescent="0.2">
      <c r="A81" s="133"/>
      <c r="B81" s="133"/>
      <c r="N81" s="129"/>
      <c r="O81" s="129"/>
      <c r="P81" s="129"/>
      <c r="AA81" s="129"/>
      <c r="AK81" s="134"/>
    </row>
    <row r="82" spans="1:37" x14ac:dyDescent="0.2">
      <c r="A82" s="133"/>
      <c r="B82" s="133"/>
      <c r="N82" s="129"/>
      <c r="O82" s="129"/>
      <c r="P82" s="129"/>
      <c r="AK82" s="134"/>
    </row>
    <row r="83" spans="1:37" x14ac:dyDescent="0.2">
      <c r="A83" s="133"/>
      <c r="B83" s="133"/>
      <c r="AK83" s="134"/>
    </row>
    <row r="84" spans="1:37" x14ac:dyDescent="0.2">
      <c r="A84" s="133"/>
      <c r="B84" s="133"/>
      <c r="AK84" s="134"/>
    </row>
    <row r="85" spans="1:37" x14ac:dyDescent="0.2">
      <c r="A85" s="133"/>
      <c r="B85" s="133"/>
      <c r="AK85" s="134"/>
    </row>
    <row r="86" spans="1:37" x14ac:dyDescent="0.2">
      <c r="A86" s="133"/>
      <c r="B86" s="133"/>
      <c r="AK86" s="134"/>
    </row>
    <row r="87" spans="1:37" x14ac:dyDescent="0.2">
      <c r="A87" s="133"/>
      <c r="B87" s="133"/>
      <c r="AK87" s="134"/>
    </row>
    <row r="88" spans="1:37" x14ac:dyDescent="0.2">
      <c r="A88" s="133"/>
      <c r="B88" s="133"/>
      <c r="AK88" s="134"/>
    </row>
    <row r="89" spans="1:37" x14ac:dyDescent="0.2">
      <c r="A89" s="133"/>
      <c r="B89" s="133"/>
      <c r="AK89" s="134"/>
    </row>
    <row r="90" spans="1:37" x14ac:dyDescent="0.2">
      <c r="A90" s="133"/>
      <c r="B90" s="133"/>
      <c r="AK90" s="134"/>
    </row>
    <row r="91" spans="1:37" x14ac:dyDescent="0.2">
      <c r="A91" s="133"/>
      <c r="B91" s="133"/>
      <c r="AK91" s="134"/>
    </row>
    <row r="92" spans="1:37" x14ac:dyDescent="0.2">
      <c r="A92" s="133"/>
      <c r="B92" s="133"/>
      <c r="AK92" s="134"/>
    </row>
    <row r="93" spans="1:37" x14ac:dyDescent="0.2">
      <c r="A93" s="133"/>
      <c r="B93" s="133"/>
      <c r="AK93" s="134"/>
    </row>
    <row r="94" spans="1:37" x14ac:dyDescent="0.2">
      <c r="A94" s="133"/>
      <c r="B94" s="133"/>
      <c r="AK94" s="134"/>
    </row>
    <row r="95" spans="1:37" x14ac:dyDescent="0.2">
      <c r="A95" s="133"/>
      <c r="B95" s="133"/>
      <c r="AK95" s="134"/>
    </row>
    <row r="96" spans="1:37" x14ac:dyDescent="0.2">
      <c r="A96" s="133"/>
      <c r="B96" s="133"/>
      <c r="AK96" s="134"/>
    </row>
    <row r="97" spans="1:37" x14ac:dyDescent="0.2">
      <c r="A97" s="133"/>
      <c r="B97" s="133"/>
      <c r="AK97" s="134"/>
    </row>
    <row r="98" spans="1:37" x14ac:dyDescent="0.2">
      <c r="A98" s="133"/>
      <c r="B98" s="133"/>
      <c r="AK98" s="134"/>
    </row>
    <row r="99" spans="1:37" x14ac:dyDescent="0.2">
      <c r="A99" s="133"/>
      <c r="B99" s="133"/>
      <c r="AK99" s="134"/>
    </row>
    <row r="100" spans="1:37" x14ac:dyDescent="0.2">
      <c r="A100" s="133"/>
      <c r="B100" s="133"/>
      <c r="AK100" s="134"/>
    </row>
    <row r="101" spans="1:37" x14ac:dyDescent="0.2">
      <c r="A101" s="133"/>
      <c r="B101" s="133"/>
      <c r="AK101" s="134"/>
    </row>
    <row r="102" spans="1:37" x14ac:dyDescent="0.2">
      <c r="A102" s="133"/>
      <c r="B102" s="133"/>
      <c r="AK102" s="134"/>
    </row>
    <row r="103" spans="1:37" x14ac:dyDescent="0.2">
      <c r="A103" s="133"/>
      <c r="B103" s="133"/>
      <c r="AK103" s="134"/>
    </row>
    <row r="104" spans="1:37" x14ac:dyDescent="0.2">
      <c r="A104" s="133"/>
      <c r="B104" s="133"/>
      <c r="AK104" s="134"/>
    </row>
    <row r="105" spans="1:37" x14ac:dyDescent="0.2">
      <c r="A105" s="133"/>
      <c r="B105" s="133"/>
      <c r="AK105" s="134"/>
    </row>
    <row r="106" spans="1:37" x14ac:dyDescent="0.2">
      <c r="A106" s="133"/>
      <c r="B106" s="133"/>
      <c r="AK106" s="134"/>
    </row>
    <row r="107" spans="1:37" x14ac:dyDescent="0.2">
      <c r="A107" s="133"/>
      <c r="B107" s="133"/>
      <c r="AK107" s="134"/>
    </row>
    <row r="108" spans="1:37" x14ac:dyDescent="0.2">
      <c r="A108" s="133"/>
      <c r="B108" s="133"/>
      <c r="AK108" s="134"/>
    </row>
    <row r="109" spans="1:37" x14ac:dyDescent="0.2">
      <c r="A109" s="133"/>
      <c r="B109" s="133"/>
      <c r="AK109" s="134"/>
    </row>
    <row r="110" spans="1:37" x14ac:dyDescent="0.2">
      <c r="A110" s="133"/>
      <c r="B110" s="133"/>
      <c r="AK110" s="134"/>
    </row>
    <row r="111" spans="1:37" x14ac:dyDescent="0.2">
      <c r="A111" s="133"/>
      <c r="B111" s="133"/>
      <c r="AK111" s="134"/>
    </row>
    <row r="112" spans="1:37" x14ac:dyDescent="0.2">
      <c r="A112" s="133"/>
      <c r="B112" s="133"/>
      <c r="AK112" s="134"/>
    </row>
    <row r="113" spans="1:37" x14ac:dyDescent="0.2">
      <c r="A113" s="133"/>
      <c r="B113" s="133"/>
      <c r="AK113" s="134"/>
    </row>
    <row r="114" spans="1:37" x14ac:dyDescent="0.2">
      <c r="A114" s="133"/>
      <c r="B114" s="133"/>
      <c r="AK114" s="134"/>
    </row>
    <row r="115" spans="1:37" x14ac:dyDescent="0.2">
      <c r="A115" s="133"/>
      <c r="B115" s="133"/>
      <c r="AK115" s="134"/>
    </row>
    <row r="116" spans="1:37" x14ac:dyDescent="0.2">
      <c r="A116" s="133"/>
      <c r="B116" s="133"/>
      <c r="AK116" s="134"/>
    </row>
    <row r="117" spans="1:37" x14ac:dyDescent="0.2">
      <c r="A117" s="133"/>
      <c r="B117" s="133"/>
      <c r="AK117" s="134"/>
    </row>
    <row r="118" spans="1:37" x14ac:dyDescent="0.2">
      <c r="A118" s="133"/>
      <c r="B118" s="133"/>
      <c r="AK118" s="134"/>
    </row>
    <row r="119" spans="1:37" x14ac:dyDescent="0.2">
      <c r="A119" s="133"/>
      <c r="B119" s="133"/>
      <c r="AK119" s="134"/>
    </row>
    <row r="120" spans="1:37" x14ac:dyDescent="0.2">
      <c r="A120" s="133"/>
      <c r="B120" s="133"/>
      <c r="AK120" s="134"/>
    </row>
    <row r="121" spans="1:37" x14ac:dyDescent="0.2">
      <c r="A121" s="133"/>
      <c r="B121" s="133"/>
      <c r="AK121" s="134"/>
    </row>
    <row r="122" spans="1:37" x14ac:dyDescent="0.2">
      <c r="A122" s="133"/>
      <c r="B122" s="133"/>
      <c r="AK122" s="134"/>
    </row>
    <row r="123" spans="1:37" x14ac:dyDescent="0.2">
      <c r="A123" s="133"/>
      <c r="B123" s="133"/>
      <c r="AK123" s="134"/>
    </row>
    <row r="124" spans="1:37" x14ac:dyDescent="0.2">
      <c r="A124" s="133"/>
      <c r="B124" s="133"/>
      <c r="AK124" s="134"/>
    </row>
    <row r="125" spans="1:37" x14ac:dyDescent="0.2">
      <c r="A125" s="133"/>
      <c r="B125" s="133"/>
      <c r="AK125" s="134"/>
    </row>
    <row r="126" spans="1:37" x14ac:dyDescent="0.2">
      <c r="A126" s="133"/>
      <c r="B126" s="133"/>
      <c r="AK126" s="134"/>
    </row>
    <row r="127" spans="1:37" x14ac:dyDescent="0.2">
      <c r="A127" s="133"/>
      <c r="B127" s="133"/>
      <c r="AK127" s="134"/>
    </row>
    <row r="128" spans="1:37" x14ac:dyDescent="0.2">
      <c r="A128" s="133"/>
      <c r="B128" s="133"/>
      <c r="AK128" s="134"/>
    </row>
    <row r="129" spans="1:37" x14ac:dyDescent="0.2">
      <c r="A129" s="133"/>
      <c r="B129" s="133"/>
      <c r="AK129" s="134"/>
    </row>
    <row r="130" spans="1:37" x14ac:dyDescent="0.2">
      <c r="A130" s="133"/>
      <c r="B130" s="133"/>
      <c r="AK130" s="134"/>
    </row>
    <row r="131" spans="1:37" x14ac:dyDescent="0.2">
      <c r="A131" s="133"/>
      <c r="B131" s="133"/>
      <c r="AK131" s="134"/>
    </row>
    <row r="132" spans="1:37" x14ac:dyDescent="0.2">
      <c r="A132" s="133"/>
      <c r="B132" s="133"/>
      <c r="AK132" s="134"/>
    </row>
    <row r="133" spans="1:37" x14ac:dyDescent="0.2">
      <c r="A133" s="133"/>
      <c r="B133" s="133"/>
      <c r="AK133" s="134"/>
    </row>
    <row r="134" spans="1:37" x14ac:dyDescent="0.2">
      <c r="A134" s="133"/>
      <c r="B134" s="133"/>
      <c r="AK134" s="134"/>
    </row>
    <row r="135" spans="1:37" x14ac:dyDescent="0.2">
      <c r="A135" s="133"/>
      <c r="B135" s="133"/>
      <c r="AK135" s="134"/>
    </row>
    <row r="136" spans="1:37" x14ac:dyDescent="0.2">
      <c r="A136" s="133"/>
      <c r="B136" s="133"/>
      <c r="AK136" s="134"/>
    </row>
    <row r="137" spans="1:37" x14ac:dyDescent="0.2">
      <c r="A137" s="133"/>
      <c r="B137" s="133"/>
      <c r="AK137" s="134"/>
    </row>
    <row r="138" spans="1:37" x14ac:dyDescent="0.2">
      <c r="A138" s="133"/>
      <c r="B138" s="133"/>
      <c r="AK138" s="134"/>
    </row>
    <row r="139" spans="1:37" x14ac:dyDescent="0.2">
      <c r="A139" s="133"/>
      <c r="B139" s="133"/>
      <c r="AK139" s="134"/>
    </row>
    <row r="140" spans="1:37" x14ac:dyDescent="0.2">
      <c r="A140" s="133"/>
      <c r="B140" s="133"/>
      <c r="AK140" s="134"/>
    </row>
    <row r="141" spans="1:37" x14ac:dyDescent="0.2">
      <c r="A141" s="133"/>
      <c r="B141" s="133"/>
      <c r="AK141" s="134"/>
    </row>
    <row r="142" spans="1:37" x14ac:dyDescent="0.2">
      <c r="A142" s="133"/>
      <c r="B142" s="133"/>
      <c r="AK142" s="134"/>
    </row>
    <row r="143" spans="1:37" x14ac:dyDescent="0.2">
      <c r="A143" s="133"/>
      <c r="B143" s="133"/>
      <c r="AK143" s="134"/>
    </row>
    <row r="144" spans="1:37" x14ac:dyDescent="0.2">
      <c r="A144" s="133"/>
      <c r="B144" s="133"/>
      <c r="AK144" s="134"/>
    </row>
    <row r="145" spans="1:37" x14ac:dyDescent="0.2">
      <c r="A145" s="133"/>
      <c r="B145" s="133"/>
      <c r="AK145" s="134"/>
    </row>
    <row r="146" spans="1:37" x14ac:dyDescent="0.2">
      <c r="A146" s="133"/>
      <c r="B146" s="133"/>
      <c r="AK146" s="134"/>
    </row>
    <row r="147" spans="1:37" x14ac:dyDescent="0.2">
      <c r="A147" s="133"/>
      <c r="B147" s="133"/>
      <c r="AK147" s="134"/>
    </row>
    <row r="148" spans="1:37" x14ac:dyDescent="0.2">
      <c r="A148" s="133"/>
      <c r="B148" s="133"/>
      <c r="AK148" s="134"/>
    </row>
    <row r="149" spans="1:37" x14ac:dyDescent="0.2">
      <c r="A149" s="133"/>
      <c r="B149" s="133"/>
      <c r="AK149" s="134"/>
    </row>
    <row r="150" spans="1:37" x14ac:dyDescent="0.2">
      <c r="A150" s="133"/>
      <c r="B150" s="133"/>
      <c r="AK150" s="134"/>
    </row>
    <row r="151" spans="1:37" x14ac:dyDescent="0.2">
      <c r="A151" s="133"/>
      <c r="B151" s="133"/>
      <c r="AK151" s="134"/>
    </row>
    <row r="152" spans="1:37" x14ac:dyDescent="0.2">
      <c r="A152" s="133"/>
      <c r="B152" s="133"/>
      <c r="AK152" s="134"/>
    </row>
    <row r="153" spans="1:37" x14ac:dyDescent="0.2">
      <c r="A153" s="133"/>
      <c r="B153" s="133"/>
      <c r="AK153" s="134"/>
    </row>
    <row r="154" spans="1:37" x14ac:dyDescent="0.2">
      <c r="A154" s="133"/>
      <c r="B154" s="133"/>
      <c r="AK154" s="134"/>
    </row>
    <row r="155" spans="1:37" x14ac:dyDescent="0.2">
      <c r="A155" s="133"/>
      <c r="B155" s="133"/>
      <c r="AK155" s="134"/>
    </row>
    <row r="156" spans="1:37" x14ac:dyDescent="0.2">
      <c r="A156" s="133"/>
      <c r="B156" s="133"/>
      <c r="AK156" s="134"/>
    </row>
    <row r="157" spans="1:37" x14ac:dyDescent="0.2">
      <c r="A157" s="133"/>
      <c r="B157" s="133"/>
      <c r="AK157" s="134"/>
    </row>
    <row r="158" spans="1:37" x14ac:dyDescent="0.2">
      <c r="A158" s="133"/>
      <c r="B158" s="133"/>
      <c r="AK158" s="134"/>
    </row>
    <row r="159" spans="1:37" x14ac:dyDescent="0.2">
      <c r="A159" s="133"/>
      <c r="B159" s="133"/>
      <c r="AK159" s="134"/>
    </row>
    <row r="160" spans="1:37" x14ac:dyDescent="0.2">
      <c r="A160" s="133"/>
      <c r="B160" s="133"/>
      <c r="AK160" s="134"/>
    </row>
    <row r="161" spans="1:37" x14ac:dyDescent="0.2">
      <c r="A161" s="133"/>
      <c r="B161" s="133"/>
      <c r="AK161" s="134"/>
    </row>
    <row r="162" spans="1:37" x14ac:dyDescent="0.2">
      <c r="A162" s="133"/>
      <c r="B162" s="133"/>
      <c r="AK162" s="134"/>
    </row>
    <row r="163" spans="1:37" x14ac:dyDescent="0.2">
      <c r="A163" s="133"/>
      <c r="B163" s="133"/>
      <c r="AK163" s="134"/>
    </row>
    <row r="164" spans="1:37" x14ac:dyDescent="0.2">
      <c r="A164" s="133"/>
      <c r="B164" s="133"/>
      <c r="AK164" s="134"/>
    </row>
    <row r="165" spans="1:37" x14ac:dyDescent="0.2">
      <c r="A165" s="133"/>
      <c r="B165" s="133"/>
      <c r="AK165" s="134"/>
    </row>
    <row r="166" spans="1:37" x14ac:dyDescent="0.2">
      <c r="A166" s="133"/>
      <c r="B166" s="133"/>
      <c r="AK166" s="134"/>
    </row>
    <row r="167" spans="1:37" x14ac:dyDescent="0.2">
      <c r="A167" s="133"/>
      <c r="B167" s="133"/>
      <c r="AK167" s="134"/>
    </row>
    <row r="168" spans="1:37" x14ac:dyDescent="0.2">
      <c r="A168" s="133"/>
      <c r="B168" s="133"/>
      <c r="AK168" s="134"/>
    </row>
    <row r="169" spans="1:37" x14ac:dyDescent="0.2">
      <c r="A169" s="133"/>
      <c r="B169" s="133"/>
      <c r="AK169" s="134"/>
    </row>
    <row r="170" spans="1:37" x14ac:dyDescent="0.2">
      <c r="A170" s="133"/>
      <c r="B170" s="133"/>
      <c r="AK170" s="134"/>
    </row>
    <row r="171" spans="1:37" x14ac:dyDescent="0.2">
      <c r="A171" s="133"/>
      <c r="B171" s="133"/>
      <c r="AK171" s="134"/>
    </row>
    <row r="172" spans="1:37" x14ac:dyDescent="0.2">
      <c r="A172" s="133"/>
      <c r="B172" s="133"/>
      <c r="AK172" s="134"/>
    </row>
    <row r="173" spans="1:37" x14ac:dyDescent="0.2">
      <c r="A173" s="133"/>
      <c r="B173" s="133"/>
      <c r="AK173" s="134"/>
    </row>
    <row r="174" spans="1:37" x14ac:dyDescent="0.2">
      <c r="A174" s="133"/>
      <c r="B174" s="133"/>
      <c r="AK174" s="134"/>
    </row>
    <row r="175" spans="1:37" x14ac:dyDescent="0.2">
      <c r="A175" s="133"/>
      <c r="B175" s="133"/>
      <c r="AK175" s="134"/>
    </row>
    <row r="176" spans="1:37" x14ac:dyDescent="0.2">
      <c r="A176" s="133"/>
      <c r="B176" s="133"/>
      <c r="AK176" s="134"/>
    </row>
    <row r="177" spans="1:37" x14ac:dyDescent="0.2">
      <c r="A177" s="133"/>
      <c r="B177" s="133"/>
      <c r="AK177" s="134"/>
    </row>
    <row r="178" spans="1:37" x14ac:dyDescent="0.2">
      <c r="A178" s="133"/>
      <c r="B178" s="133"/>
      <c r="AK178" s="134"/>
    </row>
    <row r="179" spans="1:37" x14ac:dyDescent="0.2">
      <c r="A179" s="133"/>
      <c r="B179" s="133"/>
      <c r="AK179" s="134"/>
    </row>
    <row r="180" spans="1:37" x14ac:dyDescent="0.2">
      <c r="A180" s="133"/>
      <c r="B180" s="133"/>
      <c r="AK180" s="134"/>
    </row>
    <row r="181" spans="1:37" x14ac:dyDescent="0.2">
      <c r="A181" s="133"/>
      <c r="B181" s="133"/>
      <c r="AK181" s="134"/>
    </row>
    <row r="182" spans="1:37" x14ac:dyDescent="0.2">
      <c r="A182" s="133"/>
      <c r="B182" s="133"/>
      <c r="AK182" s="134"/>
    </row>
    <row r="183" spans="1:37" x14ac:dyDescent="0.2">
      <c r="A183" s="133"/>
      <c r="B183" s="133"/>
      <c r="AK183" s="134"/>
    </row>
    <row r="184" spans="1:37" x14ac:dyDescent="0.2">
      <c r="A184" s="133"/>
      <c r="B184" s="133"/>
      <c r="AK184" s="134"/>
    </row>
    <row r="185" spans="1:37" x14ac:dyDescent="0.2">
      <c r="A185" s="133"/>
      <c r="B185" s="133"/>
      <c r="AK185" s="134"/>
    </row>
    <row r="186" spans="1:37" x14ac:dyDescent="0.2">
      <c r="A186" s="133"/>
      <c r="B186" s="133"/>
      <c r="AK186" s="134"/>
    </row>
    <row r="187" spans="1:37" x14ac:dyDescent="0.2">
      <c r="A187" s="133"/>
      <c r="B187" s="133"/>
      <c r="AK187" s="134"/>
    </row>
    <row r="188" spans="1:37" x14ac:dyDescent="0.2">
      <c r="A188" s="133"/>
      <c r="B188" s="133"/>
      <c r="AK188" s="134"/>
    </row>
    <row r="189" spans="1:37" x14ac:dyDescent="0.2">
      <c r="A189" s="133"/>
      <c r="B189" s="133"/>
      <c r="AK189" s="134"/>
    </row>
    <row r="190" spans="1:37" x14ac:dyDescent="0.2">
      <c r="A190" s="133"/>
      <c r="B190" s="133"/>
      <c r="AK190" s="134"/>
    </row>
    <row r="191" spans="1:37" x14ac:dyDescent="0.2">
      <c r="A191" s="133"/>
      <c r="B191" s="133"/>
      <c r="AK191" s="134"/>
    </row>
    <row r="192" spans="1:37" x14ac:dyDescent="0.2">
      <c r="A192" s="133"/>
      <c r="B192" s="133"/>
      <c r="AK192" s="134"/>
    </row>
    <row r="193" spans="1:37" x14ac:dyDescent="0.2">
      <c r="A193" s="133"/>
      <c r="B193" s="133"/>
      <c r="AK193" s="134"/>
    </row>
    <row r="194" spans="1:37" x14ac:dyDescent="0.2">
      <c r="A194" s="133"/>
      <c r="B194" s="133"/>
      <c r="AK194" s="134"/>
    </row>
    <row r="195" spans="1:37" x14ac:dyDescent="0.2">
      <c r="A195" s="133"/>
      <c r="B195" s="133"/>
      <c r="AK195" s="134"/>
    </row>
    <row r="196" spans="1:37" x14ac:dyDescent="0.2">
      <c r="A196" s="133"/>
      <c r="B196" s="133"/>
      <c r="AK196" s="134"/>
    </row>
    <row r="197" spans="1:37" x14ac:dyDescent="0.2">
      <c r="A197" s="133"/>
      <c r="B197" s="133"/>
      <c r="AK197" s="134"/>
    </row>
    <row r="198" spans="1:37" x14ac:dyDescent="0.2">
      <c r="A198" s="133"/>
      <c r="B198" s="133"/>
      <c r="AK198" s="134"/>
    </row>
    <row r="199" spans="1:37" x14ac:dyDescent="0.2">
      <c r="A199" s="133"/>
      <c r="B199" s="133"/>
      <c r="AK199" s="134"/>
    </row>
    <row r="200" spans="1:37" x14ac:dyDescent="0.2">
      <c r="A200" s="133"/>
      <c r="B200" s="133"/>
      <c r="AK200" s="134"/>
    </row>
    <row r="201" spans="1:37" x14ac:dyDescent="0.2">
      <c r="A201" s="133"/>
      <c r="B201" s="133"/>
      <c r="AK201" s="134"/>
    </row>
    <row r="202" spans="1:37" x14ac:dyDescent="0.2">
      <c r="A202" s="133"/>
      <c r="B202" s="133"/>
      <c r="AK202" s="134"/>
    </row>
    <row r="203" spans="1:37" x14ac:dyDescent="0.2">
      <c r="A203" s="133"/>
      <c r="B203" s="133"/>
      <c r="AK203" s="134"/>
    </row>
    <row r="204" spans="1:37" x14ac:dyDescent="0.2">
      <c r="A204" s="133"/>
      <c r="B204" s="133"/>
      <c r="AK204" s="134"/>
    </row>
    <row r="205" spans="1:37" x14ac:dyDescent="0.2">
      <c r="A205" s="133"/>
      <c r="B205" s="133"/>
      <c r="AK205" s="134"/>
    </row>
    <row r="206" spans="1:37" x14ac:dyDescent="0.2">
      <c r="A206" s="133"/>
      <c r="B206" s="133"/>
      <c r="AK206" s="134"/>
    </row>
    <row r="207" spans="1:37" x14ac:dyDescent="0.2">
      <c r="A207" s="133"/>
      <c r="B207" s="133"/>
      <c r="AK207" s="134"/>
    </row>
    <row r="208" spans="1:37" x14ac:dyDescent="0.2">
      <c r="A208" s="133"/>
      <c r="B208" s="133"/>
      <c r="AK208" s="134"/>
    </row>
    <row r="209" spans="1:37" x14ac:dyDescent="0.2">
      <c r="A209" s="133"/>
      <c r="B209" s="133"/>
      <c r="AK209" s="134"/>
    </row>
    <row r="210" spans="1:37" x14ac:dyDescent="0.2">
      <c r="A210" s="133"/>
      <c r="B210" s="133"/>
      <c r="AK210" s="134"/>
    </row>
    <row r="211" spans="1:37" x14ac:dyDescent="0.2">
      <c r="A211" s="133"/>
      <c r="B211" s="133"/>
      <c r="AK211" s="134"/>
    </row>
    <row r="212" spans="1:37" x14ac:dyDescent="0.2">
      <c r="A212" s="133"/>
      <c r="B212" s="133"/>
      <c r="AK212" s="134"/>
    </row>
    <row r="213" spans="1:37" x14ac:dyDescent="0.2">
      <c r="A213" s="133"/>
      <c r="B213" s="133"/>
      <c r="AK213" s="134"/>
    </row>
    <row r="214" spans="1:37" x14ac:dyDescent="0.2">
      <c r="A214" s="133"/>
      <c r="B214" s="133"/>
      <c r="AK214" s="134"/>
    </row>
    <row r="215" spans="1:37" x14ac:dyDescent="0.2">
      <c r="A215" s="133"/>
      <c r="B215" s="133"/>
      <c r="AK215" s="134"/>
    </row>
    <row r="216" spans="1:37" x14ac:dyDescent="0.2">
      <c r="A216" s="133"/>
      <c r="B216" s="133"/>
      <c r="AK216" s="134"/>
    </row>
    <row r="217" spans="1:37" x14ac:dyDescent="0.2">
      <c r="A217" s="133"/>
      <c r="B217" s="133"/>
      <c r="AK217" s="134"/>
    </row>
    <row r="218" spans="1:37" x14ac:dyDescent="0.2">
      <c r="A218" s="133"/>
      <c r="B218" s="133"/>
      <c r="AK218" s="134"/>
    </row>
    <row r="219" spans="1:37" x14ac:dyDescent="0.2">
      <c r="A219" s="133"/>
      <c r="B219" s="133"/>
      <c r="AK219" s="134"/>
    </row>
    <row r="220" spans="1:37" x14ac:dyDescent="0.2">
      <c r="A220" s="133"/>
      <c r="B220" s="133"/>
      <c r="AK220" s="134"/>
    </row>
    <row r="221" spans="1:37" x14ac:dyDescent="0.2">
      <c r="A221" s="133"/>
      <c r="B221" s="133"/>
      <c r="AK221" s="134"/>
    </row>
    <row r="222" spans="1:37" x14ac:dyDescent="0.2">
      <c r="A222" s="133"/>
      <c r="B222" s="133"/>
      <c r="AK222" s="134"/>
    </row>
    <row r="223" spans="1:37" x14ac:dyDescent="0.2">
      <c r="A223" s="133"/>
      <c r="B223" s="133"/>
      <c r="AK223" s="134"/>
    </row>
    <row r="224" spans="1:37" x14ac:dyDescent="0.2">
      <c r="A224" s="133"/>
      <c r="B224" s="133"/>
      <c r="AK224" s="134"/>
    </row>
    <row r="225" spans="1:37" x14ac:dyDescent="0.2">
      <c r="A225" s="133"/>
      <c r="B225" s="133"/>
      <c r="AK225" s="134"/>
    </row>
    <row r="226" spans="1:37" x14ac:dyDescent="0.2">
      <c r="A226" s="133"/>
      <c r="B226" s="133"/>
      <c r="AK226" s="134"/>
    </row>
    <row r="227" spans="1:37" x14ac:dyDescent="0.2">
      <c r="A227" s="133"/>
      <c r="B227" s="133"/>
      <c r="AK227" s="134"/>
    </row>
    <row r="228" spans="1:37" x14ac:dyDescent="0.2">
      <c r="A228" s="133"/>
      <c r="B228" s="133"/>
      <c r="AK228" s="134"/>
    </row>
    <row r="229" spans="1:37" x14ac:dyDescent="0.2">
      <c r="A229" s="133"/>
      <c r="B229" s="133"/>
      <c r="AK229" s="134"/>
    </row>
    <row r="230" spans="1:37" x14ac:dyDescent="0.2">
      <c r="A230" s="133"/>
      <c r="B230" s="133"/>
      <c r="AK230" s="134"/>
    </row>
    <row r="231" spans="1:37" x14ac:dyDescent="0.2">
      <c r="A231" s="133"/>
      <c r="B231" s="133"/>
      <c r="AK231" s="134"/>
    </row>
    <row r="232" spans="1:37" x14ac:dyDescent="0.2">
      <c r="A232" s="133"/>
      <c r="B232" s="133"/>
      <c r="AK232" s="134"/>
    </row>
    <row r="233" spans="1:37" x14ac:dyDescent="0.2">
      <c r="A233" s="133"/>
      <c r="B233" s="133"/>
      <c r="AK233" s="134"/>
    </row>
    <row r="234" spans="1:37" x14ac:dyDescent="0.2">
      <c r="A234" s="133"/>
      <c r="B234" s="133"/>
      <c r="AK234" s="134"/>
    </row>
    <row r="235" spans="1:37" x14ac:dyDescent="0.2">
      <c r="A235" s="133"/>
      <c r="B235" s="133"/>
      <c r="AK235" s="134"/>
    </row>
    <row r="236" spans="1:37" x14ac:dyDescent="0.2">
      <c r="A236" s="133"/>
      <c r="B236" s="133"/>
      <c r="AK236" s="134"/>
    </row>
    <row r="237" spans="1:37" x14ac:dyDescent="0.2">
      <c r="A237" s="133"/>
      <c r="B237" s="133"/>
      <c r="AK237" s="134"/>
    </row>
    <row r="238" spans="1:37" x14ac:dyDescent="0.2">
      <c r="A238" s="133"/>
      <c r="B238" s="133"/>
      <c r="AK238" s="134"/>
    </row>
    <row r="239" spans="1:37" x14ac:dyDescent="0.2">
      <c r="A239" s="133"/>
      <c r="B239" s="133"/>
      <c r="AK239" s="134"/>
    </row>
    <row r="240" spans="1:37" x14ac:dyDescent="0.2">
      <c r="A240" s="133"/>
      <c r="B240" s="133"/>
      <c r="AK240" s="134"/>
    </row>
    <row r="241" spans="1:37" x14ac:dyDescent="0.2">
      <c r="A241" s="133"/>
      <c r="B241" s="133"/>
      <c r="AK241" s="134"/>
    </row>
    <row r="242" spans="1:37" x14ac:dyDescent="0.2">
      <c r="A242" s="133"/>
      <c r="B242" s="133"/>
      <c r="AK242" s="134"/>
    </row>
    <row r="243" spans="1:37" x14ac:dyDescent="0.2">
      <c r="A243" s="133"/>
      <c r="B243" s="133"/>
      <c r="AK243" s="134"/>
    </row>
    <row r="244" spans="1:37" x14ac:dyDescent="0.2">
      <c r="A244" s="133"/>
      <c r="B244" s="133"/>
      <c r="AK244" s="134"/>
    </row>
    <row r="245" spans="1:37" x14ac:dyDescent="0.2">
      <c r="A245" s="133"/>
      <c r="B245" s="133"/>
      <c r="AK245" s="134"/>
    </row>
    <row r="246" spans="1:37" x14ac:dyDescent="0.2">
      <c r="A246" s="133"/>
      <c r="B246" s="133"/>
      <c r="AK246" s="134"/>
    </row>
    <row r="247" spans="1:37" x14ac:dyDescent="0.2">
      <c r="A247" s="133"/>
      <c r="B247" s="133"/>
      <c r="AK247" s="134"/>
    </row>
    <row r="248" spans="1:37" x14ac:dyDescent="0.2">
      <c r="A248" s="133"/>
      <c r="B248" s="133"/>
      <c r="AK248" s="134"/>
    </row>
    <row r="249" spans="1:37" x14ac:dyDescent="0.2">
      <c r="A249" s="133"/>
      <c r="B249" s="133"/>
      <c r="AK249" s="134"/>
    </row>
    <row r="250" spans="1:37" x14ac:dyDescent="0.2">
      <c r="A250" s="133"/>
      <c r="B250" s="133"/>
      <c r="AK250" s="134"/>
    </row>
    <row r="251" spans="1:37" x14ac:dyDescent="0.2">
      <c r="A251" s="133"/>
      <c r="B251" s="133"/>
      <c r="AK251" s="134"/>
    </row>
    <row r="252" spans="1:37" x14ac:dyDescent="0.2">
      <c r="A252" s="133"/>
      <c r="B252" s="133"/>
      <c r="AK252" s="134"/>
    </row>
    <row r="253" spans="1:37" x14ac:dyDescent="0.2">
      <c r="A253" s="133"/>
      <c r="B253" s="133"/>
      <c r="AK253" s="134"/>
    </row>
    <row r="254" spans="1:37" x14ac:dyDescent="0.2">
      <c r="A254" s="133"/>
      <c r="B254" s="133"/>
      <c r="AK254" s="134"/>
    </row>
    <row r="255" spans="1:37" x14ac:dyDescent="0.2">
      <c r="A255" s="133"/>
      <c r="B255" s="133"/>
      <c r="AK255" s="134"/>
    </row>
    <row r="256" spans="1:37" x14ac:dyDescent="0.2">
      <c r="A256" s="133"/>
      <c r="B256" s="133"/>
      <c r="AK256" s="134"/>
    </row>
    <row r="257" spans="1:37" x14ac:dyDescent="0.2">
      <c r="A257" s="133"/>
      <c r="B257" s="133"/>
      <c r="AK257" s="134"/>
    </row>
    <row r="258" spans="1:37" x14ac:dyDescent="0.2">
      <c r="AK258" s="134"/>
    </row>
    <row r="259" spans="1:37" x14ac:dyDescent="0.2">
      <c r="AK259" s="134"/>
    </row>
    <row r="260" spans="1:37" x14ac:dyDescent="0.2">
      <c r="AK260" s="134"/>
    </row>
    <row r="261" spans="1:37" x14ac:dyDescent="0.2">
      <c r="AK261" s="134"/>
    </row>
    <row r="262" spans="1:37" x14ac:dyDescent="0.2">
      <c r="AK262" s="134"/>
    </row>
    <row r="263" spans="1:37" x14ac:dyDescent="0.2">
      <c r="AK263" s="134"/>
    </row>
    <row r="264" spans="1:37" x14ac:dyDescent="0.2">
      <c r="AK264" s="134"/>
    </row>
    <row r="265" spans="1:37" x14ac:dyDescent="0.2">
      <c r="AK265" s="134"/>
    </row>
    <row r="266" spans="1:37" x14ac:dyDescent="0.2">
      <c r="AK266" s="134"/>
    </row>
    <row r="267" spans="1:37" x14ac:dyDescent="0.2">
      <c r="AK267" s="134"/>
    </row>
    <row r="268" spans="1:37" x14ac:dyDescent="0.2">
      <c r="AK268" s="134"/>
    </row>
    <row r="269" spans="1:37" x14ac:dyDescent="0.2">
      <c r="AK269" s="134"/>
    </row>
    <row r="270" spans="1:37" x14ac:dyDescent="0.2">
      <c r="AK270" s="134"/>
    </row>
    <row r="271" spans="1:37" x14ac:dyDescent="0.2">
      <c r="AK271" s="134"/>
    </row>
    <row r="272" spans="1:37" x14ac:dyDescent="0.2">
      <c r="AK272" s="134"/>
    </row>
    <row r="273" spans="37:37" x14ac:dyDescent="0.2">
      <c r="AK273" s="134"/>
    </row>
    <row r="274" spans="37:37" x14ac:dyDescent="0.2">
      <c r="AK274" s="134"/>
    </row>
    <row r="275" spans="37:37" x14ac:dyDescent="0.2">
      <c r="AK275" s="134"/>
    </row>
    <row r="276" spans="37:37" x14ac:dyDescent="0.2">
      <c r="AK276" s="134"/>
    </row>
    <row r="277" spans="37:37" x14ac:dyDescent="0.2">
      <c r="AK277" s="134"/>
    </row>
    <row r="278" spans="37:37" x14ac:dyDescent="0.2">
      <c r="AK278" s="134"/>
    </row>
    <row r="279" spans="37:37" x14ac:dyDescent="0.2">
      <c r="AK279" s="134"/>
    </row>
    <row r="280" spans="37:37" x14ac:dyDescent="0.2">
      <c r="AK280" s="134"/>
    </row>
    <row r="281" spans="37:37" x14ac:dyDescent="0.2">
      <c r="AK281" s="134"/>
    </row>
    <row r="282" spans="37:37" x14ac:dyDescent="0.2">
      <c r="AK282" s="134"/>
    </row>
    <row r="283" spans="37:37" x14ac:dyDescent="0.2">
      <c r="AK283" s="134"/>
    </row>
    <row r="284" spans="37:37" x14ac:dyDescent="0.2">
      <c r="AK284" s="134"/>
    </row>
    <row r="285" spans="37:37" x14ac:dyDescent="0.2">
      <c r="AK285" s="134"/>
    </row>
    <row r="286" spans="37:37" x14ac:dyDescent="0.2">
      <c r="AK286" s="134"/>
    </row>
    <row r="287" spans="37:37" x14ac:dyDescent="0.2">
      <c r="AK287" s="134"/>
    </row>
    <row r="288" spans="37:37" x14ac:dyDescent="0.2">
      <c r="AK288" s="134"/>
    </row>
    <row r="289" spans="37:37" x14ac:dyDescent="0.2">
      <c r="AK289" s="134"/>
    </row>
    <row r="290" spans="37:37" x14ac:dyDescent="0.2">
      <c r="AK290" s="134"/>
    </row>
    <row r="291" spans="37:37" x14ac:dyDescent="0.2">
      <c r="AK291" s="134"/>
    </row>
    <row r="292" spans="37:37" x14ac:dyDescent="0.2">
      <c r="AK292" s="134"/>
    </row>
    <row r="293" spans="37:37" x14ac:dyDescent="0.2">
      <c r="AK293" s="134"/>
    </row>
    <row r="294" spans="37:37" x14ac:dyDescent="0.2">
      <c r="AK294" s="134"/>
    </row>
    <row r="295" spans="37:37" x14ac:dyDescent="0.2">
      <c r="AK295" s="134"/>
    </row>
    <row r="296" spans="37:37" x14ac:dyDescent="0.2">
      <c r="AK296" s="134"/>
    </row>
    <row r="297" spans="37:37" x14ac:dyDescent="0.2">
      <c r="AK297" s="134"/>
    </row>
    <row r="298" spans="37:37" x14ac:dyDescent="0.2">
      <c r="AK298" s="134"/>
    </row>
    <row r="299" spans="37:37" x14ac:dyDescent="0.2">
      <c r="AK299" s="134"/>
    </row>
    <row r="300" spans="37:37" x14ac:dyDescent="0.2">
      <c r="AK300" s="134"/>
    </row>
    <row r="301" spans="37:37" x14ac:dyDescent="0.2">
      <c r="AK301" s="134"/>
    </row>
    <row r="302" spans="37:37" x14ac:dyDescent="0.2">
      <c r="AK302" s="134"/>
    </row>
    <row r="303" spans="37:37" x14ac:dyDescent="0.2">
      <c r="AK303" s="134"/>
    </row>
    <row r="304" spans="37:37" x14ac:dyDescent="0.2">
      <c r="AK304" s="134"/>
    </row>
    <row r="305" spans="37:37" x14ac:dyDescent="0.2">
      <c r="AK305" s="134"/>
    </row>
    <row r="306" spans="37:37" x14ac:dyDescent="0.2">
      <c r="AK306" s="134"/>
    </row>
    <row r="307" spans="37:37" x14ac:dyDescent="0.2">
      <c r="AK307" s="134"/>
    </row>
    <row r="308" spans="37:37" x14ac:dyDescent="0.2">
      <c r="AK308" s="134"/>
    </row>
    <row r="309" spans="37:37" x14ac:dyDescent="0.2">
      <c r="AK309" s="134"/>
    </row>
    <row r="310" spans="37:37" x14ac:dyDescent="0.2">
      <c r="AK310" s="134"/>
    </row>
    <row r="311" spans="37:37" x14ac:dyDescent="0.2">
      <c r="AK311" s="134"/>
    </row>
    <row r="312" spans="37:37" x14ac:dyDescent="0.2">
      <c r="AK312" s="134"/>
    </row>
    <row r="313" spans="37:37" x14ac:dyDescent="0.2">
      <c r="AK313" s="134"/>
    </row>
    <row r="314" spans="37:37" x14ac:dyDescent="0.2">
      <c r="AK314" s="134"/>
    </row>
    <row r="315" spans="37:37" x14ac:dyDescent="0.2">
      <c r="AK315" s="134"/>
    </row>
    <row r="316" spans="37:37" x14ac:dyDescent="0.2">
      <c r="AK316" s="134"/>
    </row>
    <row r="317" spans="37:37" x14ac:dyDescent="0.2">
      <c r="AK317" s="134"/>
    </row>
    <row r="318" spans="37:37" x14ac:dyDescent="0.2">
      <c r="AK318" s="134"/>
    </row>
    <row r="319" spans="37:37" x14ac:dyDescent="0.2">
      <c r="AK319" s="134"/>
    </row>
    <row r="320" spans="37:37" x14ac:dyDescent="0.2">
      <c r="AK320" s="134"/>
    </row>
    <row r="321" spans="37:37" x14ac:dyDescent="0.2">
      <c r="AK321" s="134"/>
    </row>
    <row r="322" spans="37:37" x14ac:dyDescent="0.2">
      <c r="AK322" s="134"/>
    </row>
    <row r="323" spans="37:37" x14ac:dyDescent="0.2">
      <c r="AK323" s="134"/>
    </row>
    <row r="324" spans="37:37" x14ac:dyDescent="0.2">
      <c r="AK324" s="134"/>
    </row>
    <row r="325" spans="37:37" x14ac:dyDescent="0.2">
      <c r="AK325" s="134"/>
    </row>
    <row r="326" spans="37:37" x14ac:dyDescent="0.2">
      <c r="AK326" s="134"/>
    </row>
    <row r="327" spans="37:37" x14ac:dyDescent="0.2">
      <c r="AK327" s="134"/>
    </row>
    <row r="328" spans="37:37" x14ac:dyDescent="0.2">
      <c r="AK328" s="134"/>
    </row>
    <row r="329" spans="37:37" x14ac:dyDescent="0.2">
      <c r="AK329" s="134"/>
    </row>
    <row r="330" spans="37:37" x14ac:dyDescent="0.2">
      <c r="AK330" s="134"/>
    </row>
    <row r="331" spans="37:37" x14ac:dyDescent="0.2">
      <c r="AK331" s="134"/>
    </row>
    <row r="332" spans="37:37" x14ac:dyDescent="0.2">
      <c r="AK332" s="134"/>
    </row>
    <row r="333" spans="37:37" x14ac:dyDescent="0.2">
      <c r="AK333" s="134"/>
    </row>
    <row r="334" spans="37:37" x14ac:dyDescent="0.2">
      <c r="AK334" s="134"/>
    </row>
    <row r="335" spans="37:37" x14ac:dyDescent="0.2">
      <c r="AK335" s="134"/>
    </row>
    <row r="336" spans="37:37" x14ac:dyDescent="0.2">
      <c r="AK336" s="134"/>
    </row>
    <row r="337" spans="37:37" x14ac:dyDescent="0.2">
      <c r="AK337" s="134"/>
    </row>
    <row r="338" spans="37:37" x14ac:dyDescent="0.2">
      <c r="AK338" s="134"/>
    </row>
    <row r="339" spans="37:37" x14ac:dyDescent="0.2">
      <c r="AK339" s="134"/>
    </row>
    <row r="340" spans="37:37" x14ac:dyDescent="0.2">
      <c r="AK340" s="134"/>
    </row>
    <row r="341" spans="37:37" x14ac:dyDescent="0.2">
      <c r="AK341" s="134"/>
    </row>
    <row r="342" spans="37:37" x14ac:dyDescent="0.2">
      <c r="AK342" s="134"/>
    </row>
    <row r="343" spans="37:37" x14ac:dyDescent="0.2">
      <c r="AK343" s="134"/>
    </row>
    <row r="344" spans="37:37" x14ac:dyDescent="0.2">
      <c r="AK344" s="134"/>
    </row>
    <row r="345" spans="37:37" x14ac:dyDescent="0.2">
      <c r="AK345" s="134"/>
    </row>
    <row r="346" spans="37:37" x14ac:dyDescent="0.2">
      <c r="AK346" s="134"/>
    </row>
    <row r="347" spans="37:37" x14ac:dyDescent="0.2">
      <c r="AK347" s="134"/>
    </row>
    <row r="348" spans="37:37" x14ac:dyDescent="0.2">
      <c r="AK348" s="134"/>
    </row>
    <row r="349" spans="37:37" x14ac:dyDescent="0.2">
      <c r="AK349" s="134"/>
    </row>
    <row r="350" spans="37:37" x14ac:dyDescent="0.2">
      <c r="AK350" s="134"/>
    </row>
    <row r="351" spans="37:37" x14ac:dyDescent="0.2">
      <c r="AK351" s="134"/>
    </row>
    <row r="352" spans="37:37" x14ac:dyDescent="0.2">
      <c r="AK352" s="134"/>
    </row>
    <row r="353" spans="37:37" x14ac:dyDescent="0.2">
      <c r="AK353" s="134"/>
    </row>
    <row r="354" spans="37:37" x14ac:dyDescent="0.2">
      <c r="AK354" s="134"/>
    </row>
    <row r="355" spans="37:37" x14ac:dyDescent="0.2">
      <c r="AK355" s="134"/>
    </row>
    <row r="356" spans="37:37" x14ac:dyDescent="0.2">
      <c r="AK356" s="134"/>
    </row>
    <row r="357" spans="37:37" x14ac:dyDescent="0.2">
      <c r="AK357" s="134"/>
    </row>
    <row r="358" spans="37:37" x14ac:dyDescent="0.2">
      <c r="AK358" s="134"/>
    </row>
    <row r="359" spans="37:37" x14ac:dyDescent="0.2">
      <c r="AK359" s="134"/>
    </row>
    <row r="360" spans="37:37" x14ac:dyDescent="0.2">
      <c r="AK360" s="134"/>
    </row>
    <row r="361" spans="37:37" x14ac:dyDescent="0.2">
      <c r="AK361" s="134"/>
    </row>
    <row r="362" spans="37:37" x14ac:dyDescent="0.2">
      <c r="AK362" s="134"/>
    </row>
    <row r="363" spans="37:37" x14ac:dyDescent="0.2">
      <c r="AK363" s="134"/>
    </row>
    <row r="364" spans="37:37" x14ac:dyDescent="0.2">
      <c r="AK364" s="134"/>
    </row>
    <row r="365" spans="37:37" x14ac:dyDescent="0.2">
      <c r="AK365" s="134"/>
    </row>
    <row r="366" spans="37:37" x14ac:dyDescent="0.2">
      <c r="AK366" s="134"/>
    </row>
    <row r="367" spans="37:37" x14ac:dyDescent="0.2">
      <c r="AK367" s="134"/>
    </row>
    <row r="368" spans="37:37" x14ac:dyDescent="0.2">
      <c r="AK368" s="134"/>
    </row>
    <row r="369" spans="37:37" x14ac:dyDescent="0.2">
      <c r="AK369" s="134"/>
    </row>
    <row r="370" spans="37:37" x14ac:dyDescent="0.2">
      <c r="AK370" s="134"/>
    </row>
    <row r="371" spans="37:37" x14ac:dyDescent="0.2">
      <c r="AK371" s="134"/>
    </row>
    <row r="372" spans="37:37" x14ac:dyDescent="0.2">
      <c r="AK372" s="134"/>
    </row>
    <row r="373" spans="37:37" x14ac:dyDescent="0.2">
      <c r="AK373" s="134"/>
    </row>
    <row r="374" spans="37:37" x14ac:dyDescent="0.2">
      <c r="AK374" s="134"/>
    </row>
    <row r="375" spans="37:37" x14ac:dyDescent="0.2">
      <c r="AK375" s="134"/>
    </row>
    <row r="376" spans="37:37" x14ac:dyDescent="0.2">
      <c r="AK376" s="134"/>
    </row>
    <row r="377" spans="37:37" x14ac:dyDescent="0.2">
      <c r="AK377" s="134"/>
    </row>
    <row r="378" spans="37:37" x14ac:dyDescent="0.2">
      <c r="AK378" s="134"/>
    </row>
    <row r="379" spans="37:37" x14ac:dyDescent="0.2">
      <c r="AK379" s="134"/>
    </row>
    <row r="380" spans="37:37" x14ac:dyDescent="0.2">
      <c r="AK380" s="134"/>
    </row>
    <row r="381" spans="37:37" x14ac:dyDescent="0.2">
      <c r="AK381" s="134"/>
    </row>
    <row r="382" spans="37:37" x14ac:dyDescent="0.2">
      <c r="AK382" s="134"/>
    </row>
    <row r="383" spans="37:37" x14ac:dyDescent="0.2">
      <c r="AK383" s="134"/>
    </row>
    <row r="384" spans="37:37" x14ac:dyDescent="0.2">
      <c r="AK384" s="134"/>
    </row>
    <row r="385" spans="37:37" x14ac:dyDescent="0.2">
      <c r="AK385" s="134"/>
    </row>
    <row r="386" spans="37:37" x14ac:dyDescent="0.2">
      <c r="AK386" s="134"/>
    </row>
    <row r="387" spans="37:37" x14ac:dyDescent="0.2">
      <c r="AK387" s="134"/>
    </row>
    <row r="388" spans="37:37" x14ac:dyDescent="0.2">
      <c r="AK388" s="134"/>
    </row>
    <row r="389" spans="37:37" x14ac:dyDescent="0.2">
      <c r="AK389" s="134"/>
    </row>
    <row r="390" spans="37:37" x14ac:dyDescent="0.2">
      <c r="AK390" s="134"/>
    </row>
    <row r="391" spans="37:37" x14ac:dyDescent="0.2">
      <c r="AK391" s="134"/>
    </row>
    <row r="392" spans="37:37" x14ac:dyDescent="0.2">
      <c r="AK392" s="134"/>
    </row>
    <row r="393" spans="37:37" x14ac:dyDescent="0.2">
      <c r="AK393" s="134"/>
    </row>
    <row r="394" spans="37:37" x14ac:dyDescent="0.2">
      <c r="AK394" s="134"/>
    </row>
    <row r="395" spans="37:37" x14ac:dyDescent="0.2">
      <c r="AK395" s="134"/>
    </row>
    <row r="396" spans="37:37" x14ac:dyDescent="0.2">
      <c r="AK396" s="134"/>
    </row>
    <row r="397" spans="37:37" x14ac:dyDescent="0.2">
      <c r="AK397" s="134"/>
    </row>
    <row r="398" spans="37:37" x14ac:dyDescent="0.2">
      <c r="AK398" s="134"/>
    </row>
    <row r="399" spans="37:37" x14ac:dyDescent="0.2">
      <c r="AK399" s="134"/>
    </row>
    <row r="400" spans="37:37" x14ac:dyDescent="0.2">
      <c r="AK400" s="134"/>
    </row>
    <row r="401" spans="37:37" x14ac:dyDescent="0.2">
      <c r="AK401" s="134"/>
    </row>
    <row r="402" spans="37:37" x14ac:dyDescent="0.2">
      <c r="AK402" s="134"/>
    </row>
    <row r="403" spans="37:37" x14ac:dyDescent="0.2">
      <c r="AK403" s="134"/>
    </row>
    <row r="404" spans="37:37" x14ac:dyDescent="0.2">
      <c r="AK404" s="134"/>
    </row>
    <row r="405" spans="37:37" x14ac:dyDescent="0.2">
      <c r="AK405" s="134"/>
    </row>
    <row r="406" spans="37:37" x14ac:dyDescent="0.2">
      <c r="AK406" s="134"/>
    </row>
    <row r="407" spans="37:37" x14ac:dyDescent="0.2">
      <c r="AK407" s="134"/>
    </row>
    <row r="408" spans="37:37" x14ac:dyDescent="0.2">
      <c r="AK408" s="134"/>
    </row>
    <row r="409" spans="37:37" x14ac:dyDescent="0.2">
      <c r="AK409" s="134"/>
    </row>
    <row r="410" spans="37:37" x14ac:dyDescent="0.2">
      <c r="AK410" s="134"/>
    </row>
    <row r="411" spans="37:37" x14ac:dyDescent="0.2">
      <c r="AK411" s="134"/>
    </row>
    <row r="412" spans="37:37" x14ac:dyDescent="0.2">
      <c r="AK412" s="134"/>
    </row>
    <row r="413" spans="37:37" x14ac:dyDescent="0.2">
      <c r="AK413" s="134"/>
    </row>
    <row r="414" spans="37:37" x14ac:dyDescent="0.2">
      <c r="AK414" s="134"/>
    </row>
    <row r="415" spans="37:37" x14ac:dyDescent="0.2">
      <c r="AK415" s="134"/>
    </row>
    <row r="416" spans="37:37" x14ac:dyDescent="0.2">
      <c r="AK416" s="134"/>
    </row>
    <row r="417" spans="37:37" x14ac:dyDescent="0.2">
      <c r="AK417" s="134"/>
    </row>
    <row r="418" spans="37:37" x14ac:dyDescent="0.2">
      <c r="AK418" s="134"/>
    </row>
    <row r="419" spans="37:37" x14ac:dyDescent="0.2">
      <c r="AK419" s="134"/>
    </row>
    <row r="420" spans="37:37" x14ac:dyDescent="0.2">
      <c r="AK420" s="134"/>
    </row>
    <row r="421" spans="37:37" x14ac:dyDescent="0.2">
      <c r="AK421" s="134"/>
    </row>
    <row r="422" spans="37:37" x14ac:dyDescent="0.2">
      <c r="AK422" s="134"/>
    </row>
    <row r="423" spans="37:37" x14ac:dyDescent="0.2">
      <c r="AK423" s="134"/>
    </row>
    <row r="424" spans="37:37" x14ac:dyDescent="0.2">
      <c r="AK424" s="134"/>
    </row>
    <row r="425" spans="37:37" x14ac:dyDescent="0.2">
      <c r="AK425" s="134"/>
    </row>
    <row r="426" spans="37:37" x14ac:dyDescent="0.2">
      <c r="AK426" s="134"/>
    </row>
    <row r="427" spans="37:37" x14ac:dyDescent="0.2">
      <c r="AK427" s="134"/>
    </row>
    <row r="428" spans="37:37" x14ac:dyDescent="0.2">
      <c r="AK428" s="134"/>
    </row>
    <row r="429" spans="37:37" x14ac:dyDescent="0.2">
      <c r="AK429" s="134"/>
    </row>
    <row r="430" spans="37:37" x14ac:dyDescent="0.2">
      <c r="AK430" s="134"/>
    </row>
    <row r="431" spans="37:37" x14ac:dyDescent="0.2">
      <c r="AK431" s="134"/>
    </row>
    <row r="432" spans="37:37" x14ac:dyDescent="0.2">
      <c r="AK432" s="134"/>
    </row>
    <row r="433" spans="37:37" x14ac:dyDescent="0.2">
      <c r="AK433" s="134"/>
    </row>
    <row r="434" spans="37:37" x14ac:dyDescent="0.2">
      <c r="AK434" s="134"/>
    </row>
    <row r="435" spans="37:37" x14ac:dyDescent="0.2">
      <c r="AK435" s="134"/>
    </row>
    <row r="436" spans="37:37" x14ac:dyDescent="0.2">
      <c r="AK436" s="134"/>
    </row>
    <row r="437" spans="37:37" x14ac:dyDescent="0.2">
      <c r="AK437" s="134"/>
    </row>
    <row r="438" spans="37:37" x14ac:dyDescent="0.2">
      <c r="AK438" s="134"/>
    </row>
    <row r="439" spans="37:37" x14ac:dyDescent="0.2">
      <c r="AK439" s="134"/>
    </row>
    <row r="440" spans="37:37" x14ac:dyDescent="0.2">
      <c r="AK440" s="134"/>
    </row>
    <row r="441" spans="37:37" x14ac:dyDescent="0.2">
      <c r="AK441" s="134"/>
    </row>
    <row r="442" spans="37:37" x14ac:dyDescent="0.2">
      <c r="AK442" s="134"/>
    </row>
    <row r="443" spans="37:37" x14ac:dyDescent="0.2">
      <c r="AK443" s="134"/>
    </row>
    <row r="444" spans="37:37" x14ac:dyDescent="0.2">
      <c r="AK444" s="134"/>
    </row>
    <row r="445" spans="37:37" x14ac:dyDescent="0.2">
      <c r="AK445" s="134"/>
    </row>
    <row r="446" spans="37:37" x14ac:dyDescent="0.2">
      <c r="AK446" s="134"/>
    </row>
    <row r="447" spans="37:37" x14ac:dyDescent="0.2">
      <c r="AK447" s="134"/>
    </row>
    <row r="448" spans="37:37" x14ac:dyDescent="0.2">
      <c r="AK448" s="134"/>
    </row>
    <row r="449" spans="37:37" x14ac:dyDescent="0.2">
      <c r="AK449" s="134"/>
    </row>
    <row r="450" spans="37:37" x14ac:dyDescent="0.2">
      <c r="AK450" s="134"/>
    </row>
    <row r="451" spans="37:37" x14ac:dyDescent="0.2">
      <c r="AK451" s="134"/>
    </row>
    <row r="452" spans="37:37" x14ac:dyDescent="0.2">
      <c r="AK452" s="134"/>
    </row>
    <row r="453" spans="37:37" x14ac:dyDescent="0.2">
      <c r="AK453" s="134"/>
    </row>
    <row r="454" spans="37:37" x14ac:dyDescent="0.2">
      <c r="AK454" s="134"/>
    </row>
    <row r="455" spans="37:37" x14ac:dyDescent="0.2">
      <c r="AK455" s="134"/>
    </row>
    <row r="456" spans="37:37" x14ac:dyDescent="0.2">
      <c r="AK456" s="134"/>
    </row>
    <row r="457" spans="37:37" x14ac:dyDescent="0.2">
      <c r="AK457" s="134"/>
    </row>
    <row r="458" spans="37:37" x14ac:dyDescent="0.2">
      <c r="AK458" s="134"/>
    </row>
    <row r="459" spans="37:37" x14ac:dyDescent="0.2">
      <c r="AK459" s="134"/>
    </row>
    <row r="460" spans="37:37" x14ac:dyDescent="0.2">
      <c r="AK460" s="134"/>
    </row>
    <row r="461" spans="37:37" x14ac:dyDescent="0.2">
      <c r="AK461" s="134"/>
    </row>
    <row r="462" spans="37:37" x14ac:dyDescent="0.2">
      <c r="AK462" s="134"/>
    </row>
    <row r="463" spans="37:37" x14ac:dyDescent="0.2">
      <c r="AK463" s="134"/>
    </row>
    <row r="464" spans="37:37" x14ac:dyDescent="0.2">
      <c r="AK464" s="134"/>
    </row>
    <row r="465" spans="37:37" x14ac:dyDescent="0.2">
      <c r="AK465" s="134"/>
    </row>
    <row r="466" spans="37:37" x14ac:dyDescent="0.2">
      <c r="AK466" s="134"/>
    </row>
    <row r="467" spans="37:37" x14ac:dyDescent="0.2">
      <c r="AK467" s="134"/>
    </row>
    <row r="468" spans="37:37" x14ac:dyDescent="0.2">
      <c r="AK468" s="134"/>
    </row>
    <row r="469" spans="37:37" x14ac:dyDescent="0.2">
      <c r="AK469" s="134"/>
    </row>
    <row r="470" spans="37:37" x14ac:dyDescent="0.2">
      <c r="AK470" s="134"/>
    </row>
    <row r="471" spans="37:37" x14ac:dyDescent="0.2">
      <c r="AK471" s="134"/>
    </row>
    <row r="472" spans="37:37" x14ac:dyDescent="0.2">
      <c r="AK472" s="134"/>
    </row>
    <row r="473" spans="37:37" x14ac:dyDescent="0.2">
      <c r="AK473" s="134"/>
    </row>
    <row r="474" spans="37:37" x14ac:dyDescent="0.2">
      <c r="AK474" s="134"/>
    </row>
    <row r="475" spans="37:37" x14ac:dyDescent="0.2">
      <c r="AK475" s="134"/>
    </row>
    <row r="476" spans="37:37" x14ac:dyDescent="0.2">
      <c r="AK476" s="134"/>
    </row>
    <row r="477" spans="37:37" x14ac:dyDescent="0.2">
      <c r="AK477" s="134"/>
    </row>
    <row r="478" spans="37:37" x14ac:dyDescent="0.2">
      <c r="AK478" s="134"/>
    </row>
    <row r="479" spans="37:37" x14ac:dyDescent="0.2">
      <c r="AK479" s="134"/>
    </row>
    <row r="480" spans="37:37" x14ac:dyDescent="0.2">
      <c r="AK480" s="134"/>
    </row>
    <row r="481" spans="37:37" x14ac:dyDescent="0.2">
      <c r="AK481" s="134"/>
    </row>
    <row r="482" spans="37:37" x14ac:dyDescent="0.2">
      <c r="AK482" s="134"/>
    </row>
    <row r="483" spans="37:37" x14ac:dyDescent="0.2">
      <c r="AK483" s="134"/>
    </row>
    <row r="484" spans="37:37" x14ac:dyDescent="0.2">
      <c r="AK484" s="134"/>
    </row>
    <row r="485" spans="37:37" x14ac:dyDescent="0.2">
      <c r="AK485" s="134"/>
    </row>
    <row r="486" spans="37:37" x14ac:dyDescent="0.2">
      <c r="AK486" s="134"/>
    </row>
    <row r="487" spans="37:37" x14ac:dyDescent="0.2">
      <c r="AK487" s="134"/>
    </row>
    <row r="488" spans="37:37" x14ac:dyDescent="0.2">
      <c r="AK488" s="134"/>
    </row>
    <row r="489" spans="37:37" x14ac:dyDescent="0.2">
      <c r="AK489" s="134"/>
    </row>
    <row r="490" spans="37:37" x14ac:dyDescent="0.2">
      <c r="AK490" s="134"/>
    </row>
    <row r="491" spans="37:37" x14ac:dyDescent="0.2">
      <c r="AK491" s="134"/>
    </row>
    <row r="492" spans="37:37" x14ac:dyDescent="0.2">
      <c r="AK492" s="134"/>
    </row>
    <row r="493" spans="37:37" x14ac:dyDescent="0.2">
      <c r="AK493" s="134"/>
    </row>
    <row r="494" spans="37:37" x14ac:dyDescent="0.2">
      <c r="AK494" s="134"/>
    </row>
    <row r="495" spans="37:37" x14ac:dyDescent="0.2">
      <c r="AK495" s="134"/>
    </row>
    <row r="496" spans="37:37" x14ac:dyDescent="0.2">
      <c r="AK496" s="134"/>
    </row>
    <row r="497" spans="37:37" x14ac:dyDescent="0.2">
      <c r="AK497" s="134"/>
    </row>
    <row r="498" spans="37:37" x14ac:dyDescent="0.2">
      <c r="AK498" s="134"/>
    </row>
    <row r="499" spans="37:37" x14ac:dyDescent="0.2">
      <c r="AK499" s="134"/>
    </row>
    <row r="500" spans="37:37" x14ac:dyDescent="0.2">
      <c r="AK500" s="134"/>
    </row>
    <row r="501" spans="37:37" x14ac:dyDescent="0.2">
      <c r="AK501" s="134"/>
    </row>
    <row r="502" spans="37:37" x14ac:dyDescent="0.2">
      <c r="AK502" s="134"/>
    </row>
    <row r="503" spans="37:37" x14ac:dyDescent="0.2">
      <c r="AK503" s="134"/>
    </row>
    <row r="504" spans="37:37" x14ac:dyDescent="0.2">
      <c r="AK504" s="134"/>
    </row>
    <row r="505" spans="37:37" x14ac:dyDescent="0.2">
      <c r="AK505" s="134"/>
    </row>
    <row r="506" spans="37:37" x14ac:dyDescent="0.2">
      <c r="AK506" s="134"/>
    </row>
    <row r="507" spans="37:37" x14ac:dyDescent="0.2">
      <c r="AK507" s="134"/>
    </row>
    <row r="508" spans="37:37" x14ac:dyDescent="0.2">
      <c r="AK508" s="134"/>
    </row>
    <row r="509" spans="37:37" x14ac:dyDescent="0.2">
      <c r="AK509" s="134"/>
    </row>
    <row r="510" spans="37:37" x14ac:dyDescent="0.2">
      <c r="AK510" s="134"/>
    </row>
    <row r="511" spans="37:37" x14ac:dyDescent="0.2">
      <c r="AK511" s="134"/>
    </row>
    <row r="512" spans="37:37" x14ac:dyDescent="0.2">
      <c r="AK512" s="134"/>
    </row>
    <row r="513" spans="37:37" x14ac:dyDescent="0.2">
      <c r="AK513" s="134"/>
    </row>
    <row r="514" spans="37:37" x14ac:dyDescent="0.2">
      <c r="AK514" s="134"/>
    </row>
    <row r="515" spans="37:37" x14ac:dyDescent="0.2">
      <c r="AK515" s="134"/>
    </row>
    <row r="516" spans="37:37" x14ac:dyDescent="0.2">
      <c r="AK516" s="134"/>
    </row>
    <row r="517" spans="37:37" x14ac:dyDescent="0.2">
      <c r="AK517" s="134"/>
    </row>
    <row r="518" spans="37:37" x14ac:dyDescent="0.2">
      <c r="AK518" s="134"/>
    </row>
    <row r="519" spans="37:37" x14ac:dyDescent="0.2">
      <c r="AK519" s="134"/>
    </row>
    <row r="520" spans="37:37" x14ac:dyDescent="0.2">
      <c r="AK520" s="134"/>
    </row>
    <row r="521" spans="37:37" x14ac:dyDescent="0.2">
      <c r="AK521" s="134"/>
    </row>
    <row r="522" spans="37:37" x14ac:dyDescent="0.2">
      <c r="AK522" s="134"/>
    </row>
    <row r="523" spans="37:37" x14ac:dyDescent="0.2">
      <c r="AK523" s="134"/>
    </row>
    <row r="524" spans="37:37" x14ac:dyDescent="0.2">
      <c r="AK524" s="134"/>
    </row>
    <row r="525" spans="37:37" x14ac:dyDescent="0.2">
      <c r="AK525" s="134"/>
    </row>
    <row r="526" spans="37:37" x14ac:dyDescent="0.2">
      <c r="AK526" s="134"/>
    </row>
    <row r="527" spans="37:37" x14ac:dyDescent="0.2">
      <c r="AK527" s="134"/>
    </row>
    <row r="528" spans="37:37" x14ac:dyDescent="0.2">
      <c r="AK528" s="134"/>
    </row>
    <row r="529" spans="37:37" x14ac:dyDescent="0.2">
      <c r="AK529" s="134"/>
    </row>
    <row r="530" spans="37:37" x14ac:dyDescent="0.2">
      <c r="AK530" s="134"/>
    </row>
    <row r="531" spans="37:37" x14ac:dyDescent="0.2">
      <c r="AK531" s="134"/>
    </row>
    <row r="532" spans="37:37" x14ac:dyDescent="0.2">
      <c r="AK532" s="134"/>
    </row>
    <row r="533" spans="37:37" x14ac:dyDescent="0.2">
      <c r="AK533" s="134"/>
    </row>
    <row r="534" spans="37:37" x14ac:dyDescent="0.2">
      <c r="AK534" s="134"/>
    </row>
    <row r="535" spans="37:37" x14ac:dyDescent="0.2">
      <c r="AK535" s="134"/>
    </row>
    <row r="536" spans="37:37" x14ac:dyDescent="0.2">
      <c r="AK536" s="134"/>
    </row>
    <row r="537" spans="37:37" x14ac:dyDescent="0.2">
      <c r="AK537" s="134"/>
    </row>
    <row r="538" spans="37:37" x14ac:dyDescent="0.2">
      <c r="AK538" s="134"/>
    </row>
    <row r="539" spans="37:37" x14ac:dyDescent="0.2">
      <c r="AK539" s="134"/>
    </row>
    <row r="540" spans="37:37" x14ac:dyDescent="0.2">
      <c r="AK540" s="134"/>
    </row>
    <row r="541" spans="37:37" x14ac:dyDescent="0.2">
      <c r="AK541" s="134"/>
    </row>
    <row r="542" spans="37:37" x14ac:dyDescent="0.2">
      <c r="AK542" s="134"/>
    </row>
    <row r="543" spans="37:37" x14ac:dyDescent="0.2">
      <c r="AK543" s="134"/>
    </row>
    <row r="544" spans="37:37" x14ac:dyDescent="0.2">
      <c r="AK544" s="134"/>
    </row>
    <row r="545" spans="37:37" x14ac:dyDescent="0.2">
      <c r="AK545" s="134"/>
    </row>
    <row r="546" spans="37:37" x14ac:dyDescent="0.2">
      <c r="AK546" s="134"/>
    </row>
    <row r="547" spans="37:37" x14ac:dyDescent="0.2">
      <c r="AK547" s="134"/>
    </row>
    <row r="548" spans="37:37" x14ac:dyDescent="0.2">
      <c r="AK548" s="134"/>
    </row>
    <row r="549" spans="37:37" x14ac:dyDescent="0.2">
      <c r="AK549" s="134"/>
    </row>
    <row r="550" spans="37:37" x14ac:dyDescent="0.2">
      <c r="AK550" s="134"/>
    </row>
    <row r="551" spans="37:37" x14ac:dyDescent="0.2">
      <c r="AK551" s="134"/>
    </row>
    <row r="552" spans="37:37" x14ac:dyDescent="0.2">
      <c r="AK552" s="134"/>
    </row>
    <row r="553" spans="37:37" x14ac:dyDescent="0.2">
      <c r="AK553" s="134"/>
    </row>
    <row r="554" spans="37:37" x14ac:dyDescent="0.2">
      <c r="AK554" s="134"/>
    </row>
    <row r="555" spans="37:37" x14ac:dyDescent="0.2">
      <c r="AK555" s="134"/>
    </row>
    <row r="556" spans="37:37" x14ac:dyDescent="0.2">
      <c r="AK556" s="134"/>
    </row>
    <row r="557" spans="37:37" x14ac:dyDescent="0.2">
      <c r="AK557" s="134"/>
    </row>
    <row r="558" spans="37:37" x14ac:dyDescent="0.2">
      <c r="AK558" s="134"/>
    </row>
    <row r="559" spans="37:37" x14ac:dyDescent="0.2">
      <c r="AK559" s="134"/>
    </row>
    <row r="560" spans="37:37" x14ac:dyDescent="0.2">
      <c r="AK560" s="134"/>
    </row>
    <row r="561" spans="37:37" x14ac:dyDescent="0.2">
      <c r="AK561" s="134"/>
    </row>
    <row r="562" spans="37:37" x14ac:dyDescent="0.2">
      <c r="AK562" s="134"/>
    </row>
    <row r="563" spans="37:37" x14ac:dyDescent="0.2">
      <c r="AK563" s="134"/>
    </row>
    <row r="564" spans="37:37" x14ac:dyDescent="0.2">
      <c r="AK564" s="134"/>
    </row>
    <row r="565" spans="37:37" x14ac:dyDescent="0.2">
      <c r="AK565" s="134"/>
    </row>
    <row r="566" spans="37:37" x14ac:dyDescent="0.2">
      <c r="AK566" s="134"/>
    </row>
    <row r="567" spans="37:37" x14ac:dyDescent="0.2">
      <c r="AK567" s="134"/>
    </row>
    <row r="568" spans="37:37" x14ac:dyDescent="0.2">
      <c r="AK568" s="134"/>
    </row>
    <row r="569" spans="37:37" x14ac:dyDescent="0.2">
      <c r="AK569" s="134"/>
    </row>
    <row r="570" spans="37:37" x14ac:dyDescent="0.2">
      <c r="AK570" s="134"/>
    </row>
    <row r="571" spans="37:37" x14ac:dyDescent="0.2">
      <c r="AK571" s="134"/>
    </row>
    <row r="572" spans="37:37" x14ac:dyDescent="0.2">
      <c r="AK572" s="134"/>
    </row>
    <row r="573" spans="37:37" x14ac:dyDescent="0.2">
      <c r="AK573" s="134"/>
    </row>
    <row r="574" spans="37:37" x14ac:dyDescent="0.2">
      <c r="AK574" s="134"/>
    </row>
    <row r="575" spans="37:37" x14ac:dyDescent="0.2">
      <c r="AK575" s="134"/>
    </row>
    <row r="576" spans="37:37" x14ac:dyDescent="0.2">
      <c r="AK576" s="134"/>
    </row>
    <row r="577" spans="37:37" x14ac:dyDescent="0.2">
      <c r="AK577" s="134"/>
    </row>
    <row r="578" spans="37:37" x14ac:dyDescent="0.2">
      <c r="AK578" s="134"/>
    </row>
    <row r="579" spans="37:37" x14ac:dyDescent="0.2">
      <c r="AK579" s="134"/>
    </row>
    <row r="580" spans="37:37" x14ac:dyDescent="0.2">
      <c r="AK580" s="134"/>
    </row>
    <row r="581" spans="37:37" x14ac:dyDescent="0.2">
      <c r="AK581" s="134"/>
    </row>
    <row r="582" spans="37:37" x14ac:dyDescent="0.2">
      <c r="AK582" s="134"/>
    </row>
    <row r="583" spans="37:37" x14ac:dyDescent="0.2">
      <c r="AK583" s="134"/>
    </row>
    <row r="584" spans="37:37" x14ac:dyDescent="0.2">
      <c r="AK584" s="134"/>
    </row>
    <row r="585" spans="37:37" x14ac:dyDescent="0.2">
      <c r="AK585" s="134"/>
    </row>
    <row r="586" spans="37:37" x14ac:dyDescent="0.2">
      <c r="AK586" s="134"/>
    </row>
    <row r="587" spans="37:37" x14ac:dyDescent="0.2">
      <c r="AK587" s="134"/>
    </row>
    <row r="588" spans="37:37" x14ac:dyDescent="0.2">
      <c r="AK588" s="134"/>
    </row>
    <row r="589" spans="37:37" x14ac:dyDescent="0.2">
      <c r="AK589" s="134"/>
    </row>
    <row r="590" spans="37:37" x14ac:dyDescent="0.2">
      <c r="AK590" s="134"/>
    </row>
    <row r="591" spans="37:37" x14ac:dyDescent="0.2">
      <c r="AK591" s="134"/>
    </row>
    <row r="592" spans="37:37" x14ac:dyDescent="0.2">
      <c r="AK592" s="134"/>
    </row>
    <row r="593" spans="37:37" x14ac:dyDescent="0.2">
      <c r="AK593" s="134"/>
    </row>
    <row r="594" spans="37:37" x14ac:dyDescent="0.2">
      <c r="AK594" s="134"/>
    </row>
    <row r="595" spans="37:37" x14ac:dyDescent="0.2">
      <c r="AK595" s="134"/>
    </row>
    <row r="596" spans="37:37" x14ac:dyDescent="0.2">
      <c r="AK596" s="134"/>
    </row>
    <row r="597" spans="37:37" x14ac:dyDescent="0.2">
      <c r="AK597" s="134"/>
    </row>
    <row r="598" spans="37:37" x14ac:dyDescent="0.2">
      <c r="AK598" s="134"/>
    </row>
    <row r="599" spans="37:37" x14ac:dyDescent="0.2">
      <c r="AK599" s="134"/>
    </row>
    <row r="600" spans="37:37" x14ac:dyDescent="0.2">
      <c r="AK600" s="134"/>
    </row>
    <row r="601" spans="37:37" x14ac:dyDescent="0.2">
      <c r="AK601" s="134"/>
    </row>
    <row r="602" spans="37:37" x14ac:dyDescent="0.2">
      <c r="AK602" s="134"/>
    </row>
    <row r="603" spans="37:37" x14ac:dyDescent="0.2">
      <c r="AK603" s="134"/>
    </row>
    <row r="604" spans="37:37" x14ac:dyDescent="0.2">
      <c r="AK604" s="134"/>
    </row>
    <row r="605" spans="37:37" x14ac:dyDescent="0.2">
      <c r="AK605" s="134"/>
    </row>
    <row r="606" spans="37:37" x14ac:dyDescent="0.2">
      <c r="AK606" s="134"/>
    </row>
    <row r="607" spans="37:37" x14ac:dyDescent="0.2">
      <c r="AK607" s="134"/>
    </row>
    <row r="608" spans="37:37" x14ac:dyDescent="0.2">
      <c r="AK608" s="134"/>
    </row>
    <row r="609" spans="37:37" x14ac:dyDescent="0.2">
      <c r="AK609" s="134"/>
    </row>
    <row r="610" spans="37:37" x14ac:dyDescent="0.2">
      <c r="AK610" s="134"/>
    </row>
    <row r="611" spans="37:37" x14ac:dyDescent="0.2">
      <c r="AK611" s="134"/>
    </row>
    <row r="612" spans="37:37" x14ac:dyDescent="0.2">
      <c r="AK612" s="134"/>
    </row>
    <row r="613" spans="37:37" x14ac:dyDescent="0.2">
      <c r="AK613" s="134"/>
    </row>
    <row r="614" spans="37:37" x14ac:dyDescent="0.2">
      <c r="AK614" s="134"/>
    </row>
    <row r="615" spans="37:37" x14ac:dyDescent="0.2">
      <c r="AK615" s="134"/>
    </row>
    <row r="616" spans="37:37" x14ac:dyDescent="0.2">
      <c r="AK616" s="134"/>
    </row>
    <row r="617" spans="37:37" x14ac:dyDescent="0.2">
      <c r="AK617" s="134"/>
    </row>
    <row r="618" spans="37:37" x14ac:dyDescent="0.2">
      <c r="AK618" s="134"/>
    </row>
    <row r="619" spans="37:37" x14ac:dyDescent="0.2">
      <c r="AK619" s="134"/>
    </row>
    <row r="620" spans="37:37" x14ac:dyDescent="0.2">
      <c r="AK620" s="134"/>
    </row>
    <row r="621" spans="37:37" x14ac:dyDescent="0.2">
      <c r="AK621" s="134"/>
    </row>
    <row r="622" spans="37:37" x14ac:dyDescent="0.2">
      <c r="AK622" s="134"/>
    </row>
    <row r="623" spans="37:37" x14ac:dyDescent="0.2">
      <c r="AK623" s="134"/>
    </row>
    <row r="624" spans="37:37" x14ac:dyDescent="0.2">
      <c r="AK624" s="134"/>
    </row>
    <row r="625" spans="37:37" x14ac:dyDescent="0.2">
      <c r="AK625" s="134"/>
    </row>
    <row r="626" spans="37:37" x14ac:dyDescent="0.2">
      <c r="AK626" s="134"/>
    </row>
    <row r="627" spans="37:37" x14ac:dyDescent="0.2">
      <c r="AK627" s="134"/>
    </row>
    <row r="628" spans="37:37" x14ac:dyDescent="0.2">
      <c r="AK628" s="134"/>
    </row>
    <row r="629" spans="37:37" x14ac:dyDescent="0.2">
      <c r="AK629" s="134"/>
    </row>
    <row r="630" spans="37:37" x14ac:dyDescent="0.2">
      <c r="AK630" s="134"/>
    </row>
    <row r="631" spans="37:37" x14ac:dyDescent="0.2">
      <c r="AK631" s="134"/>
    </row>
    <row r="632" spans="37:37" x14ac:dyDescent="0.2">
      <c r="AK632" s="134"/>
    </row>
    <row r="633" spans="37:37" x14ac:dyDescent="0.2">
      <c r="AK633" s="134"/>
    </row>
    <row r="634" spans="37:37" x14ac:dyDescent="0.2">
      <c r="AK634" s="134"/>
    </row>
    <row r="635" spans="37:37" x14ac:dyDescent="0.2">
      <c r="AK635" s="134"/>
    </row>
    <row r="636" spans="37:37" x14ac:dyDescent="0.2">
      <c r="AK636" s="134"/>
    </row>
    <row r="637" spans="37:37" x14ac:dyDescent="0.2">
      <c r="AK637" s="134"/>
    </row>
    <row r="638" spans="37:37" x14ac:dyDescent="0.2">
      <c r="AK638" s="134"/>
    </row>
    <row r="639" spans="37:37" x14ac:dyDescent="0.2">
      <c r="AK639" s="134"/>
    </row>
    <row r="640" spans="37:37" x14ac:dyDescent="0.2">
      <c r="AK640" s="134"/>
    </row>
    <row r="641" spans="37:37" x14ac:dyDescent="0.2">
      <c r="AK641" s="134"/>
    </row>
    <row r="642" spans="37:37" x14ac:dyDescent="0.2">
      <c r="AK642" s="134"/>
    </row>
    <row r="643" spans="37:37" x14ac:dyDescent="0.2">
      <c r="AK643" s="134"/>
    </row>
    <row r="644" spans="37:37" x14ac:dyDescent="0.2">
      <c r="AK644" s="134"/>
    </row>
    <row r="645" spans="37:37" x14ac:dyDescent="0.2">
      <c r="AK645" s="134"/>
    </row>
    <row r="646" spans="37:37" x14ac:dyDescent="0.2">
      <c r="AK646" s="134"/>
    </row>
    <row r="647" spans="37:37" x14ac:dyDescent="0.2">
      <c r="AK647" s="134"/>
    </row>
    <row r="648" spans="37:37" x14ac:dyDescent="0.2">
      <c r="AK648" s="134"/>
    </row>
    <row r="649" spans="37:37" x14ac:dyDescent="0.2">
      <c r="AK649" s="134"/>
    </row>
    <row r="650" spans="37:37" x14ac:dyDescent="0.2">
      <c r="AK650" s="134"/>
    </row>
    <row r="651" spans="37:37" x14ac:dyDescent="0.2">
      <c r="AK651" s="134"/>
    </row>
    <row r="652" spans="37:37" x14ac:dyDescent="0.2">
      <c r="AK652" s="134"/>
    </row>
    <row r="653" spans="37:37" x14ac:dyDescent="0.2">
      <c r="AK653" s="134"/>
    </row>
    <row r="654" spans="37:37" x14ac:dyDescent="0.2">
      <c r="AK654" s="134"/>
    </row>
    <row r="655" spans="37:37" x14ac:dyDescent="0.2">
      <c r="AK655" s="134"/>
    </row>
    <row r="656" spans="37:37" x14ac:dyDescent="0.2">
      <c r="AK656" s="134"/>
    </row>
    <row r="657" spans="37:37" x14ac:dyDescent="0.2">
      <c r="AK657" s="134"/>
    </row>
    <row r="658" spans="37:37" x14ac:dyDescent="0.2">
      <c r="AK658" s="134"/>
    </row>
    <row r="659" spans="37:37" x14ac:dyDescent="0.2">
      <c r="AK659" s="134"/>
    </row>
    <row r="660" spans="37:37" x14ac:dyDescent="0.2">
      <c r="AK660" s="134"/>
    </row>
    <row r="661" spans="37:37" x14ac:dyDescent="0.2">
      <c r="AK661" s="134"/>
    </row>
    <row r="662" spans="37:37" x14ac:dyDescent="0.2">
      <c r="AK662" s="134"/>
    </row>
    <row r="663" spans="37:37" x14ac:dyDescent="0.2">
      <c r="AK663" s="134"/>
    </row>
    <row r="664" spans="37:37" x14ac:dyDescent="0.2">
      <c r="AK664" s="134"/>
    </row>
    <row r="665" spans="37:37" x14ac:dyDescent="0.2">
      <c r="AK665" s="134"/>
    </row>
    <row r="666" spans="37:37" x14ac:dyDescent="0.2">
      <c r="AK666" s="134"/>
    </row>
    <row r="667" spans="37:37" x14ac:dyDescent="0.2">
      <c r="AK667" s="134"/>
    </row>
    <row r="668" spans="37:37" x14ac:dyDescent="0.2">
      <c r="AK668" s="134"/>
    </row>
    <row r="669" spans="37:37" x14ac:dyDescent="0.2">
      <c r="AK669" s="134"/>
    </row>
    <row r="670" spans="37:37" x14ac:dyDescent="0.2">
      <c r="AK670" s="134"/>
    </row>
    <row r="671" spans="37:37" x14ac:dyDescent="0.2">
      <c r="AK671" s="134"/>
    </row>
    <row r="672" spans="37:37" x14ac:dyDescent="0.2">
      <c r="AK672" s="134"/>
    </row>
    <row r="673" spans="37:37" x14ac:dyDescent="0.2">
      <c r="AK673" s="134"/>
    </row>
    <row r="674" spans="37:37" x14ac:dyDescent="0.2">
      <c r="AK674" s="134"/>
    </row>
    <row r="675" spans="37:37" x14ac:dyDescent="0.2">
      <c r="AK675" s="134"/>
    </row>
    <row r="676" spans="37:37" x14ac:dyDescent="0.2">
      <c r="AK676" s="134"/>
    </row>
    <row r="677" spans="37:37" x14ac:dyDescent="0.2">
      <c r="AK677" s="134"/>
    </row>
    <row r="678" spans="37:37" x14ac:dyDescent="0.2">
      <c r="AK678" s="134"/>
    </row>
    <row r="679" spans="37:37" x14ac:dyDescent="0.2">
      <c r="AK679" s="134"/>
    </row>
    <row r="680" spans="37:37" x14ac:dyDescent="0.2">
      <c r="AK680" s="134"/>
    </row>
    <row r="681" spans="37:37" x14ac:dyDescent="0.2">
      <c r="AK681" s="134"/>
    </row>
    <row r="682" spans="37:37" x14ac:dyDescent="0.2">
      <c r="AK682" s="134"/>
    </row>
    <row r="683" spans="37:37" x14ac:dyDescent="0.2">
      <c r="AK683" s="134"/>
    </row>
    <row r="684" spans="37:37" x14ac:dyDescent="0.2">
      <c r="AK684" s="134"/>
    </row>
    <row r="685" spans="37:37" x14ac:dyDescent="0.2">
      <c r="AK685" s="134"/>
    </row>
    <row r="686" spans="37:37" x14ac:dyDescent="0.2">
      <c r="AK686" s="134"/>
    </row>
    <row r="687" spans="37:37" x14ac:dyDescent="0.2">
      <c r="AK687" s="134"/>
    </row>
    <row r="688" spans="37:37" x14ac:dyDescent="0.2">
      <c r="AK688" s="134"/>
    </row>
    <row r="689" spans="37:37" x14ac:dyDescent="0.2">
      <c r="AK689" s="134"/>
    </row>
    <row r="690" spans="37:37" x14ac:dyDescent="0.2">
      <c r="AK690" s="134"/>
    </row>
    <row r="691" spans="37:37" x14ac:dyDescent="0.2">
      <c r="AK691" s="134"/>
    </row>
    <row r="692" spans="37:37" x14ac:dyDescent="0.2">
      <c r="AK692" s="134"/>
    </row>
    <row r="693" spans="37:37" x14ac:dyDescent="0.2">
      <c r="AK693" s="134"/>
    </row>
    <row r="694" spans="37:37" x14ac:dyDescent="0.2">
      <c r="AK694" s="134"/>
    </row>
    <row r="695" spans="37:37" x14ac:dyDescent="0.2">
      <c r="AK695" s="134"/>
    </row>
    <row r="696" spans="37:37" x14ac:dyDescent="0.2">
      <c r="AK696" s="134"/>
    </row>
    <row r="697" spans="37:37" x14ac:dyDescent="0.2">
      <c r="AK697" s="134"/>
    </row>
    <row r="698" spans="37:37" x14ac:dyDescent="0.2">
      <c r="AK698" s="134"/>
    </row>
    <row r="699" spans="37:37" x14ac:dyDescent="0.2">
      <c r="AK699" s="134"/>
    </row>
    <row r="700" spans="37:37" x14ac:dyDescent="0.2">
      <c r="AK700" s="134"/>
    </row>
    <row r="701" spans="37:37" x14ac:dyDescent="0.2">
      <c r="AK701" s="134"/>
    </row>
    <row r="702" spans="37:37" x14ac:dyDescent="0.2">
      <c r="AK702" s="134"/>
    </row>
    <row r="703" spans="37:37" x14ac:dyDescent="0.2">
      <c r="AK703" s="134"/>
    </row>
    <row r="704" spans="37:37" x14ac:dyDescent="0.2">
      <c r="AK704" s="134"/>
    </row>
    <row r="705" spans="37:37" x14ac:dyDescent="0.2">
      <c r="AK705" s="134"/>
    </row>
    <row r="706" spans="37:37" x14ac:dyDescent="0.2">
      <c r="AK706" s="134"/>
    </row>
    <row r="707" spans="37:37" x14ac:dyDescent="0.2">
      <c r="AK707" s="134"/>
    </row>
    <row r="708" spans="37:37" x14ac:dyDescent="0.2">
      <c r="AK708" s="134"/>
    </row>
    <row r="709" spans="37:37" x14ac:dyDescent="0.2">
      <c r="AK709" s="134"/>
    </row>
    <row r="710" spans="37:37" x14ac:dyDescent="0.2">
      <c r="AK710" s="134"/>
    </row>
    <row r="711" spans="37:37" x14ac:dyDescent="0.2">
      <c r="AK711" s="134"/>
    </row>
    <row r="712" spans="37:37" x14ac:dyDescent="0.2">
      <c r="AK712" s="134"/>
    </row>
    <row r="713" spans="37:37" x14ac:dyDescent="0.2">
      <c r="AK713" s="134"/>
    </row>
    <row r="714" spans="37:37" x14ac:dyDescent="0.2">
      <c r="AK714" s="134"/>
    </row>
    <row r="715" spans="37:37" x14ac:dyDescent="0.2">
      <c r="AK715" s="134"/>
    </row>
    <row r="716" spans="37:37" x14ac:dyDescent="0.2">
      <c r="AK716" s="134"/>
    </row>
    <row r="717" spans="37:37" x14ac:dyDescent="0.2">
      <c r="AK717" s="134"/>
    </row>
    <row r="718" spans="37:37" x14ac:dyDescent="0.2">
      <c r="AK718" s="134"/>
    </row>
    <row r="719" spans="37:37" x14ac:dyDescent="0.2">
      <c r="AK719" s="134"/>
    </row>
    <row r="720" spans="37:37" x14ac:dyDescent="0.2">
      <c r="AK720" s="134"/>
    </row>
    <row r="721" spans="37:37" x14ac:dyDescent="0.2">
      <c r="AK721" s="134"/>
    </row>
    <row r="722" spans="37:37" x14ac:dyDescent="0.2">
      <c r="AK722" s="134"/>
    </row>
    <row r="723" spans="37:37" x14ac:dyDescent="0.2">
      <c r="AK723" s="134"/>
    </row>
    <row r="724" spans="37:37" x14ac:dyDescent="0.2">
      <c r="AK724" s="134"/>
    </row>
    <row r="725" spans="37:37" x14ac:dyDescent="0.2">
      <c r="AK725" s="134"/>
    </row>
    <row r="726" spans="37:37" x14ac:dyDescent="0.2">
      <c r="AK726" s="134"/>
    </row>
    <row r="727" spans="37:37" x14ac:dyDescent="0.2">
      <c r="AK727" s="134"/>
    </row>
    <row r="728" spans="37:37" x14ac:dyDescent="0.2">
      <c r="AK728" s="134"/>
    </row>
    <row r="729" spans="37:37" x14ac:dyDescent="0.2">
      <c r="AK729" s="134"/>
    </row>
    <row r="730" spans="37:37" x14ac:dyDescent="0.2">
      <c r="AK730" s="134"/>
    </row>
    <row r="731" spans="37:37" x14ac:dyDescent="0.2">
      <c r="AK731" s="134"/>
    </row>
    <row r="732" spans="37:37" x14ac:dyDescent="0.2">
      <c r="AK732" s="134"/>
    </row>
    <row r="733" spans="37:37" x14ac:dyDescent="0.2">
      <c r="AK733" s="134"/>
    </row>
    <row r="734" spans="37:37" x14ac:dyDescent="0.2">
      <c r="AK734" s="134"/>
    </row>
    <row r="735" spans="37:37" x14ac:dyDescent="0.2">
      <c r="AK735" s="134"/>
    </row>
    <row r="736" spans="37:37" x14ac:dyDescent="0.2">
      <c r="AK736" s="134"/>
    </row>
    <row r="737" spans="37:37" x14ac:dyDescent="0.2">
      <c r="AK737" s="134"/>
    </row>
  </sheetData>
  <mergeCells count="1">
    <mergeCell ref="R3:W3"/>
  </mergeCells>
  <phoneticPr fontId="0" type="noConversion"/>
  <pageMargins left="0.75" right="0.75" top="1" bottom="1" header="0.5" footer="0.5"/>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737"/>
  <sheetViews>
    <sheetView workbookViewId="0">
      <pane xSplit="2" ySplit="9" topLeftCell="C10" activePane="bottomRight" state="frozen"/>
      <selection pane="topRight" activeCell="C1" sqref="C1"/>
      <selection pane="bottomLeft" activeCell="A10" sqref="A10"/>
      <selection pane="bottomRight" activeCell="B37" sqref="B37"/>
    </sheetView>
  </sheetViews>
  <sheetFormatPr defaultRowHeight="12.75" x14ac:dyDescent="0.2"/>
  <cols>
    <col min="1" max="1" width="5.5703125" customWidth="1"/>
    <col min="2" max="2" width="6.85546875" customWidth="1"/>
    <col min="4" max="4" width="11" customWidth="1"/>
    <col min="5" max="5" width="10.5703125" customWidth="1"/>
    <col min="6" max="6" width="10.42578125" customWidth="1"/>
    <col min="7" max="7" width="10.5703125" customWidth="1"/>
    <col min="9" max="9" width="12" customWidth="1"/>
    <col min="10" max="10" width="15.7109375" customWidth="1"/>
    <col min="11" max="11" width="10.7109375" customWidth="1"/>
    <col min="12" max="12" width="15.7109375" customWidth="1"/>
    <col min="14" max="14" width="10.7109375" customWidth="1"/>
    <col min="15" max="15" width="9.5703125" customWidth="1"/>
    <col min="16" max="16" width="10.85546875" customWidth="1"/>
    <col min="17" max="17" width="9.85546875" customWidth="1"/>
    <col min="19" max="19" width="11.7109375" customWidth="1"/>
    <col min="20" max="21" width="11.140625" customWidth="1"/>
    <col min="22" max="22" width="10.140625" customWidth="1"/>
    <col min="23" max="23" width="10.140625" style="173" customWidth="1"/>
    <col min="24" max="24" width="9.5703125" customWidth="1"/>
    <col min="25" max="25" width="9.28515625" customWidth="1"/>
    <col min="27" max="27" width="10.42578125" customWidth="1"/>
    <col min="28" max="28" width="10.28515625" customWidth="1"/>
    <col min="29" max="29" width="12.5703125" bestFit="1" customWidth="1"/>
    <col min="30" max="30" width="5.7109375" customWidth="1"/>
    <col min="34" max="34" width="6.42578125" customWidth="1"/>
    <col min="36" max="36" width="10.7109375" customWidth="1"/>
    <col min="40" max="40" width="11.140625" customWidth="1"/>
    <col min="43" max="43" width="9.5703125" customWidth="1"/>
    <col min="45" max="45" width="11.42578125" customWidth="1"/>
    <col min="50" max="50" width="11.7109375" customWidth="1"/>
    <col min="51" max="52" width="10.85546875" customWidth="1"/>
    <col min="53" max="53" width="7.140625" customWidth="1"/>
    <col min="54" max="54" width="12.85546875" customWidth="1"/>
    <col min="55" max="56" width="11" customWidth="1"/>
    <col min="58" max="58" width="11.140625" customWidth="1"/>
    <col min="59" max="60" width="8.42578125" customWidth="1"/>
  </cols>
  <sheetData>
    <row r="1" spans="1:68" ht="15.75" x14ac:dyDescent="0.25">
      <c r="A1" s="133"/>
      <c r="B1" s="133"/>
      <c r="D1" s="137" t="s">
        <v>717</v>
      </c>
      <c r="AH1" s="134"/>
    </row>
    <row r="2" spans="1:68" x14ac:dyDescent="0.2">
      <c r="A2" s="133"/>
      <c r="B2" s="133"/>
      <c r="AH2" s="134"/>
    </row>
    <row r="3" spans="1:68" x14ac:dyDescent="0.2">
      <c r="A3" s="133"/>
      <c r="B3" s="133"/>
      <c r="AH3" s="134"/>
    </row>
    <row r="4" spans="1:68" x14ac:dyDescent="0.2">
      <c r="A4" s="133"/>
      <c r="B4" s="133"/>
      <c r="AH4" s="134"/>
    </row>
    <row r="5" spans="1:68" x14ac:dyDescent="0.2">
      <c r="A5" s="133"/>
      <c r="B5" s="133"/>
      <c r="D5" s="6" t="s">
        <v>760</v>
      </c>
      <c r="I5" s="6" t="s">
        <v>722</v>
      </c>
      <c r="N5" s="6" t="s">
        <v>682</v>
      </c>
      <c r="S5" s="6" t="s">
        <v>685</v>
      </c>
      <c r="X5" s="6" t="s">
        <v>109</v>
      </c>
      <c r="Y5" s="6"/>
      <c r="AH5" s="134"/>
      <c r="AJ5" s="6" t="s">
        <v>694</v>
      </c>
      <c r="AN5" s="6" t="s">
        <v>695</v>
      </c>
      <c r="AS5" s="6" t="s">
        <v>696</v>
      </c>
      <c r="AT5" s="6"/>
      <c r="AU5" s="6"/>
      <c r="AX5" s="6" t="s">
        <v>698</v>
      </c>
      <c r="BB5" s="6" t="s">
        <v>699</v>
      </c>
      <c r="BF5" s="6" t="s">
        <v>700</v>
      </c>
      <c r="BJ5" s="6" t="s">
        <v>705</v>
      </c>
      <c r="BN5" s="6" t="s">
        <v>706</v>
      </c>
    </row>
    <row r="6" spans="1:68" x14ac:dyDescent="0.2">
      <c r="A6" s="133" t="s">
        <v>663</v>
      </c>
      <c r="B6" s="133"/>
      <c r="X6" s="149" t="s">
        <v>711</v>
      </c>
      <c r="Y6" s="149" t="s">
        <v>712</v>
      </c>
      <c r="Z6" s="149" t="s">
        <v>713</v>
      </c>
      <c r="AA6" s="149" t="s">
        <v>714</v>
      </c>
      <c r="AB6" s="149" t="s">
        <v>715</v>
      </c>
      <c r="AC6" s="149" t="s">
        <v>716</v>
      </c>
      <c r="AD6" s="149"/>
      <c r="AE6" s="149" t="s">
        <v>720</v>
      </c>
      <c r="AH6" s="134"/>
      <c r="AS6" s="6" t="s">
        <v>697</v>
      </c>
      <c r="AT6" s="6"/>
      <c r="AU6" s="6"/>
      <c r="BJ6" t="s">
        <v>782</v>
      </c>
      <c r="BN6" t="s">
        <v>782</v>
      </c>
    </row>
    <row r="7" spans="1:68" ht="56.45" customHeight="1" x14ac:dyDescent="0.2">
      <c r="A7" s="133"/>
      <c r="B7" s="133"/>
      <c r="D7" s="126" t="str">
        <f>'Passenger-based Energy Use'!B6</f>
        <v>Passenger Car</v>
      </c>
      <c r="E7" s="126" t="str">
        <f>'Passenger-based Energy Use'!D6</f>
        <v>Light Truck</v>
      </c>
      <c r="F7" s="273" t="s">
        <v>82</v>
      </c>
      <c r="G7" s="126" t="s">
        <v>690</v>
      </c>
      <c r="H7" s="1"/>
      <c r="I7" s="273" t="str">
        <f>D7</f>
        <v>Passenger Car</v>
      </c>
      <c r="J7" s="273" t="str">
        <f>E7</f>
        <v>Light Truck</v>
      </c>
      <c r="K7" s="273" t="s">
        <v>82</v>
      </c>
      <c r="L7" s="273" t="s">
        <v>690</v>
      </c>
      <c r="M7" s="1"/>
      <c r="N7" s="273" t="str">
        <f>D7</f>
        <v>Passenger Car</v>
      </c>
      <c r="O7" s="273" t="str">
        <f>E7</f>
        <v>Light Truck</v>
      </c>
      <c r="P7" s="273" t="s">
        <v>82</v>
      </c>
      <c r="Q7" s="273" t="str">
        <f>G7</f>
        <v xml:space="preserve">   Total</v>
      </c>
      <c r="R7" s="1"/>
      <c r="S7" s="126" t="str">
        <f>D7</f>
        <v>Passenger Car</v>
      </c>
      <c r="T7" s="126" t="str">
        <f>E7</f>
        <v>Light Truck</v>
      </c>
      <c r="U7" s="273" t="s">
        <v>82</v>
      </c>
      <c r="V7" s="126" t="str">
        <f>G7</f>
        <v xml:space="preserve">   Total</v>
      </c>
      <c r="W7" s="139"/>
      <c r="X7" s="150" t="s">
        <v>665</v>
      </c>
      <c r="Y7" s="150" t="s">
        <v>707</v>
      </c>
      <c r="Z7" s="306" t="s">
        <v>693</v>
      </c>
      <c r="AA7" s="306" t="s">
        <v>708</v>
      </c>
      <c r="AB7" s="150" t="s">
        <v>692</v>
      </c>
      <c r="AC7" s="306" t="s">
        <v>709</v>
      </c>
      <c r="AD7" s="150"/>
      <c r="AE7" s="150" t="s">
        <v>710</v>
      </c>
      <c r="AH7" s="134"/>
      <c r="AJ7" s="126" t="str">
        <f>D7</f>
        <v>Passenger Car</v>
      </c>
      <c r="AK7" s="126" t="str">
        <f>E7</f>
        <v>Light Truck</v>
      </c>
      <c r="AL7" s="126" t="s">
        <v>82</v>
      </c>
      <c r="AN7" s="126" t="str">
        <f>D7</f>
        <v>Passenger Car</v>
      </c>
      <c r="AO7" s="126" t="str">
        <f>E7</f>
        <v>Light Truck</v>
      </c>
      <c r="AP7" s="126" t="s">
        <v>82</v>
      </c>
      <c r="AQ7" s="126" t="str">
        <f>G7</f>
        <v xml:space="preserve">   Total</v>
      </c>
      <c r="AR7" s="1"/>
      <c r="AS7" s="126" t="str">
        <f>D7</f>
        <v>Passenger Car</v>
      </c>
      <c r="AT7" s="126" t="str">
        <f>E7</f>
        <v>Light Truck</v>
      </c>
      <c r="AU7" s="126" t="s">
        <v>82</v>
      </c>
      <c r="AV7" s="1"/>
      <c r="AW7" s="1"/>
      <c r="AX7" s="126" t="str">
        <f>D7</f>
        <v>Passenger Car</v>
      </c>
      <c r="AY7" s="126" t="str">
        <f>E7</f>
        <v>Light Truck</v>
      </c>
      <c r="AZ7" s="126" t="s">
        <v>82</v>
      </c>
      <c r="BA7" s="1"/>
      <c r="BB7" s="126" t="str">
        <f>D7</f>
        <v>Passenger Car</v>
      </c>
      <c r="BC7" s="126" t="str">
        <f>E7</f>
        <v>Light Truck</v>
      </c>
      <c r="BD7" s="126" t="s">
        <v>82</v>
      </c>
      <c r="BE7" s="1"/>
      <c r="BF7" s="126" t="str">
        <f>D7</f>
        <v>Passenger Car</v>
      </c>
      <c r="BG7" s="126" t="str">
        <f>E7</f>
        <v>Light Truck</v>
      </c>
      <c r="BH7" s="126" t="s">
        <v>82</v>
      </c>
      <c r="BI7" s="1"/>
      <c r="BJ7" s="148" t="s">
        <v>701</v>
      </c>
      <c r="BK7" s="148" t="s">
        <v>702</v>
      </c>
      <c r="BL7" s="148" t="s">
        <v>702</v>
      </c>
      <c r="BN7" s="148" t="s">
        <v>701</v>
      </c>
      <c r="BO7" s="148" t="s">
        <v>702</v>
      </c>
      <c r="BP7" s="148" t="s">
        <v>702</v>
      </c>
    </row>
    <row r="8" spans="1:68" ht="28.5" customHeight="1" x14ac:dyDescent="0.2">
      <c r="A8" s="133" t="s">
        <v>663</v>
      </c>
      <c r="B8" s="133"/>
      <c r="D8" s="135" t="s">
        <v>663</v>
      </c>
      <c r="E8" s="135" t="s">
        <v>663</v>
      </c>
      <c r="F8" s="135" t="s">
        <v>691</v>
      </c>
      <c r="G8" s="135" t="s">
        <v>691</v>
      </c>
      <c r="H8" s="1"/>
      <c r="I8" s="135"/>
      <c r="J8" s="135"/>
      <c r="K8" s="135"/>
      <c r="L8" s="135"/>
      <c r="M8" s="1"/>
      <c r="N8" s="135"/>
      <c r="O8" s="135"/>
      <c r="P8" s="135"/>
      <c r="Q8" s="135"/>
      <c r="R8" s="1"/>
      <c r="S8" s="135"/>
      <c r="T8" s="135"/>
      <c r="U8" s="135"/>
      <c r="V8" s="135"/>
      <c r="W8" s="139"/>
      <c r="X8" s="151"/>
      <c r="Y8" s="151"/>
      <c r="Z8" s="151"/>
      <c r="AA8" s="151"/>
      <c r="AB8" s="152" t="s">
        <v>718</v>
      </c>
      <c r="AC8" s="152" t="s">
        <v>719</v>
      </c>
      <c r="AD8" s="151"/>
      <c r="AE8" s="152" t="s">
        <v>741</v>
      </c>
      <c r="AH8" s="134"/>
      <c r="BJ8" t="s">
        <v>703</v>
      </c>
      <c r="BK8" t="s">
        <v>703</v>
      </c>
      <c r="BL8" t="s">
        <v>704</v>
      </c>
      <c r="BN8" t="s">
        <v>703</v>
      </c>
      <c r="BO8" t="s">
        <v>703</v>
      </c>
      <c r="BP8" t="s">
        <v>704</v>
      </c>
    </row>
    <row r="9" spans="1:68" ht="22.5" customHeight="1" thickBot="1" x14ac:dyDescent="0.25">
      <c r="A9" s="133"/>
      <c r="B9" s="133"/>
      <c r="D9" s="135" t="s">
        <v>761</v>
      </c>
      <c r="E9" s="135" t="s">
        <v>762</v>
      </c>
      <c r="F9" s="135" t="s">
        <v>762</v>
      </c>
      <c r="G9" s="135" t="s">
        <v>762</v>
      </c>
      <c r="H9" s="1"/>
      <c r="I9" s="274" t="s">
        <v>688</v>
      </c>
      <c r="J9" s="274" t="s">
        <v>687</v>
      </c>
      <c r="K9" s="274" t="s">
        <v>687</v>
      </c>
      <c r="L9" s="274" t="s">
        <v>687</v>
      </c>
      <c r="M9" s="1"/>
      <c r="N9" s="135" t="s">
        <v>686</v>
      </c>
      <c r="O9" s="135" t="s">
        <v>686</v>
      </c>
      <c r="P9" s="135" t="s">
        <v>686</v>
      </c>
      <c r="Q9" s="135" t="s">
        <v>686</v>
      </c>
      <c r="R9" s="1"/>
      <c r="S9" s="135" t="s">
        <v>689</v>
      </c>
      <c r="T9" s="135" t="s">
        <v>689</v>
      </c>
      <c r="U9" s="135" t="s">
        <v>689</v>
      </c>
      <c r="V9" s="135" t="s">
        <v>689</v>
      </c>
      <c r="W9" s="139"/>
      <c r="X9" s="153"/>
      <c r="Y9" s="153"/>
      <c r="Z9" s="153"/>
      <c r="AA9" s="153"/>
      <c r="AB9" s="153"/>
      <c r="AC9" s="153"/>
      <c r="AD9" s="153"/>
      <c r="AE9" s="153"/>
      <c r="AH9" s="134"/>
      <c r="BJ9" s="130"/>
      <c r="BK9" s="130"/>
      <c r="BL9" s="130"/>
      <c r="BN9" s="130"/>
      <c r="BO9" s="130"/>
      <c r="BP9" s="130"/>
    </row>
    <row r="10" spans="1:68" x14ac:dyDescent="0.2">
      <c r="A10" s="133" t="s">
        <v>664</v>
      </c>
      <c r="B10" s="133">
        <v>1949</v>
      </c>
      <c r="X10" s="131"/>
      <c r="Y10" s="131"/>
      <c r="Z10" s="131"/>
      <c r="AA10" s="131"/>
      <c r="AB10" s="131"/>
      <c r="AC10" s="131"/>
      <c r="AD10" s="131"/>
      <c r="AE10" s="131"/>
      <c r="AH10" s="134"/>
      <c r="AJ10" t="e">
        <f t="shared" ref="AJ10:AJ41" si="0">D10/G10</f>
        <v>#DIV/0!</v>
      </c>
      <c r="AK10" t="e">
        <f t="shared" ref="AK10:AK41" si="1">E10/G10</f>
        <v>#DIV/0!</v>
      </c>
      <c r="AL10" s="136" t="e">
        <f t="shared" ref="AL10:AL41" si="2">F10/G10</f>
        <v>#DIV/0!</v>
      </c>
      <c r="BB10" t="e">
        <f t="shared" ref="BB10:BB41" si="3">I10/L10</f>
        <v>#DIV/0!</v>
      </c>
      <c r="BC10" t="e">
        <f t="shared" ref="BC10:BC41" si="4">J10/L10</f>
        <v>#DIV/0!</v>
      </c>
      <c r="BD10" t="e">
        <f t="shared" ref="BD10:BD41" si="5">K10/L10</f>
        <v>#DIV/0!</v>
      </c>
      <c r="BK10">
        <v>1</v>
      </c>
      <c r="BL10" s="129">
        <f t="shared" ref="BL10:BL41" si="6">BK10/BK$74</f>
        <v>1.2397927577353178</v>
      </c>
      <c r="BO10">
        <v>1</v>
      </c>
      <c r="BP10" s="129">
        <f t="shared" ref="BP10:BP41" si="7">BO10/BO$74</f>
        <v>0.96502991740506328</v>
      </c>
    </row>
    <row r="11" spans="1:68" x14ac:dyDescent="0.2">
      <c r="A11" s="133" t="s">
        <v>664</v>
      </c>
      <c r="B11" s="144">
        <f>B10+1</f>
        <v>1950</v>
      </c>
      <c r="X11" s="131"/>
      <c r="Y11" s="131"/>
      <c r="Z11" s="131"/>
      <c r="AA11" s="131"/>
      <c r="AB11" s="131"/>
      <c r="AC11" s="131"/>
      <c r="AD11" s="131"/>
      <c r="AE11" s="131"/>
      <c r="AH11" s="134"/>
      <c r="AJ11" t="e">
        <f t="shared" si="0"/>
        <v>#DIV/0!</v>
      </c>
      <c r="AK11" t="e">
        <f t="shared" si="1"/>
        <v>#DIV/0!</v>
      </c>
      <c r="AL11" s="136" t="e">
        <f t="shared" si="2"/>
        <v>#DIV/0!</v>
      </c>
      <c r="AN11" t="e">
        <f>(AJ11-AJ10)/LN(AJ11/AJ10)</f>
        <v>#DIV/0!</v>
      </c>
      <c r="AO11" t="e">
        <f>(AK11-AK10)/LN(AK11/AK10)</f>
        <v>#DIV/0!</v>
      </c>
      <c r="AP11" t="e">
        <f>(AL11-AL10)/LN(AL11/AL10)</f>
        <v>#DIV/0!</v>
      </c>
      <c r="AQ11" s="136" t="e">
        <f>SUM(AN11:AP11)</f>
        <v>#DIV/0!</v>
      </c>
      <c r="AS11" t="e">
        <f>AN11/AQ11</f>
        <v>#DIV/0!</v>
      </c>
      <c r="AT11" t="e">
        <f>AO11/AQ11</f>
        <v>#DIV/0!</v>
      </c>
      <c r="AU11" t="e">
        <f>AP11/AQ11</f>
        <v>#DIV/0!</v>
      </c>
      <c r="AX11" t="e">
        <f t="shared" ref="AX11:AX42" si="8">LN(S11/S10)</f>
        <v>#DIV/0!</v>
      </c>
      <c r="AY11" t="e">
        <f t="shared" ref="AY11:AY42" si="9">LN(T11/T10)</f>
        <v>#DIV/0!</v>
      </c>
      <c r="AZ11" t="e">
        <f t="shared" ref="AZ11:AZ42" si="10">LN(U11/U10)</f>
        <v>#DIV/0!</v>
      </c>
      <c r="BB11" t="e">
        <f t="shared" si="3"/>
        <v>#DIV/0!</v>
      </c>
      <c r="BC11" t="e">
        <f t="shared" si="4"/>
        <v>#DIV/0!</v>
      </c>
      <c r="BD11" t="e">
        <f t="shared" si="5"/>
        <v>#DIV/0!</v>
      </c>
      <c r="BF11" t="e">
        <f>LN(BB11/BB10)</f>
        <v>#DIV/0!</v>
      </c>
      <c r="BG11" t="e">
        <f>LN(BC11/BC10)</f>
        <v>#DIV/0!</v>
      </c>
      <c r="BH11" t="e">
        <f>LN(BD11/BD10)</f>
        <v>#DIV/0!</v>
      </c>
      <c r="BJ11" t="e">
        <f t="shared" ref="BJ11:BJ42" si="11">EXP(SUMPRODUCT($AS11:$AU11,AX11:AZ11))</f>
        <v>#DIV/0!</v>
      </c>
      <c r="BK11">
        <f>IF(ISERR(BJ11),BK10,BJ11*BK10)</f>
        <v>1</v>
      </c>
      <c r="BL11" s="129">
        <f t="shared" si="6"/>
        <v>1.2397927577353178</v>
      </c>
      <c r="BN11" t="e">
        <f t="shared" ref="BN11:BN42" si="12">EXP(SUMPRODUCT($AS11:$AU11,BF11:BH11))</f>
        <v>#DIV/0!</v>
      </c>
      <c r="BO11">
        <f>IF(ISERR(BN11),BO10,BN11*BO10)</f>
        <v>1</v>
      </c>
      <c r="BP11" s="129">
        <f t="shared" si="7"/>
        <v>0.96502991740506328</v>
      </c>
    </row>
    <row r="12" spans="1:68" x14ac:dyDescent="0.2">
      <c r="A12" s="133" t="s">
        <v>664</v>
      </c>
      <c r="B12" s="144">
        <f t="shared" ref="B12:B72" si="13">B11+1</f>
        <v>1951</v>
      </c>
      <c r="X12" s="131"/>
      <c r="Y12" s="131"/>
      <c r="Z12" s="131"/>
      <c r="AA12" s="131"/>
      <c r="AB12" s="131"/>
      <c r="AC12" s="131"/>
      <c r="AD12" s="131"/>
      <c r="AE12" s="131"/>
      <c r="AH12" s="134"/>
      <c r="AJ12" t="e">
        <f t="shared" si="0"/>
        <v>#DIV/0!</v>
      </c>
      <c r="AK12" t="e">
        <f t="shared" si="1"/>
        <v>#DIV/0!</v>
      </c>
      <c r="AL12" s="136" t="e">
        <f t="shared" si="2"/>
        <v>#DIV/0!</v>
      </c>
      <c r="AN12" t="e">
        <f t="shared" ref="AN12:AN68" si="14">(AJ12-AJ11)/LN(AJ12/AJ11)</f>
        <v>#DIV/0!</v>
      </c>
      <c r="AO12" t="e">
        <f t="shared" ref="AO12:AO68" si="15">(AK12-AK11)/LN(AK12/AK11)</f>
        <v>#DIV/0!</v>
      </c>
      <c r="AP12" t="e">
        <f t="shared" ref="AP12:AP68" si="16">(AL12-AL11)/LN(AL12/AL11)</f>
        <v>#DIV/0!</v>
      </c>
      <c r="AQ12" s="136" t="e">
        <f t="shared" ref="AQ12:AQ68" si="17">SUM(AN12:AP12)</f>
        <v>#DIV/0!</v>
      </c>
      <c r="AS12" t="e">
        <f t="shared" ref="AS12:AS68" si="18">AN12/AQ12</f>
        <v>#DIV/0!</v>
      </c>
      <c r="AT12" t="e">
        <f t="shared" ref="AT12:AT68" si="19">AO12/AQ12</f>
        <v>#DIV/0!</v>
      </c>
      <c r="AU12" t="e">
        <f t="shared" ref="AU12:AU68" si="20">AP12/AQ12</f>
        <v>#DIV/0!</v>
      </c>
      <c r="AX12" t="e">
        <f t="shared" si="8"/>
        <v>#DIV/0!</v>
      </c>
      <c r="AY12" t="e">
        <f t="shared" si="9"/>
        <v>#DIV/0!</v>
      </c>
      <c r="AZ12" t="e">
        <f t="shared" si="10"/>
        <v>#DIV/0!</v>
      </c>
      <c r="BB12" t="e">
        <f t="shared" si="3"/>
        <v>#DIV/0!</v>
      </c>
      <c r="BC12" t="e">
        <f t="shared" si="4"/>
        <v>#DIV/0!</v>
      </c>
      <c r="BD12" t="e">
        <f t="shared" si="5"/>
        <v>#DIV/0!</v>
      </c>
      <c r="BF12" t="e">
        <f t="shared" ref="BF12:BF68" si="21">LN(BB12/BB11)</f>
        <v>#DIV/0!</v>
      </c>
      <c r="BG12" t="e">
        <f t="shared" ref="BG12:BG68" si="22">LN(BC12/BC11)</f>
        <v>#DIV/0!</v>
      </c>
      <c r="BH12" t="e">
        <f t="shared" ref="BH12:BH68" si="23">LN(BD12/BD11)</f>
        <v>#DIV/0!</v>
      </c>
      <c r="BJ12" t="e">
        <f t="shared" si="11"/>
        <v>#DIV/0!</v>
      </c>
      <c r="BK12">
        <f t="shared" ref="BK12:BK68" si="24">IF(ISERR(BJ12),BK11,BJ12*BK11)</f>
        <v>1</v>
      </c>
      <c r="BL12" s="129">
        <f t="shared" si="6"/>
        <v>1.2397927577353178</v>
      </c>
      <c r="BN12" t="e">
        <f t="shared" si="12"/>
        <v>#DIV/0!</v>
      </c>
      <c r="BO12">
        <f t="shared" ref="BO12:BO68" si="25">IF(ISERR(BN12),BO11,BN12*BO11)</f>
        <v>1</v>
      </c>
      <c r="BP12" s="129">
        <f t="shared" si="7"/>
        <v>0.96502991740506328</v>
      </c>
    </row>
    <row r="13" spans="1:68" x14ac:dyDescent="0.2">
      <c r="A13" s="133" t="s">
        <v>664</v>
      </c>
      <c r="B13" s="144">
        <f t="shared" si="13"/>
        <v>1952</v>
      </c>
      <c r="X13" s="131"/>
      <c r="Y13" s="131"/>
      <c r="Z13" s="131"/>
      <c r="AA13" s="131"/>
      <c r="AB13" s="131"/>
      <c r="AC13" s="131"/>
      <c r="AD13" s="131"/>
      <c r="AE13" s="131"/>
      <c r="AH13" s="134"/>
      <c r="AJ13" t="e">
        <f t="shared" si="0"/>
        <v>#DIV/0!</v>
      </c>
      <c r="AK13" t="e">
        <f t="shared" si="1"/>
        <v>#DIV/0!</v>
      </c>
      <c r="AL13" s="136" t="e">
        <f t="shared" si="2"/>
        <v>#DIV/0!</v>
      </c>
      <c r="AN13" t="e">
        <f t="shared" si="14"/>
        <v>#DIV/0!</v>
      </c>
      <c r="AO13" t="e">
        <f t="shared" si="15"/>
        <v>#DIV/0!</v>
      </c>
      <c r="AP13" t="e">
        <f t="shared" si="16"/>
        <v>#DIV/0!</v>
      </c>
      <c r="AQ13" s="136" t="e">
        <f t="shared" si="17"/>
        <v>#DIV/0!</v>
      </c>
      <c r="AS13" t="e">
        <f t="shared" si="18"/>
        <v>#DIV/0!</v>
      </c>
      <c r="AT13" t="e">
        <f t="shared" si="19"/>
        <v>#DIV/0!</v>
      </c>
      <c r="AU13" t="e">
        <f t="shared" si="20"/>
        <v>#DIV/0!</v>
      </c>
      <c r="AX13" t="e">
        <f t="shared" si="8"/>
        <v>#DIV/0!</v>
      </c>
      <c r="AY13" t="e">
        <f t="shared" si="9"/>
        <v>#DIV/0!</v>
      </c>
      <c r="AZ13" t="e">
        <f t="shared" si="10"/>
        <v>#DIV/0!</v>
      </c>
      <c r="BB13" t="e">
        <f t="shared" si="3"/>
        <v>#DIV/0!</v>
      </c>
      <c r="BC13" t="e">
        <f t="shared" si="4"/>
        <v>#DIV/0!</v>
      </c>
      <c r="BD13" t="e">
        <f t="shared" si="5"/>
        <v>#DIV/0!</v>
      </c>
      <c r="BF13" t="e">
        <f t="shared" si="21"/>
        <v>#DIV/0!</v>
      </c>
      <c r="BG13" t="e">
        <f t="shared" si="22"/>
        <v>#DIV/0!</v>
      </c>
      <c r="BH13" t="e">
        <f t="shared" si="23"/>
        <v>#DIV/0!</v>
      </c>
      <c r="BJ13" t="e">
        <f t="shared" si="11"/>
        <v>#DIV/0!</v>
      </c>
      <c r="BK13">
        <f t="shared" si="24"/>
        <v>1</v>
      </c>
      <c r="BL13" s="129">
        <f t="shared" si="6"/>
        <v>1.2397927577353178</v>
      </c>
      <c r="BN13" t="e">
        <f t="shared" si="12"/>
        <v>#DIV/0!</v>
      </c>
      <c r="BO13">
        <f t="shared" si="25"/>
        <v>1</v>
      </c>
      <c r="BP13" s="129">
        <f t="shared" si="7"/>
        <v>0.96502991740506328</v>
      </c>
    </row>
    <row r="14" spans="1:68" x14ac:dyDescent="0.2">
      <c r="A14" s="133" t="s">
        <v>664</v>
      </c>
      <c r="B14" s="144">
        <f t="shared" si="13"/>
        <v>1953</v>
      </c>
      <c r="X14" s="131"/>
      <c r="Y14" s="131"/>
      <c r="Z14" s="131"/>
      <c r="AA14" s="131"/>
      <c r="AB14" s="131"/>
      <c r="AC14" s="131"/>
      <c r="AD14" s="131"/>
      <c r="AE14" s="131"/>
      <c r="AH14" s="134"/>
      <c r="AJ14" t="e">
        <f t="shared" si="0"/>
        <v>#DIV/0!</v>
      </c>
      <c r="AK14" t="e">
        <f t="shared" si="1"/>
        <v>#DIV/0!</v>
      </c>
      <c r="AL14" s="136" t="e">
        <f t="shared" si="2"/>
        <v>#DIV/0!</v>
      </c>
      <c r="AN14" t="e">
        <f t="shared" si="14"/>
        <v>#DIV/0!</v>
      </c>
      <c r="AO14" t="e">
        <f t="shared" si="15"/>
        <v>#DIV/0!</v>
      </c>
      <c r="AP14" t="e">
        <f t="shared" si="16"/>
        <v>#DIV/0!</v>
      </c>
      <c r="AQ14" s="136" t="e">
        <f t="shared" si="17"/>
        <v>#DIV/0!</v>
      </c>
      <c r="AS14" t="e">
        <f t="shared" si="18"/>
        <v>#DIV/0!</v>
      </c>
      <c r="AT14" t="e">
        <f t="shared" si="19"/>
        <v>#DIV/0!</v>
      </c>
      <c r="AU14" t="e">
        <f t="shared" si="20"/>
        <v>#DIV/0!</v>
      </c>
      <c r="AX14" t="e">
        <f t="shared" si="8"/>
        <v>#DIV/0!</v>
      </c>
      <c r="AY14" t="e">
        <f t="shared" si="9"/>
        <v>#DIV/0!</v>
      </c>
      <c r="AZ14" t="e">
        <f t="shared" si="10"/>
        <v>#DIV/0!</v>
      </c>
      <c r="BB14" t="e">
        <f t="shared" si="3"/>
        <v>#DIV/0!</v>
      </c>
      <c r="BC14" t="e">
        <f t="shared" si="4"/>
        <v>#DIV/0!</v>
      </c>
      <c r="BD14" t="e">
        <f t="shared" si="5"/>
        <v>#DIV/0!</v>
      </c>
      <c r="BF14" t="e">
        <f t="shared" si="21"/>
        <v>#DIV/0!</v>
      </c>
      <c r="BG14" t="e">
        <f t="shared" si="22"/>
        <v>#DIV/0!</v>
      </c>
      <c r="BH14" t="e">
        <f t="shared" si="23"/>
        <v>#DIV/0!</v>
      </c>
      <c r="BJ14" t="e">
        <f t="shared" si="11"/>
        <v>#DIV/0!</v>
      </c>
      <c r="BK14">
        <f t="shared" si="24"/>
        <v>1</v>
      </c>
      <c r="BL14" s="129">
        <f t="shared" si="6"/>
        <v>1.2397927577353178</v>
      </c>
      <c r="BN14" t="e">
        <f t="shared" si="12"/>
        <v>#DIV/0!</v>
      </c>
      <c r="BO14">
        <f t="shared" si="25"/>
        <v>1</v>
      </c>
      <c r="BP14" s="129">
        <f t="shared" si="7"/>
        <v>0.96502991740506328</v>
      </c>
    </row>
    <row r="15" spans="1:68" x14ac:dyDescent="0.2">
      <c r="A15" s="133" t="s">
        <v>664</v>
      </c>
      <c r="B15" s="144">
        <f t="shared" si="13"/>
        <v>1954</v>
      </c>
      <c r="X15" s="131"/>
      <c r="Y15" s="131"/>
      <c r="Z15" s="131"/>
      <c r="AA15" s="131"/>
      <c r="AB15" s="131"/>
      <c r="AC15" s="131"/>
      <c r="AD15" s="131"/>
      <c r="AE15" s="131"/>
      <c r="AH15" s="134"/>
      <c r="AJ15" t="e">
        <f t="shared" si="0"/>
        <v>#DIV/0!</v>
      </c>
      <c r="AK15" t="e">
        <f t="shared" si="1"/>
        <v>#DIV/0!</v>
      </c>
      <c r="AL15" s="136" t="e">
        <f t="shared" si="2"/>
        <v>#DIV/0!</v>
      </c>
      <c r="AN15" t="e">
        <f t="shared" si="14"/>
        <v>#DIV/0!</v>
      </c>
      <c r="AO15" t="e">
        <f t="shared" si="15"/>
        <v>#DIV/0!</v>
      </c>
      <c r="AP15" t="e">
        <f t="shared" si="16"/>
        <v>#DIV/0!</v>
      </c>
      <c r="AQ15" s="136" t="e">
        <f t="shared" si="17"/>
        <v>#DIV/0!</v>
      </c>
      <c r="AS15" t="e">
        <f t="shared" si="18"/>
        <v>#DIV/0!</v>
      </c>
      <c r="AT15" t="e">
        <f t="shared" si="19"/>
        <v>#DIV/0!</v>
      </c>
      <c r="AU15" t="e">
        <f t="shared" si="20"/>
        <v>#DIV/0!</v>
      </c>
      <c r="AX15" t="e">
        <f t="shared" si="8"/>
        <v>#DIV/0!</v>
      </c>
      <c r="AY15" t="e">
        <f t="shared" si="9"/>
        <v>#DIV/0!</v>
      </c>
      <c r="AZ15" t="e">
        <f t="shared" si="10"/>
        <v>#DIV/0!</v>
      </c>
      <c r="BB15" t="e">
        <f t="shared" si="3"/>
        <v>#DIV/0!</v>
      </c>
      <c r="BC15" t="e">
        <f t="shared" si="4"/>
        <v>#DIV/0!</v>
      </c>
      <c r="BD15" t="e">
        <f t="shared" si="5"/>
        <v>#DIV/0!</v>
      </c>
      <c r="BF15" t="e">
        <f t="shared" si="21"/>
        <v>#DIV/0!</v>
      </c>
      <c r="BG15" t="e">
        <f t="shared" si="22"/>
        <v>#DIV/0!</v>
      </c>
      <c r="BH15" t="e">
        <f t="shared" si="23"/>
        <v>#DIV/0!</v>
      </c>
      <c r="BJ15" t="e">
        <f t="shared" si="11"/>
        <v>#DIV/0!</v>
      </c>
      <c r="BK15">
        <f t="shared" si="24"/>
        <v>1</v>
      </c>
      <c r="BL15" s="129">
        <f t="shared" si="6"/>
        <v>1.2397927577353178</v>
      </c>
      <c r="BN15" t="e">
        <f t="shared" si="12"/>
        <v>#DIV/0!</v>
      </c>
      <c r="BO15">
        <f t="shared" si="25"/>
        <v>1</v>
      </c>
      <c r="BP15" s="129">
        <f t="shared" si="7"/>
        <v>0.96502991740506328</v>
      </c>
    </row>
    <row r="16" spans="1:68" x14ac:dyDescent="0.2">
      <c r="A16" s="133" t="s">
        <v>664</v>
      </c>
      <c r="B16" s="144">
        <f t="shared" si="13"/>
        <v>1955</v>
      </c>
      <c r="X16" s="131"/>
      <c r="Y16" s="131"/>
      <c r="Z16" s="131"/>
      <c r="AA16" s="131"/>
      <c r="AB16" s="131"/>
      <c r="AC16" s="131"/>
      <c r="AD16" s="131"/>
      <c r="AE16" s="131"/>
      <c r="AH16" s="134"/>
      <c r="AJ16" t="e">
        <f t="shared" si="0"/>
        <v>#DIV/0!</v>
      </c>
      <c r="AK16" t="e">
        <f t="shared" si="1"/>
        <v>#DIV/0!</v>
      </c>
      <c r="AL16" s="136" t="e">
        <f t="shared" si="2"/>
        <v>#DIV/0!</v>
      </c>
      <c r="AN16" t="e">
        <f t="shared" si="14"/>
        <v>#DIV/0!</v>
      </c>
      <c r="AO16" t="e">
        <f t="shared" si="15"/>
        <v>#DIV/0!</v>
      </c>
      <c r="AP16" t="e">
        <f t="shared" si="16"/>
        <v>#DIV/0!</v>
      </c>
      <c r="AQ16" s="136" t="e">
        <f t="shared" si="17"/>
        <v>#DIV/0!</v>
      </c>
      <c r="AS16" t="e">
        <f t="shared" si="18"/>
        <v>#DIV/0!</v>
      </c>
      <c r="AT16" t="e">
        <f t="shared" si="19"/>
        <v>#DIV/0!</v>
      </c>
      <c r="AU16" t="e">
        <f t="shared" si="20"/>
        <v>#DIV/0!</v>
      </c>
      <c r="AX16" t="e">
        <f t="shared" si="8"/>
        <v>#DIV/0!</v>
      </c>
      <c r="AY16" t="e">
        <f t="shared" si="9"/>
        <v>#DIV/0!</v>
      </c>
      <c r="AZ16" t="e">
        <f t="shared" si="10"/>
        <v>#DIV/0!</v>
      </c>
      <c r="BB16" t="e">
        <f t="shared" si="3"/>
        <v>#DIV/0!</v>
      </c>
      <c r="BC16" t="e">
        <f t="shared" si="4"/>
        <v>#DIV/0!</v>
      </c>
      <c r="BD16" t="e">
        <f t="shared" si="5"/>
        <v>#DIV/0!</v>
      </c>
      <c r="BF16" t="e">
        <f t="shared" si="21"/>
        <v>#DIV/0!</v>
      </c>
      <c r="BG16" t="e">
        <f t="shared" si="22"/>
        <v>#DIV/0!</v>
      </c>
      <c r="BH16" t="e">
        <f t="shared" si="23"/>
        <v>#DIV/0!</v>
      </c>
      <c r="BJ16" t="e">
        <f t="shared" si="11"/>
        <v>#DIV/0!</v>
      </c>
      <c r="BK16">
        <f t="shared" si="24"/>
        <v>1</v>
      </c>
      <c r="BL16" s="129">
        <f t="shared" si="6"/>
        <v>1.2397927577353178</v>
      </c>
      <c r="BN16" t="e">
        <f t="shared" si="12"/>
        <v>#DIV/0!</v>
      </c>
      <c r="BO16">
        <f t="shared" si="25"/>
        <v>1</v>
      </c>
      <c r="BP16" s="129">
        <f t="shared" si="7"/>
        <v>0.96502991740506328</v>
      </c>
    </row>
    <row r="17" spans="1:68" x14ac:dyDescent="0.2">
      <c r="A17" s="133" t="s">
        <v>664</v>
      </c>
      <c r="B17" s="144">
        <f t="shared" si="13"/>
        <v>1956</v>
      </c>
      <c r="X17" s="131"/>
      <c r="Y17" s="131"/>
      <c r="Z17" s="131"/>
      <c r="AA17" s="131"/>
      <c r="AB17" s="131"/>
      <c r="AC17" s="131"/>
      <c r="AD17" s="131"/>
      <c r="AE17" s="131"/>
      <c r="AH17" s="134"/>
      <c r="AJ17" t="e">
        <f t="shared" si="0"/>
        <v>#DIV/0!</v>
      </c>
      <c r="AK17" t="e">
        <f t="shared" si="1"/>
        <v>#DIV/0!</v>
      </c>
      <c r="AL17" s="136" t="e">
        <f t="shared" si="2"/>
        <v>#DIV/0!</v>
      </c>
      <c r="AN17" t="e">
        <f t="shared" si="14"/>
        <v>#DIV/0!</v>
      </c>
      <c r="AO17" t="e">
        <f t="shared" si="15"/>
        <v>#DIV/0!</v>
      </c>
      <c r="AP17" t="e">
        <f t="shared" si="16"/>
        <v>#DIV/0!</v>
      </c>
      <c r="AQ17" s="136" t="e">
        <f t="shared" si="17"/>
        <v>#DIV/0!</v>
      </c>
      <c r="AS17" t="e">
        <f t="shared" si="18"/>
        <v>#DIV/0!</v>
      </c>
      <c r="AT17" t="e">
        <f t="shared" si="19"/>
        <v>#DIV/0!</v>
      </c>
      <c r="AU17" t="e">
        <f t="shared" si="20"/>
        <v>#DIV/0!</v>
      </c>
      <c r="AX17" t="e">
        <f t="shared" si="8"/>
        <v>#DIV/0!</v>
      </c>
      <c r="AY17" t="e">
        <f t="shared" si="9"/>
        <v>#DIV/0!</v>
      </c>
      <c r="AZ17" t="e">
        <f t="shared" si="10"/>
        <v>#DIV/0!</v>
      </c>
      <c r="BB17" t="e">
        <f t="shared" si="3"/>
        <v>#DIV/0!</v>
      </c>
      <c r="BC17" t="e">
        <f t="shared" si="4"/>
        <v>#DIV/0!</v>
      </c>
      <c r="BD17" t="e">
        <f t="shared" si="5"/>
        <v>#DIV/0!</v>
      </c>
      <c r="BF17" t="e">
        <f t="shared" si="21"/>
        <v>#DIV/0!</v>
      </c>
      <c r="BG17" t="e">
        <f t="shared" si="22"/>
        <v>#DIV/0!</v>
      </c>
      <c r="BH17" t="e">
        <f t="shared" si="23"/>
        <v>#DIV/0!</v>
      </c>
      <c r="BJ17" t="e">
        <f t="shared" si="11"/>
        <v>#DIV/0!</v>
      </c>
      <c r="BK17">
        <f t="shared" si="24"/>
        <v>1</v>
      </c>
      <c r="BL17" s="129">
        <f t="shared" si="6"/>
        <v>1.2397927577353178</v>
      </c>
      <c r="BN17" t="e">
        <f t="shared" si="12"/>
        <v>#DIV/0!</v>
      </c>
      <c r="BO17">
        <f t="shared" si="25"/>
        <v>1</v>
      </c>
      <c r="BP17" s="129">
        <f t="shared" si="7"/>
        <v>0.96502991740506328</v>
      </c>
    </row>
    <row r="18" spans="1:68" x14ac:dyDescent="0.2">
      <c r="A18" s="133" t="s">
        <v>664</v>
      </c>
      <c r="B18" s="144">
        <f t="shared" si="13"/>
        <v>1957</v>
      </c>
      <c r="X18" s="131"/>
      <c r="Y18" s="131"/>
      <c r="Z18" s="131"/>
      <c r="AA18" s="131"/>
      <c r="AB18" s="131"/>
      <c r="AC18" s="131"/>
      <c r="AD18" s="131"/>
      <c r="AE18" s="131"/>
      <c r="AH18" s="134"/>
      <c r="AJ18" t="e">
        <f t="shared" si="0"/>
        <v>#DIV/0!</v>
      </c>
      <c r="AK18" t="e">
        <f t="shared" si="1"/>
        <v>#DIV/0!</v>
      </c>
      <c r="AL18" s="136" t="e">
        <f t="shared" si="2"/>
        <v>#DIV/0!</v>
      </c>
      <c r="AN18" t="e">
        <f t="shared" si="14"/>
        <v>#DIV/0!</v>
      </c>
      <c r="AO18" t="e">
        <f t="shared" si="15"/>
        <v>#DIV/0!</v>
      </c>
      <c r="AP18" t="e">
        <f t="shared" si="16"/>
        <v>#DIV/0!</v>
      </c>
      <c r="AQ18" s="136" t="e">
        <f t="shared" si="17"/>
        <v>#DIV/0!</v>
      </c>
      <c r="AS18" t="e">
        <f t="shared" si="18"/>
        <v>#DIV/0!</v>
      </c>
      <c r="AT18" t="e">
        <f t="shared" si="19"/>
        <v>#DIV/0!</v>
      </c>
      <c r="AU18" t="e">
        <f t="shared" si="20"/>
        <v>#DIV/0!</v>
      </c>
      <c r="AX18" t="e">
        <f t="shared" si="8"/>
        <v>#DIV/0!</v>
      </c>
      <c r="AY18" t="e">
        <f t="shared" si="9"/>
        <v>#DIV/0!</v>
      </c>
      <c r="AZ18" t="e">
        <f t="shared" si="10"/>
        <v>#DIV/0!</v>
      </c>
      <c r="BB18" t="e">
        <f t="shared" si="3"/>
        <v>#DIV/0!</v>
      </c>
      <c r="BC18" t="e">
        <f t="shared" si="4"/>
        <v>#DIV/0!</v>
      </c>
      <c r="BD18" t="e">
        <f t="shared" si="5"/>
        <v>#DIV/0!</v>
      </c>
      <c r="BF18" t="e">
        <f t="shared" si="21"/>
        <v>#DIV/0!</v>
      </c>
      <c r="BG18" t="e">
        <f t="shared" si="22"/>
        <v>#DIV/0!</v>
      </c>
      <c r="BH18" t="e">
        <f t="shared" si="23"/>
        <v>#DIV/0!</v>
      </c>
      <c r="BJ18" t="e">
        <f t="shared" si="11"/>
        <v>#DIV/0!</v>
      </c>
      <c r="BK18">
        <f t="shared" si="24"/>
        <v>1</v>
      </c>
      <c r="BL18" s="129">
        <f t="shared" si="6"/>
        <v>1.2397927577353178</v>
      </c>
      <c r="BN18" t="e">
        <f t="shared" si="12"/>
        <v>#DIV/0!</v>
      </c>
      <c r="BO18">
        <f t="shared" si="25"/>
        <v>1</v>
      </c>
      <c r="BP18" s="129">
        <f t="shared" si="7"/>
        <v>0.96502991740506328</v>
      </c>
    </row>
    <row r="19" spans="1:68" x14ac:dyDescent="0.2">
      <c r="A19" s="133" t="s">
        <v>664</v>
      </c>
      <c r="B19" s="144">
        <f t="shared" si="13"/>
        <v>1958</v>
      </c>
      <c r="X19" s="131"/>
      <c r="Y19" s="131"/>
      <c r="Z19" s="131"/>
      <c r="AA19" s="131"/>
      <c r="AB19" s="131"/>
      <c r="AC19" s="131"/>
      <c r="AD19" s="131"/>
      <c r="AE19" s="131"/>
      <c r="AH19" s="134"/>
      <c r="AJ19" t="e">
        <f t="shared" si="0"/>
        <v>#DIV/0!</v>
      </c>
      <c r="AK19" t="e">
        <f t="shared" si="1"/>
        <v>#DIV/0!</v>
      </c>
      <c r="AL19" s="136" t="e">
        <f t="shared" si="2"/>
        <v>#DIV/0!</v>
      </c>
      <c r="AN19" t="e">
        <f t="shared" si="14"/>
        <v>#DIV/0!</v>
      </c>
      <c r="AO19" t="e">
        <f t="shared" si="15"/>
        <v>#DIV/0!</v>
      </c>
      <c r="AP19" t="e">
        <f t="shared" si="16"/>
        <v>#DIV/0!</v>
      </c>
      <c r="AQ19" s="136" t="e">
        <f t="shared" si="17"/>
        <v>#DIV/0!</v>
      </c>
      <c r="AS19" t="e">
        <f t="shared" si="18"/>
        <v>#DIV/0!</v>
      </c>
      <c r="AT19" t="e">
        <f t="shared" si="19"/>
        <v>#DIV/0!</v>
      </c>
      <c r="AU19" t="e">
        <f t="shared" si="20"/>
        <v>#DIV/0!</v>
      </c>
      <c r="AX19" t="e">
        <f t="shared" si="8"/>
        <v>#DIV/0!</v>
      </c>
      <c r="AY19" t="e">
        <f t="shared" si="9"/>
        <v>#DIV/0!</v>
      </c>
      <c r="AZ19" t="e">
        <f t="shared" si="10"/>
        <v>#DIV/0!</v>
      </c>
      <c r="BB19" t="e">
        <f t="shared" si="3"/>
        <v>#DIV/0!</v>
      </c>
      <c r="BC19" t="e">
        <f t="shared" si="4"/>
        <v>#DIV/0!</v>
      </c>
      <c r="BD19" t="e">
        <f t="shared" si="5"/>
        <v>#DIV/0!</v>
      </c>
      <c r="BF19" t="e">
        <f t="shared" si="21"/>
        <v>#DIV/0!</v>
      </c>
      <c r="BG19" t="e">
        <f t="shared" si="22"/>
        <v>#DIV/0!</v>
      </c>
      <c r="BH19" t="e">
        <f t="shared" si="23"/>
        <v>#DIV/0!</v>
      </c>
      <c r="BJ19" t="e">
        <f t="shared" si="11"/>
        <v>#DIV/0!</v>
      </c>
      <c r="BK19">
        <f t="shared" si="24"/>
        <v>1</v>
      </c>
      <c r="BL19" s="129">
        <f t="shared" si="6"/>
        <v>1.2397927577353178</v>
      </c>
      <c r="BN19" t="e">
        <f t="shared" si="12"/>
        <v>#DIV/0!</v>
      </c>
      <c r="BO19">
        <f t="shared" si="25"/>
        <v>1</v>
      </c>
      <c r="BP19" s="129">
        <f t="shared" si="7"/>
        <v>0.96502991740506328</v>
      </c>
    </row>
    <row r="20" spans="1:68" x14ac:dyDescent="0.2">
      <c r="A20" s="133" t="s">
        <v>664</v>
      </c>
      <c r="B20" s="144">
        <f t="shared" si="13"/>
        <v>1959</v>
      </c>
      <c r="X20" s="131"/>
      <c r="Y20" s="131"/>
      <c r="Z20" s="131"/>
      <c r="AA20" s="131"/>
      <c r="AB20" s="131"/>
      <c r="AC20" s="131"/>
      <c r="AD20" s="131"/>
      <c r="AE20" s="131"/>
      <c r="AH20" s="134"/>
      <c r="AJ20" t="e">
        <f t="shared" si="0"/>
        <v>#DIV/0!</v>
      </c>
      <c r="AK20" t="e">
        <f t="shared" si="1"/>
        <v>#DIV/0!</v>
      </c>
      <c r="AL20" s="136" t="e">
        <f t="shared" si="2"/>
        <v>#DIV/0!</v>
      </c>
      <c r="AN20" t="e">
        <f t="shared" si="14"/>
        <v>#DIV/0!</v>
      </c>
      <c r="AO20" t="e">
        <f t="shared" si="15"/>
        <v>#DIV/0!</v>
      </c>
      <c r="AP20" t="e">
        <f t="shared" si="16"/>
        <v>#DIV/0!</v>
      </c>
      <c r="AQ20" s="136" t="e">
        <f t="shared" si="17"/>
        <v>#DIV/0!</v>
      </c>
      <c r="AS20" t="e">
        <f t="shared" si="18"/>
        <v>#DIV/0!</v>
      </c>
      <c r="AT20" t="e">
        <f t="shared" si="19"/>
        <v>#DIV/0!</v>
      </c>
      <c r="AU20" t="e">
        <f t="shared" si="20"/>
        <v>#DIV/0!</v>
      </c>
      <c r="AX20" t="e">
        <f t="shared" si="8"/>
        <v>#DIV/0!</v>
      </c>
      <c r="AY20" t="e">
        <f t="shared" si="9"/>
        <v>#DIV/0!</v>
      </c>
      <c r="AZ20" t="e">
        <f t="shared" si="10"/>
        <v>#DIV/0!</v>
      </c>
      <c r="BB20" t="e">
        <f t="shared" si="3"/>
        <v>#DIV/0!</v>
      </c>
      <c r="BC20" t="e">
        <f t="shared" si="4"/>
        <v>#DIV/0!</v>
      </c>
      <c r="BD20" t="e">
        <f t="shared" si="5"/>
        <v>#DIV/0!</v>
      </c>
      <c r="BF20" t="e">
        <f t="shared" si="21"/>
        <v>#DIV/0!</v>
      </c>
      <c r="BG20" t="e">
        <f t="shared" si="22"/>
        <v>#DIV/0!</v>
      </c>
      <c r="BH20" t="e">
        <f t="shared" si="23"/>
        <v>#DIV/0!</v>
      </c>
      <c r="BJ20" t="e">
        <f t="shared" si="11"/>
        <v>#DIV/0!</v>
      </c>
      <c r="BK20">
        <f t="shared" si="24"/>
        <v>1</v>
      </c>
      <c r="BL20" s="129">
        <f t="shared" si="6"/>
        <v>1.2397927577353178</v>
      </c>
      <c r="BN20" t="e">
        <f t="shared" si="12"/>
        <v>#DIV/0!</v>
      </c>
      <c r="BO20">
        <f t="shared" si="25"/>
        <v>1</v>
      </c>
      <c r="BP20" s="129">
        <f t="shared" si="7"/>
        <v>0.96502991740506328</v>
      </c>
    </row>
    <row r="21" spans="1:68" x14ac:dyDescent="0.2">
      <c r="A21" s="133" t="s">
        <v>664</v>
      </c>
      <c r="B21" s="144">
        <f t="shared" si="13"/>
        <v>1960</v>
      </c>
      <c r="X21" s="131"/>
      <c r="Y21" s="131"/>
      <c r="Z21" s="131"/>
      <c r="AA21" s="131"/>
      <c r="AB21" s="131"/>
      <c r="AC21" s="131"/>
      <c r="AD21" s="131"/>
      <c r="AE21" s="131"/>
      <c r="AH21" s="134"/>
      <c r="AJ21" t="e">
        <f t="shared" si="0"/>
        <v>#DIV/0!</v>
      </c>
      <c r="AK21" t="e">
        <f t="shared" si="1"/>
        <v>#DIV/0!</v>
      </c>
      <c r="AL21" s="136" t="e">
        <f t="shared" si="2"/>
        <v>#DIV/0!</v>
      </c>
      <c r="AN21" t="e">
        <f t="shared" si="14"/>
        <v>#DIV/0!</v>
      </c>
      <c r="AO21" t="e">
        <f t="shared" si="15"/>
        <v>#DIV/0!</v>
      </c>
      <c r="AP21" t="e">
        <f t="shared" si="16"/>
        <v>#DIV/0!</v>
      </c>
      <c r="AQ21" s="136" t="e">
        <f t="shared" si="17"/>
        <v>#DIV/0!</v>
      </c>
      <c r="AS21" t="e">
        <f t="shared" si="18"/>
        <v>#DIV/0!</v>
      </c>
      <c r="AT21" t="e">
        <f t="shared" si="19"/>
        <v>#DIV/0!</v>
      </c>
      <c r="AU21" t="e">
        <f t="shared" si="20"/>
        <v>#DIV/0!</v>
      </c>
      <c r="AX21" t="e">
        <f t="shared" si="8"/>
        <v>#DIV/0!</v>
      </c>
      <c r="AY21" t="e">
        <f t="shared" si="9"/>
        <v>#DIV/0!</v>
      </c>
      <c r="AZ21" t="e">
        <f t="shared" si="10"/>
        <v>#DIV/0!</v>
      </c>
      <c r="BB21" t="e">
        <f t="shared" si="3"/>
        <v>#DIV/0!</v>
      </c>
      <c r="BC21" t="e">
        <f t="shared" si="4"/>
        <v>#DIV/0!</v>
      </c>
      <c r="BD21" t="e">
        <f t="shared" si="5"/>
        <v>#DIV/0!</v>
      </c>
      <c r="BF21" t="e">
        <f t="shared" si="21"/>
        <v>#DIV/0!</v>
      </c>
      <c r="BG21" t="e">
        <f t="shared" si="22"/>
        <v>#DIV/0!</v>
      </c>
      <c r="BH21" t="e">
        <f t="shared" si="23"/>
        <v>#DIV/0!</v>
      </c>
      <c r="BJ21" t="e">
        <f t="shared" si="11"/>
        <v>#DIV/0!</v>
      </c>
      <c r="BK21">
        <f t="shared" si="24"/>
        <v>1</v>
      </c>
      <c r="BL21" s="129">
        <f t="shared" si="6"/>
        <v>1.2397927577353178</v>
      </c>
      <c r="BN21" t="e">
        <f t="shared" si="12"/>
        <v>#DIV/0!</v>
      </c>
      <c r="BO21">
        <f t="shared" si="25"/>
        <v>1</v>
      </c>
      <c r="BP21" s="129">
        <f t="shared" si="7"/>
        <v>0.96502991740506328</v>
      </c>
    </row>
    <row r="22" spans="1:68" x14ac:dyDescent="0.2">
      <c r="A22" s="133" t="s">
        <v>664</v>
      </c>
      <c r="B22" s="144">
        <f t="shared" si="13"/>
        <v>1961</v>
      </c>
      <c r="X22" s="131"/>
      <c r="Y22" s="131"/>
      <c r="Z22" s="131"/>
      <c r="AA22" s="131"/>
      <c r="AB22" s="131"/>
      <c r="AC22" s="131"/>
      <c r="AD22" s="131"/>
      <c r="AE22" s="131"/>
      <c r="AH22" s="134"/>
      <c r="AJ22" t="e">
        <f t="shared" si="0"/>
        <v>#DIV/0!</v>
      </c>
      <c r="AK22" t="e">
        <f t="shared" si="1"/>
        <v>#DIV/0!</v>
      </c>
      <c r="AL22" s="136" t="e">
        <f t="shared" si="2"/>
        <v>#DIV/0!</v>
      </c>
      <c r="AN22" t="e">
        <f t="shared" si="14"/>
        <v>#DIV/0!</v>
      </c>
      <c r="AO22" t="e">
        <f t="shared" si="15"/>
        <v>#DIV/0!</v>
      </c>
      <c r="AP22" t="e">
        <f t="shared" si="16"/>
        <v>#DIV/0!</v>
      </c>
      <c r="AQ22" s="136" t="e">
        <f t="shared" si="17"/>
        <v>#DIV/0!</v>
      </c>
      <c r="AS22" t="e">
        <f t="shared" si="18"/>
        <v>#DIV/0!</v>
      </c>
      <c r="AT22" t="e">
        <f t="shared" si="19"/>
        <v>#DIV/0!</v>
      </c>
      <c r="AU22" t="e">
        <f t="shared" si="20"/>
        <v>#DIV/0!</v>
      </c>
      <c r="AX22" t="e">
        <f t="shared" si="8"/>
        <v>#DIV/0!</v>
      </c>
      <c r="AY22" t="e">
        <f t="shared" si="9"/>
        <v>#DIV/0!</v>
      </c>
      <c r="AZ22" t="e">
        <f t="shared" si="10"/>
        <v>#DIV/0!</v>
      </c>
      <c r="BB22" t="e">
        <f t="shared" si="3"/>
        <v>#DIV/0!</v>
      </c>
      <c r="BC22" t="e">
        <f t="shared" si="4"/>
        <v>#DIV/0!</v>
      </c>
      <c r="BD22" t="e">
        <f t="shared" si="5"/>
        <v>#DIV/0!</v>
      </c>
      <c r="BF22" t="e">
        <f t="shared" si="21"/>
        <v>#DIV/0!</v>
      </c>
      <c r="BG22" t="e">
        <f t="shared" si="22"/>
        <v>#DIV/0!</v>
      </c>
      <c r="BH22" t="e">
        <f t="shared" si="23"/>
        <v>#DIV/0!</v>
      </c>
      <c r="BJ22" t="e">
        <f t="shared" si="11"/>
        <v>#DIV/0!</v>
      </c>
      <c r="BK22">
        <f t="shared" si="24"/>
        <v>1</v>
      </c>
      <c r="BL22" s="129">
        <f t="shared" si="6"/>
        <v>1.2397927577353178</v>
      </c>
      <c r="BN22" t="e">
        <f t="shared" si="12"/>
        <v>#DIV/0!</v>
      </c>
      <c r="BO22">
        <f t="shared" si="25"/>
        <v>1</v>
      </c>
      <c r="BP22" s="129">
        <f t="shared" si="7"/>
        <v>0.96502991740506328</v>
      </c>
    </row>
    <row r="23" spans="1:68" x14ac:dyDescent="0.2">
      <c r="A23" s="133" t="s">
        <v>664</v>
      </c>
      <c r="B23" s="144">
        <f t="shared" si="13"/>
        <v>1962</v>
      </c>
      <c r="X23" s="131"/>
      <c r="Y23" s="131"/>
      <c r="Z23" s="131"/>
      <c r="AA23" s="131"/>
      <c r="AB23" s="131"/>
      <c r="AC23" s="131"/>
      <c r="AD23" s="131"/>
      <c r="AE23" s="131"/>
      <c r="AH23" s="134"/>
      <c r="AJ23" t="e">
        <f t="shared" si="0"/>
        <v>#DIV/0!</v>
      </c>
      <c r="AK23" t="e">
        <f t="shared" si="1"/>
        <v>#DIV/0!</v>
      </c>
      <c r="AL23" s="136" t="e">
        <f t="shared" si="2"/>
        <v>#DIV/0!</v>
      </c>
      <c r="AN23" t="e">
        <f t="shared" si="14"/>
        <v>#DIV/0!</v>
      </c>
      <c r="AO23" t="e">
        <f t="shared" si="15"/>
        <v>#DIV/0!</v>
      </c>
      <c r="AP23" t="e">
        <f t="shared" si="16"/>
        <v>#DIV/0!</v>
      </c>
      <c r="AQ23" s="136" t="e">
        <f t="shared" si="17"/>
        <v>#DIV/0!</v>
      </c>
      <c r="AS23" t="e">
        <f t="shared" si="18"/>
        <v>#DIV/0!</v>
      </c>
      <c r="AT23" t="e">
        <f t="shared" si="19"/>
        <v>#DIV/0!</v>
      </c>
      <c r="AU23" t="e">
        <f t="shared" si="20"/>
        <v>#DIV/0!</v>
      </c>
      <c r="AX23" t="e">
        <f t="shared" si="8"/>
        <v>#DIV/0!</v>
      </c>
      <c r="AY23" t="e">
        <f t="shared" si="9"/>
        <v>#DIV/0!</v>
      </c>
      <c r="AZ23" t="e">
        <f t="shared" si="10"/>
        <v>#DIV/0!</v>
      </c>
      <c r="BB23" t="e">
        <f t="shared" si="3"/>
        <v>#DIV/0!</v>
      </c>
      <c r="BC23" t="e">
        <f t="shared" si="4"/>
        <v>#DIV/0!</v>
      </c>
      <c r="BD23" t="e">
        <f t="shared" si="5"/>
        <v>#DIV/0!</v>
      </c>
      <c r="BF23" t="e">
        <f t="shared" si="21"/>
        <v>#DIV/0!</v>
      </c>
      <c r="BG23" t="e">
        <f t="shared" si="22"/>
        <v>#DIV/0!</v>
      </c>
      <c r="BH23" t="e">
        <f t="shared" si="23"/>
        <v>#DIV/0!</v>
      </c>
      <c r="BJ23" t="e">
        <f t="shared" si="11"/>
        <v>#DIV/0!</v>
      </c>
      <c r="BK23">
        <f t="shared" si="24"/>
        <v>1</v>
      </c>
      <c r="BL23" s="129">
        <f t="shared" si="6"/>
        <v>1.2397927577353178</v>
      </c>
      <c r="BN23" t="e">
        <f t="shared" si="12"/>
        <v>#DIV/0!</v>
      </c>
      <c r="BO23">
        <f t="shared" si="25"/>
        <v>1</v>
      </c>
      <c r="BP23" s="129">
        <f t="shared" si="7"/>
        <v>0.96502991740506328</v>
      </c>
    </row>
    <row r="24" spans="1:68" x14ac:dyDescent="0.2">
      <c r="A24" s="133" t="s">
        <v>664</v>
      </c>
      <c r="B24" s="144">
        <f t="shared" si="13"/>
        <v>1963</v>
      </c>
      <c r="X24" s="131"/>
      <c r="Y24" s="131"/>
      <c r="Z24" s="131"/>
      <c r="AA24" s="131"/>
      <c r="AB24" s="131"/>
      <c r="AC24" s="131"/>
      <c r="AD24" s="131"/>
      <c r="AE24" s="131"/>
      <c r="AH24" s="134"/>
      <c r="AJ24" t="e">
        <f t="shared" si="0"/>
        <v>#DIV/0!</v>
      </c>
      <c r="AK24" t="e">
        <f t="shared" si="1"/>
        <v>#DIV/0!</v>
      </c>
      <c r="AL24" s="136" t="e">
        <f t="shared" si="2"/>
        <v>#DIV/0!</v>
      </c>
      <c r="AN24" t="e">
        <f t="shared" si="14"/>
        <v>#DIV/0!</v>
      </c>
      <c r="AO24" t="e">
        <f t="shared" si="15"/>
        <v>#DIV/0!</v>
      </c>
      <c r="AP24" t="e">
        <f t="shared" si="16"/>
        <v>#DIV/0!</v>
      </c>
      <c r="AQ24" s="136" t="e">
        <f t="shared" si="17"/>
        <v>#DIV/0!</v>
      </c>
      <c r="AS24" t="e">
        <f t="shared" si="18"/>
        <v>#DIV/0!</v>
      </c>
      <c r="AT24" t="e">
        <f t="shared" si="19"/>
        <v>#DIV/0!</v>
      </c>
      <c r="AU24" t="e">
        <f t="shared" si="20"/>
        <v>#DIV/0!</v>
      </c>
      <c r="AX24" t="e">
        <f t="shared" si="8"/>
        <v>#DIV/0!</v>
      </c>
      <c r="AY24" t="e">
        <f t="shared" si="9"/>
        <v>#DIV/0!</v>
      </c>
      <c r="AZ24" t="e">
        <f t="shared" si="10"/>
        <v>#DIV/0!</v>
      </c>
      <c r="BB24" t="e">
        <f t="shared" si="3"/>
        <v>#DIV/0!</v>
      </c>
      <c r="BC24" t="e">
        <f t="shared" si="4"/>
        <v>#DIV/0!</v>
      </c>
      <c r="BD24" t="e">
        <f t="shared" si="5"/>
        <v>#DIV/0!</v>
      </c>
      <c r="BF24" t="e">
        <f t="shared" si="21"/>
        <v>#DIV/0!</v>
      </c>
      <c r="BG24" t="e">
        <f t="shared" si="22"/>
        <v>#DIV/0!</v>
      </c>
      <c r="BH24" t="e">
        <f t="shared" si="23"/>
        <v>#DIV/0!</v>
      </c>
      <c r="BJ24" t="e">
        <f t="shared" si="11"/>
        <v>#DIV/0!</v>
      </c>
      <c r="BK24">
        <f t="shared" si="24"/>
        <v>1</v>
      </c>
      <c r="BL24" s="129">
        <f t="shared" si="6"/>
        <v>1.2397927577353178</v>
      </c>
      <c r="BN24" t="e">
        <f t="shared" si="12"/>
        <v>#DIV/0!</v>
      </c>
      <c r="BO24">
        <f t="shared" si="25"/>
        <v>1</v>
      </c>
      <c r="BP24" s="129">
        <f t="shared" si="7"/>
        <v>0.96502991740506328</v>
      </c>
    </row>
    <row r="25" spans="1:68" x14ac:dyDescent="0.2">
      <c r="A25" s="133" t="s">
        <v>664</v>
      </c>
      <c r="B25" s="144">
        <f t="shared" si="13"/>
        <v>1964</v>
      </c>
      <c r="X25" s="131"/>
      <c r="Y25" s="131"/>
      <c r="Z25" s="131"/>
      <c r="AA25" s="131"/>
      <c r="AB25" s="131"/>
      <c r="AC25" s="131"/>
      <c r="AD25" s="131"/>
      <c r="AE25" s="131"/>
      <c r="AH25" s="134"/>
      <c r="AJ25" t="e">
        <f t="shared" si="0"/>
        <v>#DIV/0!</v>
      </c>
      <c r="AK25" t="e">
        <f t="shared" si="1"/>
        <v>#DIV/0!</v>
      </c>
      <c r="AL25" s="136" t="e">
        <f t="shared" si="2"/>
        <v>#DIV/0!</v>
      </c>
      <c r="AN25" t="e">
        <f t="shared" si="14"/>
        <v>#DIV/0!</v>
      </c>
      <c r="AO25" t="e">
        <f t="shared" si="15"/>
        <v>#DIV/0!</v>
      </c>
      <c r="AP25" t="e">
        <f t="shared" si="16"/>
        <v>#DIV/0!</v>
      </c>
      <c r="AQ25" s="136" t="e">
        <f t="shared" si="17"/>
        <v>#DIV/0!</v>
      </c>
      <c r="AS25" t="e">
        <f t="shared" si="18"/>
        <v>#DIV/0!</v>
      </c>
      <c r="AT25" t="e">
        <f t="shared" si="19"/>
        <v>#DIV/0!</v>
      </c>
      <c r="AU25" t="e">
        <f t="shared" si="20"/>
        <v>#DIV/0!</v>
      </c>
      <c r="AX25" t="e">
        <f t="shared" si="8"/>
        <v>#DIV/0!</v>
      </c>
      <c r="AY25" t="e">
        <f t="shared" si="9"/>
        <v>#DIV/0!</v>
      </c>
      <c r="AZ25" t="e">
        <f t="shared" si="10"/>
        <v>#DIV/0!</v>
      </c>
      <c r="BB25" t="e">
        <f t="shared" si="3"/>
        <v>#DIV/0!</v>
      </c>
      <c r="BC25" t="e">
        <f t="shared" si="4"/>
        <v>#DIV/0!</v>
      </c>
      <c r="BD25" t="e">
        <f t="shared" si="5"/>
        <v>#DIV/0!</v>
      </c>
      <c r="BF25" t="e">
        <f t="shared" si="21"/>
        <v>#DIV/0!</v>
      </c>
      <c r="BG25" t="e">
        <f t="shared" si="22"/>
        <v>#DIV/0!</v>
      </c>
      <c r="BH25" t="e">
        <f t="shared" si="23"/>
        <v>#DIV/0!</v>
      </c>
      <c r="BJ25" t="e">
        <f t="shared" si="11"/>
        <v>#DIV/0!</v>
      </c>
      <c r="BK25">
        <f t="shared" si="24"/>
        <v>1</v>
      </c>
      <c r="BL25" s="129">
        <f t="shared" si="6"/>
        <v>1.2397927577353178</v>
      </c>
      <c r="BN25" t="e">
        <f t="shared" si="12"/>
        <v>#DIV/0!</v>
      </c>
      <c r="BO25">
        <f t="shared" si="25"/>
        <v>1</v>
      </c>
      <c r="BP25" s="129">
        <f t="shared" si="7"/>
        <v>0.96502991740506328</v>
      </c>
    </row>
    <row r="26" spans="1:68" x14ac:dyDescent="0.2">
      <c r="A26" s="133" t="s">
        <v>664</v>
      </c>
      <c r="B26" s="144">
        <f t="shared" si="13"/>
        <v>1965</v>
      </c>
      <c r="X26" s="131"/>
      <c r="Y26" s="131"/>
      <c r="Z26" s="131"/>
      <c r="AA26" s="131"/>
      <c r="AB26" s="131"/>
      <c r="AC26" s="131"/>
      <c r="AD26" s="131"/>
      <c r="AE26" s="131"/>
      <c r="AH26" s="134"/>
      <c r="AJ26" t="e">
        <f t="shared" si="0"/>
        <v>#DIV/0!</v>
      </c>
      <c r="AK26" t="e">
        <f t="shared" si="1"/>
        <v>#DIV/0!</v>
      </c>
      <c r="AL26" s="136" t="e">
        <f t="shared" si="2"/>
        <v>#DIV/0!</v>
      </c>
      <c r="AN26" t="e">
        <f t="shared" si="14"/>
        <v>#DIV/0!</v>
      </c>
      <c r="AO26" t="e">
        <f t="shared" si="15"/>
        <v>#DIV/0!</v>
      </c>
      <c r="AP26" t="e">
        <f t="shared" si="16"/>
        <v>#DIV/0!</v>
      </c>
      <c r="AQ26" s="136" t="e">
        <f t="shared" si="17"/>
        <v>#DIV/0!</v>
      </c>
      <c r="AS26" t="e">
        <f t="shared" si="18"/>
        <v>#DIV/0!</v>
      </c>
      <c r="AT26" t="e">
        <f t="shared" si="19"/>
        <v>#DIV/0!</v>
      </c>
      <c r="AU26" t="e">
        <f t="shared" si="20"/>
        <v>#DIV/0!</v>
      </c>
      <c r="AX26" t="e">
        <f t="shared" si="8"/>
        <v>#DIV/0!</v>
      </c>
      <c r="AY26" t="e">
        <f t="shared" si="9"/>
        <v>#DIV/0!</v>
      </c>
      <c r="AZ26" t="e">
        <f t="shared" si="10"/>
        <v>#DIV/0!</v>
      </c>
      <c r="BB26" t="e">
        <f t="shared" si="3"/>
        <v>#DIV/0!</v>
      </c>
      <c r="BC26" t="e">
        <f t="shared" si="4"/>
        <v>#DIV/0!</v>
      </c>
      <c r="BD26" t="e">
        <f t="shared" si="5"/>
        <v>#DIV/0!</v>
      </c>
      <c r="BF26" t="e">
        <f t="shared" si="21"/>
        <v>#DIV/0!</v>
      </c>
      <c r="BG26" t="e">
        <f t="shared" si="22"/>
        <v>#DIV/0!</v>
      </c>
      <c r="BH26" t="e">
        <f t="shared" si="23"/>
        <v>#DIV/0!</v>
      </c>
      <c r="BJ26" t="e">
        <f t="shared" si="11"/>
        <v>#DIV/0!</v>
      </c>
      <c r="BK26">
        <f t="shared" si="24"/>
        <v>1</v>
      </c>
      <c r="BL26" s="129">
        <f t="shared" si="6"/>
        <v>1.2397927577353178</v>
      </c>
      <c r="BN26" t="e">
        <f t="shared" si="12"/>
        <v>#DIV/0!</v>
      </c>
      <c r="BO26">
        <f t="shared" si="25"/>
        <v>1</v>
      </c>
      <c r="BP26" s="129">
        <f t="shared" si="7"/>
        <v>0.96502991740506328</v>
      </c>
    </row>
    <row r="27" spans="1:68" x14ac:dyDescent="0.2">
      <c r="A27" s="133" t="s">
        <v>664</v>
      </c>
      <c r="B27" s="144">
        <f t="shared" si="13"/>
        <v>1966</v>
      </c>
      <c r="D27" s="4"/>
      <c r="E27" s="4"/>
      <c r="F27" s="4"/>
      <c r="G27" s="4"/>
      <c r="H27" s="4"/>
      <c r="I27" s="4">
        <f>'Passenger-based Activity'!B25</f>
        <v>1472427.0537872452</v>
      </c>
      <c r="J27" s="4">
        <f>'Passenger-based Activity'!C25</f>
        <v>173686.6</v>
      </c>
      <c r="K27" s="4">
        <f>'Passenger-based Activity'!D25</f>
        <v>2770.2320179105973</v>
      </c>
      <c r="L27" s="4">
        <f>SUM(I27:K27)</f>
        <v>1648883.8858051558</v>
      </c>
      <c r="X27" s="131"/>
      <c r="Y27" s="131"/>
      <c r="Z27" s="131"/>
      <c r="AA27" s="131"/>
      <c r="AB27" s="131"/>
      <c r="AC27" s="131"/>
      <c r="AD27" s="131"/>
      <c r="AE27" s="131"/>
      <c r="AH27" s="134"/>
      <c r="AJ27" t="e">
        <f t="shared" si="0"/>
        <v>#DIV/0!</v>
      </c>
      <c r="AK27" t="e">
        <f t="shared" si="1"/>
        <v>#DIV/0!</v>
      </c>
      <c r="AL27" s="136" t="e">
        <f t="shared" si="2"/>
        <v>#DIV/0!</v>
      </c>
      <c r="AN27" t="e">
        <f t="shared" si="14"/>
        <v>#DIV/0!</v>
      </c>
      <c r="AO27" t="e">
        <f t="shared" si="15"/>
        <v>#DIV/0!</v>
      </c>
      <c r="AP27" t="e">
        <f t="shared" si="16"/>
        <v>#DIV/0!</v>
      </c>
      <c r="AQ27" s="136" t="e">
        <f t="shared" si="17"/>
        <v>#DIV/0!</v>
      </c>
      <c r="AS27" t="e">
        <f t="shared" si="18"/>
        <v>#DIV/0!</v>
      </c>
      <c r="AT27" t="e">
        <f t="shared" si="19"/>
        <v>#DIV/0!</v>
      </c>
      <c r="AU27" t="e">
        <f t="shared" si="20"/>
        <v>#DIV/0!</v>
      </c>
      <c r="AX27" t="e">
        <f t="shared" si="8"/>
        <v>#DIV/0!</v>
      </c>
      <c r="AY27" t="e">
        <f t="shared" si="9"/>
        <v>#DIV/0!</v>
      </c>
      <c r="AZ27" t="e">
        <f t="shared" si="10"/>
        <v>#DIV/0!</v>
      </c>
      <c r="BB27" s="136">
        <f t="shared" si="3"/>
        <v>0.89298407635796251</v>
      </c>
      <c r="BC27" s="136">
        <f t="shared" si="4"/>
        <v>0.10533585869522172</v>
      </c>
      <c r="BD27" s="136">
        <f t="shared" si="5"/>
        <v>1.6800649468157566E-3</v>
      </c>
      <c r="BF27" t="e">
        <f t="shared" si="21"/>
        <v>#DIV/0!</v>
      </c>
      <c r="BG27" t="e">
        <f t="shared" si="22"/>
        <v>#DIV/0!</v>
      </c>
      <c r="BH27" t="e">
        <f t="shared" si="23"/>
        <v>#DIV/0!</v>
      </c>
      <c r="BJ27" t="e">
        <f t="shared" si="11"/>
        <v>#DIV/0!</v>
      </c>
      <c r="BK27">
        <f t="shared" si="24"/>
        <v>1</v>
      </c>
      <c r="BL27" s="129">
        <f t="shared" si="6"/>
        <v>1.2397927577353178</v>
      </c>
      <c r="BN27" t="e">
        <f t="shared" si="12"/>
        <v>#DIV/0!</v>
      </c>
      <c r="BO27">
        <f t="shared" si="25"/>
        <v>1</v>
      </c>
      <c r="BP27" s="129">
        <f t="shared" si="7"/>
        <v>0.96502991740506328</v>
      </c>
    </row>
    <row r="28" spans="1:68" x14ac:dyDescent="0.2">
      <c r="A28" s="133" t="s">
        <v>664</v>
      </c>
      <c r="B28" s="144">
        <f t="shared" si="13"/>
        <v>1967</v>
      </c>
      <c r="D28" s="4"/>
      <c r="E28" s="4"/>
      <c r="F28" s="4"/>
      <c r="G28" s="4"/>
      <c r="H28" s="4"/>
      <c r="I28" s="4">
        <f>'Passenger-based Activity'!B26</f>
        <v>1535995.874190886</v>
      </c>
      <c r="J28" s="4">
        <f>'Passenger-based Activity'!C26</f>
        <v>178106</v>
      </c>
      <c r="K28" s="4">
        <f>'Passenger-based Activity'!D26</f>
        <v>2889.8307315922184</v>
      </c>
      <c r="L28" s="4">
        <f t="shared" ref="L28:L68" si="26">SUM(I28:K28)</f>
        <v>1716991.7049224782</v>
      </c>
      <c r="X28" s="131"/>
      <c r="Y28" s="131"/>
      <c r="Z28" s="131"/>
      <c r="AA28" s="131"/>
      <c r="AB28" s="131"/>
      <c r="AC28" s="131"/>
      <c r="AD28" s="131"/>
      <c r="AE28" s="131"/>
      <c r="AH28" s="134"/>
      <c r="AJ28" t="e">
        <f t="shared" si="0"/>
        <v>#DIV/0!</v>
      </c>
      <c r="AK28" t="e">
        <f t="shared" si="1"/>
        <v>#DIV/0!</v>
      </c>
      <c r="AL28" s="136" t="e">
        <f t="shared" si="2"/>
        <v>#DIV/0!</v>
      </c>
      <c r="AN28" t="e">
        <f t="shared" si="14"/>
        <v>#DIV/0!</v>
      </c>
      <c r="AO28" t="e">
        <f t="shared" si="15"/>
        <v>#DIV/0!</v>
      </c>
      <c r="AP28" t="e">
        <f t="shared" si="16"/>
        <v>#DIV/0!</v>
      </c>
      <c r="AQ28" s="136" t="e">
        <f t="shared" si="17"/>
        <v>#DIV/0!</v>
      </c>
      <c r="AS28" t="e">
        <f t="shared" si="18"/>
        <v>#DIV/0!</v>
      </c>
      <c r="AT28" t="e">
        <f t="shared" si="19"/>
        <v>#DIV/0!</v>
      </c>
      <c r="AU28" t="e">
        <f t="shared" si="20"/>
        <v>#DIV/0!</v>
      </c>
      <c r="AX28" t="e">
        <f t="shared" si="8"/>
        <v>#DIV/0!</v>
      </c>
      <c r="AY28" t="e">
        <f t="shared" si="9"/>
        <v>#DIV/0!</v>
      </c>
      <c r="AZ28" t="e">
        <f t="shared" si="10"/>
        <v>#DIV/0!</v>
      </c>
      <c r="BB28" s="136">
        <f t="shared" si="3"/>
        <v>0.89458549496034745</v>
      </c>
      <c r="BC28" s="136">
        <f t="shared" si="4"/>
        <v>0.10373142717543965</v>
      </c>
      <c r="BD28" s="136">
        <f t="shared" si="5"/>
        <v>1.6830778642129163E-3</v>
      </c>
      <c r="BF28">
        <f t="shared" si="21"/>
        <v>1.7917277811144994E-3</v>
      </c>
      <c r="BG28">
        <f t="shared" si="22"/>
        <v>-1.5348771676851222E-2</v>
      </c>
      <c r="BH28">
        <f t="shared" si="23"/>
        <v>1.7917277811142775E-3</v>
      </c>
      <c r="BJ28" t="e">
        <f t="shared" si="11"/>
        <v>#DIV/0!</v>
      </c>
      <c r="BK28">
        <f t="shared" si="24"/>
        <v>1</v>
      </c>
      <c r="BL28" s="129">
        <f t="shared" si="6"/>
        <v>1.2397927577353178</v>
      </c>
      <c r="BN28" t="e">
        <f t="shared" si="12"/>
        <v>#DIV/0!</v>
      </c>
      <c r="BO28">
        <f t="shared" si="25"/>
        <v>1</v>
      </c>
      <c r="BP28" s="129">
        <f t="shared" si="7"/>
        <v>0.96502991740506328</v>
      </c>
    </row>
    <row r="29" spans="1:68" x14ac:dyDescent="0.2">
      <c r="A29" s="133" t="s">
        <v>664</v>
      </c>
      <c r="B29" s="144">
        <f t="shared" si="13"/>
        <v>1968</v>
      </c>
      <c r="D29" s="4"/>
      <c r="E29" s="4"/>
      <c r="F29" s="4"/>
      <c r="G29" s="4"/>
      <c r="H29" s="4"/>
      <c r="I29" s="4">
        <f>'Passenger-based Activity'!B27</f>
        <v>1610314.1620500195</v>
      </c>
      <c r="J29" s="4">
        <f>'Passenger-based Activity'!C27</f>
        <v>195464.4</v>
      </c>
      <c r="K29" s="4">
        <f>'Passenger-based Activity'!D27</f>
        <v>3029.6535499886372</v>
      </c>
      <c r="L29" s="4">
        <f t="shared" si="26"/>
        <v>1808808.2156000079</v>
      </c>
      <c r="X29" s="131"/>
      <c r="Y29" s="131"/>
      <c r="Z29" s="131"/>
      <c r="AA29" s="131"/>
      <c r="AB29" s="131"/>
      <c r="AC29" s="131"/>
      <c r="AD29" s="131"/>
      <c r="AE29" s="131"/>
      <c r="AH29" s="134"/>
      <c r="AJ29" t="e">
        <f t="shared" si="0"/>
        <v>#DIV/0!</v>
      </c>
      <c r="AK29" t="e">
        <f t="shared" si="1"/>
        <v>#DIV/0!</v>
      </c>
      <c r="AL29" s="136" t="e">
        <f t="shared" si="2"/>
        <v>#DIV/0!</v>
      </c>
      <c r="AN29" t="e">
        <f t="shared" si="14"/>
        <v>#DIV/0!</v>
      </c>
      <c r="AO29" t="e">
        <f t="shared" si="15"/>
        <v>#DIV/0!</v>
      </c>
      <c r="AP29" t="e">
        <f t="shared" si="16"/>
        <v>#DIV/0!</v>
      </c>
      <c r="AQ29" s="136" t="e">
        <f t="shared" si="17"/>
        <v>#DIV/0!</v>
      </c>
      <c r="AS29" t="e">
        <f t="shared" si="18"/>
        <v>#DIV/0!</v>
      </c>
      <c r="AT29" t="e">
        <f t="shared" si="19"/>
        <v>#DIV/0!</v>
      </c>
      <c r="AU29" t="e">
        <f t="shared" si="20"/>
        <v>#DIV/0!</v>
      </c>
      <c r="AX29" t="e">
        <f t="shared" si="8"/>
        <v>#DIV/0!</v>
      </c>
      <c r="AY29" t="e">
        <f t="shared" si="9"/>
        <v>#DIV/0!</v>
      </c>
      <c r="AZ29" t="e">
        <f t="shared" si="10"/>
        <v>#DIV/0!</v>
      </c>
      <c r="BB29" s="136">
        <f t="shared" si="3"/>
        <v>0.89026252101351433</v>
      </c>
      <c r="BC29" s="136">
        <f t="shared" si="4"/>
        <v>0.10806253438823619</v>
      </c>
      <c r="BD29" s="136">
        <f t="shared" si="5"/>
        <v>1.674944598249548E-3</v>
      </c>
      <c r="BF29">
        <f t="shared" si="21"/>
        <v>-4.8440902098457169E-3</v>
      </c>
      <c r="BG29">
        <f t="shared" si="22"/>
        <v>4.090495375970174E-2</v>
      </c>
      <c r="BH29">
        <f t="shared" si="23"/>
        <v>-4.8440902098457169E-3</v>
      </c>
      <c r="BJ29" t="e">
        <f t="shared" si="11"/>
        <v>#DIV/0!</v>
      </c>
      <c r="BK29">
        <f t="shared" si="24"/>
        <v>1</v>
      </c>
      <c r="BL29" s="129">
        <f t="shared" si="6"/>
        <v>1.2397927577353178</v>
      </c>
      <c r="BN29" t="e">
        <f t="shared" si="12"/>
        <v>#DIV/0!</v>
      </c>
      <c r="BO29">
        <f t="shared" si="25"/>
        <v>1</v>
      </c>
      <c r="BP29" s="129">
        <f t="shared" si="7"/>
        <v>0.96502991740506328</v>
      </c>
    </row>
    <row r="30" spans="1:68" x14ac:dyDescent="0.2">
      <c r="A30" s="133" t="s">
        <v>664</v>
      </c>
      <c r="B30" s="144">
        <f t="shared" si="13"/>
        <v>1969</v>
      </c>
      <c r="D30" s="4"/>
      <c r="E30" s="4"/>
      <c r="F30" s="4"/>
      <c r="G30" s="4"/>
      <c r="H30" s="4"/>
      <c r="I30" s="4">
        <f>'Passenger-based Activity'!B28</f>
        <v>1675494.6450337563</v>
      </c>
      <c r="J30" s="4">
        <f>'Passenger-based Activity'!C28</f>
        <v>212820.9</v>
      </c>
      <c r="K30" s="4">
        <f>'Passenger-based Activity'!D28</f>
        <v>3152.2844541410645</v>
      </c>
      <c r="L30" s="4">
        <f t="shared" si="26"/>
        <v>1891467.8294878972</v>
      </c>
      <c r="X30" s="131"/>
      <c r="Y30" s="131"/>
      <c r="Z30" s="131"/>
      <c r="AA30" s="131"/>
      <c r="AB30" s="131"/>
      <c r="AC30" s="131"/>
      <c r="AD30" s="131"/>
      <c r="AE30" s="131"/>
      <c r="AH30" s="134"/>
      <c r="AJ30" t="e">
        <f t="shared" si="0"/>
        <v>#DIV/0!</v>
      </c>
      <c r="AK30" t="e">
        <f t="shared" si="1"/>
        <v>#DIV/0!</v>
      </c>
      <c r="AL30" s="136" t="e">
        <f t="shared" si="2"/>
        <v>#DIV/0!</v>
      </c>
      <c r="AN30" t="e">
        <f t="shared" si="14"/>
        <v>#DIV/0!</v>
      </c>
      <c r="AO30" t="e">
        <f t="shared" si="15"/>
        <v>#DIV/0!</v>
      </c>
      <c r="AP30" t="e">
        <f t="shared" si="16"/>
        <v>#DIV/0!</v>
      </c>
      <c r="AQ30" s="136" t="e">
        <f t="shared" si="17"/>
        <v>#DIV/0!</v>
      </c>
      <c r="AS30" t="e">
        <f t="shared" si="18"/>
        <v>#DIV/0!</v>
      </c>
      <c r="AT30" t="e">
        <f t="shared" si="19"/>
        <v>#DIV/0!</v>
      </c>
      <c r="AU30" t="e">
        <f t="shared" si="20"/>
        <v>#DIV/0!</v>
      </c>
      <c r="AX30" t="e">
        <f t="shared" si="8"/>
        <v>#DIV/0!</v>
      </c>
      <c r="AY30" t="e">
        <f t="shared" si="9"/>
        <v>#DIV/0!</v>
      </c>
      <c r="AZ30" t="e">
        <f t="shared" si="10"/>
        <v>#DIV/0!</v>
      </c>
      <c r="BB30" s="136">
        <f t="shared" si="3"/>
        <v>0.88581715158612329</v>
      </c>
      <c r="BC30" s="136">
        <f t="shared" si="4"/>
        <v>0.11251626735709266</v>
      </c>
      <c r="BD30" s="136">
        <f t="shared" si="5"/>
        <v>1.6665810567840984E-3</v>
      </c>
      <c r="BF30">
        <f t="shared" si="21"/>
        <v>-5.0058325409309389E-3</v>
      </c>
      <c r="BG30">
        <f t="shared" si="22"/>
        <v>4.038772825190394E-2</v>
      </c>
      <c r="BH30">
        <f t="shared" si="23"/>
        <v>-5.005832540930827E-3</v>
      </c>
      <c r="BJ30" t="e">
        <f t="shared" si="11"/>
        <v>#DIV/0!</v>
      </c>
      <c r="BK30">
        <f t="shared" si="24"/>
        <v>1</v>
      </c>
      <c r="BL30" s="129">
        <f t="shared" si="6"/>
        <v>1.2397927577353178</v>
      </c>
      <c r="BN30" t="e">
        <f t="shared" si="12"/>
        <v>#DIV/0!</v>
      </c>
      <c r="BO30">
        <f t="shared" si="25"/>
        <v>1</v>
      </c>
      <c r="BP30" s="129">
        <f t="shared" si="7"/>
        <v>0.96502991740506328</v>
      </c>
    </row>
    <row r="31" spans="1:68" x14ac:dyDescent="0.2">
      <c r="A31" s="133" t="s">
        <v>664</v>
      </c>
      <c r="B31" s="144">
        <f t="shared" si="13"/>
        <v>1970</v>
      </c>
      <c r="D31" s="4">
        <f>'Passenger-based Energy Use'!B28</f>
        <v>8479.358268</v>
      </c>
      <c r="E31" s="4">
        <f>'Passenger-based Energy Use'!D28</f>
        <v>1538.5592776743999</v>
      </c>
      <c r="F31" s="4">
        <f>'Passenger-based Energy Use'!C28</f>
        <v>7.4474999999999998</v>
      </c>
      <c r="G31" s="4">
        <f>SUM(D31:F31)</f>
        <v>10025.3650456744</v>
      </c>
      <c r="H31" s="263">
        <f>F31/G31</f>
        <v>7.4286571771402373E-4</v>
      </c>
      <c r="I31" s="4">
        <f>'Passenger-based Activity'!B29</f>
        <v>1741730</v>
      </c>
      <c r="J31" s="4">
        <f>'Passenger-based Activity'!C29</f>
        <v>221914.80000000002</v>
      </c>
      <c r="K31" s="4">
        <f>'Passenger-based Activity'!D29</f>
        <v>3276.9</v>
      </c>
      <c r="L31" s="4">
        <f t="shared" si="26"/>
        <v>1966921.7</v>
      </c>
      <c r="M31" s="263">
        <f>K31/L31</f>
        <v>1.6660042949345672E-3</v>
      </c>
      <c r="N31" s="4">
        <f>D31/I31*1000000</f>
        <v>4868.3540319108015</v>
      </c>
      <c r="O31" s="4">
        <f>E31/J31*1000000</f>
        <v>6933.1080111574347</v>
      </c>
      <c r="P31" s="4">
        <f>F31/K31*1000000</f>
        <v>2272.7272727272725</v>
      </c>
      <c r="Q31" s="4">
        <f>G31/L31*1000000</f>
        <v>5096.9822772682819</v>
      </c>
      <c r="S31" s="129">
        <f t="shared" ref="S31:S72" si="27">N31/N$74</f>
        <v>1.1843981207494629</v>
      </c>
      <c r="T31" s="129">
        <f t="shared" ref="T31:T72" si="28">O31/O$74</f>
        <v>1.4632326679794616</v>
      </c>
      <c r="U31" s="129">
        <f t="shared" ref="U31:U72" si="29">P31/P$74</f>
        <v>0.96690433116952212</v>
      </c>
      <c r="V31" s="129">
        <f t="shared" ref="V31:V72" si="30">Q31/Q$74</f>
        <v>1.1964371025967102</v>
      </c>
      <c r="W31" s="141"/>
      <c r="X31" s="131">
        <f t="shared" ref="X31:X72" si="31">L31/L$74</f>
        <v>0.67743811547861477</v>
      </c>
      <c r="Y31" s="131">
        <f t="shared" ref="Y31:Y69" si="32">V31</f>
        <v>1.1964371025967102</v>
      </c>
      <c r="Z31" s="131">
        <f t="shared" ref="Z31:Z68" si="33">BP31</f>
        <v>0.96502991740506328</v>
      </c>
      <c r="AA31" s="131">
        <f t="shared" ref="AA31:AA68" si="34">BL31</f>
        <v>1.2397927577353178</v>
      </c>
      <c r="AB31" s="131">
        <f t="shared" ref="AB31:AB68" si="35">X31*Z31*AA31</f>
        <v>0.81051209607180885</v>
      </c>
      <c r="AC31" s="131">
        <f t="shared" ref="AC31:AC72" si="36">G31/G$74</f>
        <v>0.8105120960718093</v>
      </c>
      <c r="AD31" s="131"/>
      <c r="AE31" s="131">
        <f t="shared" ref="AE31:AE68" si="37">Z31*AA31</f>
        <v>1.1964371025967093</v>
      </c>
      <c r="AH31" s="134"/>
      <c r="AJ31" s="136">
        <f t="shared" si="0"/>
        <v>0.84579047539606067</v>
      </c>
      <c r="AK31" s="136">
        <f t="shared" si="1"/>
        <v>0.15346665888622532</v>
      </c>
      <c r="AL31" s="136">
        <f t="shared" si="2"/>
        <v>7.4286571771402373E-4</v>
      </c>
      <c r="AN31" t="e">
        <f t="shared" si="14"/>
        <v>#DIV/0!</v>
      </c>
      <c r="AO31" t="e">
        <f t="shared" si="15"/>
        <v>#DIV/0!</v>
      </c>
      <c r="AP31" t="e">
        <f t="shared" si="16"/>
        <v>#DIV/0!</v>
      </c>
      <c r="AQ31" s="136" t="e">
        <f t="shared" si="17"/>
        <v>#DIV/0!</v>
      </c>
      <c r="AS31" t="e">
        <f t="shared" si="18"/>
        <v>#DIV/0!</v>
      </c>
      <c r="AT31" t="e">
        <f t="shared" si="19"/>
        <v>#DIV/0!</v>
      </c>
      <c r="AU31" t="e">
        <f t="shared" si="20"/>
        <v>#DIV/0!</v>
      </c>
      <c r="AX31" t="e">
        <f t="shared" si="8"/>
        <v>#DIV/0!</v>
      </c>
      <c r="AY31" t="e">
        <f t="shared" si="9"/>
        <v>#DIV/0!</v>
      </c>
      <c r="AZ31" t="e">
        <f t="shared" si="10"/>
        <v>#DIV/0!</v>
      </c>
      <c r="BB31" s="136">
        <f t="shared" si="3"/>
        <v>0.88551059251621456</v>
      </c>
      <c r="BC31" s="136">
        <f t="shared" si="4"/>
        <v>0.1128234031888509</v>
      </c>
      <c r="BD31" s="136">
        <f t="shared" si="5"/>
        <v>1.6660042949345672E-3</v>
      </c>
      <c r="BF31">
        <f t="shared" si="21"/>
        <v>-3.4613478391010426E-4</v>
      </c>
      <c r="BG31">
        <f t="shared" si="22"/>
        <v>2.7259827016476229E-3</v>
      </c>
      <c r="BH31">
        <f t="shared" si="23"/>
        <v>-3.4613478391010426E-4</v>
      </c>
      <c r="BJ31" t="e">
        <f t="shared" si="11"/>
        <v>#DIV/0!</v>
      </c>
      <c r="BK31">
        <f t="shared" si="24"/>
        <v>1</v>
      </c>
      <c r="BL31" s="129">
        <f t="shared" si="6"/>
        <v>1.2397927577353178</v>
      </c>
      <c r="BN31" t="e">
        <f t="shared" si="12"/>
        <v>#DIV/0!</v>
      </c>
      <c r="BO31">
        <f t="shared" si="25"/>
        <v>1</v>
      </c>
      <c r="BP31" s="129">
        <f t="shared" si="7"/>
        <v>0.96502991740506328</v>
      </c>
    </row>
    <row r="32" spans="1:68" x14ac:dyDescent="0.2">
      <c r="A32" s="133" t="s">
        <v>664</v>
      </c>
      <c r="B32" s="144">
        <f t="shared" si="13"/>
        <v>1971</v>
      </c>
      <c r="D32" s="4">
        <f>'Passenger-based Energy Use'!B29</f>
        <v>8926.0695216000004</v>
      </c>
      <c r="E32" s="4">
        <f>'Passenger-based Energy Use'!D29</f>
        <v>1684.8746345264001</v>
      </c>
      <c r="F32" s="4">
        <f>'Passenger-based Energy Use'!C29</f>
        <v>9.0175000000000001</v>
      </c>
      <c r="G32" s="4">
        <f>SUM(D32:F32)</f>
        <v>10619.961656126401</v>
      </c>
      <c r="H32" s="4"/>
      <c r="I32" s="4">
        <f>'Passenger-based Activity'!B30</f>
        <v>1836109.0467169611</v>
      </c>
      <c r="J32" s="4">
        <f>'Passenger-based Activity'!C30</f>
        <v>248166</v>
      </c>
      <c r="K32" s="4">
        <f>'Passenger-based Activity'!D30</f>
        <v>3920.1992691277264</v>
      </c>
      <c r="L32" s="4">
        <f t="shared" si="26"/>
        <v>2088195.2459860889</v>
      </c>
      <c r="N32" s="4">
        <f t="shared" ref="N32:N41" si="38">D32/I32*1000000</f>
        <v>4861.4049026990979</v>
      </c>
      <c r="O32" s="4">
        <f t="shared" ref="O32:O41" si="39">E32/J32*1000000</f>
        <v>6789.3048786957124</v>
      </c>
      <c r="P32" s="4">
        <f t="shared" ref="P32:P68" si="40">F32/K32*1000000</f>
        <v>2300.265721442895</v>
      </c>
      <c r="Q32" s="4">
        <f t="shared" ref="Q32:Q41" si="41">G32/L32*1000000</f>
        <v>5085.7129746559858</v>
      </c>
      <c r="S32" s="129">
        <f t="shared" si="27"/>
        <v>1.1827075009783374</v>
      </c>
      <c r="T32" s="129">
        <f t="shared" si="28"/>
        <v>1.4328830122641396</v>
      </c>
      <c r="U32" s="129">
        <f t="shared" si="29"/>
        <v>0.97862023111772511</v>
      </c>
      <c r="V32" s="129">
        <f t="shared" si="30"/>
        <v>1.1937918095522604</v>
      </c>
      <c r="W32" s="141"/>
      <c r="X32" s="131">
        <f t="shared" si="31"/>
        <v>0.71920659179885926</v>
      </c>
      <c r="Y32" s="131">
        <f t="shared" si="32"/>
        <v>1.1937918095522604</v>
      </c>
      <c r="Z32" s="131">
        <f t="shared" si="33"/>
        <v>0.96720570667815475</v>
      </c>
      <c r="AA32" s="131">
        <f t="shared" si="34"/>
        <v>1.2342687820280858</v>
      </c>
      <c r="AB32" s="131">
        <f t="shared" si="35"/>
        <v>0.85858293866547386</v>
      </c>
      <c r="AC32" s="131">
        <f t="shared" si="36"/>
        <v>0.85858293866547419</v>
      </c>
      <c r="AD32" s="131"/>
      <c r="AE32" s="131">
        <f t="shared" si="37"/>
        <v>1.1937918095522599</v>
      </c>
      <c r="AH32" s="134"/>
      <c r="AJ32" s="136">
        <f t="shared" si="0"/>
        <v>0.84049922312579772</v>
      </c>
      <c r="AK32" s="136">
        <f t="shared" si="1"/>
        <v>0.1586516683470732</v>
      </c>
      <c r="AL32" s="136">
        <f t="shared" si="2"/>
        <v>8.4910852712900527E-4</v>
      </c>
      <c r="AN32">
        <f t="shared" si="14"/>
        <v>0.84314208209859054</v>
      </c>
      <c r="AO32">
        <f t="shared" si="15"/>
        <v>0.15604480672082099</v>
      </c>
      <c r="AP32">
        <f t="shared" si="16"/>
        <v>7.9480400322015079E-4</v>
      </c>
      <c r="AQ32" s="136">
        <f t="shared" si="17"/>
        <v>0.99998169282263172</v>
      </c>
      <c r="AS32">
        <f t="shared" si="18"/>
        <v>0.84315751793282079</v>
      </c>
      <c r="AT32">
        <f t="shared" si="19"/>
        <v>0.15604766351307484</v>
      </c>
      <c r="AU32">
        <f t="shared" si="20"/>
        <v>7.9481855410439635E-4</v>
      </c>
      <c r="AX32">
        <f t="shared" si="8"/>
        <v>-1.4284280710331599E-3</v>
      </c>
      <c r="AY32">
        <f t="shared" si="9"/>
        <v>-2.0959637061940661E-2</v>
      </c>
      <c r="AZ32">
        <f t="shared" si="10"/>
        <v>1.2044095254202938E-2</v>
      </c>
      <c r="BB32" s="136">
        <f t="shared" si="3"/>
        <v>0.87928034997987581</v>
      </c>
      <c r="BC32" s="136">
        <f t="shared" si="4"/>
        <v>0.11884233549378229</v>
      </c>
      <c r="BD32" s="136">
        <f t="shared" si="5"/>
        <v>1.8773145263418735E-3</v>
      </c>
      <c r="BF32">
        <f t="shared" si="21"/>
        <v>-7.0606305472884863E-3</v>
      </c>
      <c r="BG32">
        <f t="shared" si="22"/>
        <v>5.1973910200448607E-2</v>
      </c>
      <c r="BH32">
        <f t="shared" si="23"/>
        <v>0.11941419047549723</v>
      </c>
      <c r="BJ32">
        <f t="shared" si="11"/>
        <v>0.99554443621906408</v>
      </c>
      <c r="BK32">
        <f t="shared" si="24"/>
        <v>0.99554443621906408</v>
      </c>
      <c r="BL32" s="129">
        <f t="shared" si="6"/>
        <v>1.2342687820280858</v>
      </c>
      <c r="BN32">
        <f t="shared" si="12"/>
        <v>1.0022546340106657</v>
      </c>
      <c r="BO32">
        <f t="shared" si="25"/>
        <v>1.0022546340106657</v>
      </c>
      <c r="BP32" s="129">
        <f t="shared" si="7"/>
        <v>0.96720570667815475</v>
      </c>
    </row>
    <row r="33" spans="1:68" x14ac:dyDescent="0.2">
      <c r="A33" s="133" t="s">
        <v>664</v>
      </c>
      <c r="B33" s="144">
        <f t="shared" si="13"/>
        <v>1972</v>
      </c>
      <c r="D33" s="4">
        <f>'Passenger-based Energy Use'!B30</f>
        <v>9505.6493797000003</v>
      </c>
      <c r="E33" s="4">
        <f>'Passenger-based Energy Use'!D30</f>
        <v>1893.0128043655998</v>
      </c>
      <c r="F33" s="4">
        <f>'Passenger-based Energy Use'!C30</f>
        <v>10.827500000000001</v>
      </c>
      <c r="G33" s="4">
        <f t="shared" ref="G33:G68" si="42">SUM(D33:F33)</f>
        <v>11409.4896840656</v>
      </c>
      <c r="H33" s="4"/>
      <c r="I33" s="4">
        <f>'Passenger-based Activity'!B31</f>
        <v>1940813.9463262551</v>
      </c>
      <c r="J33" s="4">
        <f>'Passenger-based Activity'!C31</f>
        <v>281919.60000000003</v>
      </c>
      <c r="K33" s="4">
        <f>'Passenger-based Activity'!D31</f>
        <v>4636.4731795365205</v>
      </c>
      <c r="L33" s="4">
        <f t="shared" si="26"/>
        <v>2227370.0195057914</v>
      </c>
      <c r="N33" s="4">
        <f t="shared" si="38"/>
        <v>4897.7643620570316</v>
      </c>
      <c r="O33" s="4">
        <f t="shared" si="39"/>
        <v>6714.7257741767489</v>
      </c>
      <c r="P33" s="4">
        <f t="shared" si="40"/>
        <v>2335.2879615023153</v>
      </c>
      <c r="Q33" s="4">
        <f t="shared" si="41"/>
        <v>5122.4042633909276</v>
      </c>
      <c r="S33" s="129">
        <f t="shared" si="27"/>
        <v>1.1915532166047544</v>
      </c>
      <c r="T33" s="129">
        <f t="shared" si="28"/>
        <v>1.4171430898649522</v>
      </c>
      <c r="U33" s="129">
        <f t="shared" si="29"/>
        <v>0.9935200195820385</v>
      </c>
      <c r="V33" s="129">
        <f t="shared" si="30"/>
        <v>1.202404517385355</v>
      </c>
      <c r="W33" s="141"/>
      <c r="X33" s="131">
        <f t="shared" si="31"/>
        <v>0.76714052648235498</v>
      </c>
      <c r="Y33" s="131">
        <f t="shared" si="32"/>
        <v>1.202404517385355</v>
      </c>
      <c r="Z33" s="131">
        <f t="shared" si="33"/>
        <v>0.96985150750935512</v>
      </c>
      <c r="AA33" s="131">
        <f t="shared" si="34"/>
        <v>1.2397820780556517</v>
      </c>
      <c r="AB33" s="131">
        <f t="shared" si="35"/>
        <v>0.92241323451176305</v>
      </c>
      <c r="AC33" s="131">
        <f t="shared" si="36"/>
        <v>0.92241323451176327</v>
      </c>
      <c r="AD33" s="131"/>
      <c r="AE33" s="131">
        <f t="shared" si="37"/>
        <v>1.2024045173853548</v>
      </c>
      <c r="AH33" s="134"/>
      <c r="AJ33" s="136">
        <f t="shared" si="0"/>
        <v>0.83313536739294414</v>
      </c>
      <c r="AK33" s="136">
        <f t="shared" si="1"/>
        <v>0.16591564187216593</v>
      </c>
      <c r="AL33" s="136">
        <f t="shared" si="2"/>
        <v>9.4899073488988715E-4</v>
      </c>
      <c r="AN33">
        <f t="shared" si="14"/>
        <v>0.83681189517069676</v>
      </c>
      <c r="AO33">
        <f t="shared" si="15"/>
        <v>0.16225655628224578</v>
      </c>
      <c r="AP33">
        <f t="shared" si="16"/>
        <v>8.9812414652677892E-4</v>
      </c>
      <c r="AQ33" s="136">
        <f t="shared" si="17"/>
        <v>0.99996657559946933</v>
      </c>
      <c r="AS33">
        <f t="shared" si="18"/>
        <v>0.83683986604155935</v>
      </c>
      <c r="AT33">
        <f t="shared" si="19"/>
        <v>0.16226197979164925</v>
      </c>
      <c r="AU33">
        <f t="shared" si="20"/>
        <v>8.9815416679138807E-4</v>
      </c>
      <c r="AX33">
        <f t="shared" si="8"/>
        <v>7.4513775924267877E-3</v>
      </c>
      <c r="AY33">
        <f t="shared" si="9"/>
        <v>-1.1045570716509636E-2</v>
      </c>
      <c r="AZ33">
        <f t="shared" si="10"/>
        <v>1.5110560176911056E-2</v>
      </c>
      <c r="BB33" s="136">
        <f t="shared" si="3"/>
        <v>0.87134779104052174</v>
      </c>
      <c r="BC33" s="136">
        <f t="shared" si="4"/>
        <v>0.12657061805229483</v>
      </c>
      <c r="BD33" s="136">
        <f t="shared" si="5"/>
        <v>2.0815909071835587E-3</v>
      </c>
      <c r="BF33">
        <f t="shared" si="21"/>
        <v>-9.0625907873002585E-3</v>
      </c>
      <c r="BG33">
        <f t="shared" si="22"/>
        <v>6.3002695056328231E-2</v>
      </c>
      <c r="BH33">
        <f t="shared" si="23"/>
        <v>0.10329014837157818</v>
      </c>
      <c r="BJ33">
        <f t="shared" si="11"/>
        <v>1.0044668520405311</v>
      </c>
      <c r="BK33">
        <f t="shared" si="24"/>
        <v>0.99999138591542858</v>
      </c>
      <c r="BL33" s="129">
        <f t="shared" si="6"/>
        <v>1.2397820780556517</v>
      </c>
      <c r="BN33">
        <f t="shared" si="12"/>
        <v>1.0027355099467798</v>
      </c>
      <c r="BO33">
        <f t="shared" si="25"/>
        <v>1.0049963115312082</v>
      </c>
      <c r="BP33" s="129">
        <f t="shared" si="7"/>
        <v>0.96985150750935512</v>
      </c>
    </row>
    <row r="34" spans="1:68" x14ac:dyDescent="0.2">
      <c r="A34" s="133" t="s">
        <v>664</v>
      </c>
      <c r="B34" s="144">
        <f t="shared" si="13"/>
        <v>1973</v>
      </c>
      <c r="D34" s="4">
        <f>'Passenger-based Energy Use'!B31</f>
        <v>9799.4890498999994</v>
      </c>
      <c r="E34" s="4">
        <f>'Passenger-based Energy Use'!D31</f>
        <v>2102.6616148688004</v>
      </c>
      <c r="F34" s="4">
        <f>'Passenger-based Energy Use'!C31</f>
        <v>12.984999999999999</v>
      </c>
      <c r="G34" s="4">
        <f t="shared" si="42"/>
        <v>11915.135664768801</v>
      </c>
      <c r="H34" s="4"/>
      <c r="I34" s="4">
        <f>'Passenger-based Activity'!B32</f>
        <v>1988156.1076358787</v>
      </c>
      <c r="J34" s="4">
        <f>'Passenger-based Activity'!C32</f>
        <v>318299.40000000002</v>
      </c>
      <c r="K34" s="4">
        <f>'Passenger-based Activity'!D32</f>
        <v>5254.7534739647926</v>
      </c>
      <c r="L34" s="4">
        <f t="shared" si="26"/>
        <v>2311710.2611098439</v>
      </c>
      <c r="N34" s="4">
        <f t="shared" si="38"/>
        <v>4928.9334032992992</v>
      </c>
      <c r="O34" s="4">
        <f t="shared" si="39"/>
        <v>6605.923903308646</v>
      </c>
      <c r="P34" s="4">
        <f t="shared" si="40"/>
        <v>2471.0959447166256</v>
      </c>
      <c r="Q34" s="4">
        <f t="shared" si="41"/>
        <v>5154.2513199938767</v>
      </c>
      <c r="S34" s="129">
        <f t="shared" si="27"/>
        <v>1.1991361807094447</v>
      </c>
      <c r="T34" s="129">
        <f t="shared" si="28"/>
        <v>1.3941804515308476</v>
      </c>
      <c r="U34" s="129">
        <f t="shared" si="29"/>
        <v>1.0512978835400568</v>
      </c>
      <c r="V34" s="129">
        <f t="shared" si="30"/>
        <v>1.20988011727084</v>
      </c>
      <c r="W34" s="141"/>
      <c r="X34" s="131">
        <f t="shared" si="31"/>
        <v>0.79618860416193948</v>
      </c>
      <c r="Y34" s="131">
        <f t="shared" si="32"/>
        <v>1.20988011727084</v>
      </c>
      <c r="Z34" s="131">
        <f t="shared" si="33"/>
        <v>0.97343179873653674</v>
      </c>
      <c r="AA34" s="131">
        <f t="shared" si="34"/>
        <v>1.2429017819647969</v>
      </c>
      <c r="AB34" s="131">
        <f t="shared" si="35"/>
        <v>0.96329276177315304</v>
      </c>
      <c r="AC34" s="131">
        <f t="shared" si="36"/>
        <v>0.96329276177315359</v>
      </c>
      <c r="AD34" s="131"/>
      <c r="AE34" s="131">
        <f t="shared" si="37"/>
        <v>1.2098801172708391</v>
      </c>
      <c r="AH34" s="134"/>
      <c r="AJ34" s="136">
        <f t="shared" si="0"/>
        <v>0.82244040904003812</v>
      </c>
      <c r="AK34" s="136">
        <f t="shared" si="1"/>
        <v>0.17646980059874962</v>
      </c>
      <c r="AL34" s="136">
        <f t="shared" si="2"/>
        <v>1.0897903612121364E-3</v>
      </c>
      <c r="AN34">
        <f t="shared" si="14"/>
        <v>0.82777637324904263</v>
      </c>
      <c r="AO34">
        <f t="shared" si="15"/>
        <v>0.17113848484396404</v>
      </c>
      <c r="AP34">
        <f t="shared" si="16"/>
        <v>1.0177678618686287E-3</v>
      </c>
      <c r="AQ34" s="136">
        <f t="shared" si="17"/>
        <v>0.99993262595487531</v>
      </c>
      <c r="AS34">
        <f t="shared" si="18"/>
        <v>0.82783214764951407</v>
      </c>
      <c r="AT34">
        <f t="shared" si="19"/>
        <v>0.17115001591285925</v>
      </c>
      <c r="AU34">
        <f t="shared" si="20"/>
        <v>1.0178364376267068E-3</v>
      </c>
      <c r="AX34">
        <f t="shared" si="8"/>
        <v>6.3437680725425731E-3</v>
      </c>
      <c r="AY34">
        <f t="shared" si="9"/>
        <v>-1.6336183769226142E-2</v>
      </c>
      <c r="AZ34">
        <f t="shared" si="10"/>
        <v>5.6526547046600879E-2</v>
      </c>
      <c r="BB34" s="136">
        <f t="shared" si="3"/>
        <v>0.86003689176920128</v>
      </c>
      <c r="BC34" s="136">
        <f t="shared" si="4"/>
        <v>0.13769000612005139</v>
      </c>
      <c r="BD34" s="136">
        <f t="shared" si="5"/>
        <v>2.2731021107472199E-3</v>
      </c>
      <c r="BF34">
        <f t="shared" si="21"/>
        <v>-1.3065912269796774E-2</v>
      </c>
      <c r="BG34">
        <f t="shared" si="22"/>
        <v>8.4204428025102224E-2</v>
      </c>
      <c r="BH34">
        <f t="shared" si="23"/>
        <v>8.8013006619019049E-2</v>
      </c>
      <c r="BJ34">
        <f t="shared" si="11"/>
        <v>1.0025163324783966</v>
      </c>
      <c r="BK34">
        <f t="shared" si="24"/>
        <v>1.0025076967179243</v>
      </c>
      <c r="BL34" s="129">
        <f t="shared" si="6"/>
        <v>1.2429017819647969</v>
      </c>
      <c r="BN34">
        <f t="shared" si="12"/>
        <v>1.0036915870104446</v>
      </c>
      <c r="BO34">
        <f t="shared" si="25"/>
        <v>1.0087063428604015</v>
      </c>
      <c r="BP34" s="129">
        <f t="shared" si="7"/>
        <v>0.97343179873653674</v>
      </c>
    </row>
    <row r="35" spans="1:68" x14ac:dyDescent="0.2">
      <c r="A35" s="133" t="s">
        <v>664</v>
      </c>
      <c r="B35" s="144">
        <f t="shared" si="13"/>
        <v>1974</v>
      </c>
      <c r="D35" s="4">
        <f>'Passenger-based Energy Use'!B32</f>
        <v>9304.0484324999998</v>
      </c>
      <c r="E35" s="4">
        <f>'Passenger-based Energy Use'!D32</f>
        <v>2081.3096024728002</v>
      </c>
      <c r="F35" s="4">
        <f>'Passenger-based Energy Use'!C32</f>
        <v>13.612500000000001</v>
      </c>
      <c r="G35" s="4">
        <f t="shared" si="42"/>
        <v>11398.970534972799</v>
      </c>
      <c r="H35" s="4"/>
      <c r="I35" s="4">
        <f>'Passenger-based Activity'!B33</f>
        <v>1914541.0626846373</v>
      </c>
      <c r="J35" s="4">
        <f>'Passenger-based Activity'!C33</f>
        <v>328962.60000000003</v>
      </c>
      <c r="K35" s="4">
        <f>'Passenger-based Activity'!D33</f>
        <v>5547.090024683589</v>
      </c>
      <c r="L35" s="4">
        <f t="shared" si="26"/>
        <v>2249050.7527093207</v>
      </c>
      <c r="N35" s="4">
        <f t="shared" si="38"/>
        <v>4859.6755712585946</v>
      </c>
      <c r="O35" s="4">
        <f t="shared" si="39"/>
        <v>6326.8882312846508</v>
      </c>
      <c r="P35" s="4">
        <f t="shared" si="40"/>
        <v>2453.9893781111782</v>
      </c>
      <c r="Q35" s="4">
        <f t="shared" si="41"/>
        <v>5068.3474000046554</v>
      </c>
      <c r="S35" s="129">
        <f t="shared" si="27"/>
        <v>1.1822867803621171</v>
      </c>
      <c r="T35" s="129">
        <f t="shared" si="28"/>
        <v>1.3352899640063427</v>
      </c>
      <c r="U35" s="129">
        <f t="shared" si="29"/>
        <v>1.0440201016694681</v>
      </c>
      <c r="V35" s="129">
        <f t="shared" si="30"/>
        <v>1.1897155117174758</v>
      </c>
      <c r="W35" s="141"/>
      <c r="X35" s="131">
        <f t="shared" si="31"/>
        <v>0.77460770478619578</v>
      </c>
      <c r="Y35" s="131">
        <f t="shared" si="32"/>
        <v>1.1897155117174758</v>
      </c>
      <c r="Z35" s="131">
        <f t="shared" si="33"/>
        <v>0.97591029807039698</v>
      </c>
      <c r="AA35" s="131">
        <f t="shared" si="34"/>
        <v>1.2190828543051768</v>
      </c>
      <c r="AB35" s="131">
        <f t="shared" si="35"/>
        <v>0.92156280188000805</v>
      </c>
      <c r="AC35" s="131">
        <f t="shared" si="36"/>
        <v>0.92156280188000816</v>
      </c>
      <c r="AD35" s="131"/>
      <c r="AE35" s="131">
        <f t="shared" si="37"/>
        <v>1.1897155117174754</v>
      </c>
      <c r="AH35" s="134"/>
      <c r="AJ35" s="136">
        <f t="shared" si="0"/>
        <v>0.81621830707909637</v>
      </c>
      <c r="AK35" s="136">
        <f t="shared" si="1"/>
        <v>0.18258750613375163</v>
      </c>
      <c r="AL35" s="136">
        <f t="shared" si="2"/>
        <v>1.1941867871520454E-3</v>
      </c>
      <c r="AN35">
        <f t="shared" si="14"/>
        <v>0.81932542041823997</v>
      </c>
      <c r="AO35">
        <f t="shared" si="15"/>
        <v>0.17951127952923143</v>
      </c>
      <c r="AP35">
        <f t="shared" si="16"/>
        <v>1.1411928356057362E-3</v>
      </c>
      <c r="AQ35" s="136">
        <f t="shared" si="17"/>
        <v>0.99997789278307714</v>
      </c>
      <c r="AS35">
        <f t="shared" si="18"/>
        <v>0.81934353382347658</v>
      </c>
      <c r="AT35">
        <f t="shared" si="19"/>
        <v>0.17951524811176239</v>
      </c>
      <c r="AU35">
        <f t="shared" si="20"/>
        <v>1.1412180647610501E-3</v>
      </c>
      <c r="AX35">
        <f t="shared" si="8"/>
        <v>-1.4150935633662055E-2</v>
      </c>
      <c r="AY35">
        <f t="shared" si="9"/>
        <v>-4.3158282921188895E-2</v>
      </c>
      <c r="AZ35">
        <f t="shared" si="10"/>
        <v>-6.9467366662457333E-3</v>
      </c>
      <c r="BB35" s="136">
        <f t="shared" si="3"/>
        <v>0.85126627772996399</v>
      </c>
      <c r="BC35" s="136">
        <f t="shared" si="4"/>
        <v>0.14626730837608487</v>
      </c>
      <c r="BD35" s="136">
        <f t="shared" si="5"/>
        <v>2.4664138939511624E-3</v>
      </c>
      <c r="BF35">
        <f t="shared" si="21"/>
        <v>-1.0250306302900481E-2</v>
      </c>
      <c r="BG35">
        <f t="shared" si="22"/>
        <v>6.0431001075749391E-2</v>
      </c>
      <c r="BH35">
        <f t="shared" si="23"/>
        <v>8.1619763666485476E-2</v>
      </c>
      <c r="BJ35">
        <f t="shared" si="11"/>
        <v>0.98083603386426343</v>
      </c>
      <c r="BK35">
        <f t="shared" si="24"/>
        <v>0.98329567316720667</v>
      </c>
      <c r="BL35" s="129">
        <f t="shared" si="6"/>
        <v>1.2190828543051768</v>
      </c>
      <c r="BN35">
        <f t="shared" si="12"/>
        <v>1.0025461458492286</v>
      </c>
      <c r="BO35">
        <f t="shared" si="25"/>
        <v>1.0112746563283661</v>
      </c>
      <c r="BP35" s="129">
        <f t="shared" si="7"/>
        <v>0.97591029807039698</v>
      </c>
    </row>
    <row r="36" spans="1:68" x14ac:dyDescent="0.2">
      <c r="A36" s="133" t="s">
        <v>664</v>
      </c>
      <c r="B36" s="144">
        <f t="shared" si="13"/>
        <v>1975</v>
      </c>
      <c r="D36" s="4">
        <f>'Passenger-based Energy Use'!B33</f>
        <v>9297.9715400000005</v>
      </c>
      <c r="E36" s="4">
        <f>'Passenger-based Energy Use'!D33</f>
        <v>2384.1230461829705</v>
      </c>
      <c r="F36" s="4">
        <f>'Passenger-based Energy Use'!C33</f>
        <v>14.0725</v>
      </c>
      <c r="G36" s="4">
        <f t="shared" si="42"/>
        <v>11696.167086182972</v>
      </c>
      <c r="H36" s="4"/>
      <c r="I36" s="4">
        <f>'Passenger-based Activity'!B34</f>
        <v>1964505</v>
      </c>
      <c r="J36" s="4">
        <f>'Passenger-based Activity'!C34</f>
        <v>361260</v>
      </c>
      <c r="K36" s="4">
        <f>'Passenger-based Activity'!D34</f>
        <v>6191.9000000000005</v>
      </c>
      <c r="L36" s="4">
        <f t="shared" si="26"/>
        <v>2331956.9</v>
      </c>
      <c r="N36" s="4">
        <f t="shared" si="38"/>
        <v>4732.9844108312273</v>
      </c>
      <c r="O36" s="4">
        <f t="shared" si="39"/>
        <v>6599.4658865719166</v>
      </c>
      <c r="P36" s="4">
        <f t="shared" si="40"/>
        <v>2272.7272727272725</v>
      </c>
      <c r="Q36" s="4">
        <f t="shared" si="41"/>
        <v>5015.6017404022232</v>
      </c>
      <c r="S36" s="129">
        <f t="shared" si="27"/>
        <v>1.151464705520767</v>
      </c>
      <c r="T36" s="129">
        <f t="shared" si="28"/>
        <v>1.3928174868915641</v>
      </c>
      <c r="U36" s="129">
        <f t="shared" si="29"/>
        <v>0.96690433116952212</v>
      </c>
      <c r="V36" s="129">
        <f t="shared" si="30"/>
        <v>1.1773342906897448</v>
      </c>
      <c r="W36" s="141"/>
      <c r="X36" s="131">
        <f t="shared" si="31"/>
        <v>0.80316185830546905</v>
      </c>
      <c r="Y36" s="131">
        <f t="shared" si="32"/>
        <v>1.1773342906897448</v>
      </c>
      <c r="Z36" s="131">
        <f t="shared" si="33"/>
        <v>0.97861850445377174</v>
      </c>
      <c r="AA36" s="131">
        <f t="shared" si="34"/>
        <v>1.2030574583779079</v>
      </c>
      <c r="AB36" s="131">
        <f t="shared" si="35"/>
        <v>0.94558999675712607</v>
      </c>
      <c r="AC36" s="131">
        <f t="shared" si="36"/>
        <v>0.94558999675712663</v>
      </c>
      <c r="AD36" s="131"/>
      <c r="AE36" s="131">
        <f t="shared" si="37"/>
        <v>1.1773342906897439</v>
      </c>
      <c r="AH36" s="134"/>
      <c r="AJ36" s="136">
        <f t="shared" si="0"/>
        <v>0.79495885032148428</v>
      </c>
      <c r="AK36" s="136">
        <f t="shared" si="1"/>
        <v>0.20383797774224735</v>
      </c>
      <c r="AL36" s="136">
        <f t="shared" si="2"/>
        <v>1.2031719362682722E-3</v>
      </c>
      <c r="AN36">
        <f t="shared" si="14"/>
        <v>0.80554182349756998</v>
      </c>
      <c r="AO36">
        <f t="shared" si="15"/>
        <v>0.1930178154831737</v>
      </c>
      <c r="AP36">
        <f t="shared" si="16"/>
        <v>1.1986737490605459E-3</v>
      </c>
      <c r="AQ36" s="136">
        <f t="shared" si="17"/>
        <v>0.9997583127298042</v>
      </c>
      <c r="AS36">
        <f t="shared" si="18"/>
        <v>0.80573655976719705</v>
      </c>
      <c r="AT36">
        <f t="shared" si="19"/>
        <v>0.1930644767095214</v>
      </c>
      <c r="AU36">
        <f t="shared" si="20"/>
        <v>1.1989635232815521E-3</v>
      </c>
      <c r="AX36">
        <f t="shared" si="8"/>
        <v>-2.6415723598758989E-2</v>
      </c>
      <c r="AY36">
        <f t="shared" si="9"/>
        <v>4.2180194829231264E-2</v>
      </c>
      <c r="AZ36">
        <f t="shared" si="10"/>
        <v>-7.6734465811469074E-2</v>
      </c>
      <c r="BB36" s="136">
        <f t="shared" si="3"/>
        <v>0.84242766236374267</v>
      </c>
      <c r="BC36" s="136">
        <f t="shared" si="4"/>
        <v>0.15491709988293523</v>
      </c>
      <c r="BD36" s="136">
        <f t="shared" si="5"/>
        <v>2.6552377533221134E-3</v>
      </c>
      <c r="BF36">
        <f t="shared" si="21"/>
        <v>-1.0437181586211739E-2</v>
      </c>
      <c r="BG36">
        <f t="shared" si="22"/>
        <v>5.7454307396593012E-2</v>
      </c>
      <c r="BH36">
        <f t="shared" si="23"/>
        <v>7.3768969092626049E-2</v>
      </c>
      <c r="BJ36">
        <f t="shared" si="11"/>
        <v>0.98685454735855282</v>
      </c>
      <c r="BK36">
        <f t="shared" si="24"/>
        <v>0.97036980646304727</v>
      </c>
      <c r="BL36" s="129">
        <f t="shared" si="6"/>
        <v>1.2030574583779079</v>
      </c>
      <c r="BN36">
        <f t="shared" si="12"/>
        <v>1.0027750566714271</v>
      </c>
      <c r="BO36">
        <f t="shared" si="25"/>
        <v>1.0140810008100554</v>
      </c>
      <c r="BP36" s="129">
        <f t="shared" si="7"/>
        <v>0.97861850445377174</v>
      </c>
    </row>
    <row r="37" spans="1:68" x14ac:dyDescent="0.2">
      <c r="A37" s="133" t="s">
        <v>664</v>
      </c>
      <c r="B37" s="144">
        <f t="shared" si="13"/>
        <v>1976</v>
      </c>
      <c r="D37" s="4">
        <f>'Passenger-based Energy Use'!B34</f>
        <v>9825.7410803999992</v>
      </c>
      <c r="E37" s="4">
        <f>'Passenger-based Energy Use'!D34</f>
        <v>2602.4389000179413</v>
      </c>
      <c r="F37" s="4">
        <f>'Passenger-based Energy Use'!C34</f>
        <v>15.0075</v>
      </c>
      <c r="G37" s="4">
        <f t="shared" si="42"/>
        <v>12443.187480417941</v>
      </c>
      <c r="H37" s="4"/>
      <c r="I37" s="4">
        <f>'Passenger-based Activity'!B35</f>
        <v>2047339.4697646284</v>
      </c>
      <c r="J37" s="4">
        <f>'Passenger-based Activity'!C35</f>
        <v>406501.2</v>
      </c>
      <c r="K37" s="4">
        <f>'Passenger-based Activity'!D35</f>
        <v>7338.0017152151613</v>
      </c>
      <c r="L37" s="4">
        <f t="shared" si="26"/>
        <v>2461178.671479844</v>
      </c>
      <c r="N37" s="4">
        <f t="shared" si="38"/>
        <v>4799.2730201843915</v>
      </c>
      <c r="O37" s="4">
        <f t="shared" si="39"/>
        <v>6402.044815655996</v>
      </c>
      <c r="P37" s="4">
        <f t="shared" si="40"/>
        <v>2045.1753191720202</v>
      </c>
      <c r="Q37" s="4">
        <f t="shared" si="41"/>
        <v>5055.7838911126955</v>
      </c>
      <c r="S37" s="129">
        <f t="shared" si="27"/>
        <v>1.1675917381544574</v>
      </c>
      <c r="T37" s="129">
        <f t="shared" si="28"/>
        <v>1.3511517635468848</v>
      </c>
      <c r="U37" s="129">
        <f t="shared" si="29"/>
        <v>0.87009510460771189</v>
      </c>
      <c r="V37" s="129">
        <f t="shared" si="30"/>
        <v>1.1867664239319087</v>
      </c>
      <c r="W37" s="141"/>
      <c r="X37" s="131">
        <f t="shared" si="31"/>
        <v>0.84766782585370137</v>
      </c>
      <c r="Y37" s="131">
        <f t="shared" si="32"/>
        <v>1.1867664239319087</v>
      </c>
      <c r="Z37" s="131">
        <f t="shared" si="33"/>
        <v>0.9819101264097394</v>
      </c>
      <c r="AA37" s="131">
        <f t="shared" si="34"/>
        <v>1.208630394994709</v>
      </c>
      <c r="AB37" s="131">
        <f t="shared" si="35"/>
        <v>1.0059837143705326</v>
      </c>
      <c r="AC37" s="131">
        <f t="shared" si="36"/>
        <v>1.0059837143705328</v>
      </c>
      <c r="AD37" s="131"/>
      <c r="AE37" s="131">
        <f t="shared" si="37"/>
        <v>1.186766423931908</v>
      </c>
      <c r="AH37" s="134"/>
      <c r="AJ37" s="136">
        <f t="shared" si="0"/>
        <v>0.78964823891490332</v>
      </c>
      <c r="AK37" s="136">
        <f t="shared" si="1"/>
        <v>0.20914567944214008</v>
      </c>
      <c r="AL37" s="136">
        <f t="shared" si="2"/>
        <v>1.2060816429566429E-3</v>
      </c>
      <c r="AN37">
        <f t="shared" si="14"/>
        <v>0.79230057830158185</v>
      </c>
      <c r="AO37">
        <f t="shared" si="15"/>
        <v>0.20648045891778097</v>
      </c>
      <c r="AP37">
        <f t="shared" si="16"/>
        <v>1.2046262039265012E-3</v>
      </c>
      <c r="AQ37" s="136">
        <f t="shared" si="17"/>
        <v>0.99998566342328932</v>
      </c>
      <c r="AS37">
        <f t="shared" si="18"/>
        <v>0.79231193734245031</v>
      </c>
      <c r="AT37">
        <f t="shared" si="19"/>
        <v>0.20648341918315957</v>
      </c>
      <c r="AU37">
        <f t="shared" si="20"/>
        <v>1.2046434743900809E-3</v>
      </c>
      <c r="AX37">
        <f t="shared" si="8"/>
        <v>1.3908495114884777E-2</v>
      </c>
      <c r="AY37">
        <f t="shared" si="9"/>
        <v>-3.0371277698851548E-2</v>
      </c>
      <c r="AZ37">
        <f t="shared" si="10"/>
        <v>-0.10549703560326233</v>
      </c>
      <c r="BB37" s="136">
        <f t="shared" si="3"/>
        <v>0.83185324718160969</v>
      </c>
      <c r="BC37" s="136">
        <f t="shared" si="4"/>
        <v>0.16516525383164529</v>
      </c>
      <c r="BD37" s="136">
        <f t="shared" si="5"/>
        <v>2.9814989867448381E-3</v>
      </c>
      <c r="BF37">
        <f t="shared" si="21"/>
        <v>-1.2631758180009271E-2</v>
      </c>
      <c r="BG37">
        <f t="shared" si="22"/>
        <v>6.405637669258625E-2</v>
      </c>
      <c r="BH37">
        <f t="shared" si="23"/>
        <v>0.11589198977504818</v>
      </c>
      <c r="BJ37">
        <f t="shared" si="11"/>
        <v>1.0046323112649291</v>
      </c>
      <c r="BK37">
        <f t="shared" si="24"/>
        <v>0.97486486144867313</v>
      </c>
      <c r="BL37" s="129">
        <f t="shared" si="6"/>
        <v>1.208630394994709</v>
      </c>
      <c r="BN37">
        <f t="shared" si="12"/>
        <v>1.0033635394599503</v>
      </c>
      <c r="BO37">
        <f t="shared" si="25"/>
        <v>1.0174919022718658</v>
      </c>
      <c r="BP37" s="129">
        <f t="shared" si="7"/>
        <v>0.9819101264097394</v>
      </c>
    </row>
    <row r="38" spans="1:68" x14ac:dyDescent="0.2">
      <c r="A38" s="133" t="s">
        <v>664</v>
      </c>
      <c r="B38" s="144">
        <f t="shared" si="13"/>
        <v>1977</v>
      </c>
      <c r="D38" s="4">
        <f>'Passenger-based Energy Use'!B35</f>
        <v>9927.9911240000001</v>
      </c>
      <c r="E38" s="4">
        <f>'Passenger-based Energy Use'!D35</f>
        <v>2796.7048512053425</v>
      </c>
      <c r="F38" s="4">
        <f>'Passenger-based Energy Use'!C35</f>
        <v>15.8725</v>
      </c>
      <c r="G38" s="4">
        <f t="shared" si="42"/>
        <v>12740.568475205342</v>
      </c>
      <c r="H38" s="4"/>
      <c r="I38" s="4">
        <f>'Passenger-based Activity'!B36</f>
        <v>2105018.9178264611</v>
      </c>
      <c r="J38" s="4">
        <f>'Passenger-based Activity'!C36</f>
        <v>451063.8</v>
      </c>
      <c r="K38" s="4">
        <f>'Passenger-based Activity'!D36</f>
        <v>8456.037047838312</v>
      </c>
      <c r="L38" s="4">
        <f t="shared" si="26"/>
        <v>2564538.7548742993</v>
      </c>
      <c r="N38" s="4">
        <f t="shared" si="38"/>
        <v>4716.3429458634773</v>
      </c>
      <c r="O38" s="4">
        <f t="shared" si="39"/>
        <v>6200.2422965561464</v>
      </c>
      <c r="P38" s="4">
        <f t="shared" si="40"/>
        <v>1877.0613125515599</v>
      </c>
      <c r="Q38" s="4">
        <f t="shared" si="41"/>
        <v>4967.9765809699456</v>
      </c>
      <c r="S38" s="129">
        <f t="shared" si="27"/>
        <v>1.1474160846306003</v>
      </c>
      <c r="T38" s="129">
        <f t="shared" si="28"/>
        <v>1.3085613354225503</v>
      </c>
      <c r="U38" s="129">
        <f t="shared" si="29"/>
        <v>0.79857303370981469</v>
      </c>
      <c r="V38" s="129">
        <f t="shared" si="30"/>
        <v>1.1661550272232062</v>
      </c>
      <c r="W38" s="141"/>
      <c r="X38" s="131">
        <f t="shared" si="31"/>
        <v>0.88326662986834625</v>
      </c>
      <c r="Y38" s="131">
        <f t="shared" si="32"/>
        <v>1.1661550272232062</v>
      </c>
      <c r="Z38" s="131">
        <f t="shared" si="33"/>
        <v>0.98498108192116385</v>
      </c>
      <c r="AA38" s="131">
        <f t="shared" si="34"/>
        <v>1.183936472108347</v>
      </c>
      <c r="AB38" s="131">
        <f t="shared" si="35"/>
        <v>1.0300258207994701</v>
      </c>
      <c r="AC38" s="131">
        <f t="shared" si="36"/>
        <v>1.0300258207994706</v>
      </c>
      <c r="AD38" s="131"/>
      <c r="AE38" s="131">
        <f t="shared" si="37"/>
        <v>1.1661550272232055</v>
      </c>
      <c r="AH38" s="134"/>
      <c r="AJ38" s="136">
        <f t="shared" si="0"/>
        <v>0.77924239748964486</v>
      </c>
      <c r="AK38" s="136">
        <f t="shared" si="1"/>
        <v>0.21951177897972621</v>
      </c>
      <c r="AL38" s="136">
        <f t="shared" si="2"/>
        <v>1.245823530628933E-3</v>
      </c>
      <c r="AN38">
        <f t="shared" si="14"/>
        <v>0.78443381508412879</v>
      </c>
      <c r="AO38">
        <f t="shared" si="15"/>
        <v>0.21428694262813616</v>
      </c>
      <c r="AP38">
        <f t="shared" si="16"/>
        <v>1.2258452193791383E-3</v>
      </c>
      <c r="AQ38" s="136">
        <f t="shared" si="17"/>
        <v>0.99994660293164417</v>
      </c>
      <c r="AS38">
        <f t="shared" si="18"/>
        <v>0.78447570378690734</v>
      </c>
      <c r="AT38">
        <f t="shared" si="19"/>
        <v>0.21429838553367705</v>
      </c>
      <c r="AU38">
        <f t="shared" si="20"/>
        <v>1.2259106794154852E-3</v>
      </c>
      <c r="AX38">
        <f t="shared" si="8"/>
        <v>-1.7430752635335816E-2</v>
      </c>
      <c r="AY38">
        <f t="shared" si="9"/>
        <v>-3.202907040469806E-2</v>
      </c>
      <c r="AZ38">
        <f t="shared" si="10"/>
        <v>-8.5776094211056517E-2</v>
      </c>
      <c r="BB38" s="136">
        <f t="shared" si="3"/>
        <v>0.8208177450333124</v>
      </c>
      <c r="BC38" s="136">
        <f t="shared" si="4"/>
        <v>0.17588496143514465</v>
      </c>
      <c r="BD38" s="136">
        <f t="shared" si="5"/>
        <v>3.2972935315429787E-3</v>
      </c>
      <c r="BF38">
        <f t="shared" si="21"/>
        <v>-1.3354946288966756E-2</v>
      </c>
      <c r="BG38">
        <f t="shared" si="22"/>
        <v>6.2883642051445268E-2</v>
      </c>
      <c r="BH38">
        <f t="shared" si="23"/>
        <v>0.10067580028182958</v>
      </c>
      <c r="BJ38">
        <f t="shared" si="11"/>
        <v>0.97956867294697636</v>
      </c>
      <c r="BK38">
        <f t="shared" si="24"/>
        <v>0.95494707863191475</v>
      </c>
      <c r="BL38" s="129">
        <f t="shared" si="6"/>
        <v>1.183936472108347</v>
      </c>
      <c r="BN38">
        <f t="shared" si="12"/>
        <v>1.003127532173085</v>
      </c>
      <c r="BO38">
        <f t="shared" si="25"/>
        <v>1.0206741409320745</v>
      </c>
      <c r="BP38" s="129">
        <f t="shared" si="7"/>
        <v>0.98498108192116385</v>
      </c>
    </row>
    <row r="39" spans="1:68" x14ac:dyDescent="0.2">
      <c r="A39" s="133" t="s">
        <v>664</v>
      </c>
      <c r="B39" s="144">
        <f t="shared" si="13"/>
        <v>1978</v>
      </c>
      <c r="D39" s="4">
        <f>'Passenger-based Energy Use'!B36</f>
        <v>10133.431822799999</v>
      </c>
      <c r="E39" s="4">
        <f>'Passenger-based Energy Use'!D36</f>
        <v>3019.549139111673</v>
      </c>
      <c r="F39" s="4">
        <f>'Passenger-based Energy Use'!C36</f>
        <v>17.895</v>
      </c>
      <c r="G39" s="4">
        <f t="shared" si="42"/>
        <v>13170.875961911672</v>
      </c>
      <c r="H39" s="4"/>
      <c r="I39" s="4">
        <f>'Passenger-based Activity'!B37</f>
        <v>2156162.1787142432</v>
      </c>
      <c r="J39" s="4">
        <f>'Passenger-based Activity'!C37</f>
        <v>507602.1</v>
      </c>
      <c r="K39" s="4">
        <f>'Passenger-based Activity'!D37</f>
        <v>9681.2389810616314</v>
      </c>
      <c r="L39" s="4">
        <f t="shared" si="26"/>
        <v>2673445.5176953049</v>
      </c>
      <c r="N39" s="4">
        <f t="shared" si="38"/>
        <v>4699.7539994151739</v>
      </c>
      <c r="O39" s="4">
        <f t="shared" si="39"/>
        <v>5948.6537567745945</v>
      </c>
      <c r="P39" s="4">
        <f t="shared" si="40"/>
        <v>1848.420438231725</v>
      </c>
      <c r="Q39" s="4">
        <f t="shared" si="41"/>
        <v>4926.5548427057074</v>
      </c>
      <c r="S39" s="129">
        <f t="shared" si="27"/>
        <v>1.1433802407150189</v>
      </c>
      <c r="T39" s="129">
        <f t="shared" si="28"/>
        <v>1.255463566037567</v>
      </c>
      <c r="U39" s="129">
        <f t="shared" si="29"/>
        <v>0.78638812012134929</v>
      </c>
      <c r="V39" s="129">
        <f t="shared" si="30"/>
        <v>1.1564319201340549</v>
      </c>
      <c r="W39" s="141"/>
      <c r="X39" s="131">
        <f t="shared" si="31"/>
        <v>0.92077579567211898</v>
      </c>
      <c r="Y39" s="131">
        <f t="shared" si="32"/>
        <v>1.1564319201340549</v>
      </c>
      <c r="Z39" s="131">
        <f t="shared" si="33"/>
        <v>0.98860212014202742</v>
      </c>
      <c r="AA39" s="131">
        <f t="shared" si="34"/>
        <v>1.1697647583113784</v>
      </c>
      <c r="AB39" s="131">
        <f t="shared" si="35"/>
        <v>1.0648145214020708</v>
      </c>
      <c r="AC39" s="131">
        <f t="shared" si="36"/>
        <v>1.0648145214020708</v>
      </c>
      <c r="AD39" s="131"/>
      <c r="AE39" s="131">
        <f t="shared" si="37"/>
        <v>1.1564319201340549</v>
      </c>
      <c r="AH39" s="134"/>
      <c r="AJ39" s="136">
        <f t="shared" si="0"/>
        <v>0.76938176717360829</v>
      </c>
      <c r="AK39" s="136">
        <f t="shared" si="1"/>
        <v>0.22925955326310765</v>
      </c>
      <c r="AL39" s="136">
        <f t="shared" si="2"/>
        <v>1.3586795632841606E-3</v>
      </c>
      <c r="AN39">
        <f t="shared" si="14"/>
        <v>0.7743016178729466</v>
      </c>
      <c r="AO39">
        <f t="shared" si="15"/>
        <v>0.22435037306889979</v>
      </c>
      <c r="AP39">
        <f t="shared" si="16"/>
        <v>1.3014361087871379E-3</v>
      </c>
      <c r="AQ39" s="136">
        <f t="shared" si="17"/>
        <v>0.99995342705063361</v>
      </c>
      <c r="AS39">
        <f t="shared" si="18"/>
        <v>0.77433768106255918</v>
      </c>
      <c r="AT39">
        <f t="shared" si="19"/>
        <v>0.22436082221411258</v>
      </c>
      <c r="AU39">
        <f t="shared" si="20"/>
        <v>1.301496723328134E-3</v>
      </c>
      <c r="AX39">
        <f t="shared" si="8"/>
        <v>-3.5235328836874815E-3</v>
      </c>
      <c r="AY39">
        <f t="shared" si="9"/>
        <v>-4.1423436785727942E-2</v>
      </c>
      <c r="AZ39">
        <f t="shared" si="10"/>
        <v>-1.5375965046811605E-2</v>
      </c>
      <c r="BB39" s="136">
        <f t="shared" si="3"/>
        <v>0.8065106112852467</v>
      </c>
      <c r="BC39" s="136">
        <f t="shared" si="4"/>
        <v>0.18986812958791399</v>
      </c>
      <c r="BD39" s="136">
        <f t="shared" si="5"/>
        <v>3.6212591268392591E-3</v>
      </c>
      <c r="BF39">
        <f t="shared" si="21"/>
        <v>-1.7584038692463874E-2</v>
      </c>
      <c r="BG39">
        <f t="shared" si="22"/>
        <v>7.6499623271798059E-2</v>
      </c>
      <c r="BH39">
        <f t="shared" si="23"/>
        <v>9.3719800438924195E-2</v>
      </c>
      <c r="BJ39">
        <f t="shared" si="11"/>
        <v>0.98803000487709292</v>
      </c>
      <c r="BK39" s="129">
        <f t="shared" si="24"/>
        <v>0.94351636675805639</v>
      </c>
      <c r="BL39" s="129">
        <f t="shared" si="6"/>
        <v>1.1697647583113784</v>
      </c>
      <c r="BN39">
        <f t="shared" si="12"/>
        <v>1.003676251541604</v>
      </c>
      <c r="BO39" s="129">
        <f t="shared" si="25"/>
        <v>1.0244263958161515</v>
      </c>
      <c r="BP39" s="129">
        <f t="shared" si="7"/>
        <v>0.98860212014202742</v>
      </c>
    </row>
    <row r="40" spans="1:68" x14ac:dyDescent="0.2">
      <c r="A40" s="133" t="s">
        <v>664</v>
      </c>
      <c r="B40" s="144">
        <f t="shared" si="13"/>
        <v>1979</v>
      </c>
      <c r="D40" s="4">
        <f>'Passenger-based Energy Use'!B37</f>
        <v>9629.1105467999987</v>
      </c>
      <c r="E40" s="4">
        <f>'Passenger-based Energy Use'!D37</f>
        <v>3055.3683677780482</v>
      </c>
      <c r="F40" s="4">
        <f>'Passenger-based Energy Use'!C37</f>
        <v>21.592500000000001</v>
      </c>
      <c r="G40" s="4">
        <f t="shared" si="42"/>
        <v>12706.071414578048</v>
      </c>
      <c r="H40" s="4"/>
      <c r="I40" s="4">
        <f>'Passenger-based Activity'!B38</f>
        <v>2077389.1442460096</v>
      </c>
      <c r="J40" s="4">
        <f>'Passenger-based Activity'!C38</f>
        <v>535159.16666666663</v>
      </c>
      <c r="K40" s="4">
        <f>'Passenger-based Activity'!D38</f>
        <v>10328.954283601508</v>
      </c>
      <c r="L40" s="4">
        <f t="shared" si="26"/>
        <v>2622877.2651962778</v>
      </c>
      <c r="N40" s="4">
        <f t="shared" si="38"/>
        <v>4635.1982600231095</v>
      </c>
      <c r="O40" s="4">
        <f t="shared" si="39"/>
        <v>5709.2703593380447</v>
      </c>
      <c r="P40" s="4">
        <f t="shared" si="40"/>
        <v>2090.4826768650496</v>
      </c>
      <c r="Q40" s="4">
        <f t="shared" si="41"/>
        <v>4844.3255745049946</v>
      </c>
      <c r="S40" s="129">
        <f t="shared" si="27"/>
        <v>1.1276747895669759</v>
      </c>
      <c r="T40" s="129">
        <f t="shared" si="28"/>
        <v>1.2049416923357041</v>
      </c>
      <c r="U40" s="129">
        <f t="shared" si="29"/>
        <v>0.88937057197809621</v>
      </c>
      <c r="V40" s="129">
        <f t="shared" si="30"/>
        <v>1.1371298817821704</v>
      </c>
      <c r="W40" s="141"/>
      <c r="X40" s="131">
        <f t="shared" si="31"/>
        <v>0.9033593109813518</v>
      </c>
      <c r="Y40" s="131">
        <f t="shared" si="32"/>
        <v>1.1371298817821704</v>
      </c>
      <c r="Z40" s="131">
        <f t="shared" si="33"/>
        <v>0.99175909528811768</v>
      </c>
      <c r="AA40" s="131">
        <f t="shared" si="34"/>
        <v>1.1465787278228292</v>
      </c>
      <c r="AB40" s="131">
        <f t="shared" si="35"/>
        <v>1.0272368665030471</v>
      </c>
      <c r="AC40" s="131">
        <f t="shared" si="36"/>
        <v>1.0272368665030474</v>
      </c>
      <c r="AD40" s="131"/>
      <c r="AE40" s="131">
        <f t="shared" si="37"/>
        <v>1.13712988178217</v>
      </c>
      <c r="AH40" s="134"/>
      <c r="AJ40" s="136">
        <f t="shared" si="0"/>
        <v>0.75783538692787755</v>
      </c>
      <c r="AK40" s="136">
        <f t="shared" si="1"/>
        <v>0.24046522863648748</v>
      </c>
      <c r="AL40" s="136">
        <f t="shared" si="2"/>
        <v>1.6993844356349432E-3</v>
      </c>
      <c r="AN40">
        <f t="shared" si="14"/>
        <v>0.76359402761043182</v>
      </c>
      <c r="AO40">
        <f t="shared" si="15"/>
        <v>0.234817830735252</v>
      </c>
      <c r="AP40">
        <f t="shared" si="16"/>
        <v>1.5226844891538882E-3</v>
      </c>
      <c r="AQ40" s="136">
        <f t="shared" si="17"/>
        <v>0.99993454283483774</v>
      </c>
      <c r="AS40">
        <f t="shared" si="18"/>
        <v>0.76364401358275413</v>
      </c>
      <c r="AT40">
        <f t="shared" si="19"/>
        <v>0.23483320225095733</v>
      </c>
      <c r="AU40">
        <f t="shared" si="20"/>
        <v>1.5227841662885675E-3</v>
      </c>
      <c r="AX40">
        <f t="shared" si="8"/>
        <v>-1.3831194146704206E-2</v>
      </c>
      <c r="AY40">
        <f t="shared" si="9"/>
        <v>-4.1073702041487262E-2</v>
      </c>
      <c r="AZ40">
        <f t="shared" si="10"/>
        <v>0.12306352797257286</v>
      </c>
      <c r="BB40" s="136">
        <f t="shared" si="3"/>
        <v>0.79202682176992845</v>
      </c>
      <c r="BC40" s="136">
        <f t="shared" si="4"/>
        <v>0.20403515397683661</v>
      </c>
      <c r="BD40" s="136">
        <f t="shared" si="5"/>
        <v>3.938024253234953E-3</v>
      </c>
      <c r="BF40">
        <f t="shared" si="21"/>
        <v>-1.8121797570870041E-2</v>
      </c>
      <c r="BG40">
        <f t="shared" si="22"/>
        <v>7.1962526021610226E-2</v>
      </c>
      <c r="BH40">
        <f t="shared" si="23"/>
        <v>8.3857348513363864E-2</v>
      </c>
      <c r="BJ40">
        <f t="shared" si="11"/>
        <v>0.98017889466766006</v>
      </c>
      <c r="BK40" s="129">
        <f t="shared" si="24"/>
        <v>0.92481482946975824</v>
      </c>
      <c r="BL40" s="129">
        <f t="shared" si="6"/>
        <v>1.1465787278228292</v>
      </c>
      <c r="BN40">
        <f t="shared" si="12"/>
        <v>1.0031933728259017</v>
      </c>
      <c r="BO40" s="129">
        <f t="shared" si="25"/>
        <v>1.0276977712306872</v>
      </c>
      <c r="BP40" s="129">
        <f t="shared" si="7"/>
        <v>0.99175909528811768</v>
      </c>
    </row>
    <row r="41" spans="1:68" x14ac:dyDescent="0.2">
      <c r="A41" s="133" t="s">
        <v>664</v>
      </c>
      <c r="B41" s="144">
        <f t="shared" si="13"/>
        <v>1980</v>
      </c>
      <c r="D41" s="4">
        <f>'Passenger-based Energy Use'!B38</f>
        <v>8799.8798127000009</v>
      </c>
      <c r="E41" s="4">
        <f>'Passenger-based Energy Use'!D38</f>
        <v>2974.8195911379362</v>
      </c>
      <c r="F41" s="4">
        <f>'Passenger-based Energy Use'!C38</f>
        <v>25.535</v>
      </c>
      <c r="G41" s="4">
        <f t="shared" si="42"/>
        <v>11800.234403837938</v>
      </c>
      <c r="H41" s="4"/>
      <c r="I41" s="4">
        <f>'Passenger-based Activity'!B39</f>
        <v>2056452.6</v>
      </c>
      <c r="J41" s="4">
        <f>'Passenger-based Activity'!C39</f>
        <v>538229.75</v>
      </c>
      <c r="K41" s="4">
        <f>'Passenger-based Activity'!D39</f>
        <v>11235.400000000001</v>
      </c>
      <c r="L41" s="4">
        <f t="shared" si="26"/>
        <v>2605917.75</v>
      </c>
      <c r="N41" s="4">
        <f t="shared" si="38"/>
        <v>4279.1551882596277</v>
      </c>
      <c r="O41" s="4">
        <f t="shared" si="39"/>
        <v>5527.0441500826291</v>
      </c>
      <c r="P41" s="4">
        <f t="shared" si="40"/>
        <v>2272.7272727272725</v>
      </c>
      <c r="Q41" s="4">
        <f t="shared" si="41"/>
        <v>4528.2451465852819</v>
      </c>
      <c r="S41" s="129">
        <f t="shared" si="27"/>
        <v>1.0410548062341243</v>
      </c>
      <c r="T41" s="129">
        <f t="shared" si="28"/>
        <v>1.1664828450315103</v>
      </c>
      <c r="U41" s="129">
        <f t="shared" si="29"/>
        <v>0.96690433116952212</v>
      </c>
      <c r="V41" s="129">
        <f t="shared" si="30"/>
        <v>1.0629349305745965</v>
      </c>
      <c r="W41" s="141"/>
      <c r="X41" s="131">
        <f t="shared" si="31"/>
        <v>0.89751819284533385</v>
      </c>
      <c r="Y41" s="131">
        <f t="shared" si="32"/>
        <v>1.0629349305745965</v>
      </c>
      <c r="Z41" s="131">
        <f t="shared" si="33"/>
        <v>0.99219760014695213</v>
      </c>
      <c r="AA41" s="131">
        <f t="shared" si="34"/>
        <v>1.0712935915357658</v>
      </c>
      <c r="AB41" s="131">
        <f t="shared" si="35"/>
        <v>0.95400343800149179</v>
      </c>
      <c r="AC41" s="131">
        <f t="shared" si="36"/>
        <v>0.95400343800149212</v>
      </c>
      <c r="AD41" s="131"/>
      <c r="AE41" s="131">
        <f t="shared" si="37"/>
        <v>1.0629349305745959</v>
      </c>
      <c r="AH41" s="134"/>
      <c r="AJ41" s="136">
        <f t="shared" si="0"/>
        <v>0.74573771262017519</v>
      </c>
      <c r="AK41" s="136">
        <f t="shared" si="1"/>
        <v>0.25209834731506675</v>
      </c>
      <c r="AL41" s="136">
        <f t="shared" si="2"/>
        <v>2.1639400647579451E-3</v>
      </c>
      <c r="AN41">
        <f t="shared" si="14"/>
        <v>0.75177032661308674</v>
      </c>
      <c r="AO41">
        <f t="shared" si="15"/>
        <v>0.24623599030552507</v>
      </c>
      <c r="AP41">
        <f t="shared" si="16"/>
        <v>1.9223157906655037E-3</v>
      </c>
      <c r="AQ41" s="136">
        <f t="shared" si="17"/>
        <v>0.99992863270927723</v>
      </c>
      <c r="AS41">
        <f t="shared" si="18"/>
        <v>0.75182398225380054</v>
      </c>
      <c r="AT41">
        <f t="shared" si="19"/>
        <v>0.24625356475527246</v>
      </c>
      <c r="AU41">
        <f t="shared" si="20"/>
        <v>1.922452990927008E-3</v>
      </c>
      <c r="AX41">
        <f t="shared" si="8"/>
        <v>-7.9923368459638405E-2</v>
      </c>
      <c r="AY41">
        <f t="shared" si="9"/>
        <v>-3.2438071657132091E-2</v>
      </c>
      <c r="AZ41">
        <f t="shared" si="10"/>
        <v>8.3585566888557561E-2</v>
      </c>
      <c r="BB41" s="136">
        <f t="shared" si="3"/>
        <v>0.78914716322109557</v>
      </c>
      <c r="BC41" s="136">
        <f t="shared" si="4"/>
        <v>0.20654134229677817</v>
      </c>
      <c r="BD41" s="136">
        <f t="shared" si="5"/>
        <v>4.3114944821263075E-3</v>
      </c>
      <c r="BF41">
        <f t="shared" si="21"/>
        <v>-3.6424350007641607E-3</v>
      </c>
      <c r="BG41">
        <f t="shared" si="22"/>
        <v>1.2208294775680624E-2</v>
      </c>
      <c r="BH41">
        <f t="shared" si="23"/>
        <v>9.0605452638077164E-2</v>
      </c>
      <c r="BJ41">
        <f t="shared" si="11"/>
        <v>0.93433932231586225</v>
      </c>
      <c r="BK41" s="129">
        <f t="shared" si="24"/>
        <v>0.86409086103443367</v>
      </c>
      <c r="BL41" s="129">
        <f t="shared" si="6"/>
        <v>1.0712935915357658</v>
      </c>
      <c r="BN41">
        <f t="shared" si="12"/>
        <v>1.0004421485630106</v>
      </c>
      <c r="BO41" s="129">
        <f t="shared" si="25"/>
        <v>1.0281521663234461</v>
      </c>
      <c r="BP41" s="129">
        <f t="shared" si="7"/>
        <v>0.99219760014695213</v>
      </c>
    </row>
    <row r="42" spans="1:68" x14ac:dyDescent="0.2">
      <c r="A42" s="133" t="s">
        <v>664</v>
      </c>
      <c r="B42" s="144">
        <f t="shared" si="13"/>
        <v>1981</v>
      </c>
      <c r="D42" s="4">
        <f>'Passenger-based Energy Use'!B39</f>
        <v>8692.8797152000006</v>
      </c>
      <c r="E42" s="4">
        <f>'Passenger-based Energy Use'!D39</f>
        <v>2962.7644171707007</v>
      </c>
      <c r="F42" s="4">
        <f>'Passenger-based Energy Use'!C39</f>
        <v>26.725000000000001</v>
      </c>
      <c r="G42" s="4">
        <f t="shared" si="42"/>
        <v>11682.369132370701</v>
      </c>
      <c r="H42" s="4"/>
      <c r="I42" s="4">
        <f>'Passenger-based Activity'!B40</f>
        <v>2079061.7240439162</v>
      </c>
      <c r="J42" s="4">
        <f>'Passenger-based Activity'!C40</f>
        <v>553173.6</v>
      </c>
      <c r="K42" s="4">
        <f>'Passenger-based Activity'!D40</f>
        <v>10987.165573650378</v>
      </c>
      <c r="L42" s="4">
        <f t="shared" si="26"/>
        <v>2643222.4896175666</v>
      </c>
      <c r="N42" s="4">
        <f>D42/I42*1000000</f>
        <v>4181.1551887414671</v>
      </c>
      <c r="O42" s="4">
        <f>E42/J42*1000000</f>
        <v>5355.939649272309</v>
      </c>
      <c r="P42" s="4">
        <f t="shared" si="40"/>
        <v>2432.3834769626469</v>
      </c>
      <c r="Q42" s="4">
        <f>G42/L42*1000000</f>
        <v>4419.7449054169319</v>
      </c>
      <c r="S42" s="129">
        <f t="shared" si="27"/>
        <v>1.0172128640701112</v>
      </c>
      <c r="T42" s="129">
        <f t="shared" si="28"/>
        <v>1.1303712346511348</v>
      </c>
      <c r="U42" s="129">
        <f t="shared" si="29"/>
        <v>1.0348281323337607</v>
      </c>
      <c r="V42" s="129">
        <f t="shared" si="30"/>
        <v>1.0374661910120806</v>
      </c>
      <c r="W42" s="141"/>
      <c r="X42" s="131">
        <f t="shared" si="31"/>
        <v>0.91036651949958991</v>
      </c>
      <c r="Y42" s="131">
        <f t="shared" si="32"/>
        <v>1.0374661910120806</v>
      </c>
      <c r="Z42" s="131">
        <f t="shared" si="33"/>
        <v>0.99299790932660281</v>
      </c>
      <c r="AA42" s="131">
        <f t="shared" si="34"/>
        <v>1.0447818482474285</v>
      </c>
      <c r="AB42" s="131">
        <f t="shared" si="35"/>
        <v>0.94447448541016443</v>
      </c>
      <c r="AC42" s="131">
        <f t="shared" si="36"/>
        <v>0.94447448541016465</v>
      </c>
      <c r="AD42" s="131"/>
      <c r="AE42" s="131">
        <f t="shared" si="37"/>
        <v>1.0374661910120804</v>
      </c>
      <c r="AH42" s="134"/>
      <c r="AJ42" s="136">
        <f t="shared" ref="AJ42:AJ69" si="43">D42/G42</f>
        <v>0.74410246900287391</v>
      </c>
      <c r="AK42" s="136">
        <f t="shared" ref="AK42:AK69" si="44">E42/G42</f>
        <v>0.25360989569839654</v>
      </c>
      <c r="AL42" s="136">
        <f t="shared" ref="AL42:AL69" si="45">F42/G42</f>
        <v>2.2876352987295737E-3</v>
      </c>
      <c r="AN42">
        <f t="shared" si="14"/>
        <v>0.74491979167175415</v>
      </c>
      <c r="AO42">
        <f t="shared" si="15"/>
        <v>0.25285336850866652</v>
      </c>
      <c r="AP42">
        <f t="shared" si="16"/>
        <v>2.2252147137028144E-3</v>
      </c>
      <c r="AQ42" s="136">
        <f t="shared" si="17"/>
        <v>0.99999837489412358</v>
      </c>
      <c r="AS42">
        <f t="shared" si="18"/>
        <v>0.74492100224725233</v>
      </c>
      <c r="AT42">
        <f t="shared" si="19"/>
        <v>0.25285377942282933</v>
      </c>
      <c r="AU42">
        <f t="shared" si="20"/>
        <v>2.2252183299181988E-3</v>
      </c>
      <c r="AX42">
        <f t="shared" si="8"/>
        <v>-2.3168034890944305E-2</v>
      </c>
      <c r="AY42">
        <f t="shared" si="9"/>
        <v>-3.1447001000331445E-2</v>
      </c>
      <c r="AZ42">
        <f t="shared" si="10"/>
        <v>6.7891079276098637E-2</v>
      </c>
      <c r="BB42" s="136">
        <f t="shared" ref="BB42:BB69" si="46">I42/L42</f>
        <v>0.78656326972487445</v>
      </c>
      <c r="BC42" s="136">
        <f t="shared" ref="BC42:BC69" si="47">J42/L42</f>
        <v>0.20927999900607522</v>
      </c>
      <c r="BD42" s="136">
        <f t="shared" ref="BD42:BD69" si="48">K42/L42</f>
        <v>4.1567312690503214E-3</v>
      </c>
      <c r="BF42">
        <f t="shared" si="21"/>
        <v>-3.2796581887874618E-3</v>
      </c>
      <c r="BG42">
        <f t="shared" si="22"/>
        <v>1.3172466329787139E-2</v>
      </c>
      <c r="BH42">
        <f t="shared" si="23"/>
        <v>-3.6555578830080822E-2</v>
      </c>
      <c r="BJ42">
        <f t="shared" si="11"/>
        <v>0.97525258855480412</v>
      </c>
      <c r="BK42" s="129">
        <f t="shared" si="24"/>
        <v>0.84270684897038095</v>
      </c>
      <c r="BL42" s="129">
        <f t="shared" ref="BL42:BL72" si="49">BK42/BK$74</f>
        <v>1.0447818482474285</v>
      </c>
      <c r="BN42">
        <f t="shared" si="12"/>
        <v>1.0008066026157816</v>
      </c>
      <c r="BO42" s="129">
        <f t="shared" si="25"/>
        <v>1.0289814765502241</v>
      </c>
      <c r="BP42" s="129">
        <f t="shared" ref="BP42:BP72" si="50">BO42/BO$74</f>
        <v>0.99299790932660281</v>
      </c>
    </row>
    <row r="43" spans="1:68" x14ac:dyDescent="0.2">
      <c r="A43" s="133" t="s">
        <v>664</v>
      </c>
      <c r="B43" s="144">
        <f t="shared" si="13"/>
        <v>1982</v>
      </c>
      <c r="D43" s="4">
        <f>'Passenger-based Energy Use'!B40</f>
        <v>8697.5969654</v>
      </c>
      <c r="E43" s="4">
        <f>'Passenger-based Energy Use'!D40</f>
        <v>2837.3584772859203</v>
      </c>
      <c r="F43" s="4">
        <f>'Passenger-based Energy Use'!C40</f>
        <v>24.774999999999999</v>
      </c>
      <c r="G43" s="4">
        <f t="shared" si="42"/>
        <v>11559.730442685921</v>
      </c>
      <c r="H43" s="4"/>
      <c r="I43" s="4">
        <f>'Passenger-based Activity'!B41</f>
        <v>2110661.3148659449</v>
      </c>
      <c r="J43" s="4">
        <f>'Passenger-based Activity'!C41</f>
        <v>576565.54999999993</v>
      </c>
      <c r="K43" s="4">
        <f>'Passenger-based Activity'!D41</f>
        <v>10770.191916033511</v>
      </c>
      <c r="L43" s="4">
        <f t="shared" si="26"/>
        <v>2697997.0567819783</v>
      </c>
      <c r="N43" s="4">
        <f t="shared" ref="N43:N61" si="51">D43/I43*1000000</f>
        <v>4120.792333729968</v>
      </c>
      <c r="O43" s="4">
        <f t="shared" ref="O43:O61" si="52">E43/J43*1000000</f>
        <v>4921.1377219570622</v>
      </c>
      <c r="P43" s="4">
        <f t="shared" si="40"/>
        <v>2300.3304113009935</v>
      </c>
      <c r="Q43" s="4">
        <f t="shared" ref="Q43:Q61" si="53">G43/L43*1000000</f>
        <v>4284.5600641513402</v>
      </c>
      <c r="S43" s="129">
        <f t="shared" si="27"/>
        <v>1.0025274793240411</v>
      </c>
      <c r="T43" s="129">
        <f t="shared" si="28"/>
        <v>1.0386062739546853</v>
      </c>
      <c r="U43" s="129">
        <f t="shared" si="29"/>
        <v>0.97864775263547554</v>
      </c>
      <c r="V43" s="129">
        <f t="shared" si="30"/>
        <v>1.0057336577207376</v>
      </c>
      <c r="W43" s="141"/>
      <c r="X43" s="131">
        <f t="shared" si="31"/>
        <v>0.92923172371997953</v>
      </c>
      <c r="Y43" s="131">
        <f t="shared" si="32"/>
        <v>1.0057336577207376</v>
      </c>
      <c r="Z43" s="131">
        <f t="shared" si="33"/>
        <v>0.99405758992105775</v>
      </c>
      <c r="AA43" s="131">
        <f t="shared" si="34"/>
        <v>1.011745866555485</v>
      </c>
      <c r="AB43" s="131">
        <f t="shared" si="35"/>
        <v>0.93455962036704088</v>
      </c>
      <c r="AC43" s="131">
        <f t="shared" si="36"/>
        <v>0.93455962036704099</v>
      </c>
      <c r="AD43" s="131"/>
      <c r="AE43" s="131">
        <f t="shared" si="37"/>
        <v>1.0057336577207376</v>
      </c>
      <c r="AH43" s="134"/>
      <c r="AJ43" s="136">
        <f t="shared" si="43"/>
        <v>0.75240482539998577</v>
      </c>
      <c r="AK43" s="136">
        <f t="shared" si="44"/>
        <v>0.24545195853430782</v>
      </c>
      <c r="AL43" s="136">
        <f t="shared" si="45"/>
        <v>2.1432160657064154E-3</v>
      </c>
      <c r="AN43">
        <f t="shared" si="14"/>
        <v>0.74824597047222619</v>
      </c>
      <c r="AO43">
        <f t="shared" si="15"/>
        <v>0.24950869985097085</v>
      </c>
      <c r="AP43">
        <f t="shared" si="16"/>
        <v>2.2146409260776082E-3</v>
      </c>
      <c r="AQ43" s="136">
        <f t="shared" si="17"/>
        <v>0.99996931124927457</v>
      </c>
      <c r="AS43">
        <f t="shared" si="18"/>
        <v>0.74826893391101457</v>
      </c>
      <c r="AT43">
        <f t="shared" si="19"/>
        <v>0.24951635719625875</v>
      </c>
      <c r="AU43">
        <f t="shared" si="20"/>
        <v>2.2147088927267464E-3</v>
      </c>
      <c r="AX43">
        <f t="shared" ref="AX43:AX69" si="54">LN(S43/S42)</f>
        <v>-1.4542110415354468E-2</v>
      </c>
      <c r="AY43">
        <f t="shared" ref="AY43:AY69" si="55">LN(T43/T42)</f>
        <v>-8.4666411820870674E-2</v>
      </c>
      <c r="AZ43">
        <f t="shared" ref="AZ43:AZ69" si="56">LN(U43/U42)</f>
        <v>-5.5818861641127551E-2</v>
      </c>
      <c r="BB43" s="136">
        <f t="shared" si="46"/>
        <v>0.78230675217393486</v>
      </c>
      <c r="BC43" s="136">
        <f t="shared" si="47"/>
        <v>0.21370132652690713</v>
      </c>
      <c r="BD43" s="136">
        <f t="shared" si="48"/>
        <v>3.991921299157976E-3</v>
      </c>
      <c r="BF43">
        <f t="shared" si="21"/>
        <v>-5.4262340864462376E-3</v>
      </c>
      <c r="BG43">
        <f t="shared" si="22"/>
        <v>2.0906306212124345E-2</v>
      </c>
      <c r="BH43">
        <f t="shared" si="23"/>
        <v>-4.0456369160537138E-2</v>
      </c>
      <c r="BJ43">
        <f t="shared" ref="BJ43:BJ69" si="57">EXP(SUMPRODUCT($AS43:$AU43,AX43:AZ43))</f>
        <v>0.96838001947740593</v>
      </c>
      <c r="BK43" s="129">
        <f t="shared" si="24"/>
        <v>0.81606047481968091</v>
      </c>
      <c r="BL43" s="129">
        <f t="shared" si="49"/>
        <v>1.011745866555485</v>
      </c>
      <c r="BN43">
        <f t="shared" ref="BN43:BN69" si="58">EXP(SUMPRODUCT($AS43:$AU43,BF43:BH43))</f>
        <v>1.0010671528957935</v>
      </c>
      <c r="BO43" s="129">
        <f t="shared" si="25"/>
        <v>1.0300795571126427</v>
      </c>
      <c r="BP43" s="129">
        <f t="shared" si="50"/>
        <v>0.99405758992105775</v>
      </c>
    </row>
    <row r="44" spans="1:68" x14ac:dyDescent="0.2">
      <c r="A44" s="133" t="s">
        <v>664</v>
      </c>
      <c r="B44" s="144">
        <f t="shared" si="13"/>
        <v>1983</v>
      </c>
      <c r="D44" s="4">
        <f>'Passenger-based Energy Use'!B41</f>
        <v>8801.9375163999994</v>
      </c>
      <c r="E44" s="4">
        <f>'Passenger-based Energy Use'!D41</f>
        <v>2990.7511385096491</v>
      </c>
      <c r="F44" s="4">
        <f>'Passenger-based Energy Use'!C41</f>
        <v>21.9</v>
      </c>
      <c r="G44" s="4">
        <f t="shared" si="42"/>
        <v>11814.588654909649</v>
      </c>
      <c r="H44" s="4"/>
      <c r="I44" s="4">
        <f>'Passenger-based Activity'!B42</f>
        <v>2149567.5089947754</v>
      </c>
      <c r="J44" s="4">
        <f>'Passenger-based Activity'!C42</f>
        <v>622521.69999999995</v>
      </c>
      <c r="K44" s="4">
        <f>'Passenger-based Activity'!D42</f>
        <v>10570.811169859506</v>
      </c>
      <c r="L44" s="4">
        <f t="shared" si="26"/>
        <v>2782660.0201646346</v>
      </c>
      <c r="N44" s="4">
        <f t="shared" si="51"/>
        <v>4094.7481200607381</v>
      </c>
      <c r="O44" s="4">
        <f t="shared" si="52"/>
        <v>4804.2520260894507</v>
      </c>
      <c r="P44" s="4">
        <f t="shared" si="40"/>
        <v>2071.7426172972746</v>
      </c>
      <c r="Q44" s="4">
        <f t="shared" si="53"/>
        <v>4245.7894853467023</v>
      </c>
      <c r="S44" s="129">
        <f t="shared" si="27"/>
        <v>0.99619130953769419</v>
      </c>
      <c r="T44" s="129">
        <f t="shared" si="28"/>
        <v>1.0139375440953262</v>
      </c>
      <c r="U44" s="129">
        <f t="shared" si="29"/>
        <v>0.88139784028261536</v>
      </c>
      <c r="V44" s="129">
        <f t="shared" si="30"/>
        <v>0.99663286897012826</v>
      </c>
      <c r="W44" s="141"/>
      <c r="X44" s="131">
        <f t="shared" si="31"/>
        <v>0.95839095174862032</v>
      </c>
      <c r="Y44" s="131">
        <f t="shared" si="32"/>
        <v>0.99663286897012826</v>
      </c>
      <c r="Z44" s="131">
        <f t="shared" si="33"/>
        <v>0.99590643134987866</v>
      </c>
      <c r="AA44" s="131">
        <f t="shared" si="34"/>
        <v>1.0007294235656909</v>
      </c>
      <c r="AB44" s="131">
        <f t="shared" si="35"/>
        <v>0.95516392383623938</v>
      </c>
      <c r="AC44" s="131">
        <f t="shared" si="36"/>
        <v>0.95516392383623916</v>
      </c>
      <c r="AD44" s="131"/>
      <c r="AE44" s="131">
        <f t="shared" si="37"/>
        <v>0.99663286897012848</v>
      </c>
      <c r="AH44" s="134"/>
      <c r="AJ44" s="136">
        <f t="shared" si="43"/>
        <v>0.74500583757034</v>
      </c>
      <c r="AK44" s="136">
        <f t="shared" si="44"/>
        <v>0.25314052193148662</v>
      </c>
      <c r="AL44" s="136">
        <f t="shared" si="45"/>
        <v>1.8536404981733558E-3</v>
      </c>
      <c r="AN44">
        <f t="shared" si="14"/>
        <v>0.74869923814699146</v>
      </c>
      <c r="AO44">
        <f t="shared" si="15"/>
        <v>0.2492764786846727</v>
      </c>
      <c r="AP44">
        <f t="shared" si="16"/>
        <v>1.9949267089831731E-3</v>
      </c>
      <c r="AQ44" s="136">
        <f t="shared" si="17"/>
        <v>0.99997064354064735</v>
      </c>
      <c r="AS44">
        <f t="shared" si="18"/>
        <v>0.74872121795099267</v>
      </c>
      <c r="AT44">
        <f t="shared" si="19"/>
        <v>0.24928379677431997</v>
      </c>
      <c r="AU44">
        <f t="shared" si="20"/>
        <v>1.9949852746872984E-3</v>
      </c>
      <c r="AX44">
        <f t="shared" si="54"/>
        <v>-6.3402526130031129E-3</v>
      </c>
      <c r="AY44">
        <f t="shared" si="55"/>
        <v>-2.4038383512716643E-2</v>
      </c>
      <c r="AZ44">
        <f t="shared" si="56"/>
        <v>-0.10466267247456179</v>
      </c>
      <c r="BB44" s="136">
        <f t="shared" si="46"/>
        <v>0.77248657522581476</v>
      </c>
      <c r="BC44" s="136">
        <f t="shared" si="47"/>
        <v>0.22371460957820094</v>
      </c>
      <c r="BD44" s="136">
        <f t="shared" si="48"/>
        <v>3.7988151959843408E-3</v>
      </c>
      <c r="BF44">
        <f t="shared" si="21"/>
        <v>-1.2632299563678638E-2</v>
      </c>
      <c r="BG44">
        <f t="shared" si="22"/>
        <v>4.5791805430252144E-2</v>
      </c>
      <c r="BH44">
        <f t="shared" si="23"/>
        <v>-4.9583416029965625E-2</v>
      </c>
      <c r="BJ44">
        <f t="shared" si="57"/>
        <v>0.98911145243686538</v>
      </c>
      <c r="BK44" s="129">
        <f t="shared" si="24"/>
        <v>0.80717476152521261</v>
      </c>
      <c r="BL44" s="129">
        <f t="shared" si="49"/>
        <v>1.0007294235656909</v>
      </c>
      <c r="BN44">
        <f t="shared" si="58"/>
        <v>1.0018598936797694</v>
      </c>
      <c r="BO44" s="129">
        <f t="shared" si="25"/>
        <v>1.0319953955705761</v>
      </c>
      <c r="BP44" s="129">
        <f t="shared" si="50"/>
        <v>0.99590643134987866</v>
      </c>
    </row>
    <row r="45" spans="1:68" x14ac:dyDescent="0.2">
      <c r="A45" s="133" t="s">
        <v>664</v>
      </c>
      <c r="B45" s="144">
        <f t="shared" si="13"/>
        <v>1984</v>
      </c>
      <c r="D45" s="4">
        <f>'Passenger-based Energy Use'!B42</f>
        <v>8836.8815921000005</v>
      </c>
      <c r="E45" s="4">
        <f>'Passenger-based Energy Use'!D42</f>
        <v>3196.8480317081207</v>
      </c>
      <c r="F45" s="4">
        <f>'Passenger-based Energy Use'!C42</f>
        <v>22.715</v>
      </c>
      <c r="G45" s="4">
        <f t="shared" si="42"/>
        <v>12056.444623808122</v>
      </c>
      <c r="H45" s="4"/>
      <c r="I45" s="4">
        <f>'Passenger-based Activity'!B43</f>
        <v>2172522.2706935951</v>
      </c>
      <c r="J45" s="4">
        <f>'Passenger-based Activity'!C43</f>
        <v>669982.65714285709</v>
      </c>
      <c r="K45" s="4">
        <f>'Passenger-based Activity'!D43</f>
        <v>10343.451262848466</v>
      </c>
      <c r="L45" s="4">
        <f t="shared" si="26"/>
        <v>2852848.3790993006</v>
      </c>
      <c r="N45" s="4">
        <f t="shared" si="51"/>
        <v>4067.56778114811</v>
      </c>
      <c r="O45" s="4">
        <f t="shared" si="52"/>
        <v>4771.5384833110284</v>
      </c>
      <c r="P45" s="4">
        <f t="shared" si="40"/>
        <v>2196.0755093019652</v>
      </c>
      <c r="Q45" s="4">
        <f t="shared" si="53"/>
        <v>4226.1077427516757</v>
      </c>
      <c r="S45" s="129">
        <f t="shared" si="27"/>
        <v>0.98957873737912938</v>
      </c>
      <c r="T45" s="129">
        <f t="shared" si="28"/>
        <v>1.0070333498433834</v>
      </c>
      <c r="U45" s="129">
        <f t="shared" si="29"/>
        <v>0.93429376546852916</v>
      </c>
      <c r="V45" s="129">
        <f t="shared" si="30"/>
        <v>0.99201288683099709</v>
      </c>
      <c r="W45" s="141"/>
      <c r="X45" s="131">
        <f t="shared" si="31"/>
        <v>0.98256490315971956</v>
      </c>
      <c r="Y45" s="131">
        <f t="shared" si="32"/>
        <v>0.99201288683099709</v>
      </c>
      <c r="Z45" s="131">
        <f t="shared" si="33"/>
        <v>0.99783733708271727</v>
      </c>
      <c r="AA45" s="131">
        <f t="shared" si="34"/>
        <v>0.99416292612506507</v>
      </c>
      <c r="AB45" s="131">
        <f t="shared" si="35"/>
        <v>0.97471704608229259</v>
      </c>
      <c r="AC45" s="131">
        <f t="shared" si="36"/>
        <v>0.97471704608229237</v>
      </c>
      <c r="AD45" s="131"/>
      <c r="AE45" s="131">
        <f t="shared" si="37"/>
        <v>0.99201288683099709</v>
      </c>
      <c r="AH45" s="134"/>
      <c r="AJ45" s="136">
        <f t="shared" si="43"/>
        <v>0.73295916564404229</v>
      </c>
      <c r="AK45" s="136">
        <f t="shared" si="44"/>
        <v>0.26515677975207019</v>
      </c>
      <c r="AL45" s="136">
        <f t="shared" si="45"/>
        <v>1.8840546038874676E-3</v>
      </c>
      <c r="AN45">
        <f t="shared" si="14"/>
        <v>0.73896613621341167</v>
      </c>
      <c r="AO45">
        <f t="shared" si="15"/>
        <v>0.25910221315905729</v>
      </c>
      <c r="AP45">
        <f t="shared" si="16"/>
        <v>1.8688063030538632E-3</v>
      </c>
      <c r="AQ45" s="136">
        <f t="shared" si="17"/>
        <v>0.99993715567552277</v>
      </c>
      <c r="AS45">
        <f t="shared" si="18"/>
        <v>0.73901257895971662</v>
      </c>
      <c r="AT45">
        <f t="shared" si="19"/>
        <v>0.2591184972859788</v>
      </c>
      <c r="AU45">
        <f t="shared" si="20"/>
        <v>1.868923754304702E-3</v>
      </c>
      <c r="AX45">
        <f t="shared" si="54"/>
        <v>-6.6599822177130603E-3</v>
      </c>
      <c r="AY45">
        <f t="shared" si="55"/>
        <v>-6.8325784723768093E-3</v>
      </c>
      <c r="AZ45">
        <f t="shared" si="56"/>
        <v>5.8281810753931892E-2</v>
      </c>
      <c r="BB45" s="136">
        <f t="shared" si="46"/>
        <v>0.7615274217200082</v>
      </c>
      <c r="BC45" s="136">
        <f t="shared" si="47"/>
        <v>0.23484692073063609</v>
      </c>
      <c r="BD45" s="136">
        <f t="shared" si="48"/>
        <v>3.6256575493556703E-3</v>
      </c>
      <c r="BF45">
        <f t="shared" si="21"/>
        <v>-1.4288448447671803E-2</v>
      </c>
      <c r="BG45">
        <f t="shared" si="22"/>
        <v>4.8562725582070781E-2</v>
      </c>
      <c r="BH45">
        <f t="shared" si="23"/>
        <v>-4.6653562802497502E-2</v>
      </c>
      <c r="BJ45">
        <f t="shared" si="57"/>
        <v>0.99343828882613572</v>
      </c>
      <c r="BK45" s="129">
        <f t="shared" si="24"/>
        <v>0.80187831387325137</v>
      </c>
      <c r="BL45" s="129">
        <f t="shared" si="49"/>
        <v>0.99416292612506507</v>
      </c>
      <c r="BN45">
        <f t="shared" si="58"/>
        <v>1.0019388425177869</v>
      </c>
      <c r="BO45" s="129">
        <f t="shared" si="25"/>
        <v>1.0339962721216687</v>
      </c>
      <c r="BP45" s="129">
        <f t="shared" si="50"/>
        <v>0.99783733708271727</v>
      </c>
    </row>
    <row r="46" spans="1:68" x14ac:dyDescent="0.2">
      <c r="A46" s="133" t="s">
        <v>664</v>
      </c>
      <c r="B46" s="144">
        <f t="shared" si="13"/>
        <v>1985</v>
      </c>
      <c r="D46" s="4">
        <f>'Passenger-based Energy Use'!B43</f>
        <v>8931.8687164000021</v>
      </c>
      <c r="E46" s="4">
        <f>'Passenger-based Energy Use'!D43</f>
        <v>3413.8126605388788</v>
      </c>
      <c r="F46" s="4">
        <f>'Passenger-based Energy Use'!C43</f>
        <v>23.4925</v>
      </c>
      <c r="G46" s="4">
        <f t="shared" si="42"/>
        <v>12369.173876938881</v>
      </c>
      <c r="H46" s="4"/>
      <c r="I46" s="4">
        <f>'Passenger-based Activity'!B44</f>
        <v>2172990.8000000003</v>
      </c>
      <c r="J46" s="4">
        <f>'Passenger-based Activity'!C44</f>
        <v>720485.27142857143</v>
      </c>
      <c r="K46" s="4">
        <f>'Passenger-based Activity'!D44</f>
        <v>9994.6</v>
      </c>
      <c r="L46" s="4">
        <f t="shared" si="26"/>
        <v>2903470.6714285719</v>
      </c>
      <c r="N46" s="4">
        <f t="shared" si="51"/>
        <v>4110.4033741882386</v>
      </c>
      <c r="O46" s="4">
        <f t="shared" si="52"/>
        <v>4738.212973833598</v>
      </c>
      <c r="P46" s="4">
        <f t="shared" si="40"/>
        <v>2350.5192804114222</v>
      </c>
      <c r="Q46" s="4">
        <f t="shared" si="53"/>
        <v>4260.1339144414269</v>
      </c>
      <c r="S46" s="129">
        <f t="shared" si="27"/>
        <v>1</v>
      </c>
      <c r="T46" s="129">
        <f t="shared" si="28"/>
        <v>1</v>
      </c>
      <c r="U46" s="129">
        <f t="shared" si="29"/>
        <v>1</v>
      </c>
      <c r="V46" s="129">
        <f t="shared" si="30"/>
        <v>1</v>
      </c>
      <c r="W46" s="141"/>
      <c r="X46" s="131">
        <f t="shared" si="31"/>
        <v>1</v>
      </c>
      <c r="Y46" s="131">
        <f t="shared" si="32"/>
        <v>1</v>
      </c>
      <c r="Z46" s="131">
        <f t="shared" si="33"/>
        <v>1</v>
      </c>
      <c r="AA46" s="131">
        <f t="shared" si="34"/>
        <v>1</v>
      </c>
      <c r="AB46" s="131">
        <f t="shared" si="35"/>
        <v>1</v>
      </c>
      <c r="AC46" s="131">
        <f t="shared" si="36"/>
        <v>1</v>
      </c>
      <c r="AD46" s="131"/>
      <c r="AE46" s="131">
        <f t="shared" si="37"/>
        <v>1</v>
      </c>
      <c r="AH46" s="134"/>
      <c r="AJ46" s="136">
        <f t="shared" si="43"/>
        <v>0.72210713546945937</v>
      </c>
      <c r="AK46" s="136">
        <f t="shared" si="44"/>
        <v>0.27599358651620215</v>
      </c>
      <c r="AL46" s="136">
        <f t="shared" si="45"/>
        <v>1.8992780143384899E-3</v>
      </c>
      <c r="AN46">
        <f t="shared" si="14"/>
        <v>0.72751966110204369</v>
      </c>
      <c r="AO46">
        <f t="shared" si="15"/>
        <v>0.27053901051948931</v>
      </c>
      <c r="AP46">
        <f t="shared" si="16"/>
        <v>1.8916560997178206E-3</v>
      </c>
      <c r="AQ46" s="136">
        <f t="shared" si="17"/>
        <v>0.99995032772125081</v>
      </c>
      <c r="AS46">
        <f t="shared" si="18"/>
        <v>0.72755580045656953</v>
      </c>
      <c r="AT46">
        <f t="shared" si="19"/>
        <v>0.27055244947617596</v>
      </c>
      <c r="AU46">
        <f t="shared" si="20"/>
        <v>1.8917500672544852E-3</v>
      </c>
      <c r="AX46">
        <f t="shared" si="54"/>
        <v>1.0475944210749542E-2</v>
      </c>
      <c r="AY46">
        <f t="shared" si="55"/>
        <v>-7.0087312052984742E-3</v>
      </c>
      <c r="AZ46">
        <f t="shared" si="56"/>
        <v>6.7964366149375344E-2</v>
      </c>
      <c r="BB46" s="136">
        <f t="shared" si="46"/>
        <v>0.74841148608222052</v>
      </c>
      <c r="BC46" s="136">
        <f t="shared" si="47"/>
        <v>0.24814621980461635</v>
      </c>
      <c r="BD46" s="136">
        <f t="shared" si="48"/>
        <v>3.4422941131630014E-3</v>
      </c>
      <c r="BF46">
        <f t="shared" si="21"/>
        <v>-1.7373240024935913E-2</v>
      </c>
      <c r="BG46">
        <f t="shared" si="22"/>
        <v>5.5084267663890775E-2</v>
      </c>
      <c r="BH46">
        <f t="shared" si="23"/>
        <v>-5.1897522310548984E-2</v>
      </c>
      <c r="BJ46">
        <f t="shared" si="57"/>
        <v>1.0058713453514969</v>
      </c>
      <c r="BK46" s="129">
        <f t="shared" si="24"/>
        <v>0.80658641838387723</v>
      </c>
      <c r="BL46" s="129">
        <f t="shared" si="49"/>
        <v>1</v>
      </c>
      <c r="BN46">
        <f t="shared" si="58"/>
        <v>1.0021673501651136</v>
      </c>
      <c r="BO46" s="129">
        <f t="shared" si="25"/>
        <v>1.0362373041127784</v>
      </c>
      <c r="BP46" s="129">
        <f t="shared" si="50"/>
        <v>1</v>
      </c>
    </row>
    <row r="47" spans="1:68" x14ac:dyDescent="0.2">
      <c r="A47" s="133" t="s">
        <v>664</v>
      </c>
      <c r="B47" s="144">
        <f t="shared" si="13"/>
        <v>1986</v>
      </c>
      <c r="D47" s="4">
        <f>'Passenger-based Energy Use'!B44</f>
        <v>9138.9862386000004</v>
      </c>
      <c r="E47" s="4">
        <f>'Passenger-based Energy Use'!D44</f>
        <v>3627.3966628612002</v>
      </c>
      <c r="F47" s="4">
        <f>'Passenger-based Energy Use'!C44</f>
        <v>23.4925</v>
      </c>
      <c r="G47" s="4">
        <f t="shared" si="42"/>
        <v>12789.8754014612</v>
      </c>
      <c r="H47" s="4"/>
      <c r="I47" s="4">
        <f>'Passenger-based Activity'!B45</f>
        <v>2177885.3745528562</v>
      </c>
      <c r="J47" s="4">
        <f>'Passenger-based Activity'!C45</f>
        <v>769102.92857142864</v>
      </c>
      <c r="K47" s="4">
        <f>'Passenger-based Activity'!D45</f>
        <v>10043.951328584088</v>
      </c>
      <c r="L47" s="4">
        <f t="shared" si="26"/>
        <v>2957032.2544528688</v>
      </c>
      <c r="N47" s="4">
        <f t="shared" si="51"/>
        <v>4196.2659492473676</v>
      </c>
      <c r="O47" s="4">
        <f t="shared" si="52"/>
        <v>4716.3994936268327</v>
      </c>
      <c r="P47" s="4">
        <f t="shared" si="40"/>
        <v>2338.9699164653134</v>
      </c>
      <c r="Q47" s="4">
        <f t="shared" si="53"/>
        <v>4325.2404102800947</v>
      </c>
      <c r="S47" s="129">
        <f t="shared" si="27"/>
        <v>1.0208890873334509</v>
      </c>
      <c r="T47" s="129">
        <f t="shared" si="28"/>
        <v>0.99539626430318173</v>
      </c>
      <c r="U47" s="129">
        <f t="shared" si="29"/>
        <v>0.99508646279043189</v>
      </c>
      <c r="V47" s="129">
        <f t="shared" si="30"/>
        <v>1.0152827345680293</v>
      </c>
      <c r="W47" s="141"/>
      <c r="X47" s="131">
        <f t="shared" si="31"/>
        <v>1.0184474338078791</v>
      </c>
      <c r="Y47" s="131">
        <f t="shared" si="32"/>
        <v>1.0152827345680293</v>
      </c>
      <c r="Z47" s="131">
        <f t="shared" si="33"/>
        <v>1.0016178481177984</v>
      </c>
      <c r="AA47" s="131">
        <f t="shared" si="34"/>
        <v>1.0136428144485539</v>
      </c>
      <c r="AB47" s="131">
        <f t="shared" si="35"/>
        <v>1.0340120956102554</v>
      </c>
      <c r="AC47" s="131">
        <f t="shared" si="36"/>
        <v>1.0340120956102554</v>
      </c>
      <c r="AD47" s="131"/>
      <c r="AE47" s="131">
        <f t="shared" si="37"/>
        <v>1.0152827345680293</v>
      </c>
      <c r="AH47" s="134"/>
      <c r="AJ47" s="136">
        <f t="shared" si="43"/>
        <v>0.71454849650496999</v>
      </c>
      <c r="AK47" s="136">
        <f t="shared" si="44"/>
        <v>0.28361469904912306</v>
      </c>
      <c r="AL47" s="136">
        <f t="shared" si="45"/>
        <v>1.8368044459069601E-3</v>
      </c>
      <c r="AN47">
        <f t="shared" si="14"/>
        <v>0.71832118792647426</v>
      </c>
      <c r="AO47">
        <f t="shared" si="15"/>
        <v>0.27978684370918344</v>
      </c>
      <c r="AP47">
        <f t="shared" si="16"/>
        <v>1.8678671066544687E-3</v>
      </c>
      <c r="AQ47" s="136">
        <f t="shared" si="17"/>
        <v>0.99997589874231207</v>
      </c>
      <c r="AS47">
        <f t="shared" si="18"/>
        <v>0.71833850078778894</v>
      </c>
      <c r="AT47">
        <f t="shared" si="19"/>
        <v>0.27979358708652524</v>
      </c>
      <c r="AU47">
        <f t="shared" si="20"/>
        <v>1.8679121256859482E-3</v>
      </c>
      <c r="AX47">
        <f t="shared" si="54"/>
        <v>2.0673901874707759E-2</v>
      </c>
      <c r="AY47">
        <f t="shared" si="55"/>
        <v>-4.6143655251618928E-3</v>
      </c>
      <c r="AZ47">
        <f t="shared" si="56"/>
        <v>-4.9256483220779593E-3</v>
      </c>
      <c r="BB47" s="136">
        <f t="shared" si="46"/>
        <v>0.73651052377709825</v>
      </c>
      <c r="BC47" s="136">
        <f t="shared" si="47"/>
        <v>0.26009284390228388</v>
      </c>
      <c r="BD47" s="136">
        <f t="shared" si="48"/>
        <v>3.3966323206178523E-3</v>
      </c>
      <c r="BF47">
        <f t="shared" si="21"/>
        <v>-1.6029417096175474E-2</v>
      </c>
      <c r="BG47">
        <f t="shared" si="22"/>
        <v>4.7020490797325218E-2</v>
      </c>
      <c r="BH47">
        <f t="shared" si="23"/>
        <v>-1.3353695649170501E-2</v>
      </c>
      <c r="BJ47">
        <f t="shared" si="57"/>
        <v>1.0136428144485539</v>
      </c>
      <c r="BK47" s="129">
        <f t="shared" si="24"/>
        <v>0.81759052722661207</v>
      </c>
      <c r="BL47" s="129">
        <f t="shared" si="49"/>
        <v>1.0136428144485539</v>
      </c>
      <c r="BN47">
        <f t="shared" si="58"/>
        <v>1.0016178481177984</v>
      </c>
      <c r="BO47" s="129">
        <f t="shared" si="25"/>
        <v>1.0379137786848298</v>
      </c>
      <c r="BP47" s="129">
        <f t="shared" si="50"/>
        <v>1.0016178481177984</v>
      </c>
    </row>
    <row r="48" spans="1:68" x14ac:dyDescent="0.2">
      <c r="A48" s="133" t="s">
        <v>664</v>
      </c>
      <c r="B48" s="144">
        <f t="shared" si="13"/>
        <v>1987</v>
      </c>
      <c r="D48" s="4">
        <f>'Passenger-based Energy Use'!B45</f>
        <v>9158.6250180000006</v>
      </c>
      <c r="E48" s="4">
        <f>'Passenger-based Energy Use'!D45</f>
        <v>3819.136351307186</v>
      </c>
      <c r="F48" s="4">
        <f>'Passenger-based Energy Use'!C45</f>
        <v>23.765000000000001</v>
      </c>
      <c r="G48" s="4">
        <f t="shared" si="42"/>
        <v>13001.526369307187</v>
      </c>
      <c r="H48" s="4"/>
      <c r="I48" s="4">
        <f>'Passenger-based Activity'!B46</f>
        <v>2218670.4182444559</v>
      </c>
      <c r="J48" s="4">
        <f>'Passenger-based Activity'!C46</f>
        <v>815839.28571428591</v>
      </c>
      <c r="K48" s="4">
        <f>'Passenger-based Activity'!D46</f>
        <v>10260.340637092526</v>
      </c>
      <c r="L48" s="4">
        <f t="shared" si="26"/>
        <v>3044770.0445958343</v>
      </c>
      <c r="N48" s="4">
        <f t="shared" si="51"/>
        <v>4127.9790556935677</v>
      </c>
      <c r="O48" s="4">
        <f t="shared" si="52"/>
        <v>4681.2361431742593</v>
      </c>
      <c r="P48" s="4">
        <f t="shared" si="40"/>
        <v>2316.1999041324507</v>
      </c>
      <c r="Q48" s="4">
        <f t="shared" si="53"/>
        <v>4270.1176702600615</v>
      </c>
      <c r="S48" s="129">
        <f t="shared" si="27"/>
        <v>1.0042759018775864</v>
      </c>
      <c r="T48" s="129">
        <f t="shared" si="28"/>
        <v>0.98797503806308651</v>
      </c>
      <c r="U48" s="129">
        <f t="shared" si="29"/>
        <v>0.98539923643044336</v>
      </c>
      <c r="V48" s="129">
        <f t="shared" si="30"/>
        <v>1.0023435309826272</v>
      </c>
      <c r="W48" s="141"/>
      <c r="X48" s="131">
        <f t="shared" si="31"/>
        <v>1.0486656795116653</v>
      </c>
      <c r="Y48" s="131">
        <f t="shared" si="32"/>
        <v>1.0023435309826272</v>
      </c>
      <c r="Z48" s="131">
        <f t="shared" si="33"/>
        <v>1.0026126668938242</v>
      </c>
      <c r="AA48" s="131">
        <f t="shared" si="34"/>
        <v>0.99973156541894637</v>
      </c>
      <c r="AB48" s="131">
        <f t="shared" si="35"/>
        <v>1.0511232600220191</v>
      </c>
      <c r="AC48" s="131">
        <f t="shared" si="36"/>
        <v>1.0511232600220186</v>
      </c>
      <c r="AD48" s="131"/>
      <c r="AE48" s="131">
        <f t="shared" si="37"/>
        <v>1.0023435309826274</v>
      </c>
      <c r="AH48" s="134"/>
      <c r="AJ48" s="136">
        <f t="shared" si="43"/>
        <v>0.704426907876051</v>
      </c>
      <c r="AK48" s="136">
        <f t="shared" si="44"/>
        <v>0.29374522981571255</v>
      </c>
      <c r="AL48" s="136">
        <f t="shared" si="45"/>
        <v>1.8278623082365341E-3</v>
      </c>
      <c r="AN48">
        <f t="shared" si="14"/>
        <v>0.70947566910122772</v>
      </c>
      <c r="AO48">
        <f t="shared" si="15"/>
        <v>0.28865033644373306</v>
      </c>
      <c r="AP48">
        <f t="shared" si="16"/>
        <v>1.8323297404539752E-3</v>
      </c>
      <c r="AQ48" s="136">
        <f t="shared" si="17"/>
        <v>0.99995833528541478</v>
      </c>
      <c r="AS48">
        <f t="shared" si="18"/>
        <v>0.70950523043415048</v>
      </c>
      <c r="AT48">
        <f t="shared" si="19"/>
        <v>0.28866236347871888</v>
      </c>
      <c r="AU48">
        <f t="shared" si="20"/>
        <v>1.8324060871305998E-3</v>
      </c>
      <c r="AX48">
        <f t="shared" si="54"/>
        <v>-1.6407115689588525E-2</v>
      </c>
      <c r="AY48">
        <f t="shared" si="55"/>
        <v>-7.4834811466092674E-3</v>
      </c>
      <c r="AZ48">
        <f t="shared" si="56"/>
        <v>-9.7827554333428501E-3</v>
      </c>
      <c r="BB48" s="136">
        <f t="shared" si="46"/>
        <v>0.72868242453395671</v>
      </c>
      <c r="BC48" s="136">
        <f t="shared" si="47"/>
        <v>0.26794775098445284</v>
      </c>
      <c r="BD48" s="136">
        <f t="shared" si="48"/>
        <v>3.3698244815905279E-3</v>
      </c>
      <c r="BF48">
        <f t="shared" si="21"/>
        <v>-1.0685519250686474E-2</v>
      </c>
      <c r="BG48">
        <f t="shared" si="22"/>
        <v>2.9753343285403144E-2</v>
      </c>
      <c r="BH48">
        <f t="shared" si="23"/>
        <v>-7.9237864290759869E-3</v>
      </c>
      <c r="BJ48">
        <f t="shared" si="57"/>
        <v>0.98627598515836612</v>
      </c>
      <c r="BK48" s="129">
        <f t="shared" si="24"/>
        <v>0.80636990269657483</v>
      </c>
      <c r="BL48" s="129">
        <f t="shared" si="49"/>
        <v>0.99973156541894637</v>
      </c>
      <c r="BN48">
        <f t="shared" si="58"/>
        <v>1.0009932119100065</v>
      </c>
      <c r="BO48" s="129">
        <f t="shared" si="25"/>
        <v>1.0389446470113795</v>
      </c>
      <c r="BP48" s="129">
        <f t="shared" si="50"/>
        <v>1.0026126668938242</v>
      </c>
    </row>
    <row r="49" spans="1:68" x14ac:dyDescent="0.2">
      <c r="A49" s="133" t="s">
        <v>664</v>
      </c>
      <c r="B49" s="144">
        <f t="shared" si="13"/>
        <v>1988</v>
      </c>
      <c r="D49" s="4">
        <f>'Passenger-based Energy Use'!B46</f>
        <v>9157.9300449999992</v>
      </c>
      <c r="E49" s="4">
        <f>'Passenger-based Energy Use'!D46</f>
        <v>4076.4127005315622</v>
      </c>
      <c r="F49" s="4">
        <f>'Passenger-based Energy Use'!C46</f>
        <v>25.06</v>
      </c>
      <c r="G49" s="4">
        <f t="shared" si="42"/>
        <v>13259.402745531561</v>
      </c>
      <c r="H49" s="4"/>
      <c r="I49" s="4">
        <f>'Passenger-based Activity'!B47</f>
        <v>2271475.7821010691</v>
      </c>
      <c r="J49" s="4">
        <f>'Passenger-based Activity'!C47</f>
        <v>882449.44285714312</v>
      </c>
      <c r="K49" s="4">
        <f>'Passenger-based Activity'!D47</f>
        <v>10534.541191532275</v>
      </c>
      <c r="L49" s="4">
        <f t="shared" si="26"/>
        <v>3164459.7661497444</v>
      </c>
      <c r="N49" s="4">
        <f t="shared" si="51"/>
        <v>4031.709304216794</v>
      </c>
      <c r="O49" s="4">
        <f t="shared" si="52"/>
        <v>4619.4291735662409</v>
      </c>
      <c r="P49" s="4">
        <f t="shared" si="40"/>
        <v>2378.8411421413753</v>
      </c>
      <c r="Q49" s="4">
        <f t="shared" si="53"/>
        <v>4190.0999618852848</v>
      </c>
      <c r="S49" s="129">
        <f t="shared" si="27"/>
        <v>0.98085490332515457</v>
      </c>
      <c r="T49" s="129">
        <f t="shared" si="28"/>
        <v>0.97493067514623533</v>
      </c>
      <c r="U49" s="129">
        <f t="shared" si="29"/>
        <v>1.0120491935403295</v>
      </c>
      <c r="V49" s="129">
        <f t="shared" si="30"/>
        <v>0.9835606218107994</v>
      </c>
      <c r="W49" s="141"/>
      <c r="X49" s="131">
        <f t="shared" si="31"/>
        <v>1.0898886623134927</v>
      </c>
      <c r="Y49" s="131">
        <f t="shared" si="32"/>
        <v>0.9835606218107994</v>
      </c>
      <c r="Z49" s="131">
        <f t="shared" si="33"/>
        <v>1.0041072125763968</v>
      </c>
      <c r="AA49" s="131">
        <f t="shared" si="34"/>
        <v>0.97953745326370334</v>
      </c>
      <c r="AB49" s="131">
        <f t="shared" si="35"/>
        <v>1.0719715704095996</v>
      </c>
      <c r="AC49" s="131">
        <f t="shared" si="36"/>
        <v>1.0719715704095991</v>
      </c>
      <c r="AD49" s="131"/>
      <c r="AE49" s="131">
        <f t="shared" si="37"/>
        <v>0.98356062181079973</v>
      </c>
      <c r="AH49" s="134"/>
      <c r="AJ49" s="136">
        <f t="shared" si="43"/>
        <v>0.69067440070679165</v>
      </c>
      <c r="AK49" s="136">
        <f t="shared" si="44"/>
        <v>0.30743561974579281</v>
      </c>
      <c r="AL49" s="136">
        <f t="shared" si="45"/>
        <v>1.8899795474155317E-3</v>
      </c>
      <c r="AN49">
        <f t="shared" si="14"/>
        <v>0.69752805899630732</v>
      </c>
      <c r="AO49">
        <f t="shared" si="15"/>
        <v>0.30053845686271624</v>
      </c>
      <c r="AP49">
        <f t="shared" si="16"/>
        <v>1.8587479404304464E-3</v>
      </c>
      <c r="AQ49" s="136">
        <f t="shared" si="17"/>
        <v>0.99992526379945401</v>
      </c>
      <c r="AS49">
        <f t="shared" si="18"/>
        <v>0.69758019348954492</v>
      </c>
      <c r="AT49">
        <f t="shared" si="19"/>
        <v>0.30056091964388304</v>
      </c>
      <c r="AU49">
        <f t="shared" si="20"/>
        <v>1.8588868665720989E-3</v>
      </c>
      <c r="AX49">
        <f t="shared" si="54"/>
        <v>-2.3597523447258888E-2</v>
      </c>
      <c r="AY49">
        <f t="shared" si="55"/>
        <v>-1.3291066254532706E-2</v>
      </c>
      <c r="AZ49">
        <f t="shared" si="56"/>
        <v>2.6685583656973051E-2</v>
      </c>
      <c r="BB49" s="136">
        <f t="shared" si="46"/>
        <v>0.71780839383678274</v>
      </c>
      <c r="BC49" s="136">
        <f t="shared" si="47"/>
        <v>0.27886258889960081</v>
      </c>
      <c r="BD49" s="136">
        <f t="shared" si="48"/>
        <v>3.329017263616482E-3</v>
      </c>
      <c r="BF49">
        <f t="shared" si="21"/>
        <v>-1.5035332970017351E-2</v>
      </c>
      <c r="BG49">
        <f t="shared" si="22"/>
        <v>3.9927145101748836E-2</v>
      </c>
      <c r="BH49">
        <f t="shared" si="23"/>
        <v>-1.2183515987876557E-2</v>
      </c>
      <c r="BJ49">
        <f t="shared" si="57"/>
        <v>0.97980046559120049</v>
      </c>
      <c r="BK49" s="129">
        <f t="shared" si="24"/>
        <v>0.790081606100835</v>
      </c>
      <c r="BL49" s="129">
        <f t="shared" si="49"/>
        <v>0.97953745326370334</v>
      </c>
      <c r="BN49">
        <f t="shared" si="58"/>
        <v>1.001490651107773</v>
      </c>
      <c r="BO49" s="129">
        <f t="shared" si="25"/>
        <v>1.0404933510003618</v>
      </c>
      <c r="BP49" s="129">
        <f t="shared" si="50"/>
        <v>1.0041072125763968</v>
      </c>
    </row>
    <row r="50" spans="1:68" x14ac:dyDescent="0.2">
      <c r="A50" s="133" t="s">
        <v>664</v>
      </c>
      <c r="B50" s="144">
        <f t="shared" si="13"/>
        <v>1989</v>
      </c>
      <c r="D50" s="4">
        <f>'Passenger-based Energy Use'!B47</f>
        <v>9232.4876125999999</v>
      </c>
      <c r="E50" s="4">
        <f>'Passenger-based Energy Use'!D47</f>
        <v>4156.9182413421986</v>
      </c>
      <c r="F50" s="4">
        <f>'Passenger-based Energy Use'!C47</f>
        <v>25.927499999999998</v>
      </c>
      <c r="G50" s="4">
        <f t="shared" si="42"/>
        <v>13415.333353942198</v>
      </c>
      <c r="H50" s="4"/>
      <c r="I50" s="4">
        <f>'Passenger-based Activity'!B48</f>
        <v>2283155.3556746719</v>
      </c>
      <c r="J50" s="4">
        <f>'Passenger-based Activity'!C48</f>
        <v>927335.35714285739</v>
      </c>
      <c r="K50" s="4">
        <f>'Passenger-based Activity'!D48</f>
        <v>10619.950991669799</v>
      </c>
      <c r="L50" s="4">
        <f t="shared" si="26"/>
        <v>3221110.6638091989</v>
      </c>
      <c r="N50" s="4">
        <f t="shared" si="51"/>
        <v>4043.7404268847063</v>
      </c>
      <c r="O50" s="4">
        <f t="shared" si="52"/>
        <v>4482.6482774794258</v>
      </c>
      <c r="P50" s="4">
        <f t="shared" si="40"/>
        <v>2441.3954471482321</v>
      </c>
      <c r="Q50" s="4">
        <f t="shared" si="53"/>
        <v>4164.8160383529284</v>
      </c>
      <c r="S50" s="129">
        <f t="shared" si="27"/>
        <v>0.98378189651114289</v>
      </c>
      <c r="T50" s="129">
        <f t="shared" si="28"/>
        <v>0.94606306264291884</v>
      </c>
      <c r="U50" s="129">
        <f t="shared" si="29"/>
        <v>1.0386621660558784</v>
      </c>
      <c r="V50" s="129">
        <f t="shared" si="30"/>
        <v>0.97762561506215084</v>
      </c>
      <c r="W50" s="141"/>
      <c r="X50" s="131">
        <f t="shared" si="31"/>
        <v>1.1094001036436649</v>
      </c>
      <c r="Y50" s="131">
        <f t="shared" si="32"/>
        <v>0.97762561506215084</v>
      </c>
      <c r="Z50" s="131">
        <f t="shared" si="33"/>
        <v>1.0052331328955293</v>
      </c>
      <c r="AA50" s="131">
        <f t="shared" si="34"/>
        <v>0.97253620386162964</v>
      </c>
      <c r="AB50" s="131">
        <f t="shared" si="35"/>
        <v>1.0845779586746522</v>
      </c>
      <c r="AC50" s="131">
        <f t="shared" si="36"/>
        <v>1.0845779586746516</v>
      </c>
      <c r="AD50" s="131"/>
      <c r="AE50" s="131">
        <f t="shared" si="37"/>
        <v>0.97762561506215107</v>
      </c>
      <c r="AH50" s="134"/>
      <c r="AJ50" s="136">
        <f t="shared" si="43"/>
        <v>0.6882041145766209</v>
      </c>
      <c r="AK50" s="136">
        <f t="shared" si="44"/>
        <v>0.30986320888706476</v>
      </c>
      <c r="AL50" s="136">
        <f t="shared" si="45"/>
        <v>1.932676536314396E-3</v>
      </c>
      <c r="AN50">
        <f t="shared" si="14"/>
        <v>0.68943852004726691</v>
      </c>
      <c r="AO50">
        <f t="shared" si="15"/>
        <v>0.30864782318717815</v>
      </c>
      <c r="AP50">
        <f t="shared" si="16"/>
        <v>1.9112485555307372E-3</v>
      </c>
      <c r="AQ50" s="136">
        <f t="shared" si="17"/>
        <v>0.99999759178997583</v>
      </c>
      <c r="AS50">
        <f t="shared" si="18"/>
        <v>0.68944018036402033</v>
      </c>
      <c r="AT50">
        <f t="shared" si="19"/>
        <v>0.30864856647774991</v>
      </c>
      <c r="AU50">
        <f t="shared" si="20"/>
        <v>1.9112531582297517E-3</v>
      </c>
      <c r="AX50">
        <f t="shared" si="54"/>
        <v>2.9796808772395576E-3</v>
      </c>
      <c r="AY50">
        <f t="shared" si="55"/>
        <v>-3.0057136812561239E-2</v>
      </c>
      <c r="AZ50">
        <f t="shared" si="56"/>
        <v>2.5956326363866342E-2</v>
      </c>
      <c r="BB50" s="136">
        <f t="shared" si="46"/>
        <v>0.70880997083616926</v>
      </c>
      <c r="BC50" s="136">
        <f t="shared" si="47"/>
        <v>0.28789304495556062</v>
      </c>
      <c r="BD50" s="136">
        <f t="shared" si="48"/>
        <v>3.2969842082702402E-3</v>
      </c>
      <c r="BF50">
        <f t="shared" si="21"/>
        <v>-1.2615206084234255E-2</v>
      </c>
      <c r="BG50">
        <f t="shared" si="22"/>
        <v>3.1869891885933241E-2</v>
      </c>
      <c r="BH50">
        <f t="shared" si="23"/>
        <v>-9.6689700547891323E-3</v>
      </c>
      <c r="BJ50">
        <f t="shared" si="57"/>
        <v>0.9928524944311764</v>
      </c>
      <c r="BK50" s="129">
        <f t="shared" si="24"/>
        <v>0.78443449342140414</v>
      </c>
      <c r="BL50" s="129">
        <f t="shared" si="49"/>
        <v>0.97253620386162964</v>
      </c>
      <c r="BN50">
        <f t="shared" si="58"/>
        <v>1.0011213148407168</v>
      </c>
      <c r="BO50" s="129">
        <f t="shared" si="25"/>
        <v>1.0416600716365056</v>
      </c>
      <c r="BP50" s="129">
        <f t="shared" si="50"/>
        <v>1.0052331328955293</v>
      </c>
    </row>
    <row r="51" spans="1:68" x14ac:dyDescent="0.2">
      <c r="A51" s="133" t="s">
        <v>664</v>
      </c>
      <c r="B51" s="144">
        <f t="shared" si="13"/>
        <v>1990</v>
      </c>
      <c r="D51" s="4">
        <f>'Passenger-based Energy Use'!B48</f>
        <v>8688.041420800002</v>
      </c>
      <c r="E51" s="4">
        <f>'Passenger-based Energy Use'!D48</f>
        <v>4449.6387244489579</v>
      </c>
      <c r="F51" s="4">
        <f>'Passenger-based Energy Use'!C48</f>
        <v>23.892499999999998</v>
      </c>
      <c r="G51" s="4">
        <f t="shared" si="42"/>
        <v>13161.57264524896</v>
      </c>
      <c r="H51" s="4"/>
      <c r="I51" s="4">
        <f>'Passenger-based Activity'!B49</f>
        <v>2253225.6</v>
      </c>
      <c r="J51" s="4">
        <f>'Passenger-based Activity'!C49</f>
        <v>976770.7</v>
      </c>
      <c r="K51" s="4">
        <f>'Passenger-based Activity'!D49</f>
        <v>10512.7</v>
      </c>
      <c r="L51" s="4">
        <f t="shared" si="26"/>
        <v>3240509</v>
      </c>
      <c r="N51" s="4">
        <f t="shared" si="51"/>
        <v>3855.8240332437204</v>
      </c>
      <c r="O51" s="4">
        <f t="shared" si="52"/>
        <v>4555.4588445875352</v>
      </c>
      <c r="P51" s="4">
        <f t="shared" si="40"/>
        <v>2272.7272727272725</v>
      </c>
      <c r="Q51" s="4">
        <f t="shared" si="53"/>
        <v>4061.5757108679404</v>
      </c>
      <c r="S51" s="129">
        <f t="shared" si="27"/>
        <v>0.93806463313474797</v>
      </c>
      <c r="T51" s="129">
        <f t="shared" si="28"/>
        <v>0.96142973516485897</v>
      </c>
      <c r="U51" s="129">
        <f t="shared" si="29"/>
        <v>0.96690433116952212</v>
      </c>
      <c r="V51" s="129">
        <f t="shared" si="30"/>
        <v>0.95339155820891119</v>
      </c>
      <c r="W51" s="141"/>
      <c r="X51" s="131">
        <f t="shared" si="31"/>
        <v>1.1160811892773823</v>
      </c>
      <c r="Y51" s="131">
        <f t="shared" si="32"/>
        <v>0.95339155820891119</v>
      </c>
      <c r="Z51" s="131">
        <f t="shared" si="33"/>
        <v>1.0071447797228947</v>
      </c>
      <c r="AA51" s="131">
        <f t="shared" si="34"/>
        <v>0.94662810889138227</v>
      </c>
      <c r="AB51" s="131">
        <f t="shared" si="35"/>
        <v>1.0640623841328187</v>
      </c>
      <c r="AC51" s="131">
        <f t="shared" si="36"/>
        <v>1.0640623841328183</v>
      </c>
      <c r="AD51" s="131"/>
      <c r="AE51" s="131">
        <f t="shared" si="37"/>
        <v>0.95339155820891164</v>
      </c>
      <c r="AH51" s="134"/>
      <c r="AJ51" s="136">
        <f t="shared" si="43"/>
        <v>0.66010663428858518</v>
      </c>
      <c r="AK51" s="136">
        <f t="shared" si="44"/>
        <v>0.33807804313226808</v>
      </c>
      <c r="AL51" s="136">
        <f t="shared" si="45"/>
        <v>1.8153225791467001E-3</v>
      </c>
      <c r="AN51">
        <f t="shared" si="14"/>
        <v>0.6740577757838766</v>
      </c>
      <c r="AO51">
        <f t="shared" si="15"/>
        <v>0.32376575151734915</v>
      </c>
      <c r="AP51">
        <f t="shared" si="16"/>
        <v>1.8733869840536167E-3</v>
      </c>
      <c r="AQ51" s="136">
        <f t="shared" si="17"/>
        <v>0.99969691428527929</v>
      </c>
      <c r="AS51">
        <f t="shared" si="18"/>
        <v>0.67426213500497367</v>
      </c>
      <c r="AT51">
        <f t="shared" si="19"/>
        <v>0.32386391004199649</v>
      </c>
      <c r="AU51">
        <f t="shared" si="20"/>
        <v>1.8739549530299101E-3</v>
      </c>
      <c r="AX51">
        <f t="shared" si="54"/>
        <v>-4.7585370703945286E-2</v>
      </c>
      <c r="AY51">
        <f t="shared" si="55"/>
        <v>1.611225476352901E-2</v>
      </c>
      <c r="AZ51">
        <f t="shared" si="56"/>
        <v>-7.1589228329135141E-2</v>
      </c>
      <c r="BB51" s="136">
        <f t="shared" si="46"/>
        <v>0.69533076439534658</v>
      </c>
      <c r="BC51" s="136">
        <f t="shared" si="47"/>
        <v>0.3014250847629184</v>
      </c>
      <c r="BD51" s="136">
        <f t="shared" si="48"/>
        <v>3.2441508417350487E-3</v>
      </c>
      <c r="BF51">
        <f t="shared" si="21"/>
        <v>-1.9199814054618385E-2</v>
      </c>
      <c r="BG51">
        <f t="shared" si="22"/>
        <v>4.5932470732337423E-2</v>
      </c>
      <c r="BH51">
        <f t="shared" si="23"/>
        <v>-1.6154540493755271E-2</v>
      </c>
      <c r="BJ51">
        <f t="shared" si="57"/>
        <v>0.97336027711115058</v>
      </c>
      <c r="BK51" s="129">
        <f t="shared" si="24"/>
        <v>0.76353737589220294</v>
      </c>
      <c r="BL51" s="129">
        <f t="shared" si="49"/>
        <v>0.94662810889138227</v>
      </c>
      <c r="BN51">
        <f t="shared" si="58"/>
        <v>1.0019016950046791</v>
      </c>
      <c r="BO51" s="129">
        <f t="shared" si="25"/>
        <v>1.0436409913913105</v>
      </c>
      <c r="BP51" s="129">
        <f t="shared" si="50"/>
        <v>1.0071447797228947</v>
      </c>
    </row>
    <row r="52" spans="1:68" x14ac:dyDescent="0.2">
      <c r="A52" s="133" t="s">
        <v>664</v>
      </c>
      <c r="B52" s="144">
        <f t="shared" si="13"/>
        <v>1991</v>
      </c>
      <c r="D52" s="4">
        <f>'Passenger-based Energy Use'!B49</f>
        <v>8029.2275751999996</v>
      </c>
      <c r="E52" s="4">
        <f>'Passenger-based Energy Use'!D49</f>
        <v>4775.4162748513309</v>
      </c>
      <c r="F52" s="4">
        <f>'Passenger-based Energy Use'!C49</f>
        <v>22.945</v>
      </c>
      <c r="G52" s="4">
        <f t="shared" si="42"/>
        <v>12827.58885005133</v>
      </c>
      <c r="H52" s="4"/>
      <c r="I52" s="4">
        <f>'Passenger-based Activity'!B50</f>
        <v>2173096</v>
      </c>
      <c r="J52" s="4">
        <f>'Passenger-based Activity'!C50</f>
        <v>1090981.92</v>
      </c>
      <c r="K52" s="4">
        <f>'Passenger-based Activity'!D50</f>
        <v>10095.800000000001</v>
      </c>
      <c r="L52" s="4">
        <f t="shared" si="26"/>
        <v>3274173.7199999997</v>
      </c>
      <c r="N52" s="4">
        <f t="shared" si="51"/>
        <v>3694.8333507585489</v>
      </c>
      <c r="O52" s="4">
        <f t="shared" si="52"/>
        <v>4377.1726985643636</v>
      </c>
      <c r="P52" s="4">
        <f t="shared" si="40"/>
        <v>2272.7272727272725</v>
      </c>
      <c r="Q52" s="4">
        <f t="shared" si="53"/>
        <v>3917.8094832583688</v>
      </c>
      <c r="S52" s="129">
        <f t="shared" si="27"/>
        <v>0.89889799477119192</v>
      </c>
      <c r="T52" s="129">
        <f t="shared" si="28"/>
        <v>0.92380243833212006</v>
      </c>
      <c r="U52" s="129">
        <f t="shared" si="29"/>
        <v>0.96690433116952212</v>
      </c>
      <c r="V52" s="129">
        <f t="shared" si="30"/>
        <v>0.91964467829928709</v>
      </c>
      <c r="W52" s="141"/>
      <c r="X52" s="131">
        <f t="shared" si="31"/>
        <v>1.1276758371349533</v>
      </c>
      <c r="Y52" s="131">
        <f t="shared" si="32"/>
        <v>0.91964467829928709</v>
      </c>
      <c r="Z52" s="131">
        <f t="shared" si="33"/>
        <v>1.0127663777289808</v>
      </c>
      <c r="AA52" s="131">
        <f t="shared" si="34"/>
        <v>0.90805214166123016</v>
      </c>
      <c r="AB52" s="131">
        <f t="shared" si="35"/>
        <v>1.0370610824678539</v>
      </c>
      <c r="AC52" s="131">
        <f t="shared" si="36"/>
        <v>1.0370610824678532</v>
      </c>
      <c r="AD52" s="131"/>
      <c r="AE52" s="131">
        <f t="shared" si="37"/>
        <v>0.91964467829928742</v>
      </c>
      <c r="AH52" s="134"/>
      <c r="AJ52" s="136">
        <f t="shared" si="43"/>
        <v>0.62593427876883267</v>
      </c>
      <c r="AK52" s="136">
        <f t="shared" si="44"/>
        <v>0.37227699848145834</v>
      </c>
      <c r="AL52" s="136">
        <f t="shared" si="45"/>
        <v>1.7887227497089748E-3</v>
      </c>
      <c r="AN52">
        <f t="shared" si="14"/>
        <v>0.64286909148559512</v>
      </c>
      <c r="AO52">
        <f t="shared" si="15"/>
        <v>0.35490294160766211</v>
      </c>
      <c r="AP52">
        <f t="shared" si="16"/>
        <v>1.8019899437329982E-3</v>
      </c>
      <c r="AQ52" s="136">
        <f t="shared" si="17"/>
        <v>0.99957402303699028</v>
      </c>
      <c r="AS52">
        <f t="shared" si="18"/>
        <v>0.64314305561120522</v>
      </c>
      <c r="AT52">
        <f t="shared" si="19"/>
        <v>0.35505418651173626</v>
      </c>
      <c r="AU52">
        <f t="shared" si="20"/>
        <v>1.8027578770585095E-3</v>
      </c>
      <c r="AX52">
        <f t="shared" si="54"/>
        <v>-4.2649289074917662E-2</v>
      </c>
      <c r="AY52">
        <f t="shared" si="55"/>
        <v>-3.9923246554891899E-2</v>
      </c>
      <c r="AZ52">
        <f t="shared" si="56"/>
        <v>0</v>
      </c>
      <c r="BB52" s="136">
        <f t="shared" si="46"/>
        <v>0.66370821643513778</v>
      </c>
      <c r="BC52" s="136">
        <f t="shared" si="47"/>
        <v>0.33320831858610117</v>
      </c>
      <c r="BD52" s="136">
        <f t="shared" si="48"/>
        <v>3.0834649787611153E-3</v>
      </c>
      <c r="BF52">
        <f t="shared" si="21"/>
        <v>-4.6545032526283669E-2</v>
      </c>
      <c r="BG52">
        <f t="shared" si="22"/>
        <v>0.10024636551498843</v>
      </c>
      <c r="BH52">
        <f t="shared" si="23"/>
        <v>-5.0799676098216645E-2</v>
      </c>
      <c r="BJ52">
        <f t="shared" si="57"/>
        <v>0.9592490790545728</v>
      </c>
      <c r="BK52" s="129">
        <f t="shared" si="24"/>
        <v>0.73242252464834079</v>
      </c>
      <c r="BL52" s="129">
        <f t="shared" si="49"/>
        <v>0.90805214166123016</v>
      </c>
      <c r="BN52">
        <f t="shared" si="58"/>
        <v>1.0055817178614903</v>
      </c>
      <c r="BO52" s="129">
        <f t="shared" si="25"/>
        <v>1.0494663009539429</v>
      </c>
      <c r="BP52" s="129">
        <f t="shared" si="50"/>
        <v>1.0127663777289808</v>
      </c>
    </row>
    <row r="53" spans="1:68" x14ac:dyDescent="0.2">
      <c r="A53" s="133" t="s">
        <v>664</v>
      </c>
      <c r="B53" s="144">
        <f t="shared" si="13"/>
        <v>1992</v>
      </c>
      <c r="D53" s="4">
        <f>'Passenger-based Energy Use'!B50</f>
        <v>8169.0629579999986</v>
      </c>
      <c r="E53" s="4">
        <f>'Passenger-based Energy Use'!D50</f>
        <v>5117.2868976135105</v>
      </c>
      <c r="F53" s="4">
        <f>'Passenger-based Energy Use'!C50</f>
        <v>23.892499999999998</v>
      </c>
      <c r="G53" s="4">
        <f t="shared" si="42"/>
        <v>13310.242355613509</v>
      </c>
      <c r="H53" s="4"/>
      <c r="I53" s="4">
        <f>'Passenger-based Activity'!B51</f>
        <v>2194510.4</v>
      </c>
      <c r="J53" s="4">
        <f>'Passenger-based Activity'!C51</f>
        <v>1173392.5799999998</v>
      </c>
      <c r="K53" s="4">
        <f>'Passenger-based Activity'!D51</f>
        <v>10512.7</v>
      </c>
      <c r="L53" s="4">
        <f t="shared" si="26"/>
        <v>3378415.6799999997</v>
      </c>
      <c r="N53" s="4">
        <f t="shared" si="51"/>
        <v>3722.4990859008913</v>
      </c>
      <c r="O53" s="4">
        <f t="shared" si="52"/>
        <v>4361.1038495006596</v>
      </c>
      <c r="P53" s="4">
        <f t="shared" si="40"/>
        <v>2272.7272727272725</v>
      </c>
      <c r="Q53" s="4">
        <f t="shared" si="53"/>
        <v>3939.7882369565341</v>
      </c>
      <c r="S53" s="129">
        <f t="shared" si="27"/>
        <v>0.90562865661233205</v>
      </c>
      <c r="T53" s="129">
        <f t="shared" si="28"/>
        <v>0.92041110722217567</v>
      </c>
      <c r="U53" s="129">
        <f t="shared" si="29"/>
        <v>0.96690433116952212</v>
      </c>
      <c r="V53" s="129">
        <f t="shared" si="30"/>
        <v>0.92480384797319326</v>
      </c>
      <c r="W53" s="141"/>
      <c r="X53" s="131">
        <f t="shared" si="31"/>
        <v>1.1635783730295937</v>
      </c>
      <c r="Y53" s="131">
        <f t="shared" si="32"/>
        <v>0.92480384797319326</v>
      </c>
      <c r="Z53" s="131">
        <f t="shared" si="33"/>
        <v>1.0151612070298264</v>
      </c>
      <c r="AA53" s="131">
        <f t="shared" si="34"/>
        <v>0.91099210802094999</v>
      </c>
      <c r="AB53" s="131">
        <f t="shared" si="35"/>
        <v>1.0760817567961563</v>
      </c>
      <c r="AC53" s="131">
        <f t="shared" si="36"/>
        <v>1.0760817567961558</v>
      </c>
      <c r="AD53" s="131"/>
      <c r="AE53" s="131">
        <f t="shared" si="37"/>
        <v>0.92480384797319359</v>
      </c>
      <c r="AH53" s="134"/>
      <c r="AJ53" s="136">
        <f t="shared" si="43"/>
        <v>0.61374261562974086</v>
      </c>
      <c r="AK53" s="136">
        <f t="shared" si="44"/>
        <v>0.38446233816736836</v>
      </c>
      <c r="AL53" s="136">
        <f t="shared" si="45"/>
        <v>1.7950462028907754E-3</v>
      </c>
      <c r="AN53">
        <f t="shared" si="14"/>
        <v>0.61981846343247582</v>
      </c>
      <c r="AO53">
        <f t="shared" si="15"/>
        <v>0.37833696380647591</v>
      </c>
      <c r="AP53">
        <f t="shared" si="16"/>
        <v>1.7918826167075965E-3</v>
      </c>
      <c r="AQ53" s="136">
        <f t="shared" si="17"/>
        <v>0.99994730985565927</v>
      </c>
      <c r="AS53">
        <f t="shared" si="18"/>
        <v>0.6198511234776416</v>
      </c>
      <c r="AT53">
        <f t="shared" si="19"/>
        <v>0.37835689948612217</v>
      </c>
      <c r="AU53">
        <f t="shared" si="20"/>
        <v>1.791977036236291E-3</v>
      </c>
      <c r="AX53">
        <f t="shared" si="54"/>
        <v>7.4597879155929555E-3</v>
      </c>
      <c r="AY53">
        <f t="shared" si="55"/>
        <v>-3.6778115428099706E-3</v>
      </c>
      <c r="AZ53">
        <f t="shared" si="56"/>
        <v>0</v>
      </c>
      <c r="BB53" s="136">
        <f t="shared" si="46"/>
        <v>0.64956790633886707</v>
      </c>
      <c r="BC53" s="136">
        <f t="shared" si="47"/>
        <v>0.34732036881855816</v>
      </c>
      <c r="BD53" s="136">
        <f t="shared" si="48"/>
        <v>3.1117248425747306E-3</v>
      </c>
      <c r="BF53">
        <f t="shared" si="21"/>
        <v>-2.1535237457346507E-2</v>
      </c>
      <c r="BG53">
        <f t="shared" si="22"/>
        <v>4.1479731364647471E-2</v>
      </c>
      <c r="BH53">
        <f t="shared" si="23"/>
        <v>9.12322645204597E-3</v>
      </c>
      <c r="BJ53">
        <f t="shared" si="57"/>
        <v>1.0032376624918711</v>
      </c>
      <c r="BK53" s="129">
        <f t="shared" si="24"/>
        <v>0.73479386158459625</v>
      </c>
      <c r="BL53" s="129">
        <f t="shared" si="49"/>
        <v>0.91099210802094999</v>
      </c>
      <c r="BN53">
        <f t="shared" si="58"/>
        <v>1.0023646413955958</v>
      </c>
      <c r="BO53" s="129">
        <f t="shared" si="25"/>
        <v>1.0519479124124613</v>
      </c>
      <c r="BP53" s="129">
        <f t="shared" si="50"/>
        <v>1.0151612070298264</v>
      </c>
    </row>
    <row r="54" spans="1:68" x14ac:dyDescent="0.2">
      <c r="A54" s="133" t="s">
        <v>664</v>
      </c>
      <c r="B54" s="144">
        <f t="shared" si="13"/>
        <v>1993</v>
      </c>
      <c r="D54" s="4">
        <f>'Passenger-based Energy Use'!B51</f>
        <v>8367.800835</v>
      </c>
      <c r="E54" s="4">
        <f>'Passenger-based Energy Use'!D51</f>
        <v>5355.4538264164376</v>
      </c>
      <c r="F54" s="4">
        <f>'Passenger-based Energy Use'!C51</f>
        <v>24.765000000000001</v>
      </c>
      <c r="G54" s="4">
        <f t="shared" si="42"/>
        <v>13748.019661416438</v>
      </c>
      <c r="H54" s="4"/>
      <c r="I54" s="4">
        <f>'Passenger-based Activity'!B52</f>
        <v>2199534.4</v>
      </c>
      <c r="J54" s="4">
        <f>'Passenger-based Activity'!C52</f>
        <v>1223030</v>
      </c>
      <c r="K54" s="4">
        <f>'Passenger-based Activity'!D52</f>
        <v>10896.6</v>
      </c>
      <c r="L54" s="4">
        <f t="shared" si="26"/>
        <v>3433461</v>
      </c>
      <c r="N54" s="4">
        <f t="shared" si="51"/>
        <v>3804.3509730968522</v>
      </c>
      <c r="O54" s="4">
        <f t="shared" si="52"/>
        <v>4378.8409331058419</v>
      </c>
      <c r="P54" s="4">
        <f t="shared" si="40"/>
        <v>2272.7272727272725</v>
      </c>
      <c r="Q54" s="4">
        <f t="shared" si="53"/>
        <v>4004.1286798995056</v>
      </c>
      <c r="S54" s="129">
        <f t="shared" si="27"/>
        <v>0.92554200324637759</v>
      </c>
      <c r="T54" s="129">
        <f t="shared" si="28"/>
        <v>0.92415451928557046</v>
      </c>
      <c r="U54" s="129">
        <f t="shared" si="29"/>
        <v>0.96690433116952212</v>
      </c>
      <c r="V54" s="129">
        <f t="shared" si="30"/>
        <v>0.93990676357048564</v>
      </c>
      <c r="W54" s="141"/>
      <c r="X54" s="131">
        <f t="shared" si="31"/>
        <v>1.1825368286949705</v>
      </c>
      <c r="Y54" s="131">
        <f t="shared" si="32"/>
        <v>0.93990676357048564</v>
      </c>
      <c r="Z54" s="131">
        <f t="shared" si="33"/>
        <v>1.0165168666657518</v>
      </c>
      <c r="AA54" s="131">
        <f t="shared" si="34"/>
        <v>0.92463469558891609</v>
      </c>
      <c r="AB54" s="131">
        <f t="shared" si="35"/>
        <v>1.1114743634615962</v>
      </c>
      <c r="AC54" s="131">
        <f t="shared" si="36"/>
        <v>1.1114743634615956</v>
      </c>
      <c r="AD54" s="131"/>
      <c r="AE54" s="131">
        <f t="shared" si="37"/>
        <v>0.93990676357048619</v>
      </c>
      <c r="AH54" s="134"/>
      <c r="AJ54" s="136">
        <f t="shared" si="43"/>
        <v>0.60865499476146934</v>
      </c>
      <c r="AK54" s="136">
        <f t="shared" si="44"/>
        <v>0.3895436548906327</v>
      </c>
      <c r="AL54" s="136">
        <f t="shared" si="45"/>
        <v>1.801350347897924E-3</v>
      </c>
      <c r="AN54">
        <f t="shared" si="14"/>
        <v>0.61119527606489843</v>
      </c>
      <c r="AO54">
        <f t="shared" si="15"/>
        <v>0.38699743669341286</v>
      </c>
      <c r="AP54">
        <f t="shared" si="16"/>
        <v>1.7981964336305886E-3</v>
      </c>
      <c r="AQ54" s="136">
        <f t="shared" si="17"/>
        <v>0.99999090919194178</v>
      </c>
      <c r="AS54">
        <f t="shared" si="18"/>
        <v>0.61120083237435052</v>
      </c>
      <c r="AT54">
        <f t="shared" si="19"/>
        <v>0.38700095484481167</v>
      </c>
      <c r="AU54">
        <f t="shared" si="20"/>
        <v>1.7982127808378271E-3</v>
      </c>
      <c r="AX54">
        <f t="shared" si="54"/>
        <v>2.1750164632649432E-2</v>
      </c>
      <c r="AY54">
        <f t="shared" si="55"/>
        <v>4.0588604154681877E-3</v>
      </c>
      <c r="AZ54">
        <f t="shared" si="56"/>
        <v>0</v>
      </c>
      <c r="BB54" s="136">
        <f t="shared" si="46"/>
        <v>0.64061726636766803</v>
      </c>
      <c r="BC54" s="136">
        <f t="shared" si="47"/>
        <v>0.3562090846524833</v>
      </c>
      <c r="BD54" s="136">
        <f t="shared" si="48"/>
        <v>3.1736489798486135E-3</v>
      </c>
      <c r="BF54">
        <f t="shared" si="21"/>
        <v>-1.3875192118004819E-2</v>
      </c>
      <c r="BG54">
        <f t="shared" si="22"/>
        <v>2.5270267798492757E-2</v>
      </c>
      <c r="BH54">
        <f t="shared" si="23"/>
        <v>1.970483941695076E-2</v>
      </c>
      <c r="BJ54">
        <f t="shared" si="57"/>
        <v>1.0149755277217531</v>
      </c>
      <c r="BK54" s="129">
        <f t="shared" si="24"/>
        <v>0.74579778742853042</v>
      </c>
      <c r="BL54" s="129">
        <f t="shared" si="49"/>
        <v>0.92463469558891609</v>
      </c>
      <c r="BN54">
        <f t="shared" si="58"/>
        <v>1.0013354131605283</v>
      </c>
      <c r="BO54" s="129">
        <f t="shared" si="25"/>
        <v>1.0533526974988872</v>
      </c>
      <c r="BP54" s="129">
        <f t="shared" si="50"/>
        <v>1.0165168666657518</v>
      </c>
    </row>
    <row r="55" spans="1:68" x14ac:dyDescent="0.2">
      <c r="A55" s="133" t="s">
        <v>664</v>
      </c>
      <c r="B55" s="144">
        <f t="shared" si="13"/>
        <v>1994</v>
      </c>
      <c r="D55" s="4">
        <f>'Passenger-based Energy Use'!B52</f>
        <v>8469.6231530000005</v>
      </c>
      <c r="E55" s="4">
        <f>'Passenger-based Energy Use'!D52</f>
        <v>5512.1704348840503</v>
      </c>
      <c r="F55" s="4">
        <f>'Passenger-based Energy Use'!C52</f>
        <v>25.6</v>
      </c>
      <c r="G55" s="4">
        <f t="shared" si="42"/>
        <v>14007.393587884051</v>
      </c>
      <c r="H55" s="4"/>
      <c r="I55" s="4">
        <f>'Passenger-based Activity'!B53</f>
        <v>2249742.4</v>
      </c>
      <c r="J55" s="4">
        <f>'Passenger-based Activity'!C53</f>
        <v>1238707.0799999998</v>
      </c>
      <c r="K55" s="4">
        <f>'Passenger-based Activity'!D53</f>
        <v>11264</v>
      </c>
      <c r="L55" s="4">
        <f t="shared" si="26"/>
        <v>3499713.4799999995</v>
      </c>
      <c r="N55" s="4">
        <f t="shared" si="51"/>
        <v>3764.7079741218372</v>
      </c>
      <c r="O55" s="4">
        <f t="shared" si="52"/>
        <v>4449.9385882932484</v>
      </c>
      <c r="P55" s="4">
        <f t="shared" si="40"/>
        <v>2272.727272727273</v>
      </c>
      <c r="Q55" s="4">
        <f t="shared" si="53"/>
        <v>4002.4401048636851</v>
      </c>
      <c r="S55" s="129">
        <f t="shared" si="27"/>
        <v>0.91589745127273003</v>
      </c>
      <c r="T55" s="129">
        <f t="shared" si="28"/>
        <v>0.93915968169174291</v>
      </c>
      <c r="U55" s="129">
        <f t="shared" si="29"/>
        <v>0.96690433116952224</v>
      </c>
      <c r="V55" s="129">
        <f t="shared" si="30"/>
        <v>0.93951039691400651</v>
      </c>
      <c r="W55" s="141"/>
      <c r="X55" s="131">
        <f t="shared" si="31"/>
        <v>1.2053552028056349</v>
      </c>
      <c r="Y55" s="131">
        <f t="shared" si="32"/>
        <v>0.93951039691400651</v>
      </c>
      <c r="Z55" s="131">
        <f t="shared" si="33"/>
        <v>1.0161376882443776</v>
      </c>
      <c r="AA55" s="131">
        <f t="shared" si="34"/>
        <v>0.92458965727099196</v>
      </c>
      <c r="AB55" s="131">
        <f t="shared" si="35"/>
        <v>1.1324437450102858</v>
      </c>
      <c r="AC55" s="131">
        <f t="shared" si="36"/>
        <v>1.1324437450102849</v>
      </c>
      <c r="AD55" s="131"/>
      <c r="AE55" s="131">
        <f t="shared" si="37"/>
        <v>0.93951039691400717</v>
      </c>
      <c r="AH55" s="134"/>
      <c r="AJ55" s="136">
        <f t="shared" si="43"/>
        <v>0.60465375659365739</v>
      </c>
      <c r="AK55" s="136">
        <f t="shared" si="44"/>
        <v>0.39351863716115626</v>
      </c>
      <c r="AL55" s="136">
        <f t="shared" si="45"/>
        <v>1.8276062451863411E-3</v>
      </c>
      <c r="AN55">
        <f t="shared" si="14"/>
        <v>0.60665217646359937</v>
      </c>
      <c r="AO55">
        <f t="shared" si="15"/>
        <v>0.39152778303404856</v>
      </c>
      <c r="AP55">
        <f t="shared" si="16"/>
        <v>1.8144466353860837E-3</v>
      </c>
      <c r="AQ55" s="136">
        <f t="shared" si="17"/>
        <v>0.99999440613303403</v>
      </c>
      <c r="AS55">
        <f t="shared" si="18"/>
        <v>0.60665557001415216</v>
      </c>
      <c r="AT55">
        <f t="shared" si="19"/>
        <v>0.39152997320063182</v>
      </c>
      <c r="AU55">
        <f t="shared" si="20"/>
        <v>1.8144567852159557E-3</v>
      </c>
      <c r="AX55">
        <f t="shared" si="54"/>
        <v>-1.0475109718692097E-2</v>
      </c>
      <c r="AY55">
        <f t="shared" si="55"/>
        <v>1.610623347575444E-2</v>
      </c>
      <c r="AZ55">
        <f t="shared" si="56"/>
        <v>2.2204460492503128E-16</v>
      </c>
      <c r="BB55" s="136">
        <f t="shared" si="46"/>
        <v>0.64283616726246984</v>
      </c>
      <c r="BC55" s="136">
        <f t="shared" si="47"/>
        <v>0.35394528354361171</v>
      </c>
      <c r="BD55" s="136">
        <f t="shared" si="48"/>
        <v>3.2185491939185837E-3</v>
      </c>
      <c r="BF55">
        <f t="shared" si="21"/>
        <v>3.4577072254847589E-3</v>
      </c>
      <c r="BG55">
        <f t="shared" si="22"/>
        <v>-6.3755399625951776E-3</v>
      </c>
      <c r="BH55">
        <f t="shared" si="23"/>
        <v>1.404867350021201E-2</v>
      </c>
      <c r="BJ55">
        <f t="shared" si="57"/>
        <v>0.99995129069010824</v>
      </c>
      <c r="BK55" s="129">
        <f t="shared" si="24"/>
        <v>0.74576146013298594</v>
      </c>
      <c r="BL55" s="129">
        <f t="shared" si="49"/>
        <v>0.92458965727099196</v>
      </c>
      <c r="BN55">
        <f t="shared" si="58"/>
        <v>0.99962698265635475</v>
      </c>
      <c r="BO55" s="129">
        <f t="shared" si="25"/>
        <v>1.0529597786737446</v>
      </c>
      <c r="BP55" s="129">
        <f t="shared" si="50"/>
        <v>1.0161376882443776</v>
      </c>
    </row>
    <row r="56" spans="1:68" x14ac:dyDescent="0.2">
      <c r="A56" s="133" t="s">
        <v>664</v>
      </c>
      <c r="B56" s="144">
        <f t="shared" si="13"/>
        <v>1995</v>
      </c>
      <c r="D56" s="4">
        <f>'Passenger-based Energy Use'!B53</f>
        <v>8488.9323744000012</v>
      </c>
      <c r="E56" s="4">
        <f>'Passenger-based Energy Use'!D53</f>
        <v>5696.3153274999986</v>
      </c>
      <c r="F56" s="4">
        <f>'Passenger-based Energy Use'!C53</f>
        <v>24.782499999999999</v>
      </c>
      <c r="G56" s="4">
        <f t="shared" si="42"/>
        <v>14210.030201899999</v>
      </c>
      <c r="H56" s="4"/>
      <c r="I56" s="4">
        <f>'Passenger-based Activity'!B54</f>
        <v>2301456</v>
      </c>
      <c r="J56" s="4">
        <f>'Passenger-based Activity'!C54</f>
        <v>1264046.4000000001</v>
      </c>
      <c r="K56" s="4">
        <f>'Passenger-based Activity'!D54</f>
        <v>10776.7</v>
      </c>
      <c r="L56" s="4">
        <f t="shared" si="26"/>
        <v>3576279.1000000006</v>
      </c>
      <c r="N56" s="4">
        <f t="shared" si="51"/>
        <v>3688.5051786347431</v>
      </c>
      <c r="O56" s="4">
        <f t="shared" si="52"/>
        <v>4506.4131565898197</v>
      </c>
      <c r="P56" s="4">
        <f t="shared" si="40"/>
        <v>2299.6371802128665</v>
      </c>
      <c r="Q56" s="4">
        <f t="shared" si="53"/>
        <v>3973.4119750049704</v>
      </c>
      <c r="S56" s="129">
        <f t="shared" si="27"/>
        <v>0.89735844462301317</v>
      </c>
      <c r="T56" s="129">
        <f t="shared" si="28"/>
        <v>0.95107864114089546</v>
      </c>
      <c r="U56" s="129">
        <f t="shared" si="29"/>
        <v>0.97835282585316652</v>
      </c>
      <c r="V56" s="129">
        <f t="shared" si="30"/>
        <v>0.93269649612081496</v>
      </c>
      <c r="W56" s="141"/>
      <c r="X56" s="131">
        <f t="shared" si="31"/>
        <v>1.2317255811095871</v>
      </c>
      <c r="Y56" s="131">
        <f t="shared" si="32"/>
        <v>0.93269649612081496</v>
      </c>
      <c r="Z56" s="131">
        <f t="shared" si="33"/>
        <v>1.0161186913056044</v>
      </c>
      <c r="AA56" s="131">
        <f t="shared" si="34"/>
        <v>0.91790113113892202</v>
      </c>
      <c r="AB56" s="131">
        <f t="shared" si="35"/>
        <v>1.148826133683287</v>
      </c>
      <c r="AC56" s="131">
        <f t="shared" si="36"/>
        <v>1.1488261336832863</v>
      </c>
      <c r="AD56" s="131"/>
      <c r="AE56" s="131">
        <f t="shared" si="37"/>
        <v>0.9326964961208154</v>
      </c>
      <c r="AH56" s="134"/>
      <c r="AJ56" s="136">
        <f t="shared" si="43"/>
        <v>0.59739017115283544</v>
      </c>
      <c r="AK56" s="136">
        <f t="shared" si="44"/>
        <v>0.40086581425691509</v>
      </c>
      <c r="AL56" s="136">
        <f t="shared" si="45"/>
        <v>1.7440145902495247E-3</v>
      </c>
      <c r="AN56">
        <f t="shared" si="14"/>
        <v>0.60101464852949893</v>
      </c>
      <c r="AO56">
        <f t="shared" si="15"/>
        <v>0.39718089990773814</v>
      </c>
      <c r="AP56">
        <f t="shared" si="16"/>
        <v>1.7854843012724705E-3</v>
      </c>
      <c r="AQ56" s="136">
        <f t="shared" si="17"/>
        <v>0.99998103273850958</v>
      </c>
      <c r="AS56">
        <f t="shared" si="18"/>
        <v>0.60102604834772044</v>
      </c>
      <c r="AT56">
        <f t="shared" si="19"/>
        <v>0.39718843348461702</v>
      </c>
      <c r="AU56">
        <f t="shared" si="20"/>
        <v>1.7855181676624523E-3</v>
      </c>
      <c r="AX56">
        <f t="shared" si="54"/>
        <v>-2.0449019593400983E-2</v>
      </c>
      <c r="AY56">
        <f t="shared" si="55"/>
        <v>1.2611232429122238E-2</v>
      </c>
      <c r="AZ56">
        <f t="shared" si="56"/>
        <v>1.1770810688255001E-2</v>
      </c>
      <c r="BB56" s="136">
        <f t="shared" si="46"/>
        <v>0.64353366603853701</v>
      </c>
      <c r="BC56" s="136">
        <f t="shared" si="47"/>
        <v>0.35345295058207282</v>
      </c>
      <c r="BD56" s="136">
        <f t="shared" si="48"/>
        <v>3.0133833793900477E-3</v>
      </c>
      <c r="BF56">
        <f t="shared" si="21"/>
        <v>1.0844452759491204E-3</v>
      </c>
      <c r="BG56">
        <f t="shared" si="22"/>
        <v>-1.3919543964939416E-3</v>
      </c>
      <c r="BH56">
        <f t="shared" si="23"/>
        <v>-6.5867203325685519E-2</v>
      </c>
      <c r="BJ56">
        <f t="shared" si="57"/>
        <v>0.99276595181497951</v>
      </c>
      <c r="BK56" s="129">
        <f t="shared" si="24"/>
        <v>0.74036658579585268</v>
      </c>
      <c r="BL56" s="129">
        <f t="shared" si="49"/>
        <v>0.91790113113892202</v>
      </c>
      <c r="BN56">
        <f t="shared" si="58"/>
        <v>0.99998130475919467</v>
      </c>
      <c r="BO56" s="129">
        <f t="shared" si="25"/>
        <v>1.052940093337124</v>
      </c>
      <c r="BP56" s="129">
        <f t="shared" si="50"/>
        <v>1.0161186913056044</v>
      </c>
    </row>
    <row r="57" spans="1:68" x14ac:dyDescent="0.2">
      <c r="A57" s="133" t="s">
        <v>664</v>
      </c>
      <c r="B57" s="144">
        <f t="shared" si="13"/>
        <v>1996</v>
      </c>
      <c r="D57" s="4">
        <f>'Passenger-based Energy Use'!B54</f>
        <v>8633.443860899999</v>
      </c>
      <c r="E57" s="4">
        <f>'Passenger-based Energy Use'!D54</f>
        <v>5916.9143359674008</v>
      </c>
      <c r="F57" s="4">
        <f>'Passenger-based Energy Use'!C54</f>
        <v>24.4925</v>
      </c>
      <c r="G57" s="4">
        <f t="shared" si="42"/>
        <v>14574.850696867401</v>
      </c>
      <c r="H57" s="4"/>
      <c r="I57" s="4">
        <f>'Passenger-based Activity'!B55</f>
        <v>2344417.1300000004</v>
      </c>
      <c r="J57" s="4">
        <f>'Passenger-based Activity'!C55</f>
        <v>1322794.8</v>
      </c>
      <c r="K57" s="4">
        <f>'Passenger-based Activity'!D55</f>
        <v>10912</v>
      </c>
      <c r="L57" s="4">
        <f t="shared" si="26"/>
        <v>3678123.9300000006</v>
      </c>
      <c r="N57" s="4">
        <f t="shared" si="51"/>
        <v>3682.5545038139171</v>
      </c>
      <c r="O57" s="4">
        <f t="shared" si="52"/>
        <v>4473.0402145271519</v>
      </c>
      <c r="P57" s="4">
        <f t="shared" si="40"/>
        <v>2244.5472873900294</v>
      </c>
      <c r="Q57" s="4">
        <f t="shared" si="53"/>
        <v>3962.5773829941063</v>
      </c>
      <c r="S57" s="129">
        <f t="shared" si="27"/>
        <v>0.89591073395349741</v>
      </c>
      <c r="T57" s="129">
        <f t="shared" si="28"/>
        <v>0.94403528064887721</v>
      </c>
      <c r="U57" s="129">
        <f t="shared" si="29"/>
        <v>0.95491549722457758</v>
      </c>
      <c r="V57" s="129">
        <f t="shared" si="30"/>
        <v>0.93015324461077764</v>
      </c>
      <c r="W57" s="141"/>
      <c r="X57" s="131">
        <f t="shared" si="31"/>
        <v>1.266802508526901</v>
      </c>
      <c r="Y57" s="131">
        <f t="shared" si="32"/>
        <v>0.93015324461077764</v>
      </c>
      <c r="Z57" s="131">
        <f t="shared" si="33"/>
        <v>1.0174101549007095</v>
      </c>
      <c r="AA57" s="131">
        <f t="shared" si="34"/>
        <v>0.91423624988444629</v>
      </c>
      <c r="AB57" s="131">
        <f t="shared" si="35"/>
        <v>1.1783204635873701</v>
      </c>
      <c r="AC57" s="131">
        <f t="shared" si="36"/>
        <v>1.1783204635873694</v>
      </c>
      <c r="AD57" s="131"/>
      <c r="AE57" s="131">
        <f t="shared" si="37"/>
        <v>0.93015324461077831</v>
      </c>
      <c r="AH57" s="134"/>
      <c r="AJ57" s="136">
        <f t="shared" si="43"/>
        <v>0.59235213042392265</v>
      </c>
      <c r="AK57" s="136">
        <f t="shared" si="44"/>
        <v>0.40596740639265239</v>
      </c>
      <c r="AL57" s="136">
        <f t="shared" si="45"/>
        <v>1.6804631834248715E-3</v>
      </c>
      <c r="AN57">
        <f t="shared" si="14"/>
        <v>0.5948675951198209</v>
      </c>
      <c r="AO57">
        <f t="shared" si="15"/>
        <v>0.4034112340547083</v>
      </c>
      <c r="AP57">
        <f t="shared" si="16"/>
        <v>1.7120423044401289E-3</v>
      </c>
      <c r="AQ57" s="136">
        <f t="shared" si="17"/>
        <v>0.99999087147896937</v>
      </c>
      <c r="AS57">
        <f t="shared" si="18"/>
        <v>0.59487302543074405</v>
      </c>
      <c r="AT57">
        <f t="shared" si="19"/>
        <v>0.40341491663625889</v>
      </c>
      <c r="AU57">
        <f t="shared" si="20"/>
        <v>1.712057932996976E-3</v>
      </c>
      <c r="AX57">
        <f t="shared" si="54"/>
        <v>-1.614605326763129E-3</v>
      </c>
      <c r="AY57">
        <f t="shared" si="55"/>
        <v>-7.4332132135915552E-3</v>
      </c>
      <c r="AZ57">
        <f t="shared" si="56"/>
        <v>-2.4247515622531204E-2</v>
      </c>
      <c r="BB57" s="136">
        <f t="shared" si="46"/>
        <v>0.63739481719964775</v>
      </c>
      <c r="BC57" s="136">
        <f t="shared" si="47"/>
        <v>0.35963845296534092</v>
      </c>
      <c r="BD57" s="136">
        <f t="shared" si="48"/>
        <v>2.9667298350112958E-3</v>
      </c>
      <c r="BF57">
        <f t="shared" si="21"/>
        <v>-9.5850719520977519E-3</v>
      </c>
      <c r="BG57">
        <f t="shared" si="22"/>
        <v>1.734884895750154E-2</v>
      </c>
      <c r="BH57">
        <f t="shared" si="23"/>
        <v>-1.5603213258987725E-2</v>
      </c>
      <c r="BJ57">
        <f t="shared" si="57"/>
        <v>0.99600732461247943</v>
      </c>
      <c r="BK57" s="129">
        <f t="shared" si="24"/>
        <v>0.7374105423510029</v>
      </c>
      <c r="BL57" s="129">
        <f t="shared" si="49"/>
        <v>0.91423624988444629</v>
      </c>
      <c r="BN57">
        <f t="shared" si="58"/>
        <v>1.0012709771074535</v>
      </c>
      <c r="BO57" s="129">
        <f t="shared" si="25"/>
        <v>1.0542783560912754</v>
      </c>
      <c r="BP57" s="129">
        <f t="shared" si="50"/>
        <v>1.0174101549007095</v>
      </c>
    </row>
    <row r="58" spans="1:68" x14ac:dyDescent="0.2">
      <c r="A58" s="133" t="s">
        <v>664</v>
      </c>
      <c r="B58" s="144">
        <f t="shared" si="13"/>
        <v>1997</v>
      </c>
      <c r="D58" s="4">
        <f>'Passenger-based Energy Use'!B55</f>
        <v>8713.9877868000003</v>
      </c>
      <c r="E58" s="4">
        <f>'Passenger-based Energy Use'!D55</f>
        <v>6168.4723015999998</v>
      </c>
      <c r="F58" s="4">
        <f>'Passenger-based Energy Use'!C55</f>
        <v>25.202500000000001</v>
      </c>
      <c r="G58" s="4">
        <f t="shared" si="42"/>
        <v>14907.662588399999</v>
      </c>
      <c r="H58" s="4"/>
      <c r="I58" s="4">
        <f>'Passenger-based Activity'!B56</f>
        <v>2389064.0400000005</v>
      </c>
      <c r="J58" s="4">
        <f>'Passenger-based Activity'!C56</f>
        <v>1395211.9600000002</v>
      </c>
      <c r="K58" s="4">
        <f>'Passenger-based Activity'!D56</f>
        <v>11089.1</v>
      </c>
      <c r="L58" s="4">
        <f t="shared" si="26"/>
        <v>3795365.100000001</v>
      </c>
      <c r="N58" s="4">
        <f t="shared" si="51"/>
        <v>3647.4483902072375</v>
      </c>
      <c r="O58" s="4">
        <f t="shared" si="52"/>
        <v>4421.1721791719729</v>
      </c>
      <c r="P58" s="4">
        <f t="shared" si="40"/>
        <v>2272.7272727272725</v>
      </c>
      <c r="Q58" s="4">
        <f t="shared" si="53"/>
        <v>3927.8599543427313</v>
      </c>
      <c r="S58" s="129">
        <f t="shared" si="27"/>
        <v>0.88736993870524206</v>
      </c>
      <c r="T58" s="129">
        <f t="shared" si="28"/>
        <v>0.9330885301246572</v>
      </c>
      <c r="U58" s="129">
        <f t="shared" si="29"/>
        <v>0.96690433116952212</v>
      </c>
      <c r="V58" s="129">
        <f t="shared" si="30"/>
        <v>0.92200386965012526</v>
      </c>
      <c r="W58" s="141"/>
      <c r="X58" s="131">
        <f t="shared" si="31"/>
        <v>1.3071821724765682</v>
      </c>
      <c r="Y58" s="131">
        <f t="shared" si="32"/>
        <v>0.92200386965012526</v>
      </c>
      <c r="Z58" s="131">
        <f t="shared" si="33"/>
        <v>1.01903538049654</v>
      </c>
      <c r="AA58" s="131">
        <f t="shared" si="34"/>
        <v>0.90478101869325278</v>
      </c>
      <c r="AB58" s="131">
        <f t="shared" si="35"/>
        <v>1.2052270213610543</v>
      </c>
      <c r="AC58" s="131">
        <f t="shared" si="36"/>
        <v>1.2052270213610532</v>
      </c>
      <c r="AD58" s="131"/>
      <c r="AE58" s="131">
        <f t="shared" si="37"/>
        <v>0.92200386965012593</v>
      </c>
      <c r="AH58" s="134"/>
      <c r="AJ58" s="136">
        <f t="shared" si="43"/>
        <v>0.58453078979534712</v>
      </c>
      <c r="AK58" s="136">
        <f t="shared" si="44"/>
        <v>0.41377863665896442</v>
      </c>
      <c r="AL58" s="136">
        <f t="shared" si="45"/>
        <v>1.6905735456885546E-3</v>
      </c>
      <c r="AN58">
        <f t="shared" si="14"/>
        <v>0.58843279681658445</v>
      </c>
      <c r="AO58">
        <f t="shared" si="15"/>
        <v>0.40986061589599554</v>
      </c>
      <c r="AP58">
        <f t="shared" si="16"/>
        <v>1.685513310737031E-3</v>
      </c>
      <c r="AQ58" s="136">
        <f t="shared" si="17"/>
        <v>0.99997892602331706</v>
      </c>
      <c r="AS58">
        <f t="shared" si="18"/>
        <v>0.58844519769695991</v>
      </c>
      <c r="AT58">
        <f t="shared" si="19"/>
        <v>0.40986925347108627</v>
      </c>
      <c r="AU58">
        <f t="shared" si="20"/>
        <v>1.6855488319538136E-3</v>
      </c>
      <c r="AX58">
        <f t="shared" si="54"/>
        <v>-9.578818055142671E-3</v>
      </c>
      <c r="AY58">
        <f t="shared" si="55"/>
        <v>-1.1663455076635148E-2</v>
      </c>
      <c r="AZ58">
        <f t="shared" si="56"/>
        <v>1.2476704934276141E-2</v>
      </c>
      <c r="BB58" s="136">
        <f t="shared" si="46"/>
        <v>0.62946883291939415</v>
      </c>
      <c r="BC58" s="136">
        <f t="shared" si="47"/>
        <v>0.36760941918341394</v>
      </c>
      <c r="BD58" s="136">
        <f t="shared" si="48"/>
        <v>2.9217478971917607E-3</v>
      </c>
      <c r="BF58">
        <f t="shared" si="21"/>
        <v>-1.2512929383940719E-2</v>
      </c>
      <c r="BG58">
        <f t="shared" si="22"/>
        <v>2.1921784124742875E-2</v>
      </c>
      <c r="BH58">
        <f t="shared" si="23"/>
        <v>-1.5278248421340413E-2</v>
      </c>
      <c r="BJ58">
        <f t="shared" si="57"/>
        <v>0.98965778135313653</v>
      </c>
      <c r="BK58" s="129">
        <f t="shared" si="24"/>
        <v>0.72978408128950667</v>
      </c>
      <c r="BL58" s="129">
        <f t="shared" si="49"/>
        <v>0.90478101869325278</v>
      </c>
      <c r="BN58">
        <f t="shared" si="58"/>
        <v>1.0015974143643074</v>
      </c>
      <c r="BO58" s="129">
        <f t="shared" si="25"/>
        <v>1.055962475481274</v>
      </c>
      <c r="BP58" s="129">
        <f t="shared" si="50"/>
        <v>1.01903538049654</v>
      </c>
    </row>
    <row r="59" spans="1:68" x14ac:dyDescent="0.2">
      <c r="A59" s="133" t="s">
        <v>664</v>
      </c>
      <c r="B59" s="144">
        <f t="shared" si="13"/>
        <v>1998</v>
      </c>
      <c r="D59" s="4">
        <f>'Passenger-based Energy Use'!B56</f>
        <v>8937.7926494999992</v>
      </c>
      <c r="E59" s="4">
        <f>'Passenger-based Energy Use'!D56</f>
        <v>6303.703900200001</v>
      </c>
      <c r="F59" s="4">
        <f>'Passenger-based Energy Use'!C56</f>
        <v>25.7075</v>
      </c>
      <c r="G59" s="4">
        <f t="shared" si="42"/>
        <v>15267.204049700002</v>
      </c>
      <c r="H59" s="4"/>
      <c r="I59" s="4">
        <f>'Passenger-based Activity'!B57</f>
        <v>2456079.5450000009</v>
      </c>
      <c r="J59" s="4">
        <f>'Passenger-based Activity'!C57</f>
        <v>1441336.5000000002</v>
      </c>
      <c r="K59" s="4">
        <f>'Passenger-based Activity'!D57</f>
        <v>11311.300000000001</v>
      </c>
      <c r="L59" s="4">
        <f t="shared" si="26"/>
        <v>3908727.3450000007</v>
      </c>
      <c r="N59" s="4">
        <f t="shared" si="51"/>
        <v>3639.0485266225351</v>
      </c>
      <c r="O59" s="4">
        <f t="shared" si="52"/>
        <v>4373.5129861763717</v>
      </c>
      <c r="P59" s="4">
        <f t="shared" si="40"/>
        <v>2272.7272727272725</v>
      </c>
      <c r="Q59" s="4">
        <f t="shared" si="53"/>
        <v>3905.9270965086971</v>
      </c>
      <c r="S59" s="129">
        <f t="shared" si="27"/>
        <v>0.88532637684037729</v>
      </c>
      <c r="T59" s="129">
        <f t="shared" si="28"/>
        <v>0.92303005591533083</v>
      </c>
      <c r="U59" s="129">
        <f t="shared" si="29"/>
        <v>0.96690433116952212</v>
      </c>
      <c r="V59" s="129">
        <f t="shared" si="30"/>
        <v>0.91685547331458195</v>
      </c>
      <c r="W59" s="141"/>
      <c r="X59" s="131">
        <f t="shared" si="31"/>
        <v>1.3462258749377414</v>
      </c>
      <c r="Y59" s="131">
        <f t="shared" si="32"/>
        <v>0.91685547331458195</v>
      </c>
      <c r="Z59" s="131">
        <f t="shared" si="33"/>
        <v>1.0192687660636162</v>
      </c>
      <c r="AA59" s="131">
        <f t="shared" si="34"/>
        <v>0.89952277931114255</v>
      </c>
      <c r="AB59" s="131">
        <f t="shared" si="35"/>
        <v>1.2342945617543812</v>
      </c>
      <c r="AC59" s="131">
        <f t="shared" si="36"/>
        <v>1.2342945617543799</v>
      </c>
      <c r="AD59" s="131"/>
      <c r="AE59" s="131">
        <f t="shared" si="37"/>
        <v>0.91685547331458284</v>
      </c>
      <c r="AH59" s="134"/>
      <c r="AJ59" s="136">
        <f t="shared" si="43"/>
        <v>0.58542432657639276</v>
      </c>
      <c r="AK59" s="136">
        <f t="shared" si="44"/>
        <v>0.41289183531439522</v>
      </c>
      <c r="AL59" s="136">
        <f t="shared" si="45"/>
        <v>1.6838381092119581E-3</v>
      </c>
      <c r="AN59">
        <f t="shared" si="14"/>
        <v>0.58497744444814903</v>
      </c>
      <c r="AO59">
        <f t="shared" si="15"/>
        <v>0.41333507743561748</v>
      </c>
      <c r="AP59">
        <f t="shared" si="16"/>
        <v>1.6872035867558008E-3</v>
      </c>
      <c r="AQ59" s="136">
        <f t="shared" si="17"/>
        <v>0.99999972547052229</v>
      </c>
      <c r="AS59">
        <f t="shared" si="18"/>
        <v>0.58497760504174545</v>
      </c>
      <c r="AT59">
        <f t="shared" si="19"/>
        <v>0.41333519090831156</v>
      </c>
      <c r="AU59">
        <f t="shared" si="20"/>
        <v>1.6872040499430474E-3</v>
      </c>
      <c r="AX59">
        <f t="shared" si="54"/>
        <v>-2.3055982597861876E-3</v>
      </c>
      <c r="AY59">
        <f t="shared" si="55"/>
        <v>-1.0838286677988074E-2</v>
      </c>
      <c r="AZ59">
        <f t="shared" si="56"/>
        <v>0</v>
      </c>
      <c r="BB59" s="136">
        <f t="shared" si="46"/>
        <v>0.62835785876489691</v>
      </c>
      <c r="BC59" s="136">
        <f t="shared" si="47"/>
        <v>0.36874828372046503</v>
      </c>
      <c r="BD59" s="136">
        <f t="shared" si="48"/>
        <v>2.893857514638182E-3</v>
      </c>
      <c r="BF59">
        <f t="shared" si="21"/>
        <v>-1.766498438526E-3</v>
      </c>
      <c r="BG59">
        <f t="shared" si="22"/>
        <v>3.0932397138699374E-3</v>
      </c>
      <c r="BH59">
        <f t="shared" si="23"/>
        <v>-9.5916398735546044E-3</v>
      </c>
      <c r="BJ59">
        <f t="shared" si="57"/>
        <v>0.9941883845113102</v>
      </c>
      <c r="BK59" s="129">
        <f t="shared" si="24"/>
        <v>0.72554285681928532</v>
      </c>
      <c r="BL59" s="129">
        <f t="shared" si="49"/>
        <v>0.89952277931114255</v>
      </c>
      <c r="BN59">
        <f t="shared" si="58"/>
        <v>1.0002290259705824</v>
      </c>
      <c r="BO59" s="129">
        <f t="shared" si="25"/>
        <v>1.0562043183121197</v>
      </c>
      <c r="BP59" s="129">
        <f t="shared" si="50"/>
        <v>1.0192687660636162</v>
      </c>
    </row>
    <row r="60" spans="1:68" x14ac:dyDescent="0.2">
      <c r="A60" s="133" t="s">
        <v>664</v>
      </c>
      <c r="B60" s="144">
        <f t="shared" si="13"/>
        <v>1999</v>
      </c>
      <c r="D60" s="4">
        <f>'Passenger-based Energy Use'!B57</f>
        <v>9133.3482296000002</v>
      </c>
      <c r="E60" s="4">
        <f>'Passenger-based Energy Use'!D57</f>
        <v>6602.4887503031996</v>
      </c>
      <c r="F60" s="4">
        <f>'Passenger-based Energy Use'!C57</f>
        <v>26.46</v>
      </c>
      <c r="G60" s="4">
        <f t="shared" si="42"/>
        <v>15762.2969799032</v>
      </c>
      <c r="H60" s="4"/>
      <c r="I60" s="4">
        <f>'Passenger-based Activity'!B58</f>
        <v>2479178.0000000009</v>
      </c>
      <c r="J60" s="4">
        <f>'Passenger-based Activity'!C58</f>
        <v>1513716.9600000002</v>
      </c>
      <c r="K60" s="4">
        <f>'Passenger-based Activity'!D58</f>
        <v>11642.400000000001</v>
      </c>
      <c r="L60" s="4">
        <f t="shared" si="26"/>
        <v>4004537.3600000008</v>
      </c>
      <c r="N60" s="4">
        <f t="shared" si="51"/>
        <v>3684.02278077653</v>
      </c>
      <c r="O60" s="4">
        <f t="shared" si="52"/>
        <v>4361.7723291566999</v>
      </c>
      <c r="P60" s="4">
        <f t="shared" si="40"/>
        <v>2272.7272727272725</v>
      </c>
      <c r="Q60" s="4">
        <f t="shared" si="53"/>
        <v>3936.1093586858674</v>
      </c>
      <c r="S60" s="129">
        <f t="shared" si="27"/>
        <v>0.8962679438983493</v>
      </c>
      <c r="T60" s="129">
        <f t="shared" si="28"/>
        <v>0.92055218987500953</v>
      </c>
      <c r="U60" s="129">
        <f t="shared" si="29"/>
        <v>0.96690433116952212</v>
      </c>
      <c r="V60" s="129">
        <f t="shared" si="30"/>
        <v>0.92394028867093858</v>
      </c>
      <c r="W60" s="141"/>
      <c r="X60" s="131">
        <f t="shared" si="31"/>
        <v>1.379224319159277</v>
      </c>
      <c r="Y60" s="131">
        <f t="shared" si="32"/>
        <v>0.92394028867093858</v>
      </c>
      <c r="Z60" s="131">
        <f t="shared" si="33"/>
        <v>1.0209636344803736</v>
      </c>
      <c r="AA60" s="131">
        <f t="shared" si="34"/>
        <v>0.90496885243242275</v>
      </c>
      <c r="AB60" s="131">
        <f t="shared" si="35"/>
        <v>1.274320915586002</v>
      </c>
      <c r="AC60" s="131">
        <f t="shared" si="36"/>
        <v>1.2743209155860009</v>
      </c>
      <c r="AD60" s="131"/>
      <c r="AE60" s="131">
        <f t="shared" si="37"/>
        <v>0.92394028867093925</v>
      </c>
      <c r="AH60" s="134"/>
      <c r="AJ60" s="136">
        <f t="shared" si="43"/>
        <v>0.57944271962677429</v>
      </c>
      <c r="AK60" s="136">
        <f t="shared" si="44"/>
        <v>0.41887859102777464</v>
      </c>
      <c r="AL60" s="136">
        <f t="shared" si="45"/>
        <v>1.6786893454511283E-3</v>
      </c>
      <c r="AN60">
        <f t="shared" si="14"/>
        <v>0.58242840379442173</v>
      </c>
      <c r="AO60">
        <f t="shared" si="15"/>
        <v>0.41587803135384616</v>
      </c>
      <c r="AP60">
        <f t="shared" si="16"/>
        <v>1.6812624133504884E-3</v>
      </c>
      <c r="AQ60" s="136">
        <f t="shared" si="17"/>
        <v>0.99998769756161843</v>
      </c>
      <c r="AS60">
        <f t="shared" si="18"/>
        <v>0.58243556917212269</v>
      </c>
      <c r="AT60">
        <f t="shared" si="19"/>
        <v>0.41588314773064505</v>
      </c>
      <c r="AU60">
        <f t="shared" si="20"/>
        <v>1.6812830972321941E-3</v>
      </c>
      <c r="AX60">
        <f t="shared" si="54"/>
        <v>1.2283048386604246E-2</v>
      </c>
      <c r="AY60">
        <f t="shared" si="55"/>
        <v>-2.688100884073924E-3</v>
      </c>
      <c r="AZ60">
        <f t="shared" si="56"/>
        <v>0</v>
      </c>
      <c r="BB60" s="136">
        <f t="shared" si="46"/>
        <v>0.61909223890971521</v>
      </c>
      <c r="BC60" s="136">
        <f t="shared" si="47"/>
        <v>0.378000458959384</v>
      </c>
      <c r="BD60" s="136">
        <f t="shared" si="48"/>
        <v>2.9073021309008336E-3</v>
      </c>
      <c r="BF60">
        <f t="shared" si="21"/>
        <v>-1.4855568607819825E-2</v>
      </c>
      <c r="BG60">
        <f t="shared" si="22"/>
        <v>2.4781156471299845E-2</v>
      </c>
      <c r="BH60">
        <f t="shared" si="23"/>
        <v>4.6351561257512875E-3</v>
      </c>
      <c r="BJ60">
        <f t="shared" si="57"/>
        <v>1.0060544026749949</v>
      </c>
      <c r="BK60" s="129">
        <f t="shared" si="24"/>
        <v>0.72993558543243542</v>
      </c>
      <c r="BL60" s="129">
        <f t="shared" si="49"/>
        <v>0.90496885243242275</v>
      </c>
      <c r="BN60">
        <f t="shared" si="58"/>
        <v>1.0016628277773125</v>
      </c>
      <c r="BO60" s="129">
        <f t="shared" si="25"/>
        <v>1.0579606041911265</v>
      </c>
      <c r="BP60" s="129">
        <f t="shared" si="50"/>
        <v>1.0209636344803736</v>
      </c>
    </row>
    <row r="61" spans="1:68" ht="12" customHeight="1" x14ac:dyDescent="0.2">
      <c r="A61" s="133" t="s">
        <v>664</v>
      </c>
      <c r="B61" s="144">
        <f t="shared" si="13"/>
        <v>2000</v>
      </c>
      <c r="D61" s="4">
        <f>'Passenger-based Energy Use'!B58</f>
        <v>9100.3845734999995</v>
      </c>
      <c r="E61" s="4">
        <f>'Passenger-based Energy Use'!D58</f>
        <v>6606.8824901999997</v>
      </c>
      <c r="F61" s="4">
        <f>'Passenger-based Energy Use'!C58</f>
        <v>26.172499999999999</v>
      </c>
      <c r="G61" s="4">
        <f t="shared" si="42"/>
        <v>15733.4395637</v>
      </c>
      <c r="H61" s="263"/>
      <c r="I61" s="4">
        <f>'Passenger-based Activity'!B59</f>
        <v>2520452.0250000008</v>
      </c>
      <c r="J61" s="4">
        <f>'Passenger-based Activity'!C59</f>
        <v>1569200.3000000003</v>
      </c>
      <c r="K61" s="4">
        <f>'Passenger-based Activity'!D59</f>
        <v>11515.900000000001</v>
      </c>
      <c r="L61" s="4">
        <f t="shared" si="26"/>
        <v>4101168.225000001</v>
      </c>
      <c r="M61" s="263"/>
      <c r="N61" s="4">
        <f t="shared" si="51"/>
        <v>3610.616065386127</v>
      </c>
      <c r="O61" s="4">
        <f t="shared" si="52"/>
        <v>4210.3500045214096</v>
      </c>
      <c r="P61" s="4">
        <f t="shared" si="40"/>
        <v>2272.7272727272721</v>
      </c>
      <c r="Q61" s="4">
        <f t="shared" si="53"/>
        <v>3836.3311867559387</v>
      </c>
      <c r="R61" s="263"/>
      <c r="S61" s="141">
        <f t="shared" si="27"/>
        <v>0.87840918194535733</v>
      </c>
      <c r="T61" s="141">
        <f t="shared" si="28"/>
        <v>0.88859450340724033</v>
      </c>
      <c r="U61" s="129">
        <f t="shared" si="29"/>
        <v>0.9669043311695219</v>
      </c>
      <c r="V61" s="129">
        <f t="shared" si="30"/>
        <v>0.90051891884223656</v>
      </c>
      <c r="W61" s="141"/>
      <c r="X61" s="131">
        <f t="shared" si="31"/>
        <v>1.4125054767583154</v>
      </c>
      <c r="Y61" s="131">
        <f t="shared" si="32"/>
        <v>0.90051891884223656</v>
      </c>
      <c r="Z61" s="131">
        <f t="shared" si="33"/>
        <v>1.0217749395133924</v>
      </c>
      <c r="AA61" s="131">
        <f t="shared" si="34"/>
        <v>0.88132805377972812</v>
      </c>
      <c r="AB61" s="131">
        <f t="shared" si="35"/>
        <v>1.2719879047891374</v>
      </c>
      <c r="AC61" s="131">
        <f t="shared" si="36"/>
        <v>1.2719879047891358</v>
      </c>
      <c r="AD61" s="131"/>
      <c r="AE61" s="131">
        <f t="shared" si="37"/>
        <v>0.90051891884223756</v>
      </c>
      <c r="AH61" s="134"/>
      <c r="AJ61" s="136">
        <f t="shared" si="43"/>
        <v>0.57841036835303938</v>
      </c>
      <c r="AK61" s="136">
        <f t="shared" si="44"/>
        <v>0.41992613652283117</v>
      </c>
      <c r="AL61" s="136">
        <f t="shared" si="45"/>
        <v>1.663495124129429E-3</v>
      </c>
      <c r="AN61">
        <f t="shared" si="14"/>
        <v>0.57892639058108297</v>
      </c>
      <c r="AO61">
        <f t="shared" si="15"/>
        <v>0.41940214573648354</v>
      </c>
      <c r="AP61">
        <f t="shared" si="16"/>
        <v>1.6710807220787524E-3</v>
      </c>
      <c r="AQ61" s="136">
        <f t="shared" si="17"/>
        <v>0.99999961703964524</v>
      </c>
      <c r="AS61">
        <f t="shared" si="18"/>
        <v>0.5789266122870238</v>
      </c>
      <c r="AT61">
        <f t="shared" si="19"/>
        <v>0.41940230635093956</v>
      </c>
      <c r="AU61">
        <f t="shared" si="20"/>
        <v>1.6710813620366637E-3</v>
      </c>
      <c r="AX61">
        <f t="shared" si="54"/>
        <v>-2.0126889064469456E-2</v>
      </c>
      <c r="AY61">
        <f t="shared" si="55"/>
        <v>-3.5332691571677927E-2</v>
      </c>
      <c r="AZ61">
        <f t="shared" si="56"/>
        <v>-2.2204460492503131E-16</v>
      </c>
      <c r="BB61" s="136">
        <f t="shared" si="46"/>
        <v>0.61456928531625898</v>
      </c>
      <c r="BC61" s="136">
        <f t="shared" si="47"/>
        <v>0.38262275866530687</v>
      </c>
      <c r="BD61" s="136">
        <f t="shared" si="48"/>
        <v>2.8079560184342349E-3</v>
      </c>
      <c r="BF61">
        <f t="shared" si="21"/>
        <v>-7.3326009932268938E-3</v>
      </c>
      <c r="BG61">
        <f t="shared" si="22"/>
        <v>1.2154129667069032E-2</v>
      </c>
      <c r="BH61">
        <f t="shared" si="23"/>
        <v>-3.4768725284462954E-2</v>
      </c>
      <c r="BJ61">
        <f t="shared" si="57"/>
        <v>0.9738766714576399</v>
      </c>
      <c r="BK61" s="129">
        <f t="shared" si="24"/>
        <v>0.710867238319424</v>
      </c>
      <c r="BL61" s="129">
        <f t="shared" si="49"/>
        <v>0.88132805377972812</v>
      </c>
      <c r="BN61">
        <f t="shared" si="58"/>
        <v>1.0007946463572441</v>
      </c>
      <c r="BO61" s="129">
        <f t="shared" si="25"/>
        <v>1.0588013087313548</v>
      </c>
      <c r="BP61" s="129">
        <f t="shared" si="50"/>
        <v>1.0217749395133924</v>
      </c>
    </row>
    <row r="62" spans="1:68" x14ac:dyDescent="0.2">
      <c r="A62" s="133" t="s">
        <v>664</v>
      </c>
      <c r="B62" s="144">
        <f t="shared" si="13"/>
        <v>2001</v>
      </c>
      <c r="D62" s="4">
        <f>'Passenger-based Energy Use'!B59</f>
        <v>9160.7068445000004</v>
      </c>
      <c r="E62" s="4">
        <f>'Passenger-based Energy Use'!D59</f>
        <v>6677.6937388000006</v>
      </c>
      <c r="F62" s="4">
        <f>'Passenger-based Energy Use'!C59</f>
        <v>24.0975</v>
      </c>
      <c r="G62" s="4">
        <f t="shared" si="42"/>
        <v>15862.498083300001</v>
      </c>
      <c r="H62" s="4"/>
      <c r="I62" s="4">
        <f>'Passenger-based Activity'!B60</f>
        <v>2556490.66</v>
      </c>
      <c r="J62" s="4">
        <f>'Passenger-based Activity'!C60</f>
        <v>1622316.04</v>
      </c>
      <c r="K62" s="4">
        <f>'Passenger-based Activity'!D60</f>
        <v>10596.300000000001</v>
      </c>
      <c r="L62" s="4">
        <f t="shared" si="26"/>
        <v>4189403</v>
      </c>
      <c r="N62" s="4">
        <f t="shared" ref="N62:N68" si="59">D62/I62*1000000</f>
        <v>3583.3132457053453</v>
      </c>
      <c r="O62" s="4">
        <f t="shared" ref="O62:O68" si="60">E62/J62*1000000</f>
        <v>4116.1485026061873</v>
      </c>
      <c r="P62" s="4">
        <f t="shared" si="40"/>
        <v>2274.1428611873957</v>
      </c>
      <c r="Q62" s="4">
        <f t="shared" ref="Q62:Q68" si="61">G62/L62*1000000</f>
        <v>3786.3385506956483</v>
      </c>
      <c r="S62" s="141">
        <f t="shared" si="27"/>
        <v>0.87176681203776307</v>
      </c>
      <c r="T62" s="141">
        <f t="shared" si="28"/>
        <v>0.86871327340862226</v>
      </c>
      <c r="U62" s="129">
        <f t="shared" si="29"/>
        <v>0.96750657615935065</v>
      </c>
      <c r="V62" s="129">
        <f t="shared" si="30"/>
        <v>0.88878392715786236</v>
      </c>
      <c r="W62" s="141"/>
      <c r="X62" s="131">
        <f t="shared" si="31"/>
        <v>1.4428948916982587</v>
      </c>
      <c r="Y62" s="131">
        <f t="shared" si="32"/>
        <v>0.88878392715786236</v>
      </c>
      <c r="Z62" s="131">
        <f t="shared" si="33"/>
        <v>1.0225752236438588</v>
      </c>
      <c r="AA62" s="131">
        <f t="shared" si="34"/>
        <v>0.8691623917805853</v>
      </c>
      <c r="AB62" s="131">
        <f t="shared" si="35"/>
        <v>1.2824217883195981</v>
      </c>
      <c r="AC62" s="131">
        <f t="shared" si="36"/>
        <v>1.2824217883195967</v>
      </c>
      <c r="AD62" s="131"/>
      <c r="AE62" s="131">
        <f t="shared" si="37"/>
        <v>0.88878392715786325</v>
      </c>
      <c r="AH62" s="134"/>
      <c r="AJ62" s="136">
        <f t="shared" si="43"/>
        <v>0.57750719945834827</v>
      </c>
      <c r="AK62" s="136">
        <f t="shared" si="44"/>
        <v>0.4209736514219195</v>
      </c>
      <c r="AL62" s="136">
        <f t="shared" si="45"/>
        <v>1.519149119732269E-3</v>
      </c>
      <c r="AN62">
        <f t="shared" si="14"/>
        <v>0.5779586662914652</v>
      </c>
      <c r="AO62">
        <f t="shared" si="15"/>
        <v>0.42044967648948278</v>
      </c>
      <c r="AP62">
        <f t="shared" si="16"/>
        <v>1.5902304086253993E-3</v>
      </c>
      <c r="AQ62" s="136">
        <f t="shared" si="17"/>
        <v>0.99999857318957341</v>
      </c>
      <c r="AS62">
        <f t="shared" si="18"/>
        <v>0.57795949093009302</v>
      </c>
      <c r="AT62">
        <f t="shared" si="19"/>
        <v>0.42045027639232102</v>
      </c>
      <c r="AU62">
        <f t="shared" si="20"/>
        <v>1.5902326775859644E-3</v>
      </c>
      <c r="AX62">
        <f t="shared" si="54"/>
        <v>-7.5905529762779868E-3</v>
      </c>
      <c r="AY62">
        <f t="shared" si="55"/>
        <v>-2.2627884033193768E-2</v>
      </c>
      <c r="AZ62">
        <f t="shared" si="56"/>
        <v>6.2266502634485761E-4</v>
      </c>
      <c r="BB62" s="136">
        <f t="shared" si="46"/>
        <v>0.61022791552877587</v>
      </c>
      <c r="BC62" s="136">
        <f t="shared" si="47"/>
        <v>0.38724277420911762</v>
      </c>
      <c r="BD62" s="136">
        <f t="shared" si="48"/>
        <v>2.5293102621065581E-3</v>
      </c>
      <c r="BF62">
        <f t="shared" si="21"/>
        <v>-7.0891539695990694E-3</v>
      </c>
      <c r="BG62">
        <f t="shared" si="22"/>
        <v>1.2002280418211227E-2</v>
      </c>
      <c r="BH62">
        <f t="shared" si="23"/>
        <v>-0.10451018119258579</v>
      </c>
      <c r="BJ62">
        <f t="shared" si="57"/>
        <v>0.98619621610027253</v>
      </c>
      <c r="BK62">
        <f t="shared" si="24"/>
        <v>0.7010545805802666</v>
      </c>
      <c r="BL62" s="129">
        <f t="shared" si="49"/>
        <v>0.8691623917805853</v>
      </c>
      <c r="BN62">
        <f t="shared" si="58"/>
        <v>1.0007832293585588</v>
      </c>
      <c r="BO62">
        <f t="shared" si="25"/>
        <v>1.0596305930012337</v>
      </c>
      <c r="BP62" s="129">
        <f t="shared" si="50"/>
        <v>1.0225752236438588</v>
      </c>
    </row>
    <row r="63" spans="1:68" x14ac:dyDescent="0.2">
      <c r="A63" s="133" t="s">
        <v>664</v>
      </c>
      <c r="B63" s="144">
        <f t="shared" si="13"/>
        <v>2002</v>
      </c>
      <c r="D63" s="4">
        <f>'Passenger-based Energy Use'!B60</f>
        <v>9390.773511899999</v>
      </c>
      <c r="E63" s="4">
        <f>'Passenger-based Energy Use'!D60</f>
        <v>6882.5545359999987</v>
      </c>
      <c r="F63" s="4">
        <f>'Passenger-based Energy Use'!C60</f>
        <v>23.88</v>
      </c>
      <c r="G63" s="4">
        <f t="shared" si="42"/>
        <v>16297.208047899998</v>
      </c>
      <c r="I63" s="4">
        <f>'Passenger-based Activity'!B61</f>
        <v>2603804.1800000002</v>
      </c>
      <c r="J63" s="4">
        <f>'Passenger-based Activity'!C61</f>
        <v>1676068.99</v>
      </c>
      <c r="K63" s="4">
        <f>'Passenger-based Activity'!D61</f>
        <v>10507.2</v>
      </c>
      <c r="L63" s="4">
        <f t="shared" si="26"/>
        <v>4290380.37</v>
      </c>
      <c r="N63" s="4">
        <f t="shared" si="59"/>
        <v>3606.5590431228197</v>
      </c>
      <c r="O63" s="4">
        <f t="shared" si="60"/>
        <v>4106.3670869538601</v>
      </c>
      <c r="P63" s="4">
        <f t="shared" si="40"/>
        <v>2272.7272727272725</v>
      </c>
      <c r="Q63" s="4">
        <f t="shared" si="61"/>
        <v>3798.5461992732353</v>
      </c>
      <c r="S63" s="141">
        <f t="shared" si="27"/>
        <v>0.87742216877560764</v>
      </c>
      <c r="T63" s="141">
        <f t="shared" si="28"/>
        <v>0.86664890532167793</v>
      </c>
      <c r="U63" s="129">
        <f t="shared" si="29"/>
        <v>0.96690433116952212</v>
      </c>
      <c r="V63" s="129">
        <f t="shared" si="30"/>
        <v>0.89164948228424101</v>
      </c>
      <c r="W63" s="141"/>
      <c r="X63" s="131">
        <f t="shared" si="31"/>
        <v>1.4776730525364796</v>
      </c>
      <c r="Y63" s="131">
        <f t="shared" si="32"/>
        <v>0.89164948228424101</v>
      </c>
      <c r="Z63" s="131">
        <f>BP63</f>
        <v>1.0230793504930513</v>
      </c>
      <c r="AA63" s="131">
        <f>BL63</f>
        <v>0.87153502008864736</v>
      </c>
      <c r="AB63" s="131">
        <f>X63*Z63*AA63</f>
        <v>1.3175664122795272</v>
      </c>
      <c r="AC63" s="131">
        <f t="shared" si="36"/>
        <v>1.3175664122795261</v>
      </c>
      <c r="AD63" s="131"/>
      <c r="AE63" s="131">
        <f>Z63*AA63</f>
        <v>0.89164948228424179</v>
      </c>
      <c r="AH63" s="134"/>
      <c r="AJ63" s="136">
        <f t="shared" si="43"/>
        <v>0.57621977238672251</v>
      </c>
      <c r="AK63" s="136">
        <f t="shared" si="44"/>
        <v>0.42231494595706909</v>
      </c>
      <c r="AL63" s="136">
        <f t="shared" si="45"/>
        <v>1.4652816562084137E-3</v>
      </c>
      <c r="AN63">
        <f>(AJ63-AJ62)/LN(AJ63/AJ62)</f>
        <v>0.5768632464856025</v>
      </c>
      <c r="AO63">
        <f>(AK63-AK62)/LN(AK63/AK62)</f>
        <v>0.42164394312275566</v>
      </c>
      <c r="AP63">
        <f t="shared" si="16"/>
        <v>1.4920533271523162E-3</v>
      </c>
      <c r="AQ63" s="136">
        <f t="shared" si="17"/>
        <v>0.99999924293551046</v>
      </c>
      <c r="AS63">
        <f>AN63/AQ63</f>
        <v>0.57686368320861237</v>
      </c>
      <c r="AT63">
        <f>AO63/AQ63</f>
        <v>0.42164426233465391</v>
      </c>
      <c r="AU63">
        <f t="shared" si="20"/>
        <v>1.492054456733762E-3</v>
      </c>
      <c r="AX63">
        <f t="shared" si="54"/>
        <v>6.4662840955472542E-3</v>
      </c>
      <c r="AY63">
        <f t="shared" si="55"/>
        <v>-2.3791795004238802E-3</v>
      </c>
      <c r="AZ63">
        <f t="shared" si="56"/>
        <v>-6.2266502634459925E-4</v>
      </c>
      <c r="BB63" s="136">
        <f t="shared" si="46"/>
        <v>0.60689355149179935</v>
      </c>
      <c r="BC63" s="136">
        <f t="shared" si="47"/>
        <v>0.39065743487913634</v>
      </c>
      <c r="BD63" s="136">
        <f t="shared" si="48"/>
        <v>2.4490136290643153E-3</v>
      </c>
      <c r="BF63">
        <f>LN(BB63/BB62)</f>
        <v>-5.4791119357832123E-3</v>
      </c>
      <c r="BG63">
        <f>LN(BC63/BC62)</f>
        <v>8.779230451786647E-3</v>
      </c>
      <c r="BH63">
        <f t="shared" si="23"/>
        <v>-3.2261298788111507E-2</v>
      </c>
      <c r="BJ63">
        <f t="shared" si="57"/>
        <v>1.0027297871266627</v>
      </c>
      <c r="BK63">
        <f>IF(ISERR(BJ63),BK62,BJ63*BK62)</f>
        <v>0.70296831034942253</v>
      </c>
      <c r="BL63" s="129">
        <f t="shared" si="49"/>
        <v>0.87153502008864736</v>
      </c>
      <c r="BN63">
        <f t="shared" si="58"/>
        <v>1.0004929973243397</v>
      </c>
      <c r="BO63">
        <f>IF(ISERR(BN63),BO62,BN63*BO62)</f>
        <v>1.0601529880483718</v>
      </c>
      <c r="BP63" s="129">
        <f t="shared" si="50"/>
        <v>1.0230793504930513</v>
      </c>
    </row>
    <row r="64" spans="1:68" x14ac:dyDescent="0.2">
      <c r="A64" s="133" t="s">
        <v>664</v>
      </c>
      <c r="B64" s="144">
        <f t="shared" si="13"/>
        <v>2003</v>
      </c>
      <c r="D64" s="4">
        <f>'Passenger-based Energy Use'!B61</f>
        <v>9362.1772165000002</v>
      </c>
      <c r="E64" s="4">
        <f>'Passenger-based Energy Use'!D61</f>
        <v>7551.3809395999997</v>
      </c>
      <c r="F64" s="4">
        <f>'Passenger-based Energy Use'!C61</f>
        <v>23.8475</v>
      </c>
      <c r="G64" s="4">
        <f t="shared" si="42"/>
        <v>16937.4056561</v>
      </c>
      <c r="I64" s="4">
        <f>'Passenger-based Activity'!B62</f>
        <v>2625165.6</v>
      </c>
      <c r="J64" s="4">
        <f>'Passenger-based Activity'!C62</f>
        <v>1722164.5</v>
      </c>
      <c r="K64" s="4">
        <f>'Passenger-based Activity'!D62</f>
        <v>10533.6</v>
      </c>
      <c r="L64" s="4">
        <f t="shared" si="26"/>
        <v>4357863.6999999993</v>
      </c>
      <c r="N64" s="4">
        <f t="shared" si="59"/>
        <v>3566.3187177601289</v>
      </c>
      <c r="O64" s="4">
        <f t="shared" si="60"/>
        <v>4384.8197658237641</v>
      </c>
      <c r="P64" s="4">
        <f t="shared" si="40"/>
        <v>2263.9458494721653</v>
      </c>
      <c r="Q64" s="4">
        <f t="shared" si="61"/>
        <v>3886.6304276795081</v>
      </c>
      <c r="S64" s="141">
        <f t="shared" si="27"/>
        <v>0.86763229617687809</v>
      </c>
      <c r="T64" s="141">
        <f t="shared" si="28"/>
        <v>0.92541635212232554</v>
      </c>
      <c r="U64" s="129">
        <f t="shared" si="29"/>
        <v>0.96316838085067591</v>
      </c>
      <c r="V64" s="129">
        <f t="shared" si="30"/>
        <v>0.91232588123678948</v>
      </c>
      <c r="W64" s="141"/>
      <c r="X64" s="131">
        <f t="shared" si="31"/>
        <v>1.5009153503368553</v>
      </c>
      <c r="Y64" s="131">
        <f t="shared" si="32"/>
        <v>0.91232588123678948</v>
      </c>
      <c r="Z64" s="131">
        <f>BP64</f>
        <v>1.0238833308331519</v>
      </c>
      <c r="AA64" s="131">
        <f>BL64</f>
        <v>0.8910447643428423</v>
      </c>
      <c r="AB64" s="131">
        <f>X64*Z64*AA64</f>
        <v>1.3693239196578972</v>
      </c>
      <c r="AC64" s="131">
        <f t="shared" si="36"/>
        <v>1.3693239196578957</v>
      </c>
      <c r="AD64" s="131"/>
      <c r="AE64" s="131">
        <f>Z64*AA64</f>
        <v>0.91232588123679026</v>
      </c>
      <c r="AH64" s="134"/>
      <c r="AJ64" s="136">
        <f t="shared" si="43"/>
        <v>0.55275154923907821</v>
      </c>
      <c r="AK64" s="136">
        <f t="shared" si="44"/>
        <v>0.44584047243860947</v>
      </c>
      <c r="AL64" s="136">
        <f t="shared" si="45"/>
        <v>1.4079783223123862E-3</v>
      </c>
      <c r="AN64">
        <f>(AJ64-AJ63)/LN(AJ64/AJ63)</f>
        <v>0.56440434475626977</v>
      </c>
      <c r="AO64">
        <f>(AK64-AK63)/LN(AK64/AK63)</f>
        <v>0.43397143813129119</v>
      </c>
      <c r="AP64">
        <f t="shared" si="16"/>
        <v>1.4364394959728297E-3</v>
      </c>
      <c r="AQ64" s="136">
        <f t="shared" si="17"/>
        <v>0.99981222238353384</v>
      </c>
      <c r="AS64">
        <f>AN64/AQ64</f>
        <v>0.56451034716373061</v>
      </c>
      <c r="AT64">
        <f>AO64/AQ64</f>
        <v>0.4340529435584527</v>
      </c>
      <c r="AU64">
        <f t="shared" si="20"/>
        <v>1.4367092778165729E-3</v>
      </c>
      <c r="AX64">
        <f t="shared" si="54"/>
        <v>-1.1220251863036296E-2</v>
      </c>
      <c r="AY64">
        <f t="shared" si="55"/>
        <v>6.5609805373779875E-2</v>
      </c>
      <c r="AZ64">
        <f t="shared" si="56"/>
        <v>-3.8713100926009566E-3</v>
      </c>
      <c r="BB64" s="136">
        <f t="shared" si="46"/>
        <v>0.60239736272614508</v>
      </c>
      <c r="BC64" s="136">
        <f t="shared" si="47"/>
        <v>0.3951854896241937</v>
      </c>
      <c r="BD64" s="136">
        <f t="shared" si="48"/>
        <v>2.4171476496614619E-3</v>
      </c>
      <c r="BF64">
        <f>LN(BB64/BB63)</f>
        <v>-7.4361089314465782E-3</v>
      </c>
      <c r="BG64">
        <f>LN(BC64/BC63)</f>
        <v>1.1524198327490522E-2</v>
      </c>
      <c r="BH64">
        <f t="shared" si="23"/>
        <v>-1.3097155268169746E-2</v>
      </c>
      <c r="BJ64">
        <f t="shared" si="57"/>
        <v>1.022385496628937</v>
      </c>
      <c r="BK64">
        <f>IF(ISERR(BJ64),BK63,BJ64*BK63)</f>
        <v>0.71870460509099909</v>
      </c>
      <c r="BL64" s="129">
        <f t="shared" si="49"/>
        <v>0.8910447643428423</v>
      </c>
      <c r="BN64">
        <f t="shared" si="58"/>
        <v>1.0007858435806696</v>
      </c>
      <c r="BO64">
        <f>IF(ISERR(BN64),BO63,BN64*BO63)</f>
        <v>1.0609861024685572</v>
      </c>
      <c r="BP64" s="129">
        <f t="shared" si="50"/>
        <v>1.0238833308331519</v>
      </c>
    </row>
    <row r="65" spans="1:68" x14ac:dyDescent="0.2">
      <c r="A65" s="133" t="s">
        <v>664</v>
      </c>
      <c r="B65" s="144">
        <f t="shared" si="13"/>
        <v>2004</v>
      </c>
      <c r="D65" s="4">
        <f>'Passenger-based Energy Use'!B62</f>
        <v>9330.5601683999994</v>
      </c>
      <c r="E65" s="4">
        <f>'Passenger-based Energy Use'!D62</f>
        <v>7860.7971596999996</v>
      </c>
      <c r="F65" s="4">
        <f>'Passenger-based Energy Use'!C62</f>
        <v>25.306249999999999</v>
      </c>
      <c r="G65" s="4">
        <f t="shared" si="42"/>
        <v>17216.6635781</v>
      </c>
      <c r="I65" s="4">
        <f>'Passenger-based Activity'!B63</f>
        <v>2668827.3000000003</v>
      </c>
      <c r="J65" s="4">
        <f>'Passenger-based Activity'!C63</f>
        <v>1812944.4600000002</v>
      </c>
      <c r="K65" s="4">
        <f>'Passenger-based Activity'!D63</f>
        <v>11134.2</v>
      </c>
      <c r="L65" s="4">
        <f t="shared" si="26"/>
        <v>4492905.9600000009</v>
      </c>
      <c r="N65" s="4">
        <f t="shared" si="59"/>
        <v>3496.1273696503322</v>
      </c>
      <c r="O65" s="4">
        <f t="shared" si="60"/>
        <v>4335.9282830429338</v>
      </c>
      <c r="P65" s="4">
        <f t="shared" si="40"/>
        <v>2272.8395394370496</v>
      </c>
      <c r="Q65" s="4">
        <f t="shared" si="61"/>
        <v>3831.9661553966725</v>
      </c>
      <c r="S65" s="141">
        <f t="shared" si="27"/>
        <v>0.8505557852556942</v>
      </c>
      <c r="T65" s="141">
        <f t="shared" si="28"/>
        <v>0.91509780311432831</v>
      </c>
      <c r="U65" s="129">
        <f t="shared" si="29"/>
        <v>0.96695209368341106</v>
      </c>
      <c r="V65" s="129">
        <f t="shared" si="30"/>
        <v>0.89949429580293039</v>
      </c>
      <c r="W65" s="141"/>
      <c r="X65" s="131">
        <f t="shared" si="31"/>
        <v>1.547425983741517</v>
      </c>
      <c r="Y65" s="131">
        <f t="shared" si="32"/>
        <v>0.89949429580293039</v>
      </c>
      <c r="Z65" s="131">
        <f>BP65</f>
        <v>1.025696614618715</v>
      </c>
      <c r="AA65" s="131">
        <f>BL65</f>
        <v>0.87695940786282367</v>
      </c>
      <c r="AB65" s="131">
        <f>X65*Z65*AA65</f>
        <v>1.3919008455527337</v>
      </c>
      <c r="AC65" s="131">
        <f t="shared" si="36"/>
        <v>1.3919008455527326</v>
      </c>
      <c r="AD65" s="131"/>
      <c r="AE65" s="131">
        <f>Z65*AA65</f>
        <v>0.89949429580293117</v>
      </c>
      <c r="AH65" s="134"/>
      <c r="AJ65" s="136">
        <f t="shared" si="43"/>
        <v>0.54194938096302758</v>
      </c>
      <c r="AK65" s="136">
        <f t="shared" si="44"/>
        <v>0.45658074946060501</v>
      </c>
      <c r="AL65" s="136">
        <f t="shared" si="45"/>
        <v>1.46986957636729E-3</v>
      </c>
      <c r="AN65">
        <f t="shared" si="14"/>
        <v>0.54733269923364358</v>
      </c>
      <c r="AO65">
        <f t="shared" si="15"/>
        <v>0.45118930569043808</v>
      </c>
      <c r="AP65">
        <f t="shared" si="16"/>
        <v>1.4387020821656099E-3</v>
      </c>
      <c r="AQ65" s="136">
        <f t="shared" si="17"/>
        <v>0.99996070700624728</v>
      </c>
      <c r="AS65" s="129">
        <f t="shared" si="18"/>
        <v>0.54735420641905697</v>
      </c>
      <c r="AT65" s="129">
        <f t="shared" si="19"/>
        <v>0.45120703496564418</v>
      </c>
      <c r="AU65" s="129">
        <f t="shared" si="20"/>
        <v>1.4387586152988924E-3</v>
      </c>
      <c r="AX65">
        <f t="shared" si="54"/>
        <v>-1.9878002176722351E-2</v>
      </c>
      <c r="AY65">
        <f t="shared" si="55"/>
        <v>-1.121279843276334E-2</v>
      </c>
      <c r="AZ65">
        <f t="shared" si="56"/>
        <v>3.9207062248937039E-3</v>
      </c>
      <c r="BB65" s="136">
        <f t="shared" si="46"/>
        <v>0.59400916105530943</v>
      </c>
      <c r="BC65" s="136">
        <f t="shared" si="47"/>
        <v>0.40351266555332038</v>
      </c>
      <c r="BD65" s="136">
        <f t="shared" si="48"/>
        <v>2.4781733913700698E-3</v>
      </c>
      <c r="BF65">
        <f t="shared" si="21"/>
        <v>-1.4022556635701176E-2</v>
      </c>
      <c r="BG65">
        <f t="shared" si="22"/>
        <v>2.0852627783259151E-2</v>
      </c>
      <c r="BH65">
        <f t="shared" si="23"/>
        <v>2.4933565222047704E-2</v>
      </c>
      <c r="BJ65">
        <f t="shared" si="57"/>
        <v>0.98419231328921308</v>
      </c>
      <c r="BK65">
        <f t="shared" si="24"/>
        <v>0.70734354785612075</v>
      </c>
      <c r="BL65" s="129">
        <f t="shared" si="49"/>
        <v>0.87695940786282367</v>
      </c>
      <c r="BN65">
        <f t="shared" si="58"/>
        <v>1.001770986723739</v>
      </c>
      <c r="BO65">
        <f t="shared" si="25"/>
        <v>1.0628650947701006</v>
      </c>
      <c r="BP65" s="129">
        <f t="shared" si="50"/>
        <v>1.025696614618715</v>
      </c>
    </row>
    <row r="66" spans="1:68" x14ac:dyDescent="0.2">
      <c r="A66" s="133" t="s">
        <v>664</v>
      </c>
      <c r="B66" s="144">
        <f t="shared" si="13"/>
        <v>2005</v>
      </c>
      <c r="D66" s="4">
        <f>'Passenger-based Energy Use'!B63</f>
        <v>9579.0762342000016</v>
      </c>
      <c r="E66" s="4">
        <f>'Passenger-based Energy Use'!D63</f>
        <v>7296.329824200001</v>
      </c>
      <c r="F66" s="4">
        <f>'Passenger-based Energy Use'!C63</f>
        <v>23.6875</v>
      </c>
      <c r="G66" s="4">
        <f t="shared" si="42"/>
        <v>16899.093558400004</v>
      </c>
      <c r="I66" s="4">
        <f>'Passenger-based Activity'!B64</f>
        <v>2682220.9700000002</v>
      </c>
      <c r="J66" s="4">
        <f>'Passenger-based Activity'!C64</f>
        <v>1853070.7800000003</v>
      </c>
      <c r="K66" s="4">
        <f>'Passenger-based Activity'!D64</f>
        <v>11499.400000000001</v>
      </c>
      <c r="L66" s="4">
        <f t="shared" si="26"/>
        <v>4546791.1500000004</v>
      </c>
      <c r="N66" s="4">
        <f t="shared" si="59"/>
        <v>3571.3225499836435</v>
      </c>
      <c r="O66" s="4">
        <f t="shared" si="60"/>
        <v>3937.4264075331216</v>
      </c>
      <c r="P66" s="4">
        <f t="shared" si="40"/>
        <v>2059.8900812216289</v>
      </c>
      <c r="Q66" s="4">
        <f t="shared" si="61"/>
        <v>3716.7076738063947</v>
      </c>
      <c r="S66" s="141">
        <f t="shared" si="27"/>
        <v>0.86884965412644988</v>
      </c>
      <c r="T66" s="141">
        <f t="shared" si="28"/>
        <v>0.83099396951492976</v>
      </c>
      <c r="U66" s="129">
        <f t="shared" si="29"/>
        <v>0.87635532215718603</v>
      </c>
      <c r="V66" s="129">
        <f t="shared" si="30"/>
        <v>0.87243916469553418</v>
      </c>
      <c r="W66" s="141"/>
      <c r="X66" s="131">
        <f t="shared" si="31"/>
        <v>1.5659848727739614</v>
      </c>
      <c r="Y66" s="131">
        <f t="shared" si="32"/>
        <v>0.87243916469553418</v>
      </c>
      <c r="Z66" s="131">
        <f>BP66</f>
        <v>1.02633573038978</v>
      </c>
      <c r="AA66" s="131">
        <f>BL66</f>
        <v>0.85005241351599603</v>
      </c>
      <c r="AB66" s="131">
        <f>X66*Z66*AA66</f>
        <v>1.3662265343287585</v>
      </c>
      <c r="AC66" s="131">
        <f t="shared" si="36"/>
        <v>1.366226534328757</v>
      </c>
      <c r="AD66" s="131"/>
      <c r="AE66" s="131">
        <f>Z66*AA66</f>
        <v>0.87243916469553506</v>
      </c>
      <c r="AH66" s="134"/>
      <c r="AJ66" s="136">
        <f t="shared" si="43"/>
        <v>0.56683964741046988</v>
      </c>
      <c r="AK66" s="136">
        <f t="shared" si="44"/>
        <v>0.4317586501894492</v>
      </c>
      <c r="AL66" s="136">
        <f t="shared" si="45"/>
        <v>1.4017024000808431E-3</v>
      </c>
      <c r="AN66">
        <f>(AJ66-AJ65)/LN(AJ66/AJ65)</f>
        <v>0.55430137824881975</v>
      </c>
      <c r="AO66">
        <f>(AK66-AK65)/LN(AK66/AK65)</f>
        <v>0.44405407867341096</v>
      </c>
      <c r="AP66">
        <f t="shared" si="16"/>
        <v>1.4355162484875118E-3</v>
      </c>
      <c r="AQ66" s="136">
        <f t="shared" si="17"/>
        <v>0.99979097317071819</v>
      </c>
      <c r="AS66" s="129">
        <f t="shared" ref="AS66" si="62">AN66/AQ66</f>
        <v>0.5544172663321002</v>
      </c>
      <c r="AT66" s="129">
        <f t="shared" ref="AT66" si="63">AO66/AQ66</f>
        <v>0.44414691729526845</v>
      </c>
      <c r="AU66" s="129">
        <f t="shared" ref="AU66" si="64">AP66/AQ66</f>
        <v>1.4358163726313137E-3</v>
      </c>
      <c r="AX66">
        <f t="shared" si="54"/>
        <v>2.1280099271702702E-2</v>
      </c>
      <c r="AY66">
        <f t="shared" si="55"/>
        <v>-9.6408410285167251E-2</v>
      </c>
      <c r="AZ66">
        <f t="shared" si="56"/>
        <v>-9.837732545453276E-2</v>
      </c>
      <c r="BB66" s="136">
        <f t="shared" si="46"/>
        <v>0.58991514708125536</v>
      </c>
      <c r="BC66" s="136">
        <f t="shared" si="47"/>
        <v>0.40755572861533351</v>
      </c>
      <c r="BD66" s="136">
        <f t="shared" si="48"/>
        <v>2.5291243034112091E-3</v>
      </c>
      <c r="BF66">
        <f>LN(BB66/BB65)</f>
        <v>-6.9160338452079161E-3</v>
      </c>
      <c r="BG66">
        <f>LN(BC66/BC65)</f>
        <v>9.9698042237950976E-3</v>
      </c>
      <c r="BH66">
        <f t="shared" si="23"/>
        <v>2.0351364627080371E-2</v>
      </c>
      <c r="BJ66">
        <f t="shared" si="57"/>
        <v>0.96931785655575464</v>
      </c>
      <c r="BK66">
        <f>IF(ISERR(BJ66),BK65,BJ66*BK65)</f>
        <v>0.6856407316564378</v>
      </c>
      <c r="BL66" s="129">
        <f t="shared" si="49"/>
        <v>0.85005241351599603</v>
      </c>
      <c r="BN66">
        <f t="shared" si="58"/>
        <v>1.0006231041050111</v>
      </c>
      <c r="BO66">
        <f>IF(ISERR(BN66),BO65,BN66*BO65)</f>
        <v>1.0635273703737249</v>
      </c>
      <c r="BP66" s="129">
        <f t="shared" si="50"/>
        <v>1.02633573038978</v>
      </c>
    </row>
    <row r="67" spans="1:68" x14ac:dyDescent="0.2">
      <c r="A67" s="133" t="s">
        <v>664</v>
      </c>
      <c r="B67" s="144">
        <f t="shared" si="13"/>
        <v>2006</v>
      </c>
      <c r="D67" s="4">
        <f>'Passenger-based Energy Use'!B64</f>
        <v>9315.7577567999997</v>
      </c>
      <c r="E67" s="4">
        <f>'Passenger-based Energy Use'!D64</f>
        <v>7549.5234934999999</v>
      </c>
      <c r="F67" s="62">
        <f>'Passenger-based Energy Use'!C64</f>
        <v>27.62875</v>
      </c>
      <c r="G67" s="4">
        <f t="shared" si="42"/>
        <v>16892.910000299999</v>
      </c>
      <c r="I67" s="4">
        <f>'Passenger-based Activity'!B65</f>
        <v>2654138.38</v>
      </c>
      <c r="J67" s="4">
        <f>'Passenger-based Activity'!C65</f>
        <v>1943069.5500000005</v>
      </c>
      <c r="K67" s="4">
        <f>'Passenger-based Activity'!D65</f>
        <v>13253.900000000001</v>
      </c>
      <c r="L67" s="4">
        <f t="shared" si="26"/>
        <v>4610461.830000001</v>
      </c>
      <c r="N67" s="4">
        <f t="shared" si="59"/>
        <v>3509.8990418125823</v>
      </c>
      <c r="O67" s="4">
        <f t="shared" si="60"/>
        <v>3885.3593755817942</v>
      </c>
      <c r="P67" s="4">
        <f t="shared" si="40"/>
        <v>2084.5751061951573</v>
      </c>
      <c r="Q67" s="4">
        <f t="shared" si="61"/>
        <v>3664.0385764347593</v>
      </c>
      <c r="S67" s="141">
        <f t="shared" si="27"/>
        <v>0.8539062282435359</v>
      </c>
      <c r="T67" s="141">
        <f t="shared" si="28"/>
        <v>0.8200052207527142</v>
      </c>
      <c r="U67" s="129">
        <f t="shared" si="29"/>
        <v>0.88685726748443627</v>
      </c>
      <c r="V67" s="129">
        <f t="shared" si="30"/>
        <v>0.86007591545750139</v>
      </c>
      <c r="W67" s="141"/>
      <c r="X67" s="131">
        <f t="shared" si="31"/>
        <v>1.5879140352161889</v>
      </c>
      <c r="Y67" s="131">
        <f t="shared" si="32"/>
        <v>0.86007591545750139</v>
      </c>
      <c r="Z67" s="131">
        <f>BP67</f>
        <v>1.0276282848313549</v>
      </c>
      <c r="AA67" s="131">
        <f>BL67</f>
        <v>0.83695235733867546</v>
      </c>
      <c r="AB67" s="131">
        <f>X67*Z67*AA67</f>
        <v>1.3657266175063802</v>
      </c>
      <c r="AC67" s="131">
        <f t="shared" si="36"/>
        <v>1.3657266175063787</v>
      </c>
      <c r="AD67" s="131"/>
      <c r="AE67" s="131">
        <f>Z67*AA67</f>
        <v>0.86007591545750228</v>
      </c>
      <c r="AH67" s="134"/>
      <c r="AJ67" s="136">
        <f t="shared" si="43"/>
        <v>0.55145962161845197</v>
      </c>
      <c r="AK67" s="136">
        <f t="shared" si="44"/>
        <v>0.44690485495784499</v>
      </c>
      <c r="AL67" s="136">
        <f t="shared" si="45"/>
        <v>1.6355234237031599E-3</v>
      </c>
      <c r="AN67">
        <f>(AJ67-AJ66)/LN(AJ67/AJ66)</f>
        <v>0.55911437902543326</v>
      </c>
      <c r="AO67">
        <f>(AK67-AK66)/LN(AK67/AK66)</f>
        <v>0.43928823464403638</v>
      </c>
      <c r="AP67">
        <f t="shared" si="16"/>
        <v>1.5156080344961454E-3</v>
      </c>
      <c r="AQ67" s="136">
        <f t="shared" si="17"/>
        <v>0.99991822170396583</v>
      </c>
      <c r="AS67">
        <f>AN67/AQ67</f>
        <v>0.55916010618612744</v>
      </c>
      <c r="AT67">
        <f>AO67/AQ67</f>
        <v>0.43932416182539707</v>
      </c>
      <c r="AU67">
        <f t="shared" si="20"/>
        <v>1.5157319884754074E-3</v>
      </c>
      <c r="AX67">
        <f t="shared" si="54"/>
        <v>-1.7348715319916962E-2</v>
      </c>
      <c r="AY67">
        <f t="shared" si="55"/>
        <v>-1.3311830918074865E-2</v>
      </c>
      <c r="AZ67">
        <f t="shared" si="56"/>
        <v>1.1912425738460374E-2</v>
      </c>
      <c r="BB67" s="136">
        <f t="shared" si="46"/>
        <v>0.57567733512718389</v>
      </c>
      <c r="BC67" s="136">
        <f t="shared" si="47"/>
        <v>0.42144792032688838</v>
      </c>
      <c r="BD67" s="136">
        <f t="shared" si="48"/>
        <v>2.8747445459276254E-3</v>
      </c>
      <c r="BF67">
        <f>LN(BB67/BB66)</f>
        <v>-2.4431386386112013E-2</v>
      </c>
      <c r="BG67">
        <f>LN(BC67/BC66)</f>
        <v>3.3518531195946395E-2</v>
      </c>
      <c r="BH67">
        <f t="shared" si="23"/>
        <v>0.12809069902081902</v>
      </c>
      <c r="BJ67">
        <f t="shared" si="57"/>
        <v>0.98458911948366101</v>
      </c>
      <c r="BK67">
        <f>IF(ISERR(BJ67),BK66,BJ67*BK66)</f>
        <v>0.67507440426374521</v>
      </c>
      <c r="BL67" s="129">
        <f t="shared" si="49"/>
        <v>0.83695235733867546</v>
      </c>
      <c r="BN67">
        <f t="shared" si="58"/>
        <v>1.0012593875505864</v>
      </c>
      <c r="BO67">
        <f>IF(ISERR(BN67),BO66,BN67*BO66)</f>
        <v>1.0648667635036815</v>
      </c>
      <c r="BP67" s="129">
        <f t="shared" si="50"/>
        <v>1.0276282848313549</v>
      </c>
    </row>
    <row r="68" spans="1:68" x14ac:dyDescent="0.2">
      <c r="A68" s="133" t="s">
        <v>664</v>
      </c>
      <c r="B68" s="144">
        <f t="shared" si="13"/>
        <v>2007</v>
      </c>
      <c r="D68" s="4">
        <f>'Passenger-based Energy Use'!B65</f>
        <v>9221.1042682999996</v>
      </c>
      <c r="E68" s="4">
        <f>'Passenger-based Energy Use'!D65</f>
        <v>7679.2768007999994</v>
      </c>
      <c r="F68" s="4">
        <f>'Passenger-based Energy Use'!C65*AA76</f>
        <v>59.365000000000002</v>
      </c>
      <c r="G68" s="4">
        <f t="shared" si="42"/>
        <v>16959.746069100001</v>
      </c>
      <c r="I68" s="4">
        <f>'Passenger-based Activity'!B66</f>
        <v>2625773.19</v>
      </c>
      <c r="J68" s="4">
        <f>'Passenger-based Activity'!C66</f>
        <v>2013210.5100000005</v>
      </c>
      <c r="K68" s="4">
        <f>'Passenger-based Activity'!D66</f>
        <v>23535.600000000002</v>
      </c>
      <c r="L68" s="4">
        <f t="shared" si="26"/>
        <v>4662519.3</v>
      </c>
      <c r="N68" s="4">
        <f t="shared" si="59"/>
        <v>3511.7672399953171</v>
      </c>
      <c r="O68" s="4">
        <f t="shared" si="60"/>
        <v>3814.4430314940078</v>
      </c>
      <c r="P68" s="4">
        <f t="shared" si="40"/>
        <v>2522.3491221808663</v>
      </c>
      <c r="Q68" s="4">
        <f t="shared" si="61"/>
        <v>3637.4639927174139</v>
      </c>
      <c r="S68" s="141">
        <f t="shared" si="27"/>
        <v>0.8543607330725429</v>
      </c>
      <c r="T68" s="141">
        <f t="shared" si="28"/>
        <v>0.80503832405992815</v>
      </c>
      <c r="U68" s="129">
        <f t="shared" si="29"/>
        <v>1.0731029280216617</v>
      </c>
      <c r="V68" s="129">
        <f t="shared" si="30"/>
        <v>0.85383794635815924</v>
      </c>
      <c r="W68" s="141"/>
      <c r="X68" s="131">
        <f t="shared" si="31"/>
        <v>1.6058434293417323</v>
      </c>
      <c r="Y68" s="131">
        <f t="shared" si="32"/>
        <v>0.85383794635815924</v>
      </c>
      <c r="Z68" s="131">
        <f t="shared" si="33"/>
        <v>1.0278848886052099</v>
      </c>
      <c r="AA68" s="131">
        <f t="shared" si="34"/>
        <v>0.83067467556291907</v>
      </c>
      <c r="AB68" s="131">
        <f t="shared" si="35"/>
        <v>1.3711300558818895</v>
      </c>
      <c r="AC68" s="131">
        <f t="shared" si="36"/>
        <v>1.3711300558818884</v>
      </c>
      <c r="AD68" s="131"/>
      <c r="AE68" s="131">
        <f t="shared" si="37"/>
        <v>0.8538379463581599</v>
      </c>
      <c r="AH68" s="134"/>
      <c r="AJ68" s="136">
        <f t="shared" si="43"/>
        <v>0.54370532617233536</v>
      </c>
      <c r="AK68" s="136">
        <f t="shared" si="44"/>
        <v>0.45279432660795221</v>
      </c>
      <c r="AL68" s="136">
        <f t="shared" si="45"/>
        <v>3.5003472197122532E-3</v>
      </c>
      <c r="AN68">
        <f t="shared" si="14"/>
        <v>0.54757332308179918</v>
      </c>
      <c r="AO68">
        <f t="shared" si="15"/>
        <v>0.4498431652513788</v>
      </c>
      <c r="AP68">
        <f t="shared" si="16"/>
        <v>2.4508155636585442E-3</v>
      </c>
      <c r="AQ68" s="136">
        <f t="shared" si="17"/>
        <v>0.99986730389683653</v>
      </c>
      <c r="AS68">
        <f t="shared" si="18"/>
        <v>0.54764599357105914</v>
      </c>
      <c r="AT68">
        <f t="shared" si="19"/>
        <v>0.44990286560844711</v>
      </c>
      <c r="AU68">
        <f t="shared" si="20"/>
        <v>2.4511408204937286E-3</v>
      </c>
      <c r="AX68">
        <f t="shared" si="54"/>
        <v>5.3212390103422706E-4</v>
      </c>
      <c r="AY68">
        <f t="shared" si="55"/>
        <v>-1.8420823196411654E-2</v>
      </c>
      <c r="AZ68">
        <f t="shared" si="56"/>
        <v>0.19062561015837659</v>
      </c>
      <c r="BB68" s="136">
        <f t="shared" si="46"/>
        <v>0.56316618142470742</v>
      </c>
      <c r="BC68" s="136">
        <f t="shared" si="47"/>
        <v>0.43178598960437559</v>
      </c>
      <c r="BD68" s="136">
        <f t="shared" si="48"/>
        <v>5.0478289709170758E-3</v>
      </c>
      <c r="BF68">
        <f t="shared" si="21"/>
        <v>-2.1972565809749024E-2</v>
      </c>
      <c r="BG68">
        <f t="shared" si="22"/>
        <v>2.4233859196757624E-2</v>
      </c>
      <c r="BH68">
        <f t="shared" si="23"/>
        <v>0.56299442739056593</v>
      </c>
      <c r="BJ68">
        <f t="shared" si="57"/>
        <v>0.99249935588243265</v>
      </c>
      <c r="BK68">
        <f t="shared" si="24"/>
        <v>0.6700109114044841</v>
      </c>
      <c r="BL68" s="129">
        <f t="shared" si="49"/>
        <v>0.83067467556291907</v>
      </c>
      <c r="BN68">
        <f t="shared" si="58"/>
        <v>1.0002497048569436</v>
      </c>
      <c r="BO68">
        <f t="shared" si="25"/>
        <v>1.0651326659065261</v>
      </c>
      <c r="BP68" s="129">
        <f t="shared" si="50"/>
        <v>1.0278848886052099</v>
      </c>
    </row>
    <row r="69" spans="1:68" x14ac:dyDescent="0.2">
      <c r="A69" s="133" t="s">
        <v>664</v>
      </c>
      <c r="B69" s="144">
        <f t="shared" si="13"/>
        <v>2008</v>
      </c>
      <c r="D69" s="4">
        <f>'Passenger-based Energy Use'!B66</f>
        <v>8831.5096315999999</v>
      </c>
      <c r="E69" s="4">
        <f>'Passenger-based Energy Use'!D66</f>
        <v>7572.3175073000011</v>
      </c>
      <c r="F69" s="4">
        <f>'Passenger-based Energy Use'!C66</f>
        <v>61.177500000000002</v>
      </c>
      <c r="G69" s="4">
        <f>SUM(D69:F69)</f>
        <v>16465.004638900002</v>
      </c>
      <c r="I69" s="4">
        <f>'Passenger-based Activity'!B67</f>
        <v>2504645</v>
      </c>
      <c r="J69" s="4">
        <f>'Passenger-based Activity'!C67</f>
        <v>2023195.0000000007</v>
      </c>
      <c r="K69" s="4">
        <f>'Passenger-based Activity'!D67</f>
        <v>22892.100000000002</v>
      </c>
      <c r="L69" s="4">
        <f>SUM(I69:K69)</f>
        <v>4550732.1000000006</v>
      </c>
      <c r="N69" s="4">
        <f t="shared" ref="N69:Q71" si="65">D69/I69*1000000</f>
        <v>3526.0524471931149</v>
      </c>
      <c r="O69" s="4">
        <f t="shared" si="65"/>
        <v>3742.7521851823471</v>
      </c>
      <c r="P69" s="4">
        <f t="shared" si="65"/>
        <v>2672.4284796938682</v>
      </c>
      <c r="Q69" s="4">
        <f t="shared" si="65"/>
        <v>3618.1001819245744</v>
      </c>
      <c r="S69" s="141">
        <f t="shared" si="27"/>
        <v>0.85783611149586336</v>
      </c>
      <c r="T69" s="141">
        <f t="shared" si="28"/>
        <v>0.78990796864796842</v>
      </c>
      <c r="U69" s="129">
        <f t="shared" si="29"/>
        <v>1.1369523755729845</v>
      </c>
      <c r="V69" s="129">
        <f t="shared" si="30"/>
        <v>0.84929259375147281</v>
      </c>
      <c r="W69" s="141"/>
      <c r="X69" s="131">
        <f t="shared" si="31"/>
        <v>1.5673421966273693</v>
      </c>
      <c r="Y69" s="131">
        <f t="shared" si="32"/>
        <v>0.84929259375147281</v>
      </c>
      <c r="Z69" s="131">
        <f>BP69</f>
        <v>1.0288310023347531</v>
      </c>
      <c r="AA69" s="131">
        <f>BL69</f>
        <v>0.82549280865774022</v>
      </c>
      <c r="AB69" s="131">
        <f>X69*Z69*AA69</f>
        <v>1.3311321194697903</v>
      </c>
      <c r="AC69" s="131">
        <f t="shared" si="36"/>
        <v>1.3311321194697892</v>
      </c>
      <c r="AD69" s="131"/>
      <c r="AE69" s="131">
        <f>Z69*AA69</f>
        <v>0.84929259375147348</v>
      </c>
      <c r="AH69" s="134"/>
      <c r="AJ69" s="136">
        <f t="shared" si="43"/>
        <v>0.53638063427779381</v>
      </c>
      <c r="AK69" s="136">
        <f t="shared" si="44"/>
        <v>0.45990375790175875</v>
      </c>
      <c r="AL69" s="136">
        <f t="shared" si="45"/>
        <v>3.7156078204474267E-3</v>
      </c>
      <c r="AN69">
        <f t="shared" ref="AN69:AP71" si="66">(AJ69-AJ68)/LN(AJ69/AJ68)</f>
        <v>0.54003470128997466</v>
      </c>
      <c r="AO69">
        <f t="shared" si="66"/>
        <v>0.45633981232584719</v>
      </c>
      <c r="AP69">
        <f t="shared" si="66"/>
        <v>3.606907018965412E-3</v>
      </c>
      <c r="AQ69" s="136">
        <f>SUM(AN69:AP69)</f>
        <v>0.99998142063478723</v>
      </c>
      <c r="AS69">
        <f>AN69/AQ69</f>
        <v>0.54004473497833705</v>
      </c>
      <c r="AT69">
        <f>AO69/AQ69</f>
        <v>0.45634829098740964</v>
      </c>
      <c r="AU69">
        <f>AP69/AQ69</f>
        <v>3.6069740342533074E-3</v>
      </c>
      <c r="AX69">
        <f t="shared" si="54"/>
        <v>4.0595603329205802E-3</v>
      </c>
      <c r="AY69">
        <f t="shared" si="55"/>
        <v>-1.8973440520587394E-2</v>
      </c>
      <c r="AZ69">
        <f t="shared" si="56"/>
        <v>5.7796943340682243E-2</v>
      </c>
      <c r="BB69" s="136">
        <f t="shared" si="46"/>
        <v>0.55038287136260988</v>
      </c>
      <c r="BC69" s="136">
        <f t="shared" si="47"/>
        <v>0.44458670726848554</v>
      </c>
      <c r="BD69" s="136">
        <f t="shared" si="48"/>
        <v>5.0304213689045764E-3</v>
      </c>
      <c r="BF69">
        <f t="shared" ref="BF69:BH71" si="67">LN(BB69/BB68)</f>
        <v>-2.2960590063893779E-2</v>
      </c>
      <c r="BG69">
        <f t="shared" si="67"/>
        <v>2.9215031840161904E-2</v>
      </c>
      <c r="BH69">
        <f t="shared" si="67"/>
        <v>-3.4544923447424659E-3</v>
      </c>
      <c r="BJ69">
        <f t="shared" si="57"/>
        <v>0.99376185761090252</v>
      </c>
      <c r="BK69">
        <f>IF(ISERR(BJ69),BK68,BJ69*BK68)</f>
        <v>0.66583128793689395</v>
      </c>
      <c r="BL69" s="129">
        <f t="shared" si="49"/>
        <v>0.82549280865774022</v>
      </c>
      <c r="BN69">
        <f t="shared" si="58"/>
        <v>1.0009204471629378</v>
      </c>
      <c r="BO69">
        <f>IF(ISERR(BN69),BO68,BN69*BO68)</f>
        <v>1.0661130642470122</v>
      </c>
      <c r="BP69" s="129">
        <f t="shared" si="50"/>
        <v>1.0288310023347531</v>
      </c>
    </row>
    <row r="70" spans="1:68" x14ac:dyDescent="0.2">
      <c r="A70" s="133" t="s">
        <v>664</v>
      </c>
      <c r="B70" s="144">
        <f t="shared" si="13"/>
        <v>2009</v>
      </c>
      <c r="D70" s="4">
        <f>'Passenger-based Energy Use'!B67</f>
        <v>8898.0209925021845</v>
      </c>
      <c r="E70" s="4">
        <f>'Passenger-based Energy Use'!D67</f>
        <v>7550.6754369572218</v>
      </c>
      <c r="F70" s="4">
        <f>'Passenger-based Energy Use'!C67</f>
        <v>60.286250000000003</v>
      </c>
      <c r="G70" s="4">
        <f>SUM(D70:F70)</f>
        <v>16508.982679459408</v>
      </c>
      <c r="I70" s="4">
        <f>'Passenger-based Activity'!B68</f>
        <v>2514324.8921891041</v>
      </c>
      <c r="J70" s="4">
        <f>'Passenger-based Activity'!C68</f>
        <v>2031677.7139500324</v>
      </c>
      <c r="K70" s="4">
        <f>'Passenger-based Activity'!D68</f>
        <v>22904.2</v>
      </c>
      <c r="L70" s="4">
        <f>SUM(I70:K70)</f>
        <v>4568906.8061391367</v>
      </c>
      <c r="N70" s="4">
        <f t="shared" si="65"/>
        <v>3538.9304779761765</v>
      </c>
      <c r="O70" s="4">
        <f t="shared" si="65"/>
        <v>3716.4730336471689</v>
      </c>
      <c r="P70" s="4">
        <f t="shared" si="65"/>
        <v>2632.1045921708683</v>
      </c>
      <c r="Q70" s="4">
        <f t="shared" si="65"/>
        <v>3613.3332063759017</v>
      </c>
      <c r="S70" s="141">
        <f t="shared" si="27"/>
        <v>0.86096914482877929</v>
      </c>
      <c r="T70" s="141">
        <f t="shared" si="28"/>
        <v>0.78436175287415189</v>
      </c>
      <c r="U70" s="129">
        <f t="shared" si="29"/>
        <v>1.1197970653149285</v>
      </c>
      <c r="V70" s="129">
        <f t="shared" si="30"/>
        <v>0.84817362058198786</v>
      </c>
      <c r="W70" s="141"/>
      <c r="X70" s="131">
        <f t="shared" si="31"/>
        <v>1.5736018452327376</v>
      </c>
      <c r="Y70" s="131">
        <f>V70</f>
        <v>0.84817362058198786</v>
      </c>
      <c r="Z70" s="131">
        <f>BP70</f>
        <v>1.0288402918181636</v>
      </c>
      <c r="AA70" s="131">
        <f>BL70</f>
        <v>0.82439774892864948</v>
      </c>
      <c r="AB70" s="131">
        <f>X70*Z70*AA70</f>
        <v>1.3346875744255495</v>
      </c>
      <c r="AC70" s="131">
        <f t="shared" si="36"/>
        <v>1.3346875744255482</v>
      </c>
      <c r="AD70" s="131"/>
      <c r="AE70" s="131">
        <f>Z70*AA70</f>
        <v>0.84817362058198886</v>
      </c>
      <c r="AH70" s="134"/>
      <c r="AJ70" s="136">
        <f>D70/G70</f>
        <v>0.53898057592447324</v>
      </c>
      <c r="AK70" s="136">
        <f>E70/G70</f>
        <v>0.45736769997050303</v>
      </c>
      <c r="AL70" s="136">
        <f>F70/G70</f>
        <v>3.6517241050236593E-3</v>
      </c>
      <c r="AN70">
        <f t="shared" si="66"/>
        <v>0.5376795574365526</v>
      </c>
      <c r="AO70">
        <f t="shared" si="66"/>
        <v>0.45863456032479222</v>
      </c>
      <c r="AP70">
        <f t="shared" si="66"/>
        <v>3.6835736359843705E-3</v>
      </c>
      <c r="AQ70" s="136">
        <f>SUM(AN70:AP70)</f>
        <v>0.99999769139732919</v>
      </c>
      <c r="AS70">
        <f>AN70/AQ70</f>
        <v>0.53768079872788055</v>
      </c>
      <c r="AT70">
        <f>AO70/AQ70</f>
        <v>0.45863561913220746</v>
      </c>
      <c r="AU70">
        <f>AP70/AQ70</f>
        <v>3.683582139911937E-3</v>
      </c>
      <c r="AX70">
        <f t="shared" ref="AX70:AZ71" si="68">LN(S70/S69)</f>
        <v>3.6455983495770018E-3</v>
      </c>
      <c r="AY70">
        <f t="shared" si="68"/>
        <v>-7.0461098811242379E-3</v>
      </c>
      <c r="AZ70">
        <f t="shared" si="68"/>
        <v>-1.5203850644855297E-2</v>
      </c>
      <c r="BB70" s="136">
        <f>I70/L70</f>
        <v>0.55031214224169833</v>
      </c>
      <c r="BC70" s="136">
        <f>J70/L70</f>
        <v>0.44467479862362547</v>
      </c>
      <c r="BD70" s="136">
        <f>K70/L70</f>
        <v>5.0130591346761871E-3</v>
      </c>
      <c r="BF70">
        <f t="shared" si="67"/>
        <v>-1.2851720074085078E-4</v>
      </c>
      <c r="BG70">
        <f t="shared" si="67"/>
        <v>1.9812249792523377E-4</v>
      </c>
      <c r="BH70">
        <f t="shared" si="67"/>
        <v>-3.4574172802924437E-3</v>
      </c>
      <c r="BJ70">
        <f>EXP(SUMPRODUCT($AS70:$AU70,AX70:AZ70))</f>
        <v>0.99867344728190754</v>
      </c>
      <c r="BK70">
        <f>IF(ISERR(BJ70),BK69,BJ70*BK69)</f>
        <v>0.66494802763209027</v>
      </c>
      <c r="BL70" s="129">
        <f t="shared" si="49"/>
        <v>0.82439774892864948</v>
      </c>
      <c r="BN70">
        <f>EXP(SUMPRODUCT($AS70:$AU70,BF70:BH70))</f>
        <v>1.0000090291635741</v>
      </c>
      <c r="BO70">
        <f>IF(ISERR(BN70),BO69,BN70*BO69)</f>
        <v>1.066122690356258</v>
      </c>
      <c r="BP70" s="129">
        <f t="shared" si="50"/>
        <v>1.0288402918181636</v>
      </c>
    </row>
    <row r="71" spans="1:68" x14ac:dyDescent="0.2">
      <c r="A71" s="133" t="s">
        <v>664</v>
      </c>
      <c r="B71" s="144">
        <f t="shared" si="13"/>
        <v>2010</v>
      </c>
      <c r="D71" s="4">
        <f>'Passenger-based Energy Use'!B68</f>
        <v>8927.1885289395177</v>
      </c>
      <c r="E71" s="4">
        <f>'Passenger-based Energy Use'!D68</f>
        <v>7722.6767738989311</v>
      </c>
      <c r="F71" s="4">
        <f>'Passenger-based Energy Use'!C68</f>
        <v>53.337499999999999</v>
      </c>
      <c r="G71" s="4">
        <f>SUM(D71:F71)</f>
        <v>16703.202802838452</v>
      </c>
      <c r="I71" s="4">
        <f>'Passenger-based Activity'!B69</f>
        <v>2506782.5594131993</v>
      </c>
      <c r="J71" s="4">
        <f>'Passenger-based Activity'!C69</f>
        <v>2067872.6286851945</v>
      </c>
      <c r="K71" s="4">
        <f>'Passenger-based Activity'!D69</f>
        <v>20364.300000000003</v>
      </c>
      <c r="L71" s="4">
        <f>SUM(I71:K71)</f>
        <v>4595019.4880983932</v>
      </c>
      <c r="N71" s="4">
        <f t="shared" si="65"/>
        <v>3561.2137540278886</v>
      </c>
      <c r="O71" s="4">
        <f t="shared" si="65"/>
        <v>3734.5998330705711</v>
      </c>
      <c r="P71" s="4">
        <f t="shared" si="65"/>
        <v>2619.166875365222</v>
      </c>
      <c r="Q71" s="4">
        <f t="shared" si="65"/>
        <v>3635.066803547099</v>
      </c>
      <c r="S71" s="141">
        <f t="shared" si="27"/>
        <v>0.86639033443553237</v>
      </c>
      <c r="T71" s="141">
        <f t="shared" si="28"/>
        <v>0.7881874144734734</v>
      </c>
      <c r="U71" s="129">
        <f t="shared" si="29"/>
        <v>1.114292870172406</v>
      </c>
      <c r="V71" s="129">
        <f t="shared" si="30"/>
        <v>0.85327524358438289</v>
      </c>
      <c r="W71" s="141"/>
      <c r="X71" s="131">
        <f t="shared" si="31"/>
        <v>1.5825954549206938</v>
      </c>
      <c r="Y71" s="131">
        <f>V71</f>
        <v>0.85327524358438289</v>
      </c>
      <c r="Z71" s="131">
        <f>BP71</f>
        <v>1.0292593585461642</v>
      </c>
      <c r="AA71" s="131">
        <f>BL71</f>
        <v>0.82901868853506511</v>
      </c>
      <c r="AB71" s="131">
        <f>X71*Z71*AA71</f>
        <v>1.3503895222929929</v>
      </c>
      <c r="AC71" s="131">
        <f t="shared" si="36"/>
        <v>1.350389522292992</v>
      </c>
      <c r="AD71" s="131"/>
      <c r="AE71" s="131">
        <f>Z71*AA71</f>
        <v>0.85327524358438345</v>
      </c>
      <c r="AH71" s="134"/>
      <c r="AJ71" s="136">
        <f>D71/G71</f>
        <v>0.53445968622391871</v>
      </c>
      <c r="AK71" s="136">
        <f>E71/G71</f>
        <v>0.46234706391678254</v>
      </c>
      <c r="AL71" s="136">
        <f>F71/G71</f>
        <v>3.193249859298608E-3</v>
      </c>
      <c r="AN71">
        <f t="shared" si="66"/>
        <v>0.53671695770394778</v>
      </c>
      <c r="AO71">
        <f t="shared" si="66"/>
        <v>0.45985288883699177</v>
      </c>
      <c r="AP71">
        <f t="shared" si="66"/>
        <v>3.4173627674935524E-3</v>
      </c>
      <c r="AQ71" s="136">
        <f>SUM(AN71:AP71)</f>
        <v>0.99998720930843321</v>
      </c>
      <c r="AS71">
        <f>AN71/AQ71</f>
        <v>0.53672382277282138</v>
      </c>
      <c r="AT71">
        <f>AO71/AQ71</f>
        <v>0.45985877074869269</v>
      </c>
      <c r="AU71">
        <f>AP71/AQ71</f>
        <v>3.417406478485777E-3</v>
      </c>
      <c r="AX71">
        <f t="shared" si="68"/>
        <v>6.2768722677549469E-3</v>
      </c>
      <c r="AY71">
        <f t="shared" si="68"/>
        <v>4.8655637941951296E-3</v>
      </c>
      <c r="AZ71">
        <f t="shared" si="68"/>
        <v>-4.9274706375003171E-3</v>
      </c>
      <c r="BB71" s="136">
        <f>I71/L71</f>
        <v>0.54554340104672949</v>
      </c>
      <c r="BC71" s="136">
        <f>J71/L71</f>
        <v>0.45002477879391206</v>
      </c>
      <c r="BD71" s="136">
        <f>K71/L71</f>
        <v>4.4318201593585805E-3</v>
      </c>
      <c r="BF71">
        <f t="shared" si="67"/>
        <v>-8.703284526300958E-3</v>
      </c>
      <c r="BG71">
        <f t="shared" si="67"/>
        <v>1.1959419835353145E-2</v>
      </c>
      <c r="BH71">
        <f t="shared" si="67"/>
        <v>-0.12323596361710962</v>
      </c>
      <c r="BJ71">
        <f>EXP(SUMPRODUCT($AS71:$AU71,AX71:AZ71))</f>
        <v>1.0056052307425885</v>
      </c>
      <c r="BK71">
        <f>IF(ISERR(BJ71),BK70,BJ71*BK70)</f>
        <v>0.66867521475879721</v>
      </c>
      <c r="BL71" s="129">
        <f t="shared" si="49"/>
        <v>0.82901868853506511</v>
      </c>
      <c r="BN71">
        <f>EXP(SUMPRODUCT($AS71:$AU71,BF71:BH71))</f>
        <v>1.0004073195143439</v>
      </c>
      <c r="BO71">
        <f>IF(ISERR(BN71),BO70,BN71*BO70)</f>
        <v>1.0665569429327248</v>
      </c>
      <c r="BP71" s="129">
        <f t="shared" si="50"/>
        <v>1.0292593585461642</v>
      </c>
    </row>
    <row r="72" spans="1:68" x14ac:dyDescent="0.2">
      <c r="A72" s="133" t="s">
        <v>664</v>
      </c>
      <c r="B72" s="144">
        <f t="shared" si="13"/>
        <v>2011</v>
      </c>
      <c r="D72" s="4">
        <f>'Passenger-based Energy Use'!B69</f>
        <v>9028.7785825039136</v>
      </c>
      <c r="E72" s="4">
        <f>'Passenger-based Energy Use'!D69</f>
        <v>7772.7144117506905</v>
      </c>
      <c r="F72" s="4">
        <f>'Passenger-based Energy Use'!C69</f>
        <v>53.174999999999997</v>
      </c>
      <c r="G72" s="4">
        <f>SUM(D72:F72)</f>
        <v>16854.667994254603</v>
      </c>
      <c r="I72" s="4">
        <f>'Passenger-based Activity'!B70</f>
        <v>2505819.70842053</v>
      </c>
      <c r="J72" s="4">
        <f>'Passenger-based Activity'!C70</f>
        <v>2067110.6304802438</v>
      </c>
      <c r="K72" s="4">
        <f>'Passenger-based Activity'!D70</f>
        <v>20396.2</v>
      </c>
      <c r="L72" s="4">
        <f>SUM(I72:K72)</f>
        <v>4593326.538900774</v>
      </c>
      <c r="N72" s="4">
        <f t="shared" ref="N72" si="69">D72/I72*1000000</f>
        <v>3603.1237810779849</v>
      </c>
      <c r="O72" s="4">
        <f t="shared" ref="O72" si="70">E72/J72*1000000</f>
        <v>3760.1830773541551</v>
      </c>
      <c r="P72" s="4">
        <f t="shared" ref="P72" si="71">F72/K72*1000000</f>
        <v>2607.1032839450486</v>
      </c>
      <c r="Q72" s="4">
        <f t="shared" ref="Q72" si="72">G72/L72*1000000</f>
        <v>3669.381623865148</v>
      </c>
      <c r="S72" s="141">
        <f t="shared" si="27"/>
        <v>0.87658642061852721</v>
      </c>
      <c r="T72" s="141">
        <f t="shared" si="28"/>
        <v>0.79358675899953535</v>
      </c>
      <c r="U72" s="129">
        <f t="shared" si="29"/>
        <v>1.1091605611032109</v>
      </c>
      <c r="V72" s="129">
        <f t="shared" si="30"/>
        <v>0.86133011251742864</v>
      </c>
      <c r="W72" s="141"/>
      <c r="X72" s="131">
        <f t="shared" si="31"/>
        <v>1.5820123771530143</v>
      </c>
      <c r="Y72" s="131">
        <f>V72</f>
        <v>0.86133011251742864</v>
      </c>
      <c r="Z72" s="131">
        <f>BP72</f>
        <v>1.0292570147341009</v>
      </c>
      <c r="AA72" s="131">
        <f>BL72</f>
        <v>0.83684648264451822</v>
      </c>
      <c r="AB72" s="131">
        <f>X72*Z72*AA72</f>
        <v>1.3626348988171719</v>
      </c>
      <c r="AC72" s="131">
        <f t="shared" si="36"/>
        <v>1.3626348988171706</v>
      </c>
      <c r="AD72" s="131"/>
      <c r="AE72" s="131">
        <f>Z72*AA72</f>
        <v>0.86133011251742941</v>
      </c>
      <c r="AH72" s="134"/>
      <c r="AJ72" s="136">
        <f>D72/G72</f>
        <v>0.53568415501163424</v>
      </c>
      <c r="AK72" s="136">
        <f>E72/G72</f>
        <v>0.46116093265083852</v>
      </c>
      <c r="AL72" s="136">
        <f>F72/G72</f>
        <v>3.1549123375272784E-3</v>
      </c>
      <c r="AN72">
        <f t="shared" ref="AN72" si="73">(AJ72-AJ71)/LN(AJ72/AJ71)</f>
        <v>0.53507168710953945</v>
      </c>
      <c r="AO72">
        <f t="shared" ref="AO72" si="74">(AK72-AK71)/LN(AK72/AK71)</f>
        <v>0.46175374437731986</v>
      </c>
      <c r="AP72">
        <f t="shared" ref="AP72" si="75">(AL72-AL71)/LN(AL72/AL71)</f>
        <v>3.1740425103453846E-3</v>
      </c>
      <c r="AQ72" s="136">
        <f>SUM(AN72:AP72)</f>
        <v>0.99999947399720468</v>
      </c>
      <c r="AS72">
        <f>AN72/AQ72</f>
        <v>0.53507196855889061</v>
      </c>
      <c r="AT72">
        <f>AO72/AQ72</f>
        <v>0.46175398726120792</v>
      </c>
      <c r="AU72">
        <f>AP72/AQ72</f>
        <v>3.1740441799014956E-3</v>
      </c>
      <c r="AX72">
        <f t="shared" ref="AX72" si="76">LN(S72/S71)</f>
        <v>1.1699757280401079E-2</v>
      </c>
      <c r="AY72">
        <f t="shared" ref="AY72" si="77">LN(T72/T71)</f>
        <v>6.8269738973577255E-3</v>
      </c>
      <c r="AZ72">
        <f t="shared" ref="AZ72" si="78">LN(U72/U71)</f>
        <v>-4.616528605568381E-3</v>
      </c>
      <c r="BB72" s="136">
        <f>I72/L72</f>
        <v>0.545534850875243</v>
      </c>
      <c r="BC72" s="136">
        <f>J72/L72</f>
        <v>0.45002475068426612</v>
      </c>
      <c r="BD72" s="136">
        <f>K72/L72</f>
        <v>4.4403984404908E-3</v>
      </c>
      <c r="BF72">
        <f t="shared" ref="BF72" si="79">LN(BB72/BB71)</f>
        <v>-1.5672884088020577E-5</v>
      </c>
      <c r="BG72">
        <f t="shared" ref="BG72" si="80">LN(BC72/BC71)</f>
        <v>-6.2462442392946402E-8</v>
      </c>
      <c r="BH72">
        <f t="shared" ref="BH72" si="81">LN(BD72/BD71)</f>
        <v>1.9337404074930881E-3</v>
      </c>
      <c r="BJ72">
        <f>EXP(SUMPRODUCT($AS72:$AU72,AX72:AZ72))</f>
        <v>1.0094422408296795</v>
      </c>
      <c r="BK72">
        <f>IF(ISERR(BJ72),BK71,BJ72*BK71)</f>
        <v>0.67498900717338739</v>
      </c>
      <c r="BL72" s="129">
        <f t="shared" si="49"/>
        <v>0.83684648264451822</v>
      </c>
      <c r="BN72">
        <f>EXP(SUMPRODUCT($AS72:$AU72,BF72:BH72))</f>
        <v>0.99999772281685484</v>
      </c>
      <c r="BO72">
        <f>IF(ISERR(BN72),BO71,BN72*BO71)</f>
        <v>1.066554514187231</v>
      </c>
      <c r="BP72" s="129">
        <f t="shared" si="50"/>
        <v>1.0292570147341009</v>
      </c>
    </row>
    <row r="73" spans="1:68" hidden="1" x14ac:dyDescent="0.2">
      <c r="A73" s="133"/>
      <c r="B73" s="144"/>
      <c r="AH73" s="134"/>
    </row>
    <row r="74" spans="1:68" hidden="1" x14ac:dyDescent="0.2">
      <c r="A74" s="133" t="s">
        <v>684</v>
      </c>
      <c r="B74" s="144">
        <f>Base_year</f>
        <v>1985</v>
      </c>
      <c r="D74" s="129">
        <f>INDEX(D10:D71,Base_row,0)</f>
        <v>8931.8687164000021</v>
      </c>
      <c r="E74" s="129">
        <f>INDEX(E10:E71,Base_row,0)</f>
        <v>3413.8126605388788</v>
      </c>
      <c r="F74" s="129">
        <f>INDEX(F10:F71,Base_row,0)</f>
        <v>23.4925</v>
      </c>
      <c r="G74" s="129">
        <f>INDEX(G10:G71,Base_row,0)</f>
        <v>12369.173876938881</v>
      </c>
      <c r="I74" s="138">
        <f>INDEX(I10:I71,Base_row,0)</f>
        <v>2172990.8000000003</v>
      </c>
      <c r="J74" s="138">
        <f>INDEX(J10:J71,Base_row,0)</f>
        <v>720485.27142857143</v>
      </c>
      <c r="K74" s="138">
        <f>INDEX(K10:K71,Base_row,0)</f>
        <v>9994.6</v>
      </c>
      <c r="L74" s="138">
        <f>INDEX(L10:L71,Base_row,0)</f>
        <v>2903470.6714285719</v>
      </c>
      <c r="N74" s="136">
        <f>INDEX(N10:N71,Base_row,0)</f>
        <v>4110.4033741882386</v>
      </c>
      <c r="O74" s="136">
        <f>INDEX(O10:O71,Base_row,0)</f>
        <v>4738.212973833598</v>
      </c>
      <c r="P74" s="136">
        <f>INDEX(P10:P71,Base_row,0)</f>
        <v>2350.5192804114222</v>
      </c>
      <c r="Q74" s="136">
        <f>INDEX(Q10:Q71,Base_row,0)</f>
        <v>4260.1339144414269</v>
      </c>
      <c r="AH74" s="134"/>
      <c r="BK74">
        <f>INDEX(BK10:BK71,Base_row,1)</f>
        <v>0.80658641838387723</v>
      </c>
      <c r="BO74">
        <f>INDEX(BO10:BO71,Base_row,1)</f>
        <v>1.0362373041127784</v>
      </c>
    </row>
    <row r="75" spans="1:68" hidden="1" x14ac:dyDescent="0.2">
      <c r="A75" s="133" t="s">
        <v>683</v>
      </c>
      <c r="B75" s="144">
        <f>Base_year2</f>
        <v>1996</v>
      </c>
      <c r="L75" s="138">
        <f>INDEX(L10:L71,Base_row2,0)</f>
        <v>3678123.9300000006</v>
      </c>
      <c r="N75" s="136">
        <f>INDEX(N10:N71,Base_row2,0)</f>
        <v>3682.5545038139171</v>
      </c>
      <c r="O75" s="136">
        <f>INDEX(O10:O71,Base_row2,0)</f>
        <v>4473.0402145271519</v>
      </c>
      <c r="P75" s="136">
        <f>INDEX(P10:P71,Base_row2,0)</f>
        <v>2244.5472873900294</v>
      </c>
      <c r="Q75" s="136">
        <f>INDEX(Q10:Q71,Base_row2,0)</f>
        <v>3962.5773829941063</v>
      </c>
      <c r="S75" s="175"/>
      <c r="AA75" s="129">
        <f>AA68/AA67</f>
        <v>0.99249935588243277</v>
      </c>
      <c r="AH75" s="134"/>
    </row>
    <row r="76" spans="1:68" hidden="1" x14ac:dyDescent="0.2">
      <c r="A76" s="133"/>
      <c r="B76" s="133"/>
      <c r="AA76" s="136">
        <v>1</v>
      </c>
      <c r="AB76" t="s">
        <v>873</v>
      </c>
      <c r="AH76" s="134"/>
    </row>
    <row r="77" spans="1:68" hidden="1" x14ac:dyDescent="0.2">
      <c r="A77" s="133"/>
      <c r="B77" s="133"/>
      <c r="K77" s="279"/>
      <c r="L77" s="129">
        <f>161/(4442+161)</f>
        <v>3.4977188789919615E-2</v>
      </c>
      <c r="N77" s="136">
        <f>N72/N46</f>
        <v>0.87658642061852721</v>
      </c>
      <c r="O77" s="136">
        <f>O72/O46</f>
        <v>0.79358675899953535</v>
      </c>
      <c r="AH77" s="134"/>
    </row>
    <row r="78" spans="1:68" x14ac:dyDescent="0.2">
      <c r="A78" s="133"/>
      <c r="B78" s="133"/>
      <c r="K78" s="129"/>
      <c r="AH78" s="134"/>
    </row>
    <row r="79" spans="1:68" x14ac:dyDescent="0.2">
      <c r="A79" s="133"/>
      <c r="B79" s="133"/>
      <c r="AH79" s="134"/>
    </row>
    <row r="80" spans="1:68" x14ac:dyDescent="0.2">
      <c r="A80" s="133"/>
      <c r="B80" s="133"/>
      <c r="AH80" s="134"/>
    </row>
    <row r="81" spans="1:34" x14ac:dyDescent="0.2">
      <c r="A81" s="133"/>
      <c r="B81" s="133"/>
      <c r="AH81" s="134"/>
    </row>
    <row r="82" spans="1:34" x14ac:dyDescent="0.2">
      <c r="A82" s="133"/>
      <c r="B82" s="133"/>
      <c r="AH82" s="134"/>
    </row>
    <row r="83" spans="1:34" x14ac:dyDescent="0.2">
      <c r="A83" s="133"/>
      <c r="B83" s="133"/>
      <c r="AH83" s="134"/>
    </row>
    <row r="84" spans="1:34" x14ac:dyDescent="0.2">
      <c r="A84" s="133"/>
      <c r="B84" s="133"/>
      <c r="AH84" s="134"/>
    </row>
    <row r="85" spans="1:34" x14ac:dyDescent="0.2">
      <c r="A85" s="133"/>
      <c r="B85" s="133"/>
      <c r="AH85" s="134"/>
    </row>
    <row r="86" spans="1:34" x14ac:dyDescent="0.2">
      <c r="A86" s="133"/>
      <c r="B86" s="133"/>
      <c r="AH86" s="134"/>
    </row>
    <row r="87" spans="1:34" x14ac:dyDescent="0.2">
      <c r="A87" s="133"/>
      <c r="B87" s="133"/>
      <c r="AH87" s="134"/>
    </row>
    <row r="88" spans="1:34" x14ac:dyDescent="0.2">
      <c r="A88" s="133"/>
      <c r="B88" s="133"/>
      <c r="AH88" s="134"/>
    </row>
    <row r="89" spans="1:34" x14ac:dyDescent="0.2">
      <c r="A89" s="133"/>
      <c r="B89" s="133"/>
      <c r="AH89" s="134"/>
    </row>
    <row r="90" spans="1:34" x14ac:dyDescent="0.2">
      <c r="A90" s="133"/>
      <c r="B90" s="133"/>
      <c r="AH90" s="134"/>
    </row>
    <row r="91" spans="1:34" x14ac:dyDescent="0.2">
      <c r="A91" s="133"/>
      <c r="B91" s="133"/>
      <c r="AH91" s="134"/>
    </row>
    <row r="92" spans="1:34" x14ac:dyDescent="0.2">
      <c r="A92" s="133"/>
      <c r="B92" s="133"/>
      <c r="AH92" s="134"/>
    </row>
    <row r="93" spans="1:34" x14ac:dyDescent="0.2">
      <c r="A93" s="133"/>
      <c r="B93" s="133"/>
      <c r="AH93" s="134"/>
    </row>
    <row r="94" spans="1:34" x14ac:dyDescent="0.2">
      <c r="A94" s="133"/>
      <c r="B94" s="133"/>
      <c r="AH94" s="134"/>
    </row>
    <row r="95" spans="1:34" x14ac:dyDescent="0.2">
      <c r="A95" s="133"/>
      <c r="B95" s="133"/>
      <c r="AH95" s="134"/>
    </row>
    <row r="96" spans="1:34" x14ac:dyDescent="0.2">
      <c r="A96" s="133"/>
      <c r="B96" s="133"/>
      <c r="AH96" s="134"/>
    </row>
    <row r="97" spans="1:34" x14ac:dyDescent="0.2">
      <c r="A97" s="133"/>
      <c r="B97" s="133"/>
      <c r="AH97" s="134"/>
    </row>
    <row r="98" spans="1:34" x14ac:dyDescent="0.2">
      <c r="A98" s="133"/>
      <c r="B98" s="133"/>
      <c r="AH98" s="134"/>
    </row>
    <row r="99" spans="1:34" x14ac:dyDescent="0.2">
      <c r="A99" s="133"/>
      <c r="B99" s="133"/>
      <c r="AH99" s="134"/>
    </row>
    <row r="100" spans="1:34" x14ac:dyDescent="0.2">
      <c r="A100" s="133"/>
      <c r="B100" s="133"/>
      <c r="AH100" s="134"/>
    </row>
    <row r="101" spans="1:34" x14ac:dyDescent="0.2">
      <c r="A101" s="133"/>
      <c r="B101" s="133"/>
      <c r="AH101" s="134"/>
    </row>
    <row r="102" spans="1:34" x14ac:dyDescent="0.2">
      <c r="A102" s="133"/>
      <c r="B102" s="133"/>
      <c r="AH102" s="134"/>
    </row>
    <row r="103" spans="1:34" x14ac:dyDescent="0.2">
      <c r="A103" s="133"/>
      <c r="B103" s="133"/>
      <c r="AH103" s="134"/>
    </row>
    <row r="104" spans="1:34" x14ac:dyDescent="0.2">
      <c r="A104" s="133"/>
      <c r="B104" s="133"/>
      <c r="AH104" s="134"/>
    </row>
    <row r="105" spans="1:34" x14ac:dyDescent="0.2">
      <c r="A105" s="133"/>
      <c r="B105" s="133"/>
      <c r="AH105" s="134"/>
    </row>
    <row r="106" spans="1:34" x14ac:dyDescent="0.2">
      <c r="A106" s="133"/>
      <c r="B106" s="133"/>
      <c r="AH106" s="134"/>
    </row>
    <row r="107" spans="1:34" x14ac:dyDescent="0.2">
      <c r="A107" s="133"/>
      <c r="B107" s="133"/>
      <c r="AH107" s="134"/>
    </row>
    <row r="108" spans="1:34" x14ac:dyDescent="0.2">
      <c r="A108" s="133"/>
      <c r="B108" s="133"/>
      <c r="AH108" s="134"/>
    </row>
    <row r="109" spans="1:34" x14ac:dyDescent="0.2">
      <c r="A109" s="133"/>
      <c r="B109" s="133"/>
      <c r="AH109" s="134"/>
    </row>
    <row r="110" spans="1:34" x14ac:dyDescent="0.2">
      <c r="A110" s="133"/>
      <c r="B110" s="133"/>
      <c r="AH110" s="134"/>
    </row>
    <row r="111" spans="1:34" x14ac:dyDescent="0.2">
      <c r="A111" s="133"/>
      <c r="B111" s="133"/>
      <c r="AH111" s="134"/>
    </row>
    <row r="112" spans="1:34" x14ac:dyDescent="0.2">
      <c r="A112" s="133"/>
      <c r="B112" s="133"/>
      <c r="AH112" s="134"/>
    </row>
    <row r="113" spans="1:34" x14ac:dyDescent="0.2">
      <c r="A113" s="133"/>
      <c r="B113" s="133"/>
      <c r="AH113" s="134"/>
    </row>
    <row r="114" spans="1:34" x14ac:dyDescent="0.2">
      <c r="A114" s="133"/>
      <c r="B114" s="133"/>
      <c r="AH114" s="134"/>
    </row>
    <row r="115" spans="1:34" x14ac:dyDescent="0.2">
      <c r="A115" s="133"/>
      <c r="B115" s="133"/>
      <c r="AH115" s="134"/>
    </row>
    <row r="116" spans="1:34" x14ac:dyDescent="0.2">
      <c r="A116" s="133"/>
      <c r="B116" s="133"/>
      <c r="AH116" s="134"/>
    </row>
    <row r="117" spans="1:34" x14ac:dyDescent="0.2">
      <c r="A117" s="133"/>
      <c r="B117" s="133"/>
      <c r="AH117" s="134"/>
    </row>
    <row r="118" spans="1:34" x14ac:dyDescent="0.2">
      <c r="A118" s="133"/>
      <c r="B118" s="133"/>
      <c r="AH118" s="134"/>
    </row>
    <row r="119" spans="1:34" x14ac:dyDescent="0.2">
      <c r="A119" s="133"/>
      <c r="B119" s="133"/>
      <c r="AH119" s="134"/>
    </row>
    <row r="120" spans="1:34" x14ac:dyDescent="0.2">
      <c r="A120" s="133"/>
      <c r="B120" s="133"/>
      <c r="AH120" s="134"/>
    </row>
    <row r="121" spans="1:34" x14ac:dyDescent="0.2">
      <c r="A121" s="133"/>
      <c r="B121" s="133"/>
      <c r="AH121" s="134"/>
    </row>
    <row r="122" spans="1:34" x14ac:dyDescent="0.2">
      <c r="A122" s="133"/>
      <c r="B122" s="133"/>
      <c r="AH122" s="134"/>
    </row>
    <row r="123" spans="1:34" x14ac:dyDescent="0.2">
      <c r="A123" s="133"/>
      <c r="B123" s="133"/>
      <c r="AH123" s="134"/>
    </row>
    <row r="124" spans="1:34" x14ac:dyDescent="0.2">
      <c r="A124" s="133"/>
      <c r="B124" s="133"/>
      <c r="AH124" s="134"/>
    </row>
    <row r="125" spans="1:34" x14ac:dyDescent="0.2">
      <c r="A125" s="133"/>
      <c r="B125" s="133"/>
      <c r="AH125" s="134"/>
    </row>
    <row r="126" spans="1:34" x14ac:dyDescent="0.2">
      <c r="A126" s="133"/>
      <c r="B126" s="133"/>
      <c r="AH126" s="134"/>
    </row>
    <row r="127" spans="1:34" x14ac:dyDescent="0.2">
      <c r="A127" s="133"/>
      <c r="B127" s="133"/>
      <c r="AH127" s="134"/>
    </row>
    <row r="128" spans="1:34" x14ac:dyDescent="0.2">
      <c r="A128" s="133"/>
      <c r="B128" s="133"/>
      <c r="AH128" s="134"/>
    </row>
    <row r="129" spans="1:34" x14ac:dyDescent="0.2">
      <c r="A129" s="133"/>
      <c r="B129" s="133"/>
      <c r="AH129" s="134"/>
    </row>
    <row r="130" spans="1:34" x14ac:dyDescent="0.2">
      <c r="A130" s="133"/>
      <c r="B130" s="133"/>
      <c r="AH130" s="134"/>
    </row>
    <row r="131" spans="1:34" x14ac:dyDescent="0.2">
      <c r="A131" s="133"/>
      <c r="B131" s="133"/>
      <c r="AH131" s="134"/>
    </row>
    <row r="132" spans="1:34" x14ac:dyDescent="0.2">
      <c r="A132" s="133"/>
      <c r="B132" s="133"/>
      <c r="AH132" s="134"/>
    </row>
    <row r="133" spans="1:34" x14ac:dyDescent="0.2">
      <c r="A133" s="133"/>
      <c r="B133" s="133"/>
      <c r="AH133" s="134"/>
    </row>
    <row r="134" spans="1:34" x14ac:dyDescent="0.2">
      <c r="A134" s="133"/>
      <c r="B134" s="133"/>
      <c r="AH134" s="134"/>
    </row>
    <row r="135" spans="1:34" x14ac:dyDescent="0.2">
      <c r="A135" s="133"/>
      <c r="B135" s="133"/>
      <c r="AH135" s="134"/>
    </row>
    <row r="136" spans="1:34" x14ac:dyDescent="0.2">
      <c r="A136" s="133"/>
      <c r="B136" s="133"/>
      <c r="AH136" s="134"/>
    </row>
    <row r="137" spans="1:34" x14ac:dyDescent="0.2">
      <c r="A137" s="133"/>
      <c r="B137" s="133"/>
      <c r="AH137" s="134"/>
    </row>
    <row r="138" spans="1:34" x14ac:dyDescent="0.2">
      <c r="A138" s="133"/>
      <c r="B138" s="133"/>
      <c r="AH138" s="134"/>
    </row>
    <row r="139" spans="1:34" x14ac:dyDescent="0.2">
      <c r="A139" s="133"/>
      <c r="B139" s="133"/>
      <c r="AH139" s="134"/>
    </row>
    <row r="140" spans="1:34" x14ac:dyDescent="0.2">
      <c r="A140" s="133"/>
      <c r="B140" s="133"/>
      <c r="AH140" s="134"/>
    </row>
    <row r="141" spans="1:34" x14ac:dyDescent="0.2">
      <c r="A141" s="133"/>
      <c r="B141" s="133"/>
      <c r="AH141" s="134"/>
    </row>
    <row r="142" spans="1:34" x14ac:dyDescent="0.2">
      <c r="A142" s="133"/>
      <c r="B142" s="133"/>
      <c r="AH142" s="134"/>
    </row>
    <row r="143" spans="1:34" x14ac:dyDescent="0.2">
      <c r="A143" s="133"/>
      <c r="B143" s="133"/>
      <c r="AH143" s="134"/>
    </row>
    <row r="144" spans="1:34" x14ac:dyDescent="0.2">
      <c r="A144" s="133"/>
      <c r="B144" s="133"/>
      <c r="AH144" s="134"/>
    </row>
    <row r="145" spans="1:34" x14ac:dyDescent="0.2">
      <c r="A145" s="133"/>
      <c r="B145" s="133"/>
      <c r="AH145" s="134"/>
    </row>
    <row r="146" spans="1:34" x14ac:dyDescent="0.2">
      <c r="A146" s="133"/>
      <c r="B146" s="133"/>
      <c r="AH146" s="134"/>
    </row>
    <row r="147" spans="1:34" x14ac:dyDescent="0.2">
      <c r="A147" s="133"/>
      <c r="B147" s="133"/>
      <c r="AH147" s="134"/>
    </row>
    <row r="148" spans="1:34" x14ac:dyDescent="0.2">
      <c r="A148" s="133"/>
      <c r="B148" s="133"/>
      <c r="AH148" s="134"/>
    </row>
    <row r="149" spans="1:34" x14ac:dyDescent="0.2">
      <c r="A149" s="133"/>
      <c r="B149" s="133"/>
      <c r="AH149" s="134"/>
    </row>
    <row r="150" spans="1:34" x14ac:dyDescent="0.2">
      <c r="A150" s="133"/>
      <c r="B150" s="133"/>
      <c r="AH150" s="134"/>
    </row>
    <row r="151" spans="1:34" x14ac:dyDescent="0.2">
      <c r="A151" s="133"/>
      <c r="B151" s="133"/>
      <c r="AH151" s="134"/>
    </row>
    <row r="152" spans="1:34" x14ac:dyDescent="0.2">
      <c r="A152" s="133"/>
      <c r="B152" s="133"/>
      <c r="AH152" s="134"/>
    </row>
    <row r="153" spans="1:34" x14ac:dyDescent="0.2">
      <c r="A153" s="133"/>
      <c r="B153" s="133"/>
      <c r="AH153" s="134"/>
    </row>
    <row r="154" spans="1:34" x14ac:dyDescent="0.2">
      <c r="A154" s="133"/>
      <c r="B154" s="133"/>
      <c r="AH154" s="134"/>
    </row>
    <row r="155" spans="1:34" x14ac:dyDescent="0.2">
      <c r="A155" s="133"/>
      <c r="B155" s="133"/>
      <c r="AH155" s="134"/>
    </row>
    <row r="156" spans="1:34" x14ac:dyDescent="0.2">
      <c r="A156" s="133"/>
      <c r="B156" s="133"/>
      <c r="AH156" s="134"/>
    </row>
    <row r="157" spans="1:34" x14ac:dyDescent="0.2">
      <c r="A157" s="133"/>
      <c r="B157" s="133"/>
      <c r="AH157" s="134"/>
    </row>
    <row r="158" spans="1:34" x14ac:dyDescent="0.2">
      <c r="A158" s="133"/>
      <c r="B158" s="133"/>
      <c r="AH158" s="134"/>
    </row>
    <row r="159" spans="1:34" x14ac:dyDescent="0.2">
      <c r="A159" s="133"/>
      <c r="B159" s="133"/>
      <c r="AH159" s="134"/>
    </row>
    <row r="160" spans="1:34" x14ac:dyDescent="0.2">
      <c r="A160" s="133"/>
      <c r="B160" s="133"/>
      <c r="AH160" s="134"/>
    </row>
    <row r="161" spans="1:34" x14ac:dyDescent="0.2">
      <c r="A161" s="133"/>
      <c r="B161" s="133"/>
      <c r="AH161" s="134"/>
    </row>
    <row r="162" spans="1:34" x14ac:dyDescent="0.2">
      <c r="A162" s="133"/>
      <c r="B162" s="133"/>
      <c r="AH162" s="134"/>
    </row>
    <row r="163" spans="1:34" x14ac:dyDescent="0.2">
      <c r="A163" s="133"/>
      <c r="B163" s="133"/>
      <c r="AH163" s="134"/>
    </row>
    <row r="164" spans="1:34" x14ac:dyDescent="0.2">
      <c r="A164" s="133"/>
      <c r="B164" s="133"/>
      <c r="AH164" s="134"/>
    </row>
    <row r="165" spans="1:34" x14ac:dyDescent="0.2">
      <c r="A165" s="133"/>
      <c r="B165" s="133"/>
      <c r="AH165" s="134"/>
    </row>
    <row r="166" spans="1:34" x14ac:dyDescent="0.2">
      <c r="A166" s="133"/>
      <c r="B166" s="133"/>
      <c r="AH166" s="134"/>
    </row>
    <row r="167" spans="1:34" x14ac:dyDescent="0.2">
      <c r="A167" s="133"/>
      <c r="B167" s="133"/>
      <c r="AH167" s="134"/>
    </row>
    <row r="168" spans="1:34" x14ac:dyDescent="0.2">
      <c r="A168" s="133"/>
      <c r="B168" s="133"/>
      <c r="AH168" s="134"/>
    </row>
    <row r="169" spans="1:34" x14ac:dyDescent="0.2">
      <c r="A169" s="133"/>
      <c r="B169" s="133"/>
      <c r="AH169" s="134"/>
    </row>
    <row r="170" spans="1:34" x14ac:dyDescent="0.2">
      <c r="A170" s="133"/>
      <c r="B170" s="133"/>
      <c r="AH170" s="134"/>
    </row>
    <row r="171" spans="1:34" x14ac:dyDescent="0.2">
      <c r="A171" s="133"/>
      <c r="B171" s="133"/>
      <c r="AH171" s="134"/>
    </row>
    <row r="172" spans="1:34" x14ac:dyDescent="0.2">
      <c r="A172" s="133"/>
      <c r="B172" s="133"/>
      <c r="AH172" s="134"/>
    </row>
    <row r="173" spans="1:34" x14ac:dyDescent="0.2">
      <c r="A173" s="133"/>
      <c r="B173" s="133"/>
      <c r="AH173" s="134"/>
    </row>
    <row r="174" spans="1:34" x14ac:dyDescent="0.2">
      <c r="A174" s="133"/>
      <c r="B174" s="133"/>
      <c r="AH174" s="134"/>
    </row>
    <row r="175" spans="1:34" x14ac:dyDescent="0.2">
      <c r="A175" s="133"/>
      <c r="B175" s="133"/>
      <c r="AH175" s="134"/>
    </row>
    <row r="176" spans="1:34" x14ac:dyDescent="0.2">
      <c r="A176" s="133"/>
      <c r="B176" s="133"/>
      <c r="AH176" s="134"/>
    </row>
    <row r="177" spans="1:34" x14ac:dyDescent="0.2">
      <c r="A177" s="133"/>
      <c r="B177" s="133"/>
      <c r="AH177" s="134"/>
    </row>
    <row r="178" spans="1:34" x14ac:dyDescent="0.2">
      <c r="A178" s="133"/>
      <c r="B178" s="133"/>
      <c r="AH178" s="134"/>
    </row>
    <row r="179" spans="1:34" x14ac:dyDescent="0.2">
      <c r="A179" s="133"/>
      <c r="B179" s="133"/>
      <c r="AH179" s="134"/>
    </row>
    <row r="180" spans="1:34" x14ac:dyDescent="0.2">
      <c r="A180" s="133"/>
      <c r="B180" s="133"/>
      <c r="AH180" s="134"/>
    </row>
    <row r="181" spans="1:34" x14ac:dyDescent="0.2">
      <c r="A181" s="133"/>
      <c r="B181" s="133"/>
      <c r="AH181" s="134"/>
    </row>
    <row r="182" spans="1:34" x14ac:dyDescent="0.2">
      <c r="A182" s="133"/>
      <c r="B182" s="133"/>
      <c r="AH182" s="134"/>
    </row>
    <row r="183" spans="1:34" x14ac:dyDescent="0.2">
      <c r="A183" s="133"/>
      <c r="B183" s="133"/>
      <c r="AH183" s="134"/>
    </row>
    <row r="184" spans="1:34" x14ac:dyDescent="0.2">
      <c r="A184" s="133"/>
      <c r="B184" s="133"/>
      <c r="AH184" s="134"/>
    </row>
    <row r="185" spans="1:34" x14ac:dyDescent="0.2">
      <c r="A185" s="133"/>
      <c r="B185" s="133"/>
      <c r="AH185" s="134"/>
    </row>
    <row r="186" spans="1:34" x14ac:dyDescent="0.2">
      <c r="A186" s="133"/>
      <c r="B186" s="133"/>
      <c r="AH186" s="134"/>
    </row>
    <row r="187" spans="1:34" x14ac:dyDescent="0.2">
      <c r="A187" s="133"/>
      <c r="B187" s="133"/>
      <c r="AH187" s="134"/>
    </row>
    <row r="188" spans="1:34" x14ac:dyDescent="0.2">
      <c r="A188" s="133"/>
      <c r="B188" s="133"/>
      <c r="AH188" s="134"/>
    </row>
    <row r="189" spans="1:34" x14ac:dyDescent="0.2">
      <c r="A189" s="133"/>
      <c r="B189" s="133"/>
      <c r="AH189" s="134"/>
    </row>
    <row r="190" spans="1:34" x14ac:dyDescent="0.2">
      <c r="A190" s="133"/>
      <c r="B190" s="133"/>
      <c r="AH190" s="134"/>
    </row>
    <row r="191" spans="1:34" x14ac:dyDescent="0.2">
      <c r="A191" s="133"/>
      <c r="B191" s="133"/>
      <c r="AH191" s="134"/>
    </row>
    <row r="192" spans="1:34" x14ac:dyDescent="0.2">
      <c r="A192" s="133"/>
      <c r="B192" s="133"/>
      <c r="AH192" s="134"/>
    </row>
    <row r="193" spans="1:34" x14ac:dyDescent="0.2">
      <c r="A193" s="133"/>
      <c r="B193" s="133"/>
      <c r="AH193" s="134"/>
    </row>
    <row r="194" spans="1:34" x14ac:dyDescent="0.2">
      <c r="A194" s="133"/>
      <c r="B194" s="133"/>
      <c r="AH194" s="134"/>
    </row>
    <row r="195" spans="1:34" x14ac:dyDescent="0.2">
      <c r="A195" s="133"/>
      <c r="B195" s="133"/>
      <c r="AH195" s="134"/>
    </row>
    <row r="196" spans="1:34" x14ac:dyDescent="0.2">
      <c r="A196" s="133"/>
      <c r="B196" s="133"/>
      <c r="AH196" s="134"/>
    </row>
    <row r="197" spans="1:34" x14ac:dyDescent="0.2">
      <c r="A197" s="133"/>
      <c r="B197" s="133"/>
      <c r="AH197" s="134"/>
    </row>
    <row r="198" spans="1:34" x14ac:dyDescent="0.2">
      <c r="A198" s="133"/>
      <c r="B198" s="133"/>
      <c r="AH198" s="134"/>
    </row>
    <row r="199" spans="1:34" x14ac:dyDescent="0.2">
      <c r="A199" s="133"/>
      <c r="B199" s="133"/>
      <c r="AH199" s="134"/>
    </row>
    <row r="200" spans="1:34" x14ac:dyDescent="0.2">
      <c r="A200" s="133"/>
      <c r="B200" s="133"/>
      <c r="AH200" s="134"/>
    </row>
    <row r="201" spans="1:34" x14ac:dyDescent="0.2">
      <c r="A201" s="133"/>
      <c r="B201" s="133"/>
      <c r="AH201" s="134"/>
    </row>
    <row r="202" spans="1:34" x14ac:dyDescent="0.2">
      <c r="A202" s="133"/>
      <c r="B202" s="133"/>
      <c r="AH202" s="134"/>
    </row>
    <row r="203" spans="1:34" x14ac:dyDescent="0.2">
      <c r="A203" s="133"/>
      <c r="B203" s="133"/>
      <c r="AH203" s="134"/>
    </row>
    <row r="204" spans="1:34" x14ac:dyDescent="0.2">
      <c r="A204" s="133"/>
      <c r="B204" s="133"/>
      <c r="AH204" s="134"/>
    </row>
    <row r="205" spans="1:34" x14ac:dyDescent="0.2">
      <c r="A205" s="133"/>
      <c r="B205" s="133"/>
      <c r="AH205" s="134"/>
    </row>
    <row r="206" spans="1:34" x14ac:dyDescent="0.2">
      <c r="A206" s="133"/>
      <c r="B206" s="133"/>
      <c r="AH206" s="134"/>
    </row>
    <row r="207" spans="1:34" x14ac:dyDescent="0.2">
      <c r="A207" s="133"/>
      <c r="B207" s="133"/>
      <c r="AH207" s="134"/>
    </row>
    <row r="208" spans="1:34" x14ac:dyDescent="0.2">
      <c r="A208" s="133"/>
      <c r="B208" s="133"/>
      <c r="AH208" s="134"/>
    </row>
    <row r="209" spans="1:34" x14ac:dyDescent="0.2">
      <c r="A209" s="133"/>
      <c r="B209" s="133"/>
      <c r="AH209" s="134"/>
    </row>
    <row r="210" spans="1:34" x14ac:dyDescent="0.2">
      <c r="A210" s="133"/>
      <c r="B210" s="133"/>
      <c r="AH210" s="134"/>
    </row>
    <row r="211" spans="1:34" x14ac:dyDescent="0.2">
      <c r="A211" s="133"/>
      <c r="B211" s="133"/>
      <c r="AH211" s="134"/>
    </row>
    <row r="212" spans="1:34" x14ac:dyDescent="0.2">
      <c r="A212" s="133"/>
      <c r="B212" s="133"/>
      <c r="AH212" s="134"/>
    </row>
    <row r="213" spans="1:34" x14ac:dyDescent="0.2">
      <c r="A213" s="133"/>
      <c r="B213" s="133"/>
      <c r="AH213" s="134"/>
    </row>
    <row r="214" spans="1:34" x14ac:dyDescent="0.2">
      <c r="A214" s="133"/>
      <c r="B214" s="133"/>
      <c r="AH214" s="134"/>
    </row>
    <row r="215" spans="1:34" x14ac:dyDescent="0.2">
      <c r="A215" s="133"/>
      <c r="B215" s="133"/>
      <c r="AH215" s="134"/>
    </row>
    <row r="216" spans="1:34" x14ac:dyDescent="0.2">
      <c r="A216" s="133"/>
      <c r="B216" s="133"/>
      <c r="AH216" s="134"/>
    </row>
    <row r="217" spans="1:34" x14ac:dyDescent="0.2">
      <c r="A217" s="133"/>
      <c r="B217" s="133"/>
      <c r="AH217" s="134"/>
    </row>
    <row r="218" spans="1:34" x14ac:dyDescent="0.2">
      <c r="A218" s="133"/>
      <c r="B218" s="133"/>
      <c r="AH218" s="134"/>
    </row>
    <row r="219" spans="1:34" x14ac:dyDescent="0.2">
      <c r="A219" s="133"/>
      <c r="B219" s="133"/>
      <c r="AH219" s="134"/>
    </row>
    <row r="220" spans="1:34" x14ac:dyDescent="0.2">
      <c r="A220" s="133"/>
      <c r="B220" s="133"/>
      <c r="AH220" s="134"/>
    </row>
    <row r="221" spans="1:34" x14ac:dyDescent="0.2">
      <c r="A221" s="133"/>
      <c r="B221" s="133"/>
      <c r="AH221" s="134"/>
    </row>
    <row r="222" spans="1:34" x14ac:dyDescent="0.2">
      <c r="A222" s="133"/>
      <c r="B222" s="133"/>
      <c r="AH222" s="134"/>
    </row>
    <row r="223" spans="1:34" x14ac:dyDescent="0.2">
      <c r="A223" s="133"/>
      <c r="B223" s="133"/>
      <c r="AH223" s="134"/>
    </row>
    <row r="224" spans="1:34" x14ac:dyDescent="0.2">
      <c r="A224" s="133"/>
      <c r="B224" s="133"/>
      <c r="AH224" s="134"/>
    </row>
    <row r="225" spans="1:34" x14ac:dyDescent="0.2">
      <c r="A225" s="133"/>
      <c r="B225" s="133"/>
      <c r="AH225" s="134"/>
    </row>
    <row r="226" spans="1:34" x14ac:dyDescent="0.2">
      <c r="A226" s="133"/>
      <c r="B226" s="133"/>
      <c r="AH226" s="134"/>
    </row>
    <row r="227" spans="1:34" x14ac:dyDescent="0.2">
      <c r="A227" s="133"/>
      <c r="B227" s="133"/>
      <c r="AH227" s="134"/>
    </row>
    <row r="228" spans="1:34" x14ac:dyDescent="0.2">
      <c r="A228" s="133"/>
      <c r="B228" s="133"/>
      <c r="AH228" s="134"/>
    </row>
    <row r="229" spans="1:34" x14ac:dyDescent="0.2">
      <c r="A229" s="133"/>
      <c r="B229" s="133"/>
      <c r="AH229" s="134"/>
    </row>
    <row r="230" spans="1:34" x14ac:dyDescent="0.2">
      <c r="A230" s="133"/>
      <c r="B230" s="133"/>
      <c r="AH230" s="134"/>
    </row>
    <row r="231" spans="1:34" x14ac:dyDescent="0.2">
      <c r="A231" s="133"/>
      <c r="B231" s="133"/>
      <c r="AH231" s="134"/>
    </row>
    <row r="232" spans="1:34" x14ac:dyDescent="0.2">
      <c r="A232" s="133"/>
      <c r="B232" s="133"/>
      <c r="AH232" s="134"/>
    </row>
    <row r="233" spans="1:34" x14ac:dyDescent="0.2">
      <c r="A233" s="133"/>
      <c r="B233" s="133"/>
      <c r="AH233" s="134"/>
    </row>
    <row r="234" spans="1:34" x14ac:dyDescent="0.2">
      <c r="A234" s="133"/>
      <c r="B234" s="133"/>
      <c r="AH234" s="134"/>
    </row>
    <row r="235" spans="1:34" x14ac:dyDescent="0.2">
      <c r="A235" s="133"/>
      <c r="B235" s="133"/>
      <c r="AH235" s="134"/>
    </row>
    <row r="236" spans="1:34" x14ac:dyDescent="0.2">
      <c r="A236" s="133"/>
      <c r="B236" s="133"/>
      <c r="AH236" s="134"/>
    </row>
    <row r="237" spans="1:34" x14ac:dyDescent="0.2">
      <c r="A237" s="133"/>
      <c r="B237" s="133"/>
      <c r="AH237" s="134"/>
    </row>
    <row r="238" spans="1:34" x14ac:dyDescent="0.2">
      <c r="A238" s="133"/>
      <c r="B238" s="133"/>
      <c r="AH238" s="134"/>
    </row>
    <row r="239" spans="1:34" x14ac:dyDescent="0.2">
      <c r="A239" s="133"/>
      <c r="B239" s="133"/>
      <c r="AH239" s="134"/>
    </row>
    <row r="240" spans="1:34" x14ac:dyDescent="0.2">
      <c r="A240" s="133"/>
      <c r="B240" s="133"/>
      <c r="AH240" s="134"/>
    </row>
    <row r="241" spans="1:34" x14ac:dyDescent="0.2">
      <c r="A241" s="133"/>
      <c r="B241" s="133"/>
      <c r="AH241" s="134"/>
    </row>
    <row r="242" spans="1:34" x14ac:dyDescent="0.2">
      <c r="A242" s="133"/>
      <c r="B242" s="133"/>
      <c r="AH242" s="134"/>
    </row>
    <row r="243" spans="1:34" x14ac:dyDescent="0.2">
      <c r="A243" s="133"/>
      <c r="B243" s="133"/>
      <c r="AH243" s="134"/>
    </row>
    <row r="244" spans="1:34" x14ac:dyDescent="0.2">
      <c r="A244" s="133"/>
      <c r="B244" s="133"/>
      <c r="AH244" s="134"/>
    </row>
    <row r="245" spans="1:34" x14ac:dyDescent="0.2">
      <c r="A245" s="133"/>
      <c r="B245" s="133"/>
      <c r="AH245" s="134"/>
    </row>
    <row r="246" spans="1:34" x14ac:dyDescent="0.2">
      <c r="A246" s="133"/>
      <c r="B246" s="133"/>
      <c r="AH246" s="134"/>
    </row>
    <row r="247" spans="1:34" x14ac:dyDescent="0.2">
      <c r="A247" s="133"/>
      <c r="B247" s="133"/>
      <c r="AH247" s="134"/>
    </row>
    <row r="248" spans="1:34" x14ac:dyDescent="0.2">
      <c r="A248" s="133"/>
      <c r="B248" s="133"/>
      <c r="AH248" s="134"/>
    </row>
    <row r="249" spans="1:34" x14ac:dyDescent="0.2">
      <c r="A249" s="133"/>
      <c r="B249" s="133"/>
      <c r="AH249" s="134"/>
    </row>
    <row r="250" spans="1:34" x14ac:dyDescent="0.2">
      <c r="A250" s="133"/>
      <c r="B250" s="133"/>
      <c r="AH250" s="134"/>
    </row>
    <row r="251" spans="1:34" x14ac:dyDescent="0.2">
      <c r="A251" s="133"/>
      <c r="B251" s="133"/>
      <c r="AH251" s="134"/>
    </row>
    <row r="252" spans="1:34" x14ac:dyDescent="0.2">
      <c r="A252" s="133"/>
      <c r="B252" s="133"/>
      <c r="AH252" s="134"/>
    </row>
    <row r="253" spans="1:34" x14ac:dyDescent="0.2">
      <c r="A253" s="133"/>
      <c r="B253" s="133"/>
      <c r="AH253" s="134"/>
    </row>
    <row r="254" spans="1:34" x14ac:dyDescent="0.2">
      <c r="A254" s="133"/>
      <c r="B254" s="133"/>
      <c r="AH254" s="134"/>
    </row>
    <row r="255" spans="1:34" x14ac:dyDescent="0.2">
      <c r="A255" s="133"/>
      <c r="B255" s="133"/>
      <c r="AH255" s="134"/>
    </row>
    <row r="256" spans="1:34" x14ac:dyDescent="0.2">
      <c r="A256" s="133"/>
      <c r="B256" s="133"/>
      <c r="AH256" s="134"/>
    </row>
    <row r="257" spans="1:34" x14ac:dyDescent="0.2">
      <c r="A257" s="133"/>
      <c r="B257" s="133"/>
      <c r="AH257" s="134"/>
    </row>
    <row r="258" spans="1:34" x14ac:dyDescent="0.2">
      <c r="AH258" s="134"/>
    </row>
    <row r="259" spans="1:34" x14ac:dyDescent="0.2">
      <c r="AH259" s="134"/>
    </row>
    <row r="260" spans="1:34" x14ac:dyDescent="0.2">
      <c r="AH260" s="134"/>
    </row>
    <row r="261" spans="1:34" x14ac:dyDescent="0.2">
      <c r="AH261" s="134"/>
    </row>
    <row r="262" spans="1:34" x14ac:dyDescent="0.2">
      <c r="AH262" s="134"/>
    </row>
    <row r="263" spans="1:34" x14ac:dyDescent="0.2">
      <c r="AH263" s="134"/>
    </row>
    <row r="264" spans="1:34" x14ac:dyDescent="0.2">
      <c r="AH264" s="134"/>
    </row>
    <row r="265" spans="1:34" x14ac:dyDescent="0.2">
      <c r="AH265" s="134"/>
    </row>
    <row r="266" spans="1:34" x14ac:dyDescent="0.2">
      <c r="AH266" s="134"/>
    </row>
    <row r="267" spans="1:34" x14ac:dyDescent="0.2">
      <c r="AH267" s="134"/>
    </row>
    <row r="268" spans="1:34" x14ac:dyDescent="0.2">
      <c r="AH268" s="134"/>
    </row>
    <row r="269" spans="1:34" x14ac:dyDescent="0.2">
      <c r="AH269" s="134"/>
    </row>
    <row r="270" spans="1:34" x14ac:dyDescent="0.2">
      <c r="AH270" s="134"/>
    </row>
    <row r="271" spans="1:34" x14ac:dyDescent="0.2">
      <c r="AH271" s="134"/>
    </row>
    <row r="272" spans="1:34" x14ac:dyDescent="0.2">
      <c r="AH272" s="134"/>
    </row>
    <row r="273" spans="34:34" x14ac:dyDescent="0.2">
      <c r="AH273" s="134"/>
    </row>
    <row r="274" spans="34:34" x14ac:dyDescent="0.2">
      <c r="AH274" s="134"/>
    </row>
    <row r="275" spans="34:34" x14ac:dyDescent="0.2">
      <c r="AH275" s="134"/>
    </row>
    <row r="276" spans="34:34" x14ac:dyDescent="0.2">
      <c r="AH276" s="134"/>
    </row>
    <row r="277" spans="34:34" x14ac:dyDescent="0.2">
      <c r="AH277" s="134"/>
    </row>
    <row r="278" spans="34:34" x14ac:dyDescent="0.2">
      <c r="AH278" s="134"/>
    </row>
    <row r="279" spans="34:34" x14ac:dyDescent="0.2">
      <c r="AH279" s="134"/>
    </row>
    <row r="280" spans="34:34" x14ac:dyDescent="0.2">
      <c r="AH280" s="134"/>
    </row>
    <row r="281" spans="34:34" x14ac:dyDescent="0.2">
      <c r="AH281" s="134"/>
    </row>
    <row r="282" spans="34:34" x14ac:dyDescent="0.2">
      <c r="AH282" s="134"/>
    </row>
    <row r="283" spans="34:34" x14ac:dyDescent="0.2">
      <c r="AH283" s="134"/>
    </row>
    <row r="284" spans="34:34" x14ac:dyDescent="0.2">
      <c r="AH284" s="134"/>
    </row>
    <row r="285" spans="34:34" x14ac:dyDescent="0.2">
      <c r="AH285" s="134"/>
    </row>
    <row r="286" spans="34:34" x14ac:dyDescent="0.2">
      <c r="AH286" s="134"/>
    </row>
    <row r="287" spans="34:34" x14ac:dyDescent="0.2">
      <c r="AH287" s="134"/>
    </row>
    <row r="288" spans="34:34" x14ac:dyDescent="0.2">
      <c r="AH288" s="134"/>
    </row>
    <row r="289" spans="34:34" x14ac:dyDescent="0.2">
      <c r="AH289" s="134"/>
    </row>
    <row r="290" spans="34:34" x14ac:dyDescent="0.2">
      <c r="AH290" s="134"/>
    </row>
    <row r="291" spans="34:34" x14ac:dyDescent="0.2">
      <c r="AH291" s="134"/>
    </row>
    <row r="292" spans="34:34" x14ac:dyDescent="0.2">
      <c r="AH292" s="134"/>
    </row>
    <row r="293" spans="34:34" x14ac:dyDescent="0.2">
      <c r="AH293" s="134"/>
    </row>
    <row r="294" spans="34:34" x14ac:dyDescent="0.2">
      <c r="AH294" s="134"/>
    </row>
    <row r="295" spans="34:34" x14ac:dyDescent="0.2">
      <c r="AH295" s="134"/>
    </row>
    <row r="296" spans="34:34" x14ac:dyDescent="0.2">
      <c r="AH296" s="134"/>
    </row>
    <row r="297" spans="34:34" x14ac:dyDescent="0.2">
      <c r="AH297" s="134"/>
    </row>
    <row r="298" spans="34:34" x14ac:dyDescent="0.2">
      <c r="AH298" s="134"/>
    </row>
    <row r="299" spans="34:34" x14ac:dyDescent="0.2">
      <c r="AH299" s="134"/>
    </row>
    <row r="300" spans="34:34" x14ac:dyDescent="0.2">
      <c r="AH300" s="134"/>
    </row>
    <row r="301" spans="34:34" x14ac:dyDescent="0.2">
      <c r="AH301" s="134"/>
    </row>
    <row r="302" spans="34:34" x14ac:dyDescent="0.2">
      <c r="AH302" s="134"/>
    </row>
    <row r="303" spans="34:34" x14ac:dyDescent="0.2">
      <c r="AH303" s="134"/>
    </row>
    <row r="304" spans="34:34" x14ac:dyDescent="0.2">
      <c r="AH304" s="134"/>
    </row>
    <row r="305" spans="34:34" x14ac:dyDescent="0.2">
      <c r="AH305" s="134"/>
    </row>
    <row r="306" spans="34:34" x14ac:dyDescent="0.2">
      <c r="AH306" s="134"/>
    </row>
    <row r="307" spans="34:34" x14ac:dyDescent="0.2">
      <c r="AH307" s="134"/>
    </row>
    <row r="308" spans="34:34" x14ac:dyDescent="0.2">
      <c r="AH308" s="134"/>
    </row>
    <row r="309" spans="34:34" x14ac:dyDescent="0.2">
      <c r="AH309" s="134"/>
    </row>
    <row r="310" spans="34:34" x14ac:dyDescent="0.2">
      <c r="AH310" s="134"/>
    </row>
    <row r="311" spans="34:34" x14ac:dyDescent="0.2">
      <c r="AH311" s="134"/>
    </row>
    <row r="312" spans="34:34" x14ac:dyDescent="0.2">
      <c r="AH312" s="134"/>
    </row>
    <row r="313" spans="34:34" x14ac:dyDescent="0.2">
      <c r="AH313" s="134"/>
    </row>
    <row r="314" spans="34:34" x14ac:dyDescent="0.2">
      <c r="AH314" s="134"/>
    </row>
    <row r="315" spans="34:34" x14ac:dyDescent="0.2">
      <c r="AH315" s="134"/>
    </row>
    <row r="316" spans="34:34" x14ac:dyDescent="0.2">
      <c r="AH316" s="134"/>
    </row>
    <row r="317" spans="34:34" x14ac:dyDescent="0.2">
      <c r="AH317" s="134"/>
    </row>
    <row r="318" spans="34:34" x14ac:dyDescent="0.2">
      <c r="AH318" s="134"/>
    </row>
    <row r="319" spans="34:34" x14ac:dyDescent="0.2">
      <c r="AH319" s="134"/>
    </row>
    <row r="320" spans="34:34" x14ac:dyDescent="0.2">
      <c r="AH320" s="134"/>
    </row>
    <row r="321" spans="34:34" x14ac:dyDescent="0.2">
      <c r="AH321" s="134"/>
    </row>
    <row r="322" spans="34:34" x14ac:dyDescent="0.2">
      <c r="AH322" s="134"/>
    </row>
    <row r="323" spans="34:34" x14ac:dyDescent="0.2">
      <c r="AH323" s="134"/>
    </row>
    <row r="324" spans="34:34" x14ac:dyDescent="0.2">
      <c r="AH324" s="134"/>
    </row>
    <row r="325" spans="34:34" x14ac:dyDescent="0.2">
      <c r="AH325" s="134"/>
    </row>
    <row r="326" spans="34:34" x14ac:dyDescent="0.2">
      <c r="AH326" s="134"/>
    </row>
    <row r="327" spans="34:34" x14ac:dyDescent="0.2">
      <c r="AH327" s="134"/>
    </row>
    <row r="328" spans="34:34" x14ac:dyDescent="0.2">
      <c r="AH328" s="134"/>
    </row>
    <row r="329" spans="34:34" x14ac:dyDescent="0.2">
      <c r="AH329" s="134"/>
    </row>
    <row r="330" spans="34:34" x14ac:dyDescent="0.2">
      <c r="AH330" s="134"/>
    </row>
    <row r="331" spans="34:34" x14ac:dyDescent="0.2">
      <c r="AH331" s="134"/>
    </row>
    <row r="332" spans="34:34" x14ac:dyDescent="0.2">
      <c r="AH332" s="134"/>
    </row>
    <row r="333" spans="34:34" x14ac:dyDescent="0.2">
      <c r="AH333" s="134"/>
    </row>
    <row r="334" spans="34:34" x14ac:dyDescent="0.2">
      <c r="AH334" s="134"/>
    </row>
    <row r="335" spans="34:34" x14ac:dyDescent="0.2">
      <c r="AH335" s="134"/>
    </row>
    <row r="336" spans="34:34" x14ac:dyDescent="0.2">
      <c r="AH336" s="134"/>
    </row>
    <row r="337" spans="34:34" x14ac:dyDescent="0.2">
      <c r="AH337" s="134"/>
    </row>
    <row r="338" spans="34:34" x14ac:dyDescent="0.2">
      <c r="AH338" s="134"/>
    </row>
    <row r="339" spans="34:34" x14ac:dyDescent="0.2">
      <c r="AH339" s="134"/>
    </row>
    <row r="340" spans="34:34" x14ac:dyDescent="0.2">
      <c r="AH340" s="134"/>
    </row>
    <row r="341" spans="34:34" x14ac:dyDescent="0.2">
      <c r="AH341" s="134"/>
    </row>
    <row r="342" spans="34:34" x14ac:dyDescent="0.2">
      <c r="AH342" s="134"/>
    </row>
    <row r="343" spans="34:34" x14ac:dyDescent="0.2">
      <c r="AH343" s="134"/>
    </row>
    <row r="344" spans="34:34" x14ac:dyDescent="0.2">
      <c r="AH344" s="134"/>
    </row>
    <row r="345" spans="34:34" x14ac:dyDescent="0.2">
      <c r="AH345" s="134"/>
    </row>
    <row r="346" spans="34:34" x14ac:dyDescent="0.2">
      <c r="AH346" s="134"/>
    </row>
    <row r="347" spans="34:34" x14ac:dyDescent="0.2">
      <c r="AH347" s="134"/>
    </row>
    <row r="348" spans="34:34" x14ac:dyDescent="0.2">
      <c r="AH348" s="134"/>
    </row>
    <row r="349" spans="34:34" x14ac:dyDescent="0.2">
      <c r="AH349" s="134"/>
    </row>
    <row r="350" spans="34:34" x14ac:dyDescent="0.2">
      <c r="AH350" s="134"/>
    </row>
    <row r="351" spans="34:34" x14ac:dyDescent="0.2">
      <c r="AH351" s="134"/>
    </row>
    <row r="352" spans="34:34" x14ac:dyDescent="0.2">
      <c r="AH352" s="134"/>
    </row>
    <row r="353" spans="34:34" x14ac:dyDescent="0.2">
      <c r="AH353" s="134"/>
    </row>
    <row r="354" spans="34:34" x14ac:dyDescent="0.2">
      <c r="AH354" s="134"/>
    </row>
    <row r="355" spans="34:34" x14ac:dyDescent="0.2">
      <c r="AH355" s="134"/>
    </row>
    <row r="356" spans="34:34" x14ac:dyDescent="0.2">
      <c r="AH356" s="134"/>
    </row>
    <row r="357" spans="34:34" x14ac:dyDescent="0.2">
      <c r="AH357" s="134"/>
    </row>
    <row r="358" spans="34:34" x14ac:dyDescent="0.2">
      <c r="AH358" s="134"/>
    </row>
    <row r="359" spans="34:34" x14ac:dyDescent="0.2">
      <c r="AH359" s="134"/>
    </row>
    <row r="360" spans="34:34" x14ac:dyDescent="0.2">
      <c r="AH360" s="134"/>
    </row>
    <row r="361" spans="34:34" x14ac:dyDescent="0.2">
      <c r="AH361" s="134"/>
    </row>
    <row r="362" spans="34:34" x14ac:dyDescent="0.2">
      <c r="AH362" s="134"/>
    </row>
    <row r="363" spans="34:34" x14ac:dyDescent="0.2">
      <c r="AH363" s="134"/>
    </row>
    <row r="364" spans="34:34" x14ac:dyDescent="0.2">
      <c r="AH364" s="134"/>
    </row>
    <row r="365" spans="34:34" x14ac:dyDescent="0.2">
      <c r="AH365" s="134"/>
    </row>
    <row r="366" spans="34:34" x14ac:dyDescent="0.2">
      <c r="AH366" s="134"/>
    </row>
    <row r="367" spans="34:34" x14ac:dyDescent="0.2">
      <c r="AH367" s="134"/>
    </row>
    <row r="368" spans="34:34" x14ac:dyDescent="0.2">
      <c r="AH368" s="134"/>
    </row>
    <row r="369" spans="34:34" x14ac:dyDescent="0.2">
      <c r="AH369" s="134"/>
    </row>
    <row r="370" spans="34:34" x14ac:dyDescent="0.2">
      <c r="AH370" s="134"/>
    </row>
    <row r="371" spans="34:34" x14ac:dyDescent="0.2">
      <c r="AH371" s="134"/>
    </row>
    <row r="372" spans="34:34" x14ac:dyDescent="0.2">
      <c r="AH372" s="134"/>
    </row>
    <row r="373" spans="34:34" x14ac:dyDescent="0.2">
      <c r="AH373" s="134"/>
    </row>
    <row r="374" spans="34:34" x14ac:dyDescent="0.2">
      <c r="AH374" s="134"/>
    </row>
    <row r="375" spans="34:34" x14ac:dyDescent="0.2">
      <c r="AH375" s="134"/>
    </row>
    <row r="376" spans="34:34" x14ac:dyDescent="0.2">
      <c r="AH376" s="134"/>
    </row>
    <row r="377" spans="34:34" x14ac:dyDescent="0.2">
      <c r="AH377" s="134"/>
    </row>
    <row r="378" spans="34:34" x14ac:dyDescent="0.2">
      <c r="AH378" s="134"/>
    </row>
    <row r="379" spans="34:34" x14ac:dyDescent="0.2">
      <c r="AH379" s="134"/>
    </row>
    <row r="380" spans="34:34" x14ac:dyDescent="0.2">
      <c r="AH380" s="134"/>
    </row>
    <row r="381" spans="34:34" x14ac:dyDescent="0.2">
      <c r="AH381" s="134"/>
    </row>
    <row r="382" spans="34:34" x14ac:dyDescent="0.2">
      <c r="AH382" s="134"/>
    </row>
    <row r="383" spans="34:34" x14ac:dyDescent="0.2">
      <c r="AH383" s="134"/>
    </row>
    <row r="384" spans="34:34" x14ac:dyDescent="0.2">
      <c r="AH384" s="134"/>
    </row>
    <row r="385" spans="34:34" x14ac:dyDescent="0.2">
      <c r="AH385" s="134"/>
    </row>
    <row r="386" spans="34:34" x14ac:dyDescent="0.2">
      <c r="AH386" s="134"/>
    </row>
    <row r="387" spans="34:34" x14ac:dyDescent="0.2">
      <c r="AH387" s="134"/>
    </row>
    <row r="388" spans="34:34" x14ac:dyDescent="0.2">
      <c r="AH388" s="134"/>
    </row>
    <row r="389" spans="34:34" x14ac:dyDescent="0.2">
      <c r="AH389" s="134"/>
    </row>
    <row r="390" spans="34:34" x14ac:dyDescent="0.2">
      <c r="AH390" s="134"/>
    </row>
    <row r="391" spans="34:34" x14ac:dyDescent="0.2">
      <c r="AH391" s="134"/>
    </row>
    <row r="392" spans="34:34" x14ac:dyDescent="0.2">
      <c r="AH392" s="134"/>
    </row>
    <row r="393" spans="34:34" x14ac:dyDescent="0.2">
      <c r="AH393" s="134"/>
    </row>
    <row r="394" spans="34:34" x14ac:dyDescent="0.2">
      <c r="AH394" s="134"/>
    </row>
    <row r="395" spans="34:34" x14ac:dyDescent="0.2">
      <c r="AH395" s="134"/>
    </row>
    <row r="396" spans="34:34" x14ac:dyDescent="0.2">
      <c r="AH396" s="134"/>
    </row>
    <row r="397" spans="34:34" x14ac:dyDescent="0.2">
      <c r="AH397" s="134"/>
    </row>
    <row r="398" spans="34:34" x14ac:dyDescent="0.2">
      <c r="AH398" s="134"/>
    </row>
    <row r="399" spans="34:34" x14ac:dyDescent="0.2">
      <c r="AH399" s="134"/>
    </row>
    <row r="400" spans="34:34" x14ac:dyDescent="0.2">
      <c r="AH400" s="134"/>
    </row>
    <row r="401" spans="34:34" x14ac:dyDescent="0.2">
      <c r="AH401" s="134"/>
    </row>
    <row r="402" spans="34:34" x14ac:dyDescent="0.2">
      <c r="AH402" s="134"/>
    </row>
    <row r="403" spans="34:34" x14ac:dyDescent="0.2">
      <c r="AH403" s="134"/>
    </row>
    <row r="404" spans="34:34" x14ac:dyDescent="0.2">
      <c r="AH404" s="134"/>
    </row>
    <row r="405" spans="34:34" x14ac:dyDescent="0.2">
      <c r="AH405" s="134"/>
    </row>
    <row r="406" spans="34:34" x14ac:dyDescent="0.2">
      <c r="AH406" s="134"/>
    </row>
    <row r="407" spans="34:34" x14ac:dyDescent="0.2">
      <c r="AH407" s="134"/>
    </row>
    <row r="408" spans="34:34" x14ac:dyDescent="0.2">
      <c r="AH408" s="134"/>
    </row>
    <row r="409" spans="34:34" x14ac:dyDescent="0.2">
      <c r="AH409" s="134"/>
    </row>
    <row r="410" spans="34:34" x14ac:dyDescent="0.2">
      <c r="AH410" s="134"/>
    </row>
    <row r="411" spans="34:34" x14ac:dyDescent="0.2">
      <c r="AH411" s="134"/>
    </row>
    <row r="412" spans="34:34" x14ac:dyDescent="0.2">
      <c r="AH412" s="134"/>
    </row>
    <row r="413" spans="34:34" x14ac:dyDescent="0.2">
      <c r="AH413" s="134"/>
    </row>
    <row r="414" spans="34:34" x14ac:dyDescent="0.2">
      <c r="AH414" s="134"/>
    </row>
    <row r="415" spans="34:34" x14ac:dyDescent="0.2">
      <c r="AH415" s="134"/>
    </row>
    <row r="416" spans="34:34" x14ac:dyDescent="0.2">
      <c r="AH416" s="134"/>
    </row>
    <row r="417" spans="34:34" x14ac:dyDescent="0.2">
      <c r="AH417" s="134"/>
    </row>
    <row r="418" spans="34:34" x14ac:dyDescent="0.2">
      <c r="AH418" s="134"/>
    </row>
    <row r="419" spans="34:34" x14ac:dyDescent="0.2">
      <c r="AH419" s="134"/>
    </row>
    <row r="420" spans="34:34" x14ac:dyDescent="0.2">
      <c r="AH420" s="134"/>
    </row>
    <row r="421" spans="34:34" x14ac:dyDescent="0.2">
      <c r="AH421" s="134"/>
    </row>
    <row r="422" spans="34:34" x14ac:dyDescent="0.2">
      <c r="AH422" s="134"/>
    </row>
    <row r="423" spans="34:34" x14ac:dyDescent="0.2">
      <c r="AH423" s="134"/>
    </row>
    <row r="424" spans="34:34" x14ac:dyDescent="0.2">
      <c r="AH424" s="134"/>
    </row>
    <row r="425" spans="34:34" x14ac:dyDescent="0.2">
      <c r="AH425" s="134"/>
    </row>
    <row r="426" spans="34:34" x14ac:dyDescent="0.2">
      <c r="AH426" s="134"/>
    </row>
    <row r="427" spans="34:34" x14ac:dyDescent="0.2">
      <c r="AH427" s="134"/>
    </row>
    <row r="428" spans="34:34" x14ac:dyDescent="0.2">
      <c r="AH428" s="134"/>
    </row>
    <row r="429" spans="34:34" x14ac:dyDescent="0.2">
      <c r="AH429" s="134"/>
    </row>
    <row r="430" spans="34:34" x14ac:dyDescent="0.2">
      <c r="AH430" s="134"/>
    </row>
    <row r="431" spans="34:34" x14ac:dyDescent="0.2">
      <c r="AH431" s="134"/>
    </row>
    <row r="432" spans="34:34" x14ac:dyDescent="0.2">
      <c r="AH432" s="134"/>
    </row>
    <row r="433" spans="34:34" x14ac:dyDescent="0.2">
      <c r="AH433" s="134"/>
    </row>
    <row r="434" spans="34:34" x14ac:dyDescent="0.2">
      <c r="AH434" s="134"/>
    </row>
    <row r="435" spans="34:34" x14ac:dyDescent="0.2">
      <c r="AH435" s="134"/>
    </row>
    <row r="436" spans="34:34" x14ac:dyDescent="0.2">
      <c r="AH436" s="134"/>
    </row>
    <row r="437" spans="34:34" x14ac:dyDescent="0.2">
      <c r="AH437" s="134"/>
    </row>
    <row r="438" spans="34:34" x14ac:dyDescent="0.2">
      <c r="AH438" s="134"/>
    </row>
    <row r="439" spans="34:34" x14ac:dyDescent="0.2">
      <c r="AH439" s="134"/>
    </row>
    <row r="440" spans="34:34" x14ac:dyDescent="0.2">
      <c r="AH440" s="134"/>
    </row>
    <row r="441" spans="34:34" x14ac:dyDescent="0.2">
      <c r="AH441" s="134"/>
    </row>
    <row r="442" spans="34:34" x14ac:dyDescent="0.2">
      <c r="AH442" s="134"/>
    </row>
    <row r="443" spans="34:34" x14ac:dyDescent="0.2">
      <c r="AH443" s="134"/>
    </row>
    <row r="444" spans="34:34" x14ac:dyDescent="0.2">
      <c r="AH444" s="134"/>
    </row>
    <row r="445" spans="34:34" x14ac:dyDescent="0.2">
      <c r="AH445" s="134"/>
    </row>
    <row r="446" spans="34:34" x14ac:dyDescent="0.2">
      <c r="AH446" s="134"/>
    </row>
    <row r="447" spans="34:34" x14ac:dyDescent="0.2">
      <c r="AH447" s="134"/>
    </row>
    <row r="448" spans="34:34" x14ac:dyDescent="0.2">
      <c r="AH448" s="134"/>
    </row>
    <row r="449" spans="34:34" x14ac:dyDescent="0.2">
      <c r="AH449" s="134"/>
    </row>
    <row r="450" spans="34:34" x14ac:dyDescent="0.2">
      <c r="AH450" s="134"/>
    </row>
    <row r="451" spans="34:34" x14ac:dyDescent="0.2">
      <c r="AH451" s="134"/>
    </row>
    <row r="452" spans="34:34" x14ac:dyDescent="0.2">
      <c r="AH452" s="134"/>
    </row>
    <row r="453" spans="34:34" x14ac:dyDescent="0.2">
      <c r="AH453" s="134"/>
    </row>
    <row r="454" spans="34:34" x14ac:dyDescent="0.2">
      <c r="AH454" s="134"/>
    </row>
    <row r="455" spans="34:34" x14ac:dyDescent="0.2">
      <c r="AH455" s="134"/>
    </row>
    <row r="456" spans="34:34" x14ac:dyDescent="0.2">
      <c r="AH456" s="134"/>
    </row>
    <row r="457" spans="34:34" x14ac:dyDescent="0.2">
      <c r="AH457" s="134"/>
    </row>
    <row r="458" spans="34:34" x14ac:dyDescent="0.2">
      <c r="AH458" s="134"/>
    </row>
    <row r="459" spans="34:34" x14ac:dyDescent="0.2">
      <c r="AH459" s="134"/>
    </row>
    <row r="460" spans="34:34" x14ac:dyDescent="0.2">
      <c r="AH460" s="134"/>
    </row>
    <row r="461" spans="34:34" x14ac:dyDescent="0.2">
      <c r="AH461" s="134"/>
    </row>
    <row r="462" spans="34:34" x14ac:dyDescent="0.2">
      <c r="AH462" s="134"/>
    </row>
    <row r="463" spans="34:34" x14ac:dyDescent="0.2">
      <c r="AH463" s="134"/>
    </row>
    <row r="464" spans="34:34" x14ac:dyDescent="0.2">
      <c r="AH464" s="134"/>
    </row>
    <row r="465" spans="34:34" x14ac:dyDescent="0.2">
      <c r="AH465" s="134"/>
    </row>
    <row r="466" spans="34:34" x14ac:dyDescent="0.2">
      <c r="AH466" s="134"/>
    </row>
    <row r="467" spans="34:34" x14ac:dyDescent="0.2">
      <c r="AH467" s="134"/>
    </row>
    <row r="468" spans="34:34" x14ac:dyDescent="0.2">
      <c r="AH468" s="134"/>
    </row>
    <row r="469" spans="34:34" x14ac:dyDescent="0.2">
      <c r="AH469" s="134"/>
    </row>
    <row r="470" spans="34:34" x14ac:dyDescent="0.2">
      <c r="AH470" s="134"/>
    </row>
    <row r="471" spans="34:34" x14ac:dyDescent="0.2">
      <c r="AH471" s="134"/>
    </row>
    <row r="472" spans="34:34" x14ac:dyDescent="0.2">
      <c r="AH472" s="134"/>
    </row>
    <row r="473" spans="34:34" x14ac:dyDescent="0.2">
      <c r="AH473" s="134"/>
    </row>
    <row r="474" spans="34:34" x14ac:dyDescent="0.2">
      <c r="AH474" s="134"/>
    </row>
    <row r="475" spans="34:34" x14ac:dyDescent="0.2">
      <c r="AH475" s="134"/>
    </row>
    <row r="476" spans="34:34" x14ac:dyDescent="0.2">
      <c r="AH476" s="134"/>
    </row>
    <row r="477" spans="34:34" x14ac:dyDescent="0.2">
      <c r="AH477" s="134"/>
    </row>
    <row r="478" spans="34:34" x14ac:dyDescent="0.2">
      <c r="AH478" s="134"/>
    </row>
    <row r="479" spans="34:34" x14ac:dyDescent="0.2">
      <c r="AH479" s="134"/>
    </row>
    <row r="480" spans="34:34" x14ac:dyDescent="0.2">
      <c r="AH480" s="134"/>
    </row>
    <row r="481" spans="34:34" x14ac:dyDescent="0.2">
      <c r="AH481" s="134"/>
    </row>
    <row r="482" spans="34:34" x14ac:dyDescent="0.2">
      <c r="AH482" s="134"/>
    </row>
    <row r="483" spans="34:34" x14ac:dyDescent="0.2">
      <c r="AH483" s="134"/>
    </row>
    <row r="484" spans="34:34" x14ac:dyDescent="0.2">
      <c r="AH484" s="134"/>
    </row>
    <row r="485" spans="34:34" x14ac:dyDescent="0.2">
      <c r="AH485" s="134"/>
    </row>
    <row r="486" spans="34:34" x14ac:dyDescent="0.2">
      <c r="AH486" s="134"/>
    </row>
    <row r="487" spans="34:34" x14ac:dyDescent="0.2">
      <c r="AH487" s="134"/>
    </row>
    <row r="488" spans="34:34" x14ac:dyDescent="0.2">
      <c r="AH488" s="134"/>
    </row>
    <row r="489" spans="34:34" x14ac:dyDescent="0.2">
      <c r="AH489" s="134"/>
    </row>
    <row r="490" spans="34:34" x14ac:dyDescent="0.2">
      <c r="AH490" s="134"/>
    </row>
    <row r="491" spans="34:34" x14ac:dyDescent="0.2">
      <c r="AH491" s="134"/>
    </row>
    <row r="492" spans="34:34" x14ac:dyDescent="0.2">
      <c r="AH492" s="134"/>
    </row>
    <row r="493" spans="34:34" x14ac:dyDescent="0.2">
      <c r="AH493" s="134"/>
    </row>
    <row r="494" spans="34:34" x14ac:dyDescent="0.2">
      <c r="AH494" s="134"/>
    </row>
    <row r="495" spans="34:34" x14ac:dyDescent="0.2">
      <c r="AH495" s="134"/>
    </row>
    <row r="496" spans="34:34" x14ac:dyDescent="0.2">
      <c r="AH496" s="134"/>
    </row>
    <row r="497" spans="34:34" x14ac:dyDescent="0.2">
      <c r="AH497" s="134"/>
    </row>
    <row r="498" spans="34:34" x14ac:dyDescent="0.2">
      <c r="AH498" s="134"/>
    </row>
    <row r="499" spans="34:34" x14ac:dyDescent="0.2">
      <c r="AH499" s="134"/>
    </row>
    <row r="500" spans="34:34" x14ac:dyDescent="0.2">
      <c r="AH500" s="134"/>
    </row>
    <row r="501" spans="34:34" x14ac:dyDescent="0.2">
      <c r="AH501" s="134"/>
    </row>
    <row r="502" spans="34:34" x14ac:dyDescent="0.2">
      <c r="AH502" s="134"/>
    </row>
    <row r="503" spans="34:34" x14ac:dyDescent="0.2">
      <c r="AH503" s="134"/>
    </row>
    <row r="504" spans="34:34" x14ac:dyDescent="0.2">
      <c r="AH504" s="134"/>
    </row>
    <row r="505" spans="34:34" x14ac:dyDescent="0.2">
      <c r="AH505" s="134"/>
    </row>
    <row r="506" spans="34:34" x14ac:dyDescent="0.2">
      <c r="AH506" s="134"/>
    </row>
    <row r="507" spans="34:34" x14ac:dyDescent="0.2">
      <c r="AH507" s="134"/>
    </row>
    <row r="508" spans="34:34" x14ac:dyDescent="0.2">
      <c r="AH508" s="134"/>
    </row>
    <row r="509" spans="34:34" x14ac:dyDescent="0.2">
      <c r="AH509" s="134"/>
    </row>
    <row r="510" spans="34:34" x14ac:dyDescent="0.2">
      <c r="AH510" s="134"/>
    </row>
    <row r="511" spans="34:34" x14ac:dyDescent="0.2">
      <c r="AH511" s="134"/>
    </row>
    <row r="512" spans="34:34" x14ac:dyDescent="0.2">
      <c r="AH512" s="134"/>
    </row>
    <row r="513" spans="34:34" x14ac:dyDescent="0.2">
      <c r="AH513" s="134"/>
    </row>
    <row r="514" spans="34:34" x14ac:dyDescent="0.2">
      <c r="AH514" s="134"/>
    </row>
    <row r="515" spans="34:34" x14ac:dyDescent="0.2">
      <c r="AH515" s="134"/>
    </row>
    <row r="516" spans="34:34" x14ac:dyDescent="0.2">
      <c r="AH516" s="134"/>
    </row>
    <row r="517" spans="34:34" x14ac:dyDescent="0.2">
      <c r="AH517" s="134"/>
    </row>
    <row r="518" spans="34:34" x14ac:dyDescent="0.2">
      <c r="AH518" s="134"/>
    </row>
    <row r="519" spans="34:34" x14ac:dyDescent="0.2">
      <c r="AH519" s="134"/>
    </row>
    <row r="520" spans="34:34" x14ac:dyDescent="0.2">
      <c r="AH520" s="134"/>
    </row>
    <row r="521" spans="34:34" x14ac:dyDescent="0.2">
      <c r="AH521" s="134"/>
    </row>
    <row r="522" spans="34:34" x14ac:dyDescent="0.2">
      <c r="AH522" s="134"/>
    </row>
    <row r="523" spans="34:34" x14ac:dyDescent="0.2">
      <c r="AH523" s="134"/>
    </row>
    <row r="524" spans="34:34" x14ac:dyDescent="0.2">
      <c r="AH524" s="134"/>
    </row>
    <row r="525" spans="34:34" x14ac:dyDescent="0.2">
      <c r="AH525" s="134"/>
    </row>
    <row r="526" spans="34:34" x14ac:dyDescent="0.2">
      <c r="AH526" s="134"/>
    </row>
    <row r="527" spans="34:34" x14ac:dyDescent="0.2">
      <c r="AH527" s="134"/>
    </row>
    <row r="528" spans="34:34" x14ac:dyDescent="0.2">
      <c r="AH528" s="134"/>
    </row>
    <row r="529" spans="34:34" x14ac:dyDescent="0.2">
      <c r="AH529" s="134"/>
    </row>
    <row r="530" spans="34:34" x14ac:dyDescent="0.2">
      <c r="AH530" s="134"/>
    </row>
    <row r="531" spans="34:34" x14ac:dyDescent="0.2">
      <c r="AH531" s="134"/>
    </row>
    <row r="532" spans="34:34" x14ac:dyDescent="0.2">
      <c r="AH532" s="134"/>
    </row>
    <row r="533" spans="34:34" x14ac:dyDescent="0.2">
      <c r="AH533" s="134"/>
    </row>
    <row r="534" spans="34:34" x14ac:dyDescent="0.2">
      <c r="AH534" s="134"/>
    </row>
    <row r="535" spans="34:34" x14ac:dyDescent="0.2">
      <c r="AH535" s="134"/>
    </row>
    <row r="536" spans="34:34" x14ac:dyDescent="0.2">
      <c r="AH536" s="134"/>
    </row>
    <row r="537" spans="34:34" x14ac:dyDescent="0.2">
      <c r="AH537" s="134"/>
    </row>
    <row r="538" spans="34:34" x14ac:dyDescent="0.2">
      <c r="AH538" s="134"/>
    </row>
    <row r="539" spans="34:34" x14ac:dyDescent="0.2">
      <c r="AH539" s="134"/>
    </row>
    <row r="540" spans="34:34" x14ac:dyDescent="0.2">
      <c r="AH540" s="134"/>
    </row>
    <row r="541" spans="34:34" x14ac:dyDescent="0.2">
      <c r="AH541" s="134"/>
    </row>
    <row r="542" spans="34:34" x14ac:dyDescent="0.2">
      <c r="AH542" s="134"/>
    </row>
    <row r="543" spans="34:34" x14ac:dyDescent="0.2">
      <c r="AH543" s="134"/>
    </row>
    <row r="544" spans="34:34" x14ac:dyDescent="0.2">
      <c r="AH544" s="134"/>
    </row>
    <row r="545" spans="34:34" x14ac:dyDescent="0.2">
      <c r="AH545" s="134"/>
    </row>
    <row r="546" spans="34:34" x14ac:dyDescent="0.2">
      <c r="AH546" s="134"/>
    </row>
    <row r="547" spans="34:34" x14ac:dyDescent="0.2">
      <c r="AH547" s="134"/>
    </row>
    <row r="548" spans="34:34" x14ac:dyDescent="0.2">
      <c r="AH548" s="134"/>
    </row>
    <row r="549" spans="34:34" x14ac:dyDescent="0.2">
      <c r="AH549" s="134"/>
    </row>
    <row r="550" spans="34:34" x14ac:dyDescent="0.2">
      <c r="AH550" s="134"/>
    </row>
    <row r="551" spans="34:34" x14ac:dyDescent="0.2">
      <c r="AH551" s="134"/>
    </row>
    <row r="552" spans="34:34" x14ac:dyDescent="0.2">
      <c r="AH552" s="134"/>
    </row>
    <row r="553" spans="34:34" x14ac:dyDescent="0.2">
      <c r="AH553" s="134"/>
    </row>
    <row r="554" spans="34:34" x14ac:dyDescent="0.2">
      <c r="AH554" s="134"/>
    </row>
    <row r="555" spans="34:34" x14ac:dyDescent="0.2">
      <c r="AH555" s="134"/>
    </row>
    <row r="556" spans="34:34" x14ac:dyDescent="0.2">
      <c r="AH556" s="134"/>
    </row>
    <row r="557" spans="34:34" x14ac:dyDescent="0.2">
      <c r="AH557" s="134"/>
    </row>
    <row r="558" spans="34:34" x14ac:dyDescent="0.2">
      <c r="AH558" s="134"/>
    </row>
    <row r="559" spans="34:34" x14ac:dyDescent="0.2">
      <c r="AH559" s="134"/>
    </row>
    <row r="560" spans="34:34" x14ac:dyDescent="0.2">
      <c r="AH560" s="134"/>
    </row>
    <row r="561" spans="34:34" x14ac:dyDescent="0.2">
      <c r="AH561" s="134"/>
    </row>
    <row r="562" spans="34:34" x14ac:dyDescent="0.2">
      <c r="AH562" s="134"/>
    </row>
    <row r="563" spans="34:34" x14ac:dyDescent="0.2">
      <c r="AH563" s="134"/>
    </row>
    <row r="564" spans="34:34" x14ac:dyDescent="0.2">
      <c r="AH564" s="134"/>
    </row>
    <row r="565" spans="34:34" x14ac:dyDescent="0.2">
      <c r="AH565" s="134"/>
    </row>
    <row r="566" spans="34:34" x14ac:dyDescent="0.2">
      <c r="AH566" s="134"/>
    </row>
    <row r="567" spans="34:34" x14ac:dyDescent="0.2">
      <c r="AH567" s="134"/>
    </row>
    <row r="568" spans="34:34" x14ac:dyDescent="0.2">
      <c r="AH568" s="134"/>
    </row>
    <row r="569" spans="34:34" x14ac:dyDescent="0.2">
      <c r="AH569" s="134"/>
    </row>
    <row r="570" spans="34:34" x14ac:dyDescent="0.2">
      <c r="AH570" s="134"/>
    </row>
    <row r="571" spans="34:34" x14ac:dyDescent="0.2">
      <c r="AH571" s="134"/>
    </row>
    <row r="572" spans="34:34" x14ac:dyDescent="0.2">
      <c r="AH572" s="134"/>
    </row>
    <row r="573" spans="34:34" x14ac:dyDescent="0.2">
      <c r="AH573" s="134"/>
    </row>
    <row r="574" spans="34:34" x14ac:dyDescent="0.2">
      <c r="AH574" s="134"/>
    </row>
    <row r="575" spans="34:34" x14ac:dyDescent="0.2">
      <c r="AH575" s="134"/>
    </row>
    <row r="576" spans="34:34" x14ac:dyDescent="0.2">
      <c r="AH576" s="134"/>
    </row>
    <row r="577" spans="34:34" x14ac:dyDescent="0.2">
      <c r="AH577" s="134"/>
    </row>
    <row r="578" spans="34:34" x14ac:dyDescent="0.2">
      <c r="AH578" s="134"/>
    </row>
    <row r="579" spans="34:34" x14ac:dyDescent="0.2">
      <c r="AH579" s="134"/>
    </row>
    <row r="580" spans="34:34" x14ac:dyDescent="0.2">
      <c r="AH580" s="134"/>
    </row>
    <row r="581" spans="34:34" x14ac:dyDescent="0.2">
      <c r="AH581" s="134"/>
    </row>
    <row r="582" spans="34:34" x14ac:dyDescent="0.2">
      <c r="AH582" s="134"/>
    </row>
    <row r="583" spans="34:34" x14ac:dyDescent="0.2">
      <c r="AH583" s="134"/>
    </row>
    <row r="584" spans="34:34" x14ac:dyDescent="0.2">
      <c r="AH584" s="134"/>
    </row>
    <row r="585" spans="34:34" x14ac:dyDescent="0.2">
      <c r="AH585" s="134"/>
    </row>
    <row r="586" spans="34:34" x14ac:dyDescent="0.2">
      <c r="AH586" s="134"/>
    </row>
    <row r="587" spans="34:34" x14ac:dyDescent="0.2">
      <c r="AH587" s="134"/>
    </row>
    <row r="588" spans="34:34" x14ac:dyDescent="0.2">
      <c r="AH588" s="134"/>
    </row>
    <row r="589" spans="34:34" x14ac:dyDescent="0.2">
      <c r="AH589" s="134"/>
    </row>
    <row r="590" spans="34:34" x14ac:dyDescent="0.2">
      <c r="AH590" s="134"/>
    </row>
    <row r="591" spans="34:34" x14ac:dyDescent="0.2">
      <c r="AH591" s="134"/>
    </row>
    <row r="592" spans="34:34" x14ac:dyDescent="0.2">
      <c r="AH592" s="134"/>
    </row>
    <row r="593" spans="34:34" x14ac:dyDescent="0.2">
      <c r="AH593" s="134"/>
    </row>
    <row r="594" spans="34:34" x14ac:dyDescent="0.2">
      <c r="AH594" s="134"/>
    </row>
    <row r="595" spans="34:34" x14ac:dyDescent="0.2">
      <c r="AH595" s="134"/>
    </row>
    <row r="596" spans="34:34" x14ac:dyDescent="0.2">
      <c r="AH596" s="134"/>
    </row>
    <row r="597" spans="34:34" x14ac:dyDescent="0.2">
      <c r="AH597" s="134"/>
    </row>
    <row r="598" spans="34:34" x14ac:dyDescent="0.2">
      <c r="AH598" s="134"/>
    </row>
    <row r="599" spans="34:34" x14ac:dyDescent="0.2">
      <c r="AH599" s="134"/>
    </row>
    <row r="600" spans="34:34" x14ac:dyDescent="0.2">
      <c r="AH600" s="134"/>
    </row>
    <row r="601" spans="34:34" x14ac:dyDescent="0.2">
      <c r="AH601" s="134"/>
    </row>
    <row r="602" spans="34:34" x14ac:dyDescent="0.2">
      <c r="AH602" s="134"/>
    </row>
    <row r="603" spans="34:34" x14ac:dyDescent="0.2">
      <c r="AH603" s="134"/>
    </row>
    <row r="604" spans="34:34" x14ac:dyDescent="0.2">
      <c r="AH604" s="134"/>
    </row>
    <row r="605" spans="34:34" x14ac:dyDescent="0.2">
      <c r="AH605" s="134"/>
    </row>
    <row r="606" spans="34:34" x14ac:dyDescent="0.2">
      <c r="AH606" s="134"/>
    </row>
    <row r="607" spans="34:34" x14ac:dyDescent="0.2">
      <c r="AH607" s="134"/>
    </row>
    <row r="608" spans="34:34" x14ac:dyDescent="0.2">
      <c r="AH608" s="134"/>
    </row>
    <row r="609" spans="34:34" x14ac:dyDescent="0.2">
      <c r="AH609" s="134"/>
    </row>
    <row r="610" spans="34:34" x14ac:dyDescent="0.2">
      <c r="AH610" s="134"/>
    </row>
    <row r="611" spans="34:34" x14ac:dyDescent="0.2">
      <c r="AH611" s="134"/>
    </row>
    <row r="612" spans="34:34" x14ac:dyDescent="0.2">
      <c r="AH612" s="134"/>
    </row>
    <row r="613" spans="34:34" x14ac:dyDescent="0.2">
      <c r="AH613" s="134"/>
    </row>
    <row r="614" spans="34:34" x14ac:dyDescent="0.2">
      <c r="AH614" s="134"/>
    </row>
    <row r="615" spans="34:34" x14ac:dyDescent="0.2">
      <c r="AH615" s="134"/>
    </row>
    <row r="616" spans="34:34" x14ac:dyDescent="0.2">
      <c r="AH616" s="134"/>
    </row>
    <row r="617" spans="34:34" x14ac:dyDescent="0.2">
      <c r="AH617" s="134"/>
    </row>
    <row r="618" spans="34:34" x14ac:dyDescent="0.2">
      <c r="AH618" s="134"/>
    </row>
    <row r="619" spans="34:34" x14ac:dyDescent="0.2">
      <c r="AH619" s="134"/>
    </row>
    <row r="620" spans="34:34" x14ac:dyDescent="0.2">
      <c r="AH620" s="134"/>
    </row>
    <row r="621" spans="34:34" x14ac:dyDescent="0.2">
      <c r="AH621" s="134"/>
    </row>
    <row r="622" spans="34:34" x14ac:dyDescent="0.2">
      <c r="AH622" s="134"/>
    </row>
    <row r="623" spans="34:34" x14ac:dyDescent="0.2">
      <c r="AH623" s="134"/>
    </row>
    <row r="624" spans="34:34" x14ac:dyDescent="0.2">
      <c r="AH624" s="134"/>
    </row>
    <row r="625" spans="34:34" x14ac:dyDescent="0.2">
      <c r="AH625" s="134"/>
    </row>
    <row r="626" spans="34:34" x14ac:dyDescent="0.2">
      <c r="AH626" s="134"/>
    </row>
    <row r="627" spans="34:34" x14ac:dyDescent="0.2">
      <c r="AH627" s="134"/>
    </row>
    <row r="628" spans="34:34" x14ac:dyDescent="0.2">
      <c r="AH628" s="134"/>
    </row>
    <row r="629" spans="34:34" x14ac:dyDescent="0.2">
      <c r="AH629" s="134"/>
    </row>
    <row r="630" spans="34:34" x14ac:dyDescent="0.2">
      <c r="AH630" s="134"/>
    </row>
    <row r="631" spans="34:34" x14ac:dyDescent="0.2">
      <c r="AH631" s="134"/>
    </row>
    <row r="632" spans="34:34" x14ac:dyDescent="0.2">
      <c r="AH632" s="134"/>
    </row>
    <row r="633" spans="34:34" x14ac:dyDescent="0.2">
      <c r="AH633" s="134"/>
    </row>
    <row r="634" spans="34:34" x14ac:dyDescent="0.2">
      <c r="AH634" s="134"/>
    </row>
    <row r="635" spans="34:34" x14ac:dyDescent="0.2">
      <c r="AH635" s="134"/>
    </row>
    <row r="636" spans="34:34" x14ac:dyDescent="0.2">
      <c r="AH636" s="134"/>
    </row>
    <row r="637" spans="34:34" x14ac:dyDescent="0.2">
      <c r="AH637" s="134"/>
    </row>
    <row r="638" spans="34:34" x14ac:dyDescent="0.2">
      <c r="AH638" s="134"/>
    </row>
    <row r="639" spans="34:34" x14ac:dyDescent="0.2">
      <c r="AH639" s="134"/>
    </row>
    <row r="640" spans="34:34" x14ac:dyDescent="0.2">
      <c r="AH640" s="134"/>
    </row>
    <row r="641" spans="34:34" x14ac:dyDescent="0.2">
      <c r="AH641" s="134"/>
    </row>
    <row r="642" spans="34:34" x14ac:dyDescent="0.2">
      <c r="AH642" s="134"/>
    </row>
    <row r="643" spans="34:34" x14ac:dyDescent="0.2">
      <c r="AH643" s="134"/>
    </row>
    <row r="644" spans="34:34" x14ac:dyDescent="0.2">
      <c r="AH644" s="134"/>
    </row>
    <row r="645" spans="34:34" x14ac:dyDescent="0.2">
      <c r="AH645" s="134"/>
    </row>
    <row r="646" spans="34:34" x14ac:dyDescent="0.2">
      <c r="AH646" s="134"/>
    </row>
    <row r="647" spans="34:34" x14ac:dyDescent="0.2">
      <c r="AH647" s="134"/>
    </row>
    <row r="648" spans="34:34" x14ac:dyDescent="0.2">
      <c r="AH648" s="134"/>
    </row>
    <row r="649" spans="34:34" x14ac:dyDescent="0.2">
      <c r="AH649" s="134"/>
    </row>
    <row r="650" spans="34:34" x14ac:dyDescent="0.2">
      <c r="AH650" s="134"/>
    </row>
    <row r="651" spans="34:34" x14ac:dyDescent="0.2">
      <c r="AH651" s="134"/>
    </row>
    <row r="652" spans="34:34" x14ac:dyDescent="0.2">
      <c r="AH652" s="134"/>
    </row>
    <row r="653" spans="34:34" x14ac:dyDescent="0.2">
      <c r="AH653" s="134"/>
    </row>
    <row r="654" spans="34:34" x14ac:dyDescent="0.2">
      <c r="AH654" s="134"/>
    </row>
    <row r="655" spans="34:34" x14ac:dyDescent="0.2">
      <c r="AH655" s="134"/>
    </row>
    <row r="656" spans="34:34" x14ac:dyDescent="0.2">
      <c r="AH656" s="134"/>
    </row>
    <row r="657" spans="34:34" x14ac:dyDescent="0.2">
      <c r="AH657" s="134"/>
    </row>
    <row r="658" spans="34:34" x14ac:dyDescent="0.2">
      <c r="AH658" s="134"/>
    </row>
    <row r="659" spans="34:34" x14ac:dyDescent="0.2">
      <c r="AH659" s="134"/>
    </row>
    <row r="660" spans="34:34" x14ac:dyDescent="0.2">
      <c r="AH660" s="134"/>
    </row>
    <row r="661" spans="34:34" x14ac:dyDescent="0.2">
      <c r="AH661" s="134"/>
    </row>
    <row r="662" spans="34:34" x14ac:dyDescent="0.2">
      <c r="AH662" s="134"/>
    </row>
    <row r="663" spans="34:34" x14ac:dyDescent="0.2">
      <c r="AH663" s="134"/>
    </row>
    <row r="664" spans="34:34" x14ac:dyDescent="0.2">
      <c r="AH664" s="134"/>
    </row>
    <row r="665" spans="34:34" x14ac:dyDescent="0.2">
      <c r="AH665" s="134"/>
    </row>
    <row r="666" spans="34:34" x14ac:dyDescent="0.2">
      <c r="AH666" s="134"/>
    </row>
    <row r="667" spans="34:34" x14ac:dyDescent="0.2">
      <c r="AH667" s="134"/>
    </row>
    <row r="668" spans="34:34" x14ac:dyDescent="0.2">
      <c r="AH668" s="134"/>
    </row>
    <row r="669" spans="34:34" x14ac:dyDescent="0.2">
      <c r="AH669" s="134"/>
    </row>
    <row r="670" spans="34:34" x14ac:dyDescent="0.2">
      <c r="AH670" s="134"/>
    </row>
    <row r="671" spans="34:34" x14ac:dyDescent="0.2">
      <c r="AH671" s="134"/>
    </row>
    <row r="672" spans="34:34" x14ac:dyDescent="0.2">
      <c r="AH672" s="134"/>
    </row>
    <row r="673" spans="34:34" x14ac:dyDescent="0.2">
      <c r="AH673" s="134"/>
    </row>
    <row r="674" spans="34:34" x14ac:dyDescent="0.2">
      <c r="AH674" s="134"/>
    </row>
    <row r="675" spans="34:34" x14ac:dyDescent="0.2">
      <c r="AH675" s="134"/>
    </row>
    <row r="676" spans="34:34" x14ac:dyDescent="0.2">
      <c r="AH676" s="134"/>
    </row>
    <row r="677" spans="34:34" x14ac:dyDescent="0.2">
      <c r="AH677" s="134"/>
    </row>
    <row r="678" spans="34:34" x14ac:dyDescent="0.2">
      <c r="AH678" s="134"/>
    </row>
    <row r="679" spans="34:34" x14ac:dyDescent="0.2">
      <c r="AH679" s="134"/>
    </row>
    <row r="680" spans="34:34" x14ac:dyDescent="0.2">
      <c r="AH680" s="134"/>
    </row>
    <row r="681" spans="34:34" x14ac:dyDescent="0.2">
      <c r="AH681" s="134"/>
    </row>
    <row r="682" spans="34:34" x14ac:dyDescent="0.2">
      <c r="AH682" s="134"/>
    </row>
    <row r="683" spans="34:34" x14ac:dyDescent="0.2">
      <c r="AH683" s="134"/>
    </row>
    <row r="684" spans="34:34" x14ac:dyDescent="0.2">
      <c r="AH684" s="134"/>
    </row>
    <row r="685" spans="34:34" x14ac:dyDescent="0.2">
      <c r="AH685" s="134"/>
    </row>
    <row r="686" spans="34:34" x14ac:dyDescent="0.2">
      <c r="AH686" s="134"/>
    </row>
    <row r="687" spans="34:34" x14ac:dyDescent="0.2">
      <c r="AH687" s="134"/>
    </row>
    <row r="688" spans="34:34" x14ac:dyDescent="0.2">
      <c r="AH688" s="134"/>
    </row>
    <row r="689" spans="34:34" x14ac:dyDescent="0.2">
      <c r="AH689" s="134"/>
    </row>
    <row r="690" spans="34:34" x14ac:dyDescent="0.2">
      <c r="AH690" s="134"/>
    </row>
    <row r="691" spans="34:34" x14ac:dyDescent="0.2">
      <c r="AH691" s="134"/>
    </row>
    <row r="692" spans="34:34" x14ac:dyDescent="0.2">
      <c r="AH692" s="134"/>
    </row>
    <row r="693" spans="34:34" x14ac:dyDescent="0.2">
      <c r="AH693" s="134"/>
    </row>
    <row r="694" spans="34:34" x14ac:dyDescent="0.2">
      <c r="AH694" s="134"/>
    </row>
    <row r="695" spans="34:34" x14ac:dyDescent="0.2">
      <c r="AH695" s="134"/>
    </row>
    <row r="696" spans="34:34" x14ac:dyDescent="0.2">
      <c r="AH696" s="134"/>
    </row>
    <row r="697" spans="34:34" x14ac:dyDescent="0.2">
      <c r="AH697" s="134"/>
    </row>
    <row r="698" spans="34:34" x14ac:dyDescent="0.2">
      <c r="AH698" s="134"/>
    </row>
    <row r="699" spans="34:34" x14ac:dyDescent="0.2">
      <c r="AH699" s="134"/>
    </row>
    <row r="700" spans="34:34" x14ac:dyDescent="0.2">
      <c r="AH700" s="134"/>
    </row>
    <row r="701" spans="34:34" x14ac:dyDescent="0.2">
      <c r="AH701" s="134"/>
    </row>
    <row r="702" spans="34:34" x14ac:dyDescent="0.2">
      <c r="AH702" s="134"/>
    </row>
    <row r="703" spans="34:34" x14ac:dyDescent="0.2">
      <c r="AH703" s="134"/>
    </row>
    <row r="704" spans="34:34" x14ac:dyDescent="0.2">
      <c r="AH704" s="134"/>
    </row>
    <row r="705" spans="34:34" x14ac:dyDescent="0.2">
      <c r="AH705" s="134"/>
    </row>
    <row r="706" spans="34:34" x14ac:dyDescent="0.2">
      <c r="AH706" s="134"/>
    </row>
    <row r="707" spans="34:34" x14ac:dyDescent="0.2">
      <c r="AH707" s="134"/>
    </row>
    <row r="708" spans="34:34" x14ac:dyDescent="0.2">
      <c r="AH708" s="134"/>
    </row>
    <row r="709" spans="34:34" x14ac:dyDescent="0.2">
      <c r="AH709" s="134"/>
    </row>
    <row r="710" spans="34:34" x14ac:dyDescent="0.2">
      <c r="AH710" s="134"/>
    </row>
    <row r="711" spans="34:34" x14ac:dyDescent="0.2">
      <c r="AH711" s="134"/>
    </row>
    <row r="712" spans="34:34" x14ac:dyDescent="0.2">
      <c r="AH712" s="134"/>
    </row>
    <row r="713" spans="34:34" x14ac:dyDescent="0.2">
      <c r="AH713" s="134"/>
    </row>
    <row r="714" spans="34:34" x14ac:dyDescent="0.2">
      <c r="AH714" s="134"/>
    </row>
    <row r="715" spans="34:34" x14ac:dyDescent="0.2">
      <c r="AH715" s="134"/>
    </row>
    <row r="716" spans="34:34" x14ac:dyDescent="0.2">
      <c r="AH716" s="134"/>
    </row>
    <row r="717" spans="34:34" x14ac:dyDescent="0.2">
      <c r="AH717" s="134"/>
    </row>
    <row r="718" spans="34:34" x14ac:dyDescent="0.2">
      <c r="AH718" s="134"/>
    </row>
    <row r="719" spans="34:34" x14ac:dyDescent="0.2">
      <c r="AH719" s="134"/>
    </row>
    <row r="720" spans="34:34" x14ac:dyDescent="0.2">
      <c r="AH720" s="134"/>
    </row>
    <row r="721" spans="34:34" x14ac:dyDescent="0.2">
      <c r="AH721" s="134"/>
    </row>
    <row r="722" spans="34:34" x14ac:dyDescent="0.2">
      <c r="AH722" s="134"/>
    </row>
    <row r="723" spans="34:34" x14ac:dyDescent="0.2">
      <c r="AH723" s="134"/>
    </row>
    <row r="724" spans="34:34" x14ac:dyDescent="0.2">
      <c r="AH724" s="134"/>
    </row>
    <row r="725" spans="34:34" x14ac:dyDescent="0.2">
      <c r="AH725" s="134"/>
    </row>
    <row r="726" spans="34:34" x14ac:dyDescent="0.2">
      <c r="AH726" s="134"/>
    </row>
    <row r="727" spans="34:34" x14ac:dyDescent="0.2">
      <c r="AH727" s="134"/>
    </row>
    <row r="728" spans="34:34" x14ac:dyDescent="0.2">
      <c r="AH728" s="134"/>
    </row>
    <row r="729" spans="34:34" x14ac:dyDescent="0.2">
      <c r="AH729" s="134"/>
    </row>
    <row r="730" spans="34:34" x14ac:dyDescent="0.2">
      <c r="AH730" s="134"/>
    </row>
    <row r="731" spans="34:34" x14ac:dyDescent="0.2">
      <c r="AH731" s="134"/>
    </row>
    <row r="732" spans="34:34" x14ac:dyDescent="0.2">
      <c r="AH732" s="134"/>
    </row>
    <row r="733" spans="34:34" x14ac:dyDescent="0.2">
      <c r="AH733" s="134"/>
    </row>
    <row r="734" spans="34:34" x14ac:dyDescent="0.2">
      <c r="AH734" s="134"/>
    </row>
    <row r="735" spans="34:34" x14ac:dyDescent="0.2">
      <c r="AH735" s="134"/>
    </row>
    <row r="736" spans="34:34" x14ac:dyDescent="0.2">
      <c r="AH736" s="134"/>
    </row>
    <row r="737" spans="34:34" x14ac:dyDescent="0.2">
      <c r="AH737" s="134"/>
    </row>
  </sheetData>
  <phoneticPr fontId="0"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737"/>
  <sheetViews>
    <sheetView workbookViewId="0">
      <pane xSplit="2" ySplit="9" topLeftCell="C10" activePane="bottomRight" state="frozen"/>
      <selection pane="topRight" activeCell="C1" sqref="C1"/>
      <selection pane="bottomLeft" activeCell="A10" sqref="A10"/>
      <selection pane="bottomRight" activeCell="B10" sqref="B10:B25"/>
    </sheetView>
  </sheetViews>
  <sheetFormatPr defaultRowHeight="12.75" x14ac:dyDescent="0.2"/>
  <cols>
    <col min="1" max="1" width="5.5703125" customWidth="1"/>
    <col min="2" max="2" width="6.85546875" customWidth="1"/>
    <col min="4" max="4" width="11" customWidth="1"/>
    <col min="5" max="7" width="10.5703125" customWidth="1"/>
    <col min="9" max="10" width="12" customWidth="1"/>
    <col min="11" max="11" width="12.42578125" customWidth="1"/>
    <col min="12" max="12" width="11.5703125" customWidth="1"/>
    <col min="14" max="15" width="10.7109375" customWidth="1"/>
    <col min="16" max="16" width="9.5703125" customWidth="1"/>
    <col min="17" max="17" width="9.85546875" customWidth="1"/>
    <col min="19" max="20" width="11.7109375" customWidth="1"/>
    <col min="21" max="21" width="11.140625" customWidth="1"/>
    <col min="22" max="22" width="10.140625" customWidth="1"/>
    <col min="24" max="24" width="9.5703125" customWidth="1"/>
    <col min="25" max="25" width="9.28515625" customWidth="1"/>
    <col min="27" max="27" width="10.42578125" customWidth="1"/>
    <col min="28" max="28" width="10.28515625" customWidth="1"/>
    <col min="30" max="30" width="5.7109375" customWidth="1"/>
    <col min="34" max="34" width="6.42578125" customWidth="1"/>
    <col min="36" max="36" width="10.7109375" customWidth="1"/>
    <col min="40" max="40" width="11.140625" customWidth="1"/>
    <col min="43" max="43" width="9.5703125" customWidth="1"/>
    <col min="45" max="45" width="11.42578125" customWidth="1"/>
    <col min="50" max="50" width="11.7109375" customWidth="1"/>
    <col min="51" max="52" width="10.85546875" customWidth="1"/>
    <col min="53" max="53" width="7.140625" customWidth="1"/>
    <col min="54" max="54" width="12.85546875" customWidth="1"/>
    <col min="55" max="56" width="11" customWidth="1"/>
    <col min="58" max="58" width="11.140625" customWidth="1"/>
    <col min="59" max="59" width="8.42578125" customWidth="1"/>
    <col min="60" max="60" width="10.42578125" customWidth="1"/>
    <col min="62" max="62" width="12.140625" customWidth="1"/>
  </cols>
  <sheetData>
    <row r="1" spans="1:68" ht="15.75" x14ac:dyDescent="0.25">
      <c r="A1" s="133"/>
      <c r="B1" s="133"/>
      <c r="D1" s="137" t="s">
        <v>91</v>
      </c>
      <c r="AH1" s="134"/>
      <c r="AS1" s="175">
        <f>AS45</f>
        <v>0.44466736099892579</v>
      </c>
      <c r="AT1" s="175">
        <f t="shared" ref="AT1:AU1" si="0">AT45</f>
        <v>0.17401573442968779</v>
      </c>
      <c r="AU1" s="175">
        <f t="shared" si="0"/>
        <v>0.38131690457138656</v>
      </c>
      <c r="AX1" s="175">
        <f>AX45</f>
        <v>3.5786127684062009E-2</v>
      </c>
      <c r="AY1" s="175">
        <f t="shared" ref="AY1:AZ1" si="1">AY45</f>
        <v>-6.1506849238727485E-2</v>
      </c>
      <c r="AZ1" s="175">
        <f t="shared" si="1"/>
        <v>-5.2376455400128365E-3</v>
      </c>
      <c r="BB1" s="129">
        <f>AS1*AX1</f>
        <v>1.5912922957642454E-2</v>
      </c>
      <c r="BC1" s="129">
        <f t="shared" ref="BC1" si="2">AT1*AY1</f>
        <v>-1.0703159542733246E-2</v>
      </c>
      <c r="BD1" s="129">
        <f t="shared" ref="BD1" si="3">AU1*AZ1</f>
        <v>-1.9972027845598234E-3</v>
      </c>
      <c r="BE1" s="175">
        <f>SUM(BB1:BD1)</f>
        <v>3.2125606303493853E-3</v>
      </c>
      <c r="BF1" s="175">
        <f>EXP(BE1)</f>
        <v>1.0032177264335886</v>
      </c>
    </row>
    <row r="2" spans="1:68" x14ac:dyDescent="0.2">
      <c r="A2" s="133"/>
      <c r="B2" s="133"/>
      <c r="AH2" s="134"/>
      <c r="AS2" s="175" t="e">
        <f>#REF!</f>
        <v>#REF!</v>
      </c>
      <c r="AT2" s="175" t="e">
        <f>#REF!</f>
        <v>#REF!</v>
      </c>
      <c r="AU2" s="175" t="e">
        <f>#REF!</f>
        <v>#REF!</v>
      </c>
      <c r="AX2" s="175" t="e">
        <f>#REF!</f>
        <v>#REF!</v>
      </c>
      <c r="AY2" s="175" t="e">
        <f>#REF!</f>
        <v>#REF!</v>
      </c>
      <c r="AZ2" s="175" t="e">
        <f>#REF!</f>
        <v>#REF!</v>
      </c>
      <c r="BB2" s="129" t="e">
        <f>AS2*AX2</f>
        <v>#REF!</v>
      </c>
      <c r="BC2" s="129" t="e">
        <f t="shared" ref="BC2:BD2" si="4">AT2*AY2</f>
        <v>#REF!</v>
      </c>
      <c r="BD2" s="129" t="e">
        <f t="shared" si="4"/>
        <v>#REF!</v>
      </c>
      <c r="BE2" s="175" t="e">
        <f>SUM(BB2:BD2)</f>
        <v>#REF!</v>
      </c>
      <c r="BF2" s="175" t="e">
        <f>EXP(BE2)</f>
        <v>#REF!</v>
      </c>
    </row>
    <row r="3" spans="1:68" x14ac:dyDescent="0.2">
      <c r="A3" s="133"/>
      <c r="B3" s="133"/>
      <c r="AH3" s="134"/>
      <c r="AS3" s="175" t="e">
        <f>#REF!</f>
        <v>#REF!</v>
      </c>
      <c r="AT3" s="175" t="e">
        <f>#REF!</f>
        <v>#REF!</v>
      </c>
      <c r="AU3" s="175" t="e">
        <f>#REF!</f>
        <v>#REF!</v>
      </c>
      <c r="AX3" s="175" t="e">
        <f>#REF!</f>
        <v>#REF!</v>
      </c>
      <c r="AY3" s="175" t="e">
        <f>#REF!</f>
        <v>#REF!</v>
      </c>
      <c r="AZ3" s="175" t="e">
        <f>#REF!</f>
        <v>#REF!</v>
      </c>
      <c r="BB3" s="129" t="e">
        <f t="shared" ref="BB3:BB4" si="5">AS3*AX3</f>
        <v>#REF!</v>
      </c>
      <c r="BC3" s="129" t="e">
        <f t="shared" ref="BC3:BC4" si="6">AT3*AY3</f>
        <v>#REF!</v>
      </c>
      <c r="BD3" s="129" t="e">
        <f t="shared" ref="BD3:BD4" si="7">AU3*AZ3</f>
        <v>#REF!</v>
      </c>
      <c r="BE3" s="175" t="e">
        <f t="shared" ref="BE3:BE4" si="8">SUM(BB3:BD3)</f>
        <v>#REF!</v>
      </c>
      <c r="BF3" s="175" t="e">
        <f t="shared" ref="BF3:BF4" si="9">EXP(BE3)</f>
        <v>#REF!</v>
      </c>
    </row>
    <row r="4" spans="1:68" x14ac:dyDescent="0.2">
      <c r="A4" s="133"/>
      <c r="B4" s="133"/>
      <c r="AH4" s="134"/>
      <c r="AS4" s="175" t="e">
        <f>#REF!</f>
        <v>#REF!</v>
      </c>
      <c r="AT4" s="175" t="e">
        <f>#REF!</f>
        <v>#REF!</v>
      </c>
      <c r="AU4" s="175" t="e">
        <f>#REF!</f>
        <v>#REF!</v>
      </c>
      <c r="AX4" s="175" t="e">
        <f>#REF!</f>
        <v>#REF!</v>
      </c>
      <c r="AY4" s="175" t="e">
        <f>#REF!</f>
        <v>#REF!</v>
      </c>
      <c r="AZ4" s="175" t="e">
        <f>#REF!</f>
        <v>#REF!</v>
      </c>
      <c r="BB4" s="129" t="e">
        <f t="shared" si="5"/>
        <v>#REF!</v>
      </c>
      <c r="BC4" s="129" t="e">
        <f t="shared" si="6"/>
        <v>#REF!</v>
      </c>
      <c r="BD4" s="129" t="e">
        <f t="shared" si="7"/>
        <v>#REF!</v>
      </c>
      <c r="BE4" s="175" t="e">
        <f t="shared" si="8"/>
        <v>#REF!</v>
      </c>
      <c r="BF4" s="175" t="e">
        <f t="shared" si="9"/>
        <v>#REF!</v>
      </c>
    </row>
    <row r="5" spans="1:68" x14ac:dyDescent="0.2">
      <c r="A5" s="133"/>
      <c r="B5" s="133"/>
      <c r="D5" s="6" t="s">
        <v>760</v>
      </c>
      <c r="I5" s="6" t="s">
        <v>722</v>
      </c>
      <c r="J5" s="6"/>
      <c r="N5" s="6" t="s">
        <v>682</v>
      </c>
      <c r="O5" s="6"/>
      <c r="S5" s="6" t="s">
        <v>685</v>
      </c>
      <c r="T5" s="6"/>
      <c r="X5" s="6" t="s">
        <v>109</v>
      </c>
      <c r="Y5" s="6"/>
      <c r="AH5" s="134"/>
      <c r="AJ5" s="6" t="s">
        <v>694</v>
      </c>
      <c r="AN5" s="6" t="s">
        <v>695</v>
      </c>
      <c r="AS5" s="6" t="s">
        <v>696</v>
      </c>
      <c r="AT5" s="6"/>
      <c r="AU5" s="6"/>
      <c r="AX5" s="6" t="s">
        <v>698</v>
      </c>
      <c r="BB5" s="6" t="s">
        <v>699</v>
      </c>
      <c r="BF5" s="6" t="s">
        <v>700</v>
      </c>
      <c r="BJ5" s="6" t="s">
        <v>705</v>
      </c>
      <c r="BN5" s="6" t="s">
        <v>706</v>
      </c>
    </row>
    <row r="6" spans="1:68" x14ac:dyDescent="0.2">
      <c r="A6" s="133" t="s">
        <v>663</v>
      </c>
      <c r="B6" s="133"/>
      <c r="X6" s="149" t="s">
        <v>711</v>
      </c>
      <c r="Y6" s="149" t="s">
        <v>712</v>
      </c>
      <c r="Z6" s="149" t="s">
        <v>713</v>
      </c>
      <c r="AA6" s="149" t="s">
        <v>714</v>
      </c>
      <c r="AB6" s="149" t="s">
        <v>715</v>
      </c>
      <c r="AC6" s="149" t="s">
        <v>716</v>
      </c>
      <c r="AD6" s="149"/>
      <c r="AE6" s="149" t="s">
        <v>720</v>
      </c>
      <c r="AH6" s="134"/>
      <c r="AS6" s="6" t="s">
        <v>697</v>
      </c>
      <c r="AT6" s="6"/>
      <c r="AU6" s="6"/>
    </row>
    <row r="7" spans="1:68" ht="53.45" customHeight="1" x14ac:dyDescent="0.2">
      <c r="A7" s="133"/>
      <c r="B7" s="133"/>
      <c r="D7" s="126" t="s">
        <v>314</v>
      </c>
      <c r="E7" s="126" t="s">
        <v>315</v>
      </c>
      <c r="F7" s="126" t="s">
        <v>551</v>
      </c>
      <c r="G7" s="126" t="s">
        <v>690</v>
      </c>
      <c r="H7" s="1"/>
      <c r="I7" s="126" t="str">
        <f>D7</f>
        <v>Urban Bus</v>
      </c>
      <c r="J7" s="126" t="str">
        <f>E7</f>
        <v>Intercity Bus</v>
      </c>
      <c r="K7" s="126" t="str">
        <f>F7</f>
        <v>School Bus</v>
      </c>
      <c r="L7" s="126" t="s">
        <v>690</v>
      </c>
      <c r="M7" s="1"/>
      <c r="N7" s="126" t="str">
        <f>D7</f>
        <v>Urban Bus</v>
      </c>
      <c r="O7" s="126" t="str">
        <f>E7</f>
        <v>Intercity Bus</v>
      </c>
      <c r="P7" s="126" t="str">
        <f>F7</f>
        <v>School Bus</v>
      </c>
      <c r="Q7" s="126" t="str">
        <f>G7</f>
        <v xml:space="preserve">   Total</v>
      </c>
      <c r="R7" s="1"/>
      <c r="S7" s="126" t="str">
        <f>D7</f>
        <v>Urban Bus</v>
      </c>
      <c r="T7" s="126" t="str">
        <f>E7</f>
        <v>Intercity Bus</v>
      </c>
      <c r="U7" s="126" t="str">
        <f>F7</f>
        <v>School Bus</v>
      </c>
      <c r="V7" s="126" t="str">
        <f>G7</f>
        <v xml:space="preserve">   Total</v>
      </c>
      <c r="W7" s="1"/>
      <c r="X7" s="150" t="s">
        <v>665</v>
      </c>
      <c r="Y7" s="150" t="s">
        <v>707</v>
      </c>
      <c r="Z7" s="306" t="s">
        <v>119</v>
      </c>
      <c r="AA7" s="306" t="s">
        <v>708</v>
      </c>
      <c r="AB7" s="150" t="s">
        <v>692</v>
      </c>
      <c r="AC7" s="150" t="s">
        <v>709</v>
      </c>
      <c r="AD7" s="150"/>
      <c r="AE7" s="150" t="s">
        <v>710</v>
      </c>
      <c r="AH7" s="134"/>
      <c r="AJ7" s="126" t="str">
        <f>D7</f>
        <v>Urban Bus</v>
      </c>
      <c r="AK7" s="126" t="str">
        <f>E7</f>
        <v>Intercity Bus</v>
      </c>
      <c r="AL7" s="126" t="str">
        <f>F7</f>
        <v>School Bus</v>
      </c>
      <c r="AN7" s="126" t="str">
        <f>D7</f>
        <v>Urban Bus</v>
      </c>
      <c r="AO7" s="126" t="str">
        <f>E7</f>
        <v>Intercity Bus</v>
      </c>
      <c r="AP7" s="126" t="str">
        <f>F7</f>
        <v>School Bus</v>
      </c>
      <c r="AQ7" s="126" t="str">
        <f>G7</f>
        <v xml:space="preserve">   Total</v>
      </c>
      <c r="AR7" s="1"/>
      <c r="AS7" s="126" t="str">
        <f>D7</f>
        <v>Urban Bus</v>
      </c>
      <c r="AT7" s="126" t="str">
        <f>E7</f>
        <v>Intercity Bus</v>
      </c>
      <c r="AU7" s="126" t="str">
        <f>F7</f>
        <v>School Bus</v>
      </c>
      <c r="AV7" s="1"/>
      <c r="AW7" s="1"/>
      <c r="AX7" s="126" t="str">
        <f>D7</f>
        <v>Urban Bus</v>
      </c>
      <c r="AY7" s="126" t="str">
        <f>E7</f>
        <v>Intercity Bus</v>
      </c>
      <c r="AZ7" s="126" t="str">
        <f>F7</f>
        <v>School Bus</v>
      </c>
      <c r="BA7" s="1"/>
      <c r="BB7" s="126" t="str">
        <f>D7</f>
        <v>Urban Bus</v>
      </c>
      <c r="BC7" s="126" t="str">
        <f>E7</f>
        <v>Intercity Bus</v>
      </c>
      <c r="BD7" s="126" t="str">
        <f>F7</f>
        <v>School Bus</v>
      </c>
      <c r="BE7" s="1"/>
      <c r="BF7" s="126" t="str">
        <f>D7</f>
        <v>Urban Bus</v>
      </c>
      <c r="BG7" s="126" t="str">
        <f>E7</f>
        <v>Intercity Bus</v>
      </c>
      <c r="BH7" s="126" t="str">
        <f>F7</f>
        <v>School Bus</v>
      </c>
      <c r="BI7" s="1"/>
      <c r="BJ7" s="148" t="s">
        <v>701</v>
      </c>
      <c r="BK7" s="148" t="s">
        <v>702</v>
      </c>
      <c r="BL7" s="148" t="s">
        <v>702</v>
      </c>
      <c r="BN7" s="148" t="s">
        <v>701</v>
      </c>
      <c r="BO7" s="148" t="s">
        <v>702</v>
      </c>
      <c r="BP7" s="148" t="s">
        <v>702</v>
      </c>
    </row>
    <row r="8" spans="1:68" ht="28.5" customHeight="1" x14ac:dyDescent="0.2">
      <c r="A8" s="133" t="s">
        <v>663</v>
      </c>
      <c r="B8" s="133"/>
      <c r="D8" s="135" t="s">
        <v>663</v>
      </c>
      <c r="E8" s="135" t="s">
        <v>663</v>
      </c>
      <c r="F8" s="135" t="s">
        <v>663</v>
      </c>
      <c r="G8" s="135" t="s">
        <v>691</v>
      </c>
      <c r="H8" s="1"/>
      <c r="I8" s="135"/>
      <c r="J8" s="135"/>
      <c r="K8" s="135"/>
      <c r="L8" s="135"/>
      <c r="M8" s="1"/>
      <c r="N8" s="135"/>
      <c r="O8" s="135"/>
      <c r="P8" s="135"/>
      <c r="Q8" s="135"/>
      <c r="R8" s="1"/>
      <c r="S8" s="135"/>
      <c r="T8" s="135"/>
      <c r="U8" s="135"/>
      <c r="V8" s="135"/>
      <c r="W8" s="1"/>
      <c r="X8" s="151"/>
      <c r="Y8" s="151"/>
      <c r="Z8" s="151"/>
      <c r="AA8" s="151"/>
      <c r="AB8" s="152" t="s">
        <v>718</v>
      </c>
      <c r="AC8" s="152" t="s">
        <v>719</v>
      </c>
      <c r="AD8" s="151"/>
      <c r="AE8" s="151"/>
      <c r="AH8" s="134"/>
      <c r="BJ8" t="s">
        <v>703</v>
      </c>
      <c r="BK8" t="s">
        <v>703</v>
      </c>
      <c r="BL8" t="s">
        <v>704</v>
      </c>
      <c r="BN8" t="s">
        <v>703</v>
      </c>
      <c r="BO8" t="s">
        <v>703</v>
      </c>
      <c r="BP8" t="s">
        <v>704</v>
      </c>
    </row>
    <row r="9" spans="1:68" ht="18.75" customHeight="1" thickBot="1" x14ac:dyDescent="0.25">
      <c r="A9" s="133"/>
      <c r="B9" s="133"/>
      <c r="D9" s="135" t="s">
        <v>761</v>
      </c>
      <c r="E9" s="135" t="s">
        <v>762</v>
      </c>
      <c r="F9" s="135" t="s">
        <v>762</v>
      </c>
      <c r="G9" s="135"/>
      <c r="H9" s="1"/>
      <c r="I9" s="135" t="s">
        <v>688</v>
      </c>
      <c r="J9" s="135" t="s">
        <v>688</v>
      </c>
      <c r="K9" s="135" t="s">
        <v>687</v>
      </c>
      <c r="L9" s="135" t="s">
        <v>687</v>
      </c>
      <c r="M9" s="1"/>
      <c r="N9" s="135" t="s">
        <v>686</v>
      </c>
      <c r="O9" s="135" t="s">
        <v>686</v>
      </c>
      <c r="P9" s="135" t="s">
        <v>686</v>
      </c>
      <c r="Q9" s="135" t="s">
        <v>686</v>
      </c>
      <c r="R9" s="1"/>
      <c r="S9" s="135" t="s">
        <v>689</v>
      </c>
      <c r="T9" s="135" t="s">
        <v>689</v>
      </c>
      <c r="U9" s="135" t="s">
        <v>689</v>
      </c>
      <c r="V9" s="135" t="s">
        <v>689</v>
      </c>
      <c r="W9" s="1"/>
      <c r="X9" s="153"/>
      <c r="Y9" s="153"/>
      <c r="Z9" s="153"/>
      <c r="AA9" s="153"/>
      <c r="AB9" s="153"/>
      <c r="AC9" s="153"/>
      <c r="AD9" s="153"/>
      <c r="AE9" s="153"/>
      <c r="AH9" s="134"/>
      <c r="BJ9" s="130"/>
      <c r="BK9" s="130"/>
      <c r="BL9" s="130"/>
      <c r="BN9" s="130"/>
      <c r="BO9" s="130"/>
      <c r="BP9" s="130"/>
    </row>
    <row r="10" spans="1:68" hidden="1" x14ac:dyDescent="0.2">
      <c r="A10" s="133" t="s">
        <v>664</v>
      </c>
      <c r="B10" s="133">
        <v>1949</v>
      </c>
      <c r="F10" s="173"/>
      <c r="I10" s="4"/>
      <c r="J10" s="4"/>
      <c r="K10" s="172"/>
      <c r="L10" s="4"/>
      <c r="X10" s="131"/>
      <c r="Y10" s="131"/>
      <c r="Z10" s="131"/>
      <c r="AA10" s="131"/>
      <c r="AB10" s="131"/>
      <c r="AC10" s="131"/>
      <c r="AD10" s="131"/>
      <c r="AE10" s="131"/>
      <c r="AH10" s="134"/>
      <c r="BB10" s="129" t="e">
        <f t="shared" ref="BB10:BB41" si="10">I10/L10</f>
        <v>#DIV/0!</v>
      </c>
      <c r="BC10" s="129" t="e">
        <f>J10/L10</f>
        <v>#DIV/0!</v>
      </c>
      <c r="BD10" s="129" t="e">
        <f>K10/L10</f>
        <v>#DIV/0!</v>
      </c>
      <c r="BK10" s="129">
        <v>1</v>
      </c>
      <c r="BL10" s="129">
        <f t="shared" ref="BL10:BL41" si="11">BK10/BK$74</f>
        <v>0.91292740619464163</v>
      </c>
      <c r="BO10" s="129">
        <v>1</v>
      </c>
      <c r="BP10" s="129">
        <f t="shared" ref="BP10:BP41" si="12">BO10/BO$74</f>
        <v>1.0562354499437476</v>
      </c>
    </row>
    <row r="11" spans="1:68" hidden="1" x14ac:dyDescent="0.2">
      <c r="A11" s="133" t="s">
        <v>664</v>
      </c>
      <c r="B11" s="133">
        <f t="shared" ref="B11:B42" si="13">B10+1</f>
        <v>1950</v>
      </c>
      <c r="F11" s="173"/>
      <c r="I11" s="4"/>
      <c r="J11" s="4"/>
      <c r="K11" s="172"/>
      <c r="L11" s="4"/>
      <c r="X11" s="131"/>
      <c r="Y11" s="131"/>
      <c r="Z11" s="131"/>
      <c r="AA11" s="131"/>
      <c r="AB11" s="131"/>
      <c r="AC11" s="131"/>
      <c r="AD11" s="131"/>
      <c r="AE11" s="131"/>
      <c r="AH11" s="134"/>
      <c r="AJ11" t="e">
        <f t="shared" ref="AJ11:AJ31" si="14">D11/G11</f>
        <v>#DIV/0!</v>
      </c>
      <c r="AK11" t="e">
        <f t="shared" ref="AK11:AK31" si="15">E11/G11</f>
        <v>#DIV/0!</v>
      </c>
      <c r="AL11" t="e">
        <f t="shared" ref="AL11:AL31" si="16">F11/G11</f>
        <v>#DIV/0!</v>
      </c>
      <c r="AN11" t="e">
        <f t="shared" ref="AN11:AN32" si="17">(AJ11-AJ10)/LN(AJ11/AJ10)</f>
        <v>#DIV/0!</v>
      </c>
      <c r="AO11" t="e">
        <f t="shared" ref="AO11:AP32" si="18">(AK11-AK10)/LN(AK11/AK10)</f>
        <v>#DIV/0!</v>
      </c>
      <c r="AP11" t="e">
        <f t="shared" si="18"/>
        <v>#DIV/0!</v>
      </c>
      <c r="AQ11" t="e">
        <f>AN11+AO11+AP11</f>
        <v>#DIV/0!</v>
      </c>
      <c r="AS11" t="e">
        <f t="shared" ref="AS11:AS32" si="19">AN11/AQ11</f>
        <v>#DIV/0!</v>
      </c>
      <c r="AT11" t="e">
        <f t="shared" ref="AT11:AT32" si="20">AO11/AQ11</f>
        <v>#DIV/0!</v>
      </c>
      <c r="AU11" t="e">
        <f>AP11/AQ11</f>
        <v>#DIV/0!</v>
      </c>
      <c r="AX11" t="e">
        <f t="shared" ref="AX11:AX32" si="21">LN(S11/S10)</f>
        <v>#DIV/0!</v>
      </c>
      <c r="AY11" t="e">
        <f t="shared" ref="AY11:AY32" si="22">LN(T11/T10)</f>
        <v>#DIV/0!</v>
      </c>
      <c r="AZ11" t="e">
        <f t="shared" ref="AZ11:AZ32" si="23">LN(U11/U10)</f>
        <v>#DIV/0!</v>
      </c>
      <c r="BB11" s="129" t="e">
        <f t="shared" si="10"/>
        <v>#DIV/0!</v>
      </c>
      <c r="BC11" s="129" t="e">
        <f t="shared" ref="BC11:BC62" si="24">J11/L11</f>
        <v>#DIV/0!</v>
      </c>
      <c r="BD11" s="129" t="e">
        <f t="shared" ref="BD11:BD62" si="25">K11/L11</f>
        <v>#DIV/0!</v>
      </c>
      <c r="BF11" t="e">
        <f t="shared" ref="BF11:BF32" si="26">LN(BB11/BB10)</f>
        <v>#DIV/0!</v>
      </c>
      <c r="BG11" t="e">
        <f t="shared" ref="BG11:BH32" si="27">LN(BC11/BC10)</f>
        <v>#DIV/0!</v>
      </c>
      <c r="BH11" t="e">
        <f t="shared" si="27"/>
        <v>#DIV/0!</v>
      </c>
      <c r="BJ11" s="129" t="e">
        <f>EXP(SUMPRODUCT($AS11:$AU11,AX11:AZ11))</f>
        <v>#DIV/0!</v>
      </c>
      <c r="BK11" s="129">
        <f t="shared" ref="BK11:BK71" si="28">IF(ISERR(BJ11),BK10,BJ11*BK10)</f>
        <v>1</v>
      </c>
      <c r="BL11" s="129">
        <f t="shared" si="11"/>
        <v>0.91292740619464163</v>
      </c>
      <c r="BN11" s="129" t="e">
        <f>EXP(SUMPRODUCT($AS11:$AU11,BF11:BH11))</f>
        <v>#DIV/0!</v>
      </c>
      <c r="BO11" s="129">
        <f t="shared" ref="BO11:BO34" si="29">IF(ISERR(BN11),BO10,BN11*BO10)</f>
        <v>1</v>
      </c>
      <c r="BP11" s="129">
        <f t="shared" si="12"/>
        <v>1.0562354499437476</v>
      </c>
    </row>
    <row r="12" spans="1:68" hidden="1" x14ac:dyDescent="0.2">
      <c r="A12" s="133" t="s">
        <v>664</v>
      </c>
      <c r="B12" s="133">
        <f t="shared" si="13"/>
        <v>1951</v>
      </c>
      <c r="F12" s="173"/>
      <c r="I12" s="4"/>
      <c r="J12" s="4"/>
      <c r="K12" s="172"/>
      <c r="L12" s="4"/>
      <c r="X12" s="131"/>
      <c r="Y12" s="131"/>
      <c r="Z12" s="131"/>
      <c r="AA12" s="131"/>
      <c r="AB12" s="131"/>
      <c r="AC12" s="131"/>
      <c r="AD12" s="131"/>
      <c r="AE12" s="131"/>
      <c r="AH12" s="134"/>
      <c r="AJ12" t="e">
        <f t="shared" si="14"/>
        <v>#DIV/0!</v>
      </c>
      <c r="AK12" t="e">
        <f t="shared" si="15"/>
        <v>#DIV/0!</v>
      </c>
      <c r="AL12" t="e">
        <f t="shared" si="16"/>
        <v>#DIV/0!</v>
      </c>
      <c r="AN12" t="e">
        <f t="shared" si="17"/>
        <v>#DIV/0!</v>
      </c>
      <c r="AO12" t="e">
        <f t="shared" si="18"/>
        <v>#DIV/0!</v>
      </c>
      <c r="AP12" t="e">
        <f t="shared" si="18"/>
        <v>#DIV/0!</v>
      </c>
      <c r="AQ12" t="e">
        <f t="shared" ref="AQ12:AQ32" si="30">AN12+AO12+AP12</f>
        <v>#DIV/0!</v>
      </c>
      <c r="AS12" t="e">
        <f t="shared" si="19"/>
        <v>#DIV/0!</v>
      </c>
      <c r="AT12" t="e">
        <f t="shared" si="20"/>
        <v>#DIV/0!</v>
      </c>
      <c r="AU12" t="e">
        <f t="shared" ref="AU12:AU32" si="31">AP12/AQ12</f>
        <v>#DIV/0!</v>
      </c>
      <c r="AX12" t="e">
        <f t="shared" si="21"/>
        <v>#DIV/0!</v>
      </c>
      <c r="AY12" t="e">
        <f t="shared" si="22"/>
        <v>#DIV/0!</v>
      </c>
      <c r="AZ12" t="e">
        <f t="shared" si="23"/>
        <v>#DIV/0!</v>
      </c>
      <c r="BB12" s="129" t="e">
        <f t="shared" si="10"/>
        <v>#DIV/0!</v>
      </c>
      <c r="BC12" s="129" t="e">
        <f t="shared" si="24"/>
        <v>#DIV/0!</v>
      </c>
      <c r="BD12" s="129" t="e">
        <f t="shared" si="25"/>
        <v>#DIV/0!</v>
      </c>
      <c r="BF12" t="e">
        <f t="shared" si="26"/>
        <v>#DIV/0!</v>
      </c>
      <c r="BG12" t="e">
        <f t="shared" si="27"/>
        <v>#DIV/0!</v>
      </c>
      <c r="BH12" t="e">
        <f t="shared" si="27"/>
        <v>#DIV/0!</v>
      </c>
      <c r="BJ12" s="129" t="e">
        <f t="shared" ref="BJ12:BJ71" si="32">EXP(SUMPRODUCT($AS12:$AU12,AX12:AZ12))</f>
        <v>#DIV/0!</v>
      </c>
      <c r="BK12" s="129">
        <f t="shared" si="28"/>
        <v>1</v>
      </c>
      <c r="BL12" s="129">
        <f t="shared" si="11"/>
        <v>0.91292740619464163</v>
      </c>
      <c r="BN12" s="129" t="e">
        <f t="shared" ref="BN12:BN71" si="33">EXP(SUMPRODUCT($AS12:$AU12,BF12:BH12))</f>
        <v>#DIV/0!</v>
      </c>
      <c r="BO12" s="129">
        <f t="shared" si="29"/>
        <v>1</v>
      </c>
      <c r="BP12" s="129">
        <f t="shared" si="12"/>
        <v>1.0562354499437476</v>
      </c>
    </row>
    <row r="13" spans="1:68" hidden="1" x14ac:dyDescent="0.2">
      <c r="A13" s="133" t="s">
        <v>664</v>
      </c>
      <c r="B13" s="133">
        <f t="shared" si="13"/>
        <v>1952</v>
      </c>
      <c r="F13" s="173"/>
      <c r="I13" s="4"/>
      <c r="J13" s="4"/>
      <c r="K13" s="172"/>
      <c r="L13" s="4"/>
      <c r="X13" s="131"/>
      <c r="Y13" s="131"/>
      <c r="Z13" s="131"/>
      <c r="AA13" s="131"/>
      <c r="AB13" s="131"/>
      <c r="AC13" s="131"/>
      <c r="AD13" s="131"/>
      <c r="AE13" s="131"/>
      <c r="AH13" s="134"/>
      <c r="AJ13" t="e">
        <f t="shared" si="14"/>
        <v>#DIV/0!</v>
      </c>
      <c r="AK13" t="e">
        <f t="shared" si="15"/>
        <v>#DIV/0!</v>
      </c>
      <c r="AL13" t="e">
        <f t="shared" si="16"/>
        <v>#DIV/0!</v>
      </c>
      <c r="AN13" t="e">
        <f t="shared" si="17"/>
        <v>#DIV/0!</v>
      </c>
      <c r="AO13" t="e">
        <f t="shared" si="18"/>
        <v>#DIV/0!</v>
      </c>
      <c r="AP13" t="e">
        <f t="shared" si="18"/>
        <v>#DIV/0!</v>
      </c>
      <c r="AQ13" t="e">
        <f t="shared" si="30"/>
        <v>#DIV/0!</v>
      </c>
      <c r="AS13" t="e">
        <f t="shared" si="19"/>
        <v>#DIV/0!</v>
      </c>
      <c r="AT13" t="e">
        <f t="shared" si="20"/>
        <v>#DIV/0!</v>
      </c>
      <c r="AU13" t="e">
        <f t="shared" si="31"/>
        <v>#DIV/0!</v>
      </c>
      <c r="AX13" t="e">
        <f t="shared" si="21"/>
        <v>#DIV/0!</v>
      </c>
      <c r="AY13" t="e">
        <f t="shared" si="22"/>
        <v>#DIV/0!</v>
      </c>
      <c r="AZ13" t="e">
        <f t="shared" si="23"/>
        <v>#DIV/0!</v>
      </c>
      <c r="BB13" s="129" t="e">
        <f t="shared" si="10"/>
        <v>#DIV/0!</v>
      </c>
      <c r="BC13" s="129" t="e">
        <f t="shared" si="24"/>
        <v>#DIV/0!</v>
      </c>
      <c r="BD13" s="129" t="e">
        <f t="shared" si="25"/>
        <v>#DIV/0!</v>
      </c>
      <c r="BF13" t="e">
        <f t="shared" si="26"/>
        <v>#DIV/0!</v>
      </c>
      <c r="BG13" t="e">
        <f t="shared" si="27"/>
        <v>#DIV/0!</v>
      </c>
      <c r="BH13" t="e">
        <f t="shared" si="27"/>
        <v>#DIV/0!</v>
      </c>
      <c r="BJ13" s="129" t="e">
        <f t="shared" si="32"/>
        <v>#DIV/0!</v>
      </c>
      <c r="BK13" s="129">
        <f t="shared" si="28"/>
        <v>1</v>
      </c>
      <c r="BL13" s="129">
        <f t="shared" si="11"/>
        <v>0.91292740619464163</v>
      </c>
      <c r="BN13" s="129" t="e">
        <f t="shared" si="33"/>
        <v>#DIV/0!</v>
      </c>
      <c r="BO13" s="129">
        <f t="shared" si="29"/>
        <v>1</v>
      </c>
      <c r="BP13" s="129">
        <f t="shared" si="12"/>
        <v>1.0562354499437476</v>
      </c>
    </row>
    <row r="14" spans="1:68" hidden="1" x14ac:dyDescent="0.2">
      <c r="A14" s="133" t="s">
        <v>664</v>
      </c>
      <c r="B14" s="133">
        <f t="shared" si="13"/>
        <v>1953</v>
      </c>
      <c r="F14" s="173"/>
      <c r="I14" s="4"/>
      <c r="J14" s="4"/>
      <c r="K14" s="172"/>
      <c r="L14" s="4"/>
      <c r="X14" s="131"/>
      <c r="Y14" s="131"/>
      <c r="Z14" s="131"/>
      <c r="AA14" s="131"/>
      <c r="AB14" s="131"/>
      <c r="AC14" s="131"/>
      <c r="AD14" s="131"/>
      <c r="AE14" s="131"/>
      <c r="AH14" s="134"/>
      <c r="AJ14" t="e">
        <f t="shared" si="14"/>
        <v>#DIV/0!</v>
      </c>
      <c r="AK14" t="e">
        <f t="shared" si="15"/>
        <v>#DIV/0!</v>
      </c>
      <c r="AL14" t="e">
        <f t="shared" si="16"/>
        <v>#DIV/0!</v>
      </c>
      <c r="AN14" t="e">
        <f t="shared" si="17"/>
        <v>#DIV/0!</v>
      </c>
      <c r="AO14" t="e">
        <f t="shared" si="18"/>
        <v>#DIV/0!</v>
      </c>
      <c r="AP14" t="e">
        <f t="shared" si="18"/>
        <v>#DIV/0!</v>
      </c>
      <c r="AQ14" t="e">
        <f t="shared" si="30"/>
        <v>#DIV/0!</v>
      </c>
      <c r="AS14" t="e">
        <f t="shared" si="19"/>
        <v>#DIV/0!</v>
      </c>
      <c r="AT14" t="e">
        <f t="shared" si="20"/>
        <v>#DIV/0!</v>
      </c>
      <c r="AU14" t="e">
        <f t="shared" si="31"/>
        <v>#DIV/0!</v>
      </c>
      <c r="AX14" t="e">
        <f t="shared" si="21"/>
        <v>#DIV/0!</v>
      </c>
      <c r="AY14" t="e">
        <f t="shared" si="22"/>
        <v>#DIV/0!</v>
      </c>
      <c r="AZ14" t="e">
        <f t="shared" si="23"/>
        <v>#DIV/0!</v>
      </c>
      <c r="BB14" s="129" t="e">
        <f t="shared" si="10"/>
        <v>#DIV/0!</v>
      </c>
      <c r="BC14" s="129" t="e">
        <f t="shared" si="24"/>
        <v>#DIV/0!</v>
      </c>
      <c r="BD14" s="129" t="e">
        <f t="shared" si="25"/>
        <v>#DIV/0!</v>
      </c>
      <c r="BF14" t="e">
        <f t="shared" si="26"/>
        <v>#DIV/0!</v>
      </c>
      <c r="BG14" t="e">
        <f t="shared" si="27"/>
        <v>#DIV/0!</v>
      </c>
      <c r="BH14" t="e">
        <f t="shared" si="27"/>
        <v>#DIV/0!</v>
      </c>
      <c r="BJ14" s="129" t="e">
        <f t="shared" si="32"/>
        <v>#DIV/0!</v>
      </c>
      <c r="BK14" s="129">
        <f t="shared" si="28"/>
        <v>1</v>
      </c>
      <c r="BL14" s="129">
        <f t="shared" si="11"/>
        <v>0.91292740619464163</v>
      </c>
      <c r="BN14" s="129" t="e">
        <f t="shared" si="33"/>
        <v>#DIV/0!</v>
      </c>
      <c r="BO14" s="129">
        <f t="shared" si="29"/>
        <v>1</v>
      </c>
      <c r="BP14" s="129">
        <f t="shared" si="12"/>
        <v>1.0562354499437476</v>
      </c>
    </row>
    <row r="15" spans="1:68" hidden="1" x14ac:dyDescent="0.2">
      <c r="A15" s="133" t="s">
        <v>664</v>
      </c>
      <c r="B15" s="133">
        <f t="shared" si="13"/>
        <v>1954</v>
      </c>
      <c r="F15" s="173"/>
      <c r="I15" s="4"/>
      <c r="J15" s="4"/>
      <c r="K15" s="172"/>
      <c r="L15" s="4"/>
      <c r="X15" s="131"/>
      <c r="Y15" s="131"/>
      <c r="Z15" s="131"/>
      <c r="AA15" s="131"/>
      <c r="AB15" s="131"/>
      <c r="AC15" s="131"/>
      <c r="AD15" s="131"/>
      <c r="AE15" s="131"/>
      <c r="AH15" s="134"/>
      <c r="AJ15" t="e">
        <f t="shared" si="14"/>
        <v>#DIV/0!</v>
      </c>
      <c r="AK15" t="e">
        <f t="shared" si="15"/>
        <v>#DIV/0!</v>
      </c>
      <c r="AL15" t="e">
        <f t="shared" si="16"/>
        <v>#DIV/0!</v>
      </c>
      <c r="AN15" t="e">
        <f t="shared" si="17"/>
        <v>#DIV/0!</v>
      </c>
      <c r="AO15" t="e">
        <f t="shared" si="18"/>
        <v>#DIV/0!</v>
      </c>
      <c r="AP15" t="e">
        <f t="shared" si="18"/>
        <v>#DIV/0!</v>
      </c>
      <c r="AQ15" t="e">
        <f t="shared" si="30"/>
        <v>#DIV/0!</v>
      </c>
      <c r="AS15" t="e">
        <f t="shared" si="19"/>
        <v>#DIV/0!</v>
      </c>
      <c r="AT15" t="e">
        <f t="shared" si="20"/>
        <v>#DIV/0!</v>
      </c>
      <c r="AU15" t="e">
        <f t="shared" si="31"/>
        <v>#DIV/0!</v>
      </c>
      <c r="AX15" t="e">
        <f t="shared" si="21"/>
        <v>#DIV/0!</v>
      </c>
      <c r="AY15" t="e">
        <f t="shared" si="22"/>
        <v>#DIV/0!</v>
      </c>
      <c r="AZ15" t="e">
        <f t="shared" si="23"/>
        <v>#DIV/0!</v>
      </c>
      <c r="BB15" s="129" t="e">
        <f t="shared" si="10"/>
        <v>#DIV/0!</v>
      </c>
      <c r="BC15" s="129" t="e">
        <f t="shared" si="24"/>
        <v>#DIV/0!</v>
      </c>
      <c r="BD15" s="129" t="e">
        <f t="shared" si="25"/>
        <v>#DIV/0!</v>
      </c>
      <c r="BF15" t="e">
        <f t="shared" si="26"/>
        <v>#DIV/0!</v>
      </c>
      <c r="BG15" t="e">
        <f t="shared" si="27"/>
        <v>#DIV/0!</v>
      </c>
      <c r="BH15" t="e">
        <f t="shared" si="27"/>
        <v>#DIV/0!</v>
      </c>
      <c r="BJ15" s="129" t="e">
        <f t="shared" si="32"/>
        <v>#DIV/0!</v>
      </c>
      <c r="BK15" s="129">
        <f t="shared" si="28"/>
        <v>1</v>
      </c>
      <c r="BL15" s="129">
        <f t="shared" si="11"/>
        <v>0.91292740619464163</v>
      </c>
      <c r="BN15" s="129" t="e">
        <f t="shared" si="33"/>
        <v>#DIV/0!</v>
      </c>
      <c r="BO15" s="129">
        <f t="shared" si="29"/>
        <v>1</v>
      </c>
      <c r="BP15" s="129">
        <f t="shared" si="12"/>
        <v>1.0562354499437476</v>
      </c>
    </row>
    <row r="16" spans="1:68" hidden="1" x14ac:dyDescent="0.2">
      <c r="A16" s="133" t="s">
        <v>664</v>
      </c>
      <c r="B16" s="133">
        <f t="shared" si="13"/>
        <v>1955</v>
      </c>
      <c r="F16" s="173"/>
      <c r="I16" s="4"/>
      <c r="J16" s="4"/>
      <c r="K16" s="172"/>
      <c r="L16" s="4"/>
      <c r="X16" s="131"/>
      <c r="Y16" s="131"/>
      <c r="Z16" s="131"/>
      <c r="AA16" s="131"/>
      <c r="AB16" s="131"/>
      <c r="AC16" s="131"/>
      <c r="AD16" s="131"/>
      <c r="AE16" s="131"/>
      <c r="AH16" s="134"/>
      <c r="AJ16" t="e">
        <f t="shared" si="14"/>
        <v>#DIV/0!</v>
      </c>
      <c r="AK16" t="e">
        <f t="shared" si="15"/>
        <v>#DIV/0!</v>
      </c>
      <c r="AL16" t="e">
        <f t="shared" si="16"/>
        <v>#DIV/0!</v>
      </c>
      <c r="AN16" t="e">
        <f t="shared" si="17"/>
        <v>#DIV/0!</v>
      </c>
      <c r="AO16" t="e">
        <f t="shared" si="18"/>
        <v>#DIV/0!</v>
      </c>
      <c r="AP16" t="e">
        <f t="shared" si="18"/>
        <v>#DIV/0!</v>
      </c>
      <c r="AQ16" t="e">
        <f t="shared" si="30"/>
        <v>#DIV/0!</v>
      </c>
      <c r="AS16" t="e">
        <f t="shared" si="19"/>
        <v>#DIV/0!</v>
      </c>
      <c r="AT16" t="e">
        <f t="shared" si="20"/>
        <v>#DIV/0!</v>
      </c>
      <c r="AU16" t="e">
        <f t="shared" si="31"/>
        <v>#DIV/0!</v>
      </c>
      <c r="AX16" t="e">
        <f t="shared" si="21"/>
        <v>#DIV/0!</v>
      </c>
      <c r="AY16" t="e">
        <f t="shared" si="22"/>
        <v>#DIV/0!</v>
      </c>
      <c r="AZ16" t="e">
        <f t="shared" si="23"/>
        <v>#DIV/0!</v>
      </c>
      <c r="BB16" s="129" t="e">
        <f t="shared" si="10"/>
        <v>#DIV/0!</v>
      </c>
      <c r="BC16" s="129" t="e">
        <f t="shared" si="24"/>
        <v>#DIV/0!</v>
      </c>
      <c r="BD16" s="129" t="e">
        <f t="shared" si="25"/>
        <v>#DIV/0!</v>
      </c>
      <c r="BF16" t="e">
        <f t="shared" si="26"/>
        <v>#DIV/0!</v>
      </c>
      <c r="BG16" t="e">
        <f t="shared" si="27"/>
        <v>#DIV/0!</v>
      </c>
      <c r="BH16" t="e">
        <f t="shared" si="27"/>
        <v>#DIV/0!</v>
      </c>
      <c r="BJ16" s="129" t="e">
        <f t="shared" si="32"/>
        <v>#DIV/0!</v>
      </c>
      <c r="BK16" s="129">
        <f t="shared" si="28"/>
        <v>1</v>
      </c>
      <c r="BL16" s="129">
        <f t="shared" si="11"/>
        <v>0.91292740619464163</v>
      </c>
      <c r="BN16" s="129" t="e">
        <f t="shared" si="33"/>
        <v>#DIV/0!</v>
      </c>
      <c r="BO16" s="129">
        <f t="shared" si="29"/>
        <v>1</v>
      </c>
      <c r="BP16" s="129">
        <f t="shared" si="12"/>
        <v>1.0562354499437476</v>
      </c>
    </row>
    <row r="17" spans="1:68" hidden="1" x14ac:dyDescent="0.2">
      <c r="A17" s="133" t="s">
        <v>664</v>
      </c>
      <c r="B17" s="133">
        <f t="shared" si="13"/>
        <v>1956</v>
      </c>
      <c r="F17" s="173"/>
      <c r="I17" s="4"/>
      <c r="J17" s="4"/>
      <c r="K17" s="172"/>
      <c r="L17" s="4"/>
      <c r="X17" s="131"/>
      <c r="Y17" s="131"/>
      <c r="Z17" s="131"/>
      <c r="AA17" s="131"/>
      <c r="AB17" s="131"/>
      <c r="AC17" s="131"/>
      <c r="AD17" s="131"/>
      <c r="AE17" s="131"/>
      <c r="AH17" s="134"/>
      <c r="AJ17" t="e">
        <f t="shared" si="14"/>
        <v>#DIV/0!</v>
      </c>
      <c r="AK17" t="e">
        <f t="shared" si="15"/>
        <v>#DIV/0!</v>
      </c>
      <c r="AL17" t="e">
        <f t="shared" si="16"/>
        <v>#DIV/0!</v>
      </c>
      <c r="AN17" t="e">
        <f t="shared" si="17"/>
        <v>#DIV/0!</v>
      </c>
      <c r="AO17" t="e">
        <f t="shared" si="18"/>
        <v>#DIV/0!</v>
      </c>
      <c r="AP17" t="e">
        <f t="shared" si="18"/>
        <v>#DIV/0!</v>
      </c>
      <c r="AQ17" t="e">
        <f t="shared" si="30"/>
        <v>#DIV/0!</v>
      </c>
      <c r="AS17" t="e">
        <f t="shared" si="19"/>
        <v>#DIV/0!</v>
      </c>
      <c r="AT17" t="e">
        <f t="shared" si="20"/>
        <v>#DIV/0!</v>
      </c>
      <c r="AU17" t="e">
        <f t="shared" si="31"/>
        <v>#DIV/0!</v>
      </c>
      <c r="AX17" t="e">
        <f t="shared" si="21"/>
        <v>#DIV/0!</v>
      </c>
      <c r="AY17" t="e">
        <f t="shared" si="22"/>
        <v>#DIV/0!</v>
      </c>
      <c r="AZ17" t="e">
        <f t="shared" si="23"/>
        <v>#DIV/0!</v>
      </c>
      <c r="BB17" s="129" t="e">
        <f t="shared" si="10"/>
        <v>#DIV/0!</v>
      </c>
      <c r="BC17" s="129" t="e">
        <f t="shared" si="24"/>
        <v>#DIV/0!</v>
      </c>
      <c r="BD17" s="129" t="e">
        <f t="shared" si="25"/>
        <v>#DIV/0!</v>
      </c>
      <c r="BF17" t="e">
        <f t="shared" si="26"/>
        <v>#DIV/0!</v>
      </c>
      <c r="BG17" t="e">
        <f t="shared" si="27"/>
        <v>#DIV/0!</v>
      </c>
      <c r="BH17" t="e">
        <f t="shared" si="27"/>
        <v>#DIV/0!</v>
      </c>
      <c r="BJ17" s="129" t="e">
        <f t="shared" si="32"/>
        <v>#DIV/0!</v>
      </c>
      <c r="BK17" s="129">
        <f t="shared" si="28"/>
        <v>1</v>
      </c>
      <c r="BL17" s="129">
        <f t="shared" si="11"/>
        <v>0.91292740619464163</v>
      </c>
      <c r="BN17" s="129" t="e">
        <f t="shared" si="33"/>
        <v>#DIV/0!</v>
      </c>
      <c r="BO17" s="129">
        <f t="shared" si="29"/>
        <v>1</v>
      </c>
      <c r="BP17" s="129">
        <f t="shared" si="12"/>
        <v>1.0562354499437476</v>
      </c>
    </row>
    <row r="18" spans="1:68" hidden="1" x14ac:dyDescent="0.2">
      <c r="A18" s="133" t="s">
        <v>664</v>
      </c>
      <c r="B18" s="133">
        <f t="shared" si="13"/>
        <v>1957</v>
      </c>
      <c r="F18" s="173"/>
      <c r="I18" s="4"/>
      <c r="J18" s="4"/>
      <c r="K18" s="172"/>
      <c r="L18" s="4"/>
      <c r="X18" s="131"/>
      <c r="Y18" s="131"/>
      <c r="Z18" s="131"/>
      <c r="AA18" s="131"/>
      <c r="AB18" s="131"/>
      <c r="AC18" s="131"/>
      <c r="AD18" s="131"/>
      <c r="AE18" s="131"/>
      <c r="AH18" s="134"/>
      <c r="AJ18" t="e">
        <f t="shared" si="14"/>
        <v>#DIV/0!</v>
      </c>
      <c r="AK18" t="e">
        <f t="shared" si="15"/>
        <v>#DIV/0!</v>
      </c>
      <c r="AL18" t="e">
        <f t="shared" si="16"/>
        <v>#DIV/0!</v>
      </c>
      <c r="AN18" t="e">
        <f t="shared" si="17"/>
        <v>#DIV/0!</v>
      </c>
      <c r="AO18" t="e">
        <f t="shared" si="18"/>
        <v>#DIV/0!</v>
      </c>
      <c r="AP18" t="e">
        <f t="shared" si="18"/>
        <v>#DIV/0!</v>
      </c>
      <c r="AQ18" t="e">
        <f t="shared" si="30"/>
        <v>#DIV/0!</v>
      </c>
      <c r="AS18" t="e">
        <f t="shared" si="19"/>
        <v>#DIV/0!</v>
      </c>
      <c r="AT18" t="e">
        <f t="shared" si="20"/>
        <v>#DIV/0!</v>
      </c>
      <c r="AU18" t="e">
        <f t="shared" si="31"/>
        <v>#DIV/0!</v>
      </c>
      <c r="AX18" t="e">
        <f t="shared" si="21"/>
        <v>#DIV/0!</v>
      </c>
      <c r="AY18" t="e">
        <f t="shared" si="22"/>
        <v>#DIV/0!</v>
      </c>
      <c r="AZ18" t="e">
        <f t="shared" si="23"/>
        <v>#DIV/0!</v>
      </c>
      <c r="BB18" s="129" t="e">
        <f t="shared" si="10"/>
        <v>#DIV/0!</v>
      </c>
      <c r="BC18" s="129" t="e">
        <f t="shared" si="24"/>
        <v>#DIV/0!</v>
      </c>
      <c r="BD18" s="129" t="e">
        <f t="shared" si="25"/>
        <v>#DIV/0!</v>
      </c>
      <c r="BF18" t="e">
        <f t="shared" si="26"/>
        <v>#DIV/0!</v>
      </c>
      <c r="BG18" t="e">
        <f t="shared" si="27"/>
        <v>#DIV/0!</v>
      </c>
      <c r="BH18" t="e">
        <f t="shared" si="27"/>
        <v>#DIV/0!</v>
      </c>
      <c r="BJ18" s="129" t="e">
        <f t="shared" si="32"/>
        <v>#DIV/0!</v>
      </c>
      <c r="BK18" s="129">
        <f t="shared" si="28"/>
        <v>1</v>
      </c>
      <c r="BL18" s="129">
        <f t="shared" si="11"/>
        <v>0.91292740619464163</v>
      </c>
      <c r="BN18" s="129" t="e">
        <f t="shared" si="33"/>
        <v>#DIV/0!</v>
      </c>
      <c r="BO18" s="129">
        <f t="shared" si="29"/>
        <v>1</v>
      </c>
      <c r="BP18" s="129">
        <f t="shared" si="12"/>
        <v>1.0562354499437476</v>
      </c>
    </row>
    <row r="19" spans="1:68" hidden="1" x14ac:dyDescent="0.2">
      <c r="A19" s="133" t="s">
        <v>664</v>
      </c>
      <c r="B19" s="133">
        <f t="shared" si="13"/>
        <v>1958</v>
      </c>
      <c r="F19" s="173"/>
      <c r="I19" s="4"/>
      <c r="J19" s="4"/>
      <c r="K19" s="172"/>
      <c r="L19" s="4"/>
      <c r="X19" s="131"/>
      <c r="Y19" s="131"/>
      <c r="Z19" s="131"/>
      <c r="AA19" s="131"/>
      <c r="AB19" s="131"/>
      <c r="AC19" s="131"/>
      <c r="AD19" s="131"/>
      <c r="AE19" s="131"/>
      <c r="AH19" s="134"/>
      <c r="AJ19" t="e">
        <f t="shared" si="14"/>
        <v>#DIV/0!</v>
      </c>
      <c r="AK19" t="e">
        <f t="shared" si="15"/>
        <v>#DIV/0!</v>
      </c>
      <c r="AL19" t="e">
        <f t="shared" si="16"/>
        <v>#DIV/0!</v>
      </c>
      <c r="AN19" t="e">
        <f t="shared" si="17"/>
        <v>#DIV/0!</v>
      </c>
      <c r="AO19" t="e">
        <f t="shared" si="18"/>
        <v>#DIV/0!</v>
      </c>
      <c r="AP19" t="e">
        <f t="shared" si="18"/>
        <v>#DIV/0!</v>
      </c>
      <c r="AQ19" t="e">
        <f t="shared" si="30"/>
        <v>#DIV/0!</v>
      </c>
      <c r="AS19" t="e">
        <f t="shared" si="19"/>
        <v>#DIV/0!</v>
      </c>
      <c r="AT19" t="e">
        <f t="shared" si="20"/>
        <v>#DIV/0!</v>
      </c>
      <c r="AU19" t="e">
        <f t="shared" si="31"/>
        <v>#DIV/0!</v>
      </c>
      <c r="AX19" t="e">
        <f t="shared" si="21"/>
        <v>#DIV/0!</v>
      </c>
      <c r="AY19" t="e">
        <f t="shared" si="22"/>
        <v>#DIV/0!</v>
      </c>
      <c r="AZ19" t="e">
        <f t="shared" si="23"/>
        <v>#DIV/0!</v>
      </c>
      <c r="BB19" s="129" t="e">
        <f t="shared" si="10"/>
        <v>#DIV/0!</v>
      </c>
      <c r="BC19" s="129" t="e">
        <f t="shared" si="24"/>
        <v>#DIV/0!</v>
      </c>
      <c r="BD19" s="129" t="e">
        <f t="shared" si="25"/>
        <v>#DIV/0!</v>
      </c>
      <c r="BF19" t="e">
        <f t="shared" si="26"/>
        <v>#DIV/0!</v>
      </c>
      <c r="BG19" t="e">
        <f t="shared" si="27"/>
        <v>#DIV/0!</v>
      </c>
      <c r="BH19" t="e">
        <f t="shared" si="27"/>
        <v>#DIV/0!</v>
      </c>
      <c r="BJ19" s="129" t="e">
        <f t="shared" si="32"/>
        <v>#DIV/0!</v>
      </c>
      <c r="BK19" s="129">
        <f t="shared" si="28"/>
        <v>1</v>
      </c>
      <c r="BL19" s="129">
        <f t="shared" si="11"/>
        <v>0.91292740619464163</v>
      </c>
      <c r="BN19" s="129" t="e">
        <f t="shared" si="33"/>
        <v>#DIV/0!</v>
      </c>
      <c r="BO19" s="129">
        <f t="shared" si="29"/>
        <v>1</v>
      </c>
      <c r="BP19" s="129">
        <f t="shared" si="12"/>
        <v>1.0562354499437476</v>
      </c>
    </row>
    <row r="20" spans="1:68" hidden="1" x14ac:dyDescent="0.2">
      <c r="A20" s="133" t="s">
        <v>664</v>
      </c>
      <c r="B20" s="133">
        <f t="shared" si="13"/>
        <v>1959</v>
      </c>
      <c r="F20" s="173"/>
      <c r="I20" s="4"/>
      <c r="J20" s="4"/>
      <c r="K20" s="172"/>
      <c r="L20" s="4"/>
      <c r="X20" s="131"/>
      <c r="Y20" s="131"/>
      <c r="Z20" s="131"/>
      <c r="AA20" s="131"/>
      <c r="AB20" s="131"/>
      <c r="AC20" s="131"/>
      <c r="AD20" s="131"/>
      <c r="AE20" s="131"/>
      <c r="AH20" s="134"/>
      <c r="AJ20" t="e">
        <f t="shared" si="14"/>
        <v>#DIV/0!</v>
      </c>
      <c r="AK20" t="e">
        <f t="shared" si="15"/>
        <v>#DIV/0!</v>
      </c>
      <c r="AL20" t="e">
        <f t="shared" si="16"/>
        <v>#DIV/0!</v>
      </c>
      <c r="AN20" t="e">
        <f t="shared" si="17"/>
        <v>#DIV/0!</v>
      </c>
      <c r="AO20" t="e">
        <f t="shared" si="18"/>
        <v>#DIV/0!</v>
      </c>
      <c r="AP20" t="e">
        <f t="shared" si="18"/>
        <v>#DIV/0!</v>
      </c>
      <c r="AQ20" t="e">
        <f t="shared" si="30"/>
        <v>#DIV/0!</v>
      </c>
      <c r="AS20" t="e">
        <f t="shared" si="19"/>
        <v>#DIV/0!</v>
      </c>
      <c r="AT20" t="e">
        <f t="shared" si="20"/>
        <v>#DIV/0!</v>
      </c>
      <c r="AU20" t="e">
        <f t="shared" si="31"/>
        <v>#DIV/0!</v>
      </c>
      <c r="AX20" t="e">
        <f t="shared" si="21"/>
        <v>#DIV/0!</v>
      </c>
      <c r="AY20" t="e">
        <f t="shared" si="22"/>
        <v>#DIV/0!</v>
      </c>
      <c r="AZ20" t="e">
        <f t="shared" si="23"/>
        <v>#DIV/0!</v>
      </c>
      <c r="BB20" s="129" t="e">
        <f t="shared" si="10"/>
        <v>#DIV/0!</v>
      </c>
      <c r="BC20" s="129" t="e">
        <f t="shared" si="24"/>
        <v>#DIV/0!</v>
      </c>
      <c r="BD20" s="129" t="e">
        <f t="shared" si="25"/>
        <v>#DIV/0!</v>
      </c>
      <c r="BF20" t="e">
        <f t="shared" si="26"/>
        <v>#DIV/0!</v>
      </c>
      <c r="BG20" t="e">
        <f t="shared" si="27"/>
        <v>#DIV/0!</v>
      </c>
      <c r="BH20" t="e">
        <f t="shared" si="27"/>
        <v>#DIV/0!</v>
      </c>
      <c r="BJ20" s="129" t="e">
        <f t="shared" si="32"/>
        <v>#DIV/0!</v>
      </c>
      <c r="BK20" s="129">
        <f t="shared" si="28"/>
        <v>1</v>
      </c>
      <c r="BL20" s="129">
        <f t="shared" si="11"/>
        <v>0.91292740619464163</v>
      </c>
      <c r="BN20" s="129" t="e">
        <f t="shared" si="33"/>
        <v>#DIV/0!</v>
      </c>
      <c r="BO20" s="129">
        <f t="shared" si="29"/>
        <v>1</v>
      </c>
      <c r="BP20" s="129">
        <f t="shared" si="12"/>
        <v>1.0562354499437476</v>
      </c>
    </row>
    <row r="21" spans="1:68" hidden="1" x14ac:dyDescent="0.2">
      <c r="A21" s="133" t="s">
        <v>664</v>
      </c>
      <c r="B21" s="133">
        <f t="shared" si="13"/>
        <v>1960</v>
      </c>
      <c r="F21" s="173"/>
      <c r="I21" s="4"/>
      <c r="J21" s="4"/>
      <c r="K21" s="172"/>
      <c r="L21" s="4"/>
      <c r="X21" s="131"/>
      <c r="Y21" s="131"/>
      <c r="Z21" s="131"/>
      <c r="AA21" s="131"/>
      <c r="AB21" s="131"/>
      <c r="AC21" s="131"/>
      <c r="AD21" s="131"/>
      <c r="AE21" s="131"/>
      <c r="AH21" s="134"/>
      <c r="AJ21" t="e">
        <f t="shared" si="14"/>
        <v>#DIV/0!</v>
      </c>
      <c r="AK21" t="e">
        <f t="shared" si="15"/>
        <v>#DIV/0!</v>
      </c>
      <c r="AL21" t="e">
        <f t="shared" si="16"/>
        <v>#DIV/0!</v>
      </c>
      <c r="AN21" t="e">
        <f t="shared" si="17"/>
        <v>#DIV/0!</v>
      </c>
      <c r="AO21" t="e">
        <f t="shared" si="18"/>
        <v>#DIV/0!</v>
      </c>
      <c r="AP21" t="e">
        <f t="shared" si="18"/>
        <v>#DIV/0!</v>
      </c>
      <c r="AQ21" t="e">
        <f t="shared" si="30"/>
        <v>#DIV/0!</v>
      </c>
      <c r="AS21" t="e">
        <f t="shared" si="19"/>
        <v>#DIV/0!</v>
      </c>
      <c r="AT21" t="e">
        <f t="shared" si="20"/>
        <v>#DIV/0!</v>
      </c>
      <c r="AU21" t="e">
        <f t="shared" si="31"/>
        <v>#DIV/0!</v>
      </c>
      <c r="AX21" t="e">
        <f t="shared" si="21"/>
        <v>#DIV/0!</v>
      </c>
      <c r="AY21" t="e">
        <f t="shared" si="22"/>
        <v>#DIV/0!</v>
      </c>
      <c r="AZ21" t="e">
        <f t="shared" si="23"/>
        <v>#DIV/0!</v>
      </c>
      <c r="BB21" s="129" t="e">
        <f t="shared" si="10"/>
        <v>#DIV/0!</v>
      </c>
      <c r="BC21" s="129" t="e">
        <f t="shared" si="24"/>
        <v>#DIV/0!</v>
      </c>
      <c r="BD21" s="129" t="e">
        <f t="shared" si="25"/>
        <v>#DIV/0!</v>
      </c>
      <c r="BF21" t="e">
        <f t="shared" si="26"/>
        <v>#DIV/0!</v>
      </c>
      <c r="BG21" t="e">
        <f t="shared" si="27"/>
        <v>#DIV/0!</v>
      </c>
      <c r="BH21" t="e">
        <f t="shared" si="27"/>
        <v>#DIV/0!</v>
      </c>
      <c r="BJ21" s="129" t="e">
        <f t="shared" si="32"/>
        <v>#DIV/0!</v>
      </c>
      <c r="BK21" s="129">
        <f t="shared" si="28"/>
        <v>1</v>
      </c>
      <c r="BL21" s="129">
        <f t="shared" si="11"/>
        <v>0.91292740619464163</v>
      </c>
      <c r="BN21" s="129" t="e">
        <f t="shared" si="33"/>
        <v>#DIV/0!</v>
      </c>
      <c r="BO21" s="129">
        <f t="shared" si="29"/>
        <v>1</v>
      </c>
      <c r="BP21" s="129">
        <f t="shared" si="12"/>
        <v>1.0562354499437476</v>
      </c>
    </row>
    <row r="22" spans="1:68" hidden="1" x14ac:dyDescent="0.2">
      <c r="A22" s="133" t="s">
        <v>664</v>
      </c>
      <c r="B22" s="133">
        <f t="shared" si="13"/>
        <v>1961</v>
      </c>
      <c r="F22" s="173"/>
      <c r="I22" s="4"/>
      <c r="J22" s="4"/>
      <c r="K22" s="172"/>
      <c r="L22" s="4"/>
      <c r="X22" s="131"/>
      <c r="Y22" s="131"/>
      <c r="Z22" s="131"/>
      <c r="AA22" s="131"/>
      <c r="AB22" s="131"/>
      <c r="AC22" s="131"/>
      <c r="AD22" s="131"/>
      <c r="AE22" s="131"/>
      <c r="AH22" s="134"/>
      <c r="AJ22" t="e">
        <f t="shared" si="14"/>
        <v>#DIV/0!</v>
      </c>
      <c r="AK22" t="e">
        <f t="shared" si="15"/>
        <v>#DIV/0!</v>
      </c>
      <c r="AL22" t="e">
        <f t="shared" si="16"/>
        <v>#DIV/0!</v>
      </c>
      <c r="AN22" t="e">
        <f t="shared" si="17"/>
        <v>#DIV/0!</v>
      </c>
      <c r="AO22" t="e">
        <f t="shared" si="18"/>
        <v>#DIV/0!</v>
      </c>
      <c r="AP22" t="e">
        <f t="shared" si="18"/>
        <v>#DIV/0!</v>
      </c>
      <c r="AQ22" t="e">
        <f t="shared" si="30"/>
        <v>#DIV/0!</v>
      </c>
      <c r="AS22" t="e">
        <f t="shared" si="19"/>
        <v>#DIV/0!</v>
      </c>
      <c r="AT22" t="e">
        <f t="shared" si="20"/>
        <v>#DIV/0!</v>
      </c>
      <c r="AU22" t="e">
        <f t="shared" si="31"/>
        <v>#DIV/0!</v>
      </c>
      <c r="AX22" t="e">
        <f t="shared" si="21"/>
        <v>#DIV/0!</v>
      </c>
      <c r="AY22" t="e">
        <f t="shared" si="22"/>
        <v>#DIV/0!</v>
      </c>
      <c r="AZ22" t="e">
        <f t="shared" si="23"/>
        <v>#DIV/0!</v>
      </c>
      <c r="BB22" s="129" t="e">
        <f t="shared" si="10"/>
        <v>#DIV/0!</v>
      </c>
      <c r="BC22" s="129" t="e">
        <f t="shared" si="24"/>
        <v>#DIV/0!</v>
      </c>
      <c r="BD22" s="129" t="e">
        <f t="shared" si="25"/>
        <v>#DIV/0!</v>
      </c>
      <c r="BF22" t="e">
        <f t="shared" si="26"/>
        <v>#DIV/0!</v>
      </c>
      <c r="BG22" t="e">
        <f t="shared" si="27"/>
        <v>#DIV/0!</v>
      </c>
      <c r="BH22" t="e">
        <f t="shared" si="27"/>
        <v>#DIV/0!</v>
      </c>
      <c r="BJ22" s="129" t="e">
        <f t="shared" si="32"/>
        <v>#DIV/0!</v>
      </c>
      <c r="BK22" s="129">
        <f t="shared" si="28"/>
        <v>1</v>
      </c>
      <c r="BL22" s="129">
        <f t="shared" si="11"/>
        <v>0.91292740619464163</v>
      </c>
      <c r="BN22" s="129" t="e">
        <f t="shared" si="33"/>
        <v>#DIV/0!</v>
      </c>
      <c r="BO22" s="129">
        <f t="shared" si="29"/>
        <v>1</v>
      </c>
      <c r="BP22" s="129">
        <f t="shared" si="12"/>
        <v>1.0562354499437476</v>
      </c>
    </row>
    <row r="23" spans="1:68" hidden="1" x14ac:dyDescent="0.2">
      <c r="A23" s="133" t="s">
        <v>664</v>
      </c>
      <c r="B23" s="133">
        <f t="shared" si="13"/>
        <v>1962</v>
      </c>
      <c r="F23" s="173"/>
      <c r="I23" s="4"/>
      <c r="J23" s="4"/>
      <c r="K23" s="172"/>
      <c r="L23" s="4"/>
      <c r="X23" s="131"/>
      <c r="Y23" s="131"/>
      <c r="Z23" s="131"/>
      <c r="AA23" s="131"/>
      <c r="AB23" s="131"/>
      <c r="AC23" s="131"/>
      <c r="AD23" s="131"/>
      <c r="AE23" s="131"/>
      <c r="AH23" s="134"/>
      <c r="AJ23" t="e">
        <f t="shared" si="14"/>
        <v>#DIV/0!</v>
      </c>
      <c r="AK23" t="e">
        <f t="shared" si="15"/>
        <v>#DIV/0!</v>
      </c>
      <c r="AL23" t="e">
        <f t="shared" si="16"/>
        <v>#DIV/0!</v>
      </c>
      <c r="AN23" t="e">
        <f t="shared" si="17"/>
        <v>#DIV/0!</v>
      </c>
      <c r="AO23" t="e">
        <f t="shared" si="18"/>
        <v>#DIV/0!</v>
      </c>
      <c r="AP23" t="e">
        <f t="shared" si="18"/>
        <v>#DIV/0!</v>
      </c>
      <c r="AQ23" t="e">
        <f t="shared" si="30"/>
        <v>#DIV/0!</v>
      </c>
      <c r="AS23" t="e">
        <f t="shared" si="19"/>
        <v>#DIV/0!</v>
      </c>
      <c r="AT23" t="e">
        <f t="shared" si="20"/>
        <v>#DIV/0!</v>
      </c>
      <c r="AU23" t="e">
        <f t="shared" si="31"/>
        <v>#DIV/0!</v>
      </c>
      <c r="AX23" t="e">
        <f t="shared" si="21"/>
        <v>#DIV/0!</v>
      </c>
      <c r="AY23" t="e">
        <f t="shared" si="22"/>
        <v>#DIV/0!</v>
      </c>
      <c r="AZ23" t="e">
        <f t="shared" si="23"/>
        <v>#DIV/0!</v>
      </c>
      <c r="BB23" s="129" t="e">
        <f t="shared" si="10"/>
        <v>#DIV/0!</v>
      </c>
      <c r="BC23" s="129" t="e">
        <f t="shared" si="24"/>
        <v>#DIV/0!</v>
      </c>
      <c r="BD23" s="129" t="e">
        <f t="shared" si="25"/>
        <v>#DIV/0!</v>
      </c>
      <c r="BF23" t="e">
        <f t="shared" si="26"/>
        <v>#DIV/0!</v>
      </c>
      <c r="BG23" t="e">
        <f t="shared" si="27"/>
        <v>#DIV/0!</v>
      </c>
      <c r="BH23" t="e">
        <f t="shared" si="27"/>
        <v>#DIV/0!</v>
      </c>
      <c r="BJ23" s="129" t="e">
        <f t="shared" si="32"/>
        <v>#DIV/0!</v>
      </c>
      <c r="BK23" s="129">
        <f t="shared" si="28"/>
        <v>1</v>
      </c>
      <c r="BL23" s="129">
        <f t="shared" si="11"/>
        <v>0.91292740619464163</v>
      </c>
      <c r="BN23" s="129" t="e">
        <f t="shared" si="33"/>
        <v>#DIV/0!</v>
      </c>
      <c r="BO23" s="129">
        <f t="shared" si="29"/>
        <v>1</v>
      </c>
      <c r="BP23" s="129">
        <f t="shared" si="12"/>
        <v>1.0562354499437476</v>
      </c>
    </row>
    <row r="24" spans="1:68" hidden="1" x14ac:dyDescent="0.2">
      <c r="A24" s="133" t="s">
        <v>664</v>
      </c>
      <c r="B24" s="133">
        <f t="shared" si="13"/>
        <v>1963</v>
      </c>
      <c r="F24" s="173"/>
      <c r="I24" s="4"/>
      <c r="J24" s="4"/>
      <c r="K24" s="172"/>
      <c r="L24" s="4"/>
      <c r="X24" s="131"/>
      <c r="Y24" s="131"/>
      <c r="Z24" s="131"/>
      <c r="AA24" s="131"/>
      <c r="AB24" s="131"/>
      <c r="AC24" s="131"/>
      <c r="AD24" s="131"/>
      <c r="AE24" s="131"/>
      <c r="AH24" s="134"/>
      <c r="AJ24" t="e">
        <f t="shared" si="14"/>
        <v>#DIV/0!</v>
      </c>
      <c r="AK24" t="e">
        <f t="shared" si="15"/>
        <v>#DIV/0!</v>
      </c>
      <c r="AL24" t="e">
        <f t="shared" si="16"/>
        <v>#DIV/0!</v>
      </c>
      <c r="AN24" t="e">
        <f t="shared" si="17"/>
        <v>#DIV/0!</v>
      </c>
      <c r="AO24" t="e">
        <f t="shared" si="18"/>
        <v>#DIV/0!</v>
      </c>
      <c r="AP24" t="e">
        <f t="shared" si="18"/>
        <v>#DIV/0!</v>
      </c>
      <c r="AQ24" t="e">
        <f t="shared" si="30"/>
        <v>#DIV/0!</v>
      </c>
      <c r="AS24" t="e">
        <f t="shared" si="19"/>
        <v>#DIV/0!</v>
      </c>
      <c r="AT24" t="e">
        <f t="shared" si="20"/>
        <v>#DIV/0!</v>
      </c>
      <c r="AU24" t="e">
        <f t="shared" si="31"/>
        <v>#DIV/0!</v>
      </c>
      <c r="AX24" t="e">
        <f t="shared" si="21"/>
        <v>#DIV/0!</v>
      </c>
      <c r="AY24" t="e">
        <f t="shared" si="22"/>
        <v>#DIV/0!</v>
      </c>
      <c r="AZ24" t="e">
        <f t="shared" si="23"/>
        <v>#DIV/0!</v>
      </c>
      <c r="BB24" s="129" t="e">
        <f t="shared" si="10"/>
        <v>#DIV/0!</v>
      </c>
      <c r="BC24" s="129" t="e">
        <f t="shared" si="24"/>
        <v>#DIV/0!</v>
      </c>
      <c r="BD24" s="129" t="e">
        <f t="shared" si="25"/>
        <v>#DIV/0!</v>
      </c>
      <c r="BF24" t="e">
        <f t="shared" si="26"/>
        <v>#DIV/0!</v>
      </c>
      <c r="BG24" t="e">
        <f t="shared" si="27"/>
        <v>#DIV/0!</v>
      </c>
      <c r="BH24" t="e">
        <f t="shared" si="27"/>
        <v>#DIV/0!</v>
      </c>
      <c r="BJ24" s="129" t="e">
        <f t="shared" si="32"/>
        <v>#DIV/0!</v>
      </c>
      <c r="BK24" s="129">
        <f t="shared" si="28"/>
        <v>1</v>
      </c>
      <c r="BL24" s="129">
        <f t="shared" si="11"/>
        <v>0.91292740619464163</v>
      </c>
      <c r="BN24" s="129" t="e">
        <f t="shared" si="33"/>
        <v>#DIV/0!</v>
      </c>
      <c r="BO24" s="129">
        <f t="shared" si="29"/>
        <v>1</v>
      </c>
      <c r="BP24" s="129">
        <f t="shared" si="12"/>
        <v>1.0562354499437476</v>
      </c>
    </row>
    <row r="25" spans="1:68" hidden="1" x14ac:dyDescent="0.2">
      <c r="A25" s="133" t="s">
        <v>664</v>
      </c>
      <c r="B25" s="133">
        <f t="shared" si="13"/>
        <v>1964</v>
      </c>
      <c r="F25" s="173"/>
      <c r="I25" s="4"/>
      <c r="J25" s="4"/>
      <c r="K25" s="172"/>
      <c r="L25" s="4"/>
      <c r="X25" s="131"/>
      <c r="Y25" s="131"/>
      <c r="Z25" s="131"/>
      <c r="AA25" s="131"/>
      <c r="AB25" s="131"/>
      <c r="AC25" s="131"/>
      <c r="AD25" s="131"/>
      <c r="AE25" s="131"/>
      <c r="AH25" s="134"/>
      <c r="AJ25" t="e">
        <f t="shared" si="14"/>
        <v>#DIV/0!</v>
      </c>
      <c r="AK25" t="e">
        <f t="shared" si="15"/>
        <v>#DIV/0!</v>
      </c>
      <c r="AL25" t="e">
        <f t="shared" si="16"/>
        <v>#DIV/0!</v>
      </c>
      <c r="AN25" t="e">
        <f t="shared" si="17"/>
        <v>#DIV/0!</v>
      </c>
      <c r="AO25" t="e">
        <f t="shared" si="18"/>
        <v>#DIV/0!</v>
      </c>
      <c r="AP25" t="e">
        <f t="shared" si="18"/>
        <v>#DIV/0!</v>
      </c>
      <c r="AQ25" t="e">
        <f t="shared" si="30"/>
        <v>#DIV/0!</v>
      </c>
      <c r="AS25" t="e">
        <f t="shared" si="19"/>
        <v>#DIV/0!</v>
      </c>
      <c r="AT25" t="e">
        <f t="shared" si="20"/>
        <v>#DIV/0!</v>
      </c>
      <c r="AU25" t="e">
        <f t="shared" si="31"/>
        <v>#DIV/0!</v>
      </c>
      <c r="AX25" t="e">
        <f t="shared" si="21"/>
        <v>#DIV/0!</v>
      </c>
      <c r="AY25" t="e">
        <f t="shared" si="22"/>
        <v>#DIV/0!</v>
      </c>
      <c r="AZ25" t="e">
        <f t="shared" si="23"/>
        <v>#DIV/0!</v>
      </c>
      <c r="BB25" s="129" t="e">
        <f t="shared" si="10"/>
        <v>#DIV/0!</v>
      </c>
      <c r="BC25" s="129" t="e">
        <f t="shared" si="24"/>
        <v>#DIV/0!</v>
      </c>
      <c r="BD25" s="129" t="e">
        <f t="shared" si="25"/>
        <v>#DIV/0!</v>
      </c>
      <c r="BF25" t="e">
        <f t="shared" si="26"/>
        <v>#DIV/0!</v>
      </c>
      <c r="BG25" t="e">
        <f t="shared" si="27"/>
        <v>#DIV/0!</v>
      </c>
      <c r="BH25" t="e">
        <f t="shared" si="27"/>
        <v>#DIV/0!</v>
      </c>
      <c r="BJ25" s="129" t="e">
        <f t="shared" si="32"/>
        <v>#DIV/0!</v>
      </c>
      <c r="BK25" s="129">
        <f t="shared" si="28"/>
        <v>1</v>
      </c>
      <c r="BL25" s="129">
        <f t="shared" si="11"/>
        <v>0.91292740619464163</v>
      </c>
      <c r="BN25" s="129" t="e">
        <f t="shared" si="33"/>
        <v>#DIV/0!</v>
      </c>
      <c r="BO25" s="129">
        <f t="shared" si="29"/>
        <v>1</v>
      </c>
      <c r="BP25" s="129">
        <f t="shared" si="12"/>
        <v>1.0562354499437476</v>
      </c>
    </row>
    <row r="26" spans="1:68" x14ac:dyDescent="0.2">
      <c r="A26" s="133" t="s">
        <v>664</v>
      </c>
      <c r="B26" s="133">
        <f t="shared" si="13"/>
        <v>1965</v>
      </c>
      <c r="D26" s="125">
        <f>'Passenger-based Energy Use'!E23</f>
        <v>45.89058</v>
      </c>
      <c r="E26" s="125"/>
      <c r="F26" s="174"/>
      <c r="G26" s="125">
        <f t="shared" ref="G26:G71" si="34">D26+E26+F26</f>
        <v>45.89058</v>
      </c>
      <c r="I26" s="4"/>
      <c r="J26" s="4"/>
      <c r="K26" s="172"/>
      <c r="L26" s="4"/>
      <c r="X26" s="131"/>
      <c r="Y26" s="131"/>
      <c r="Z26" s="131"/>
      <c r="AA26" s="131"/>
      <c r="AB26" s="131"/>
      <c r="AC26" s="131"/>
      <c r="AD26" s="131"/>
      <c r="AE26" s="131"/>
      <c r="AH26" s="134"/>
      <c r="AJ26" s="129">
        <f t="shared" si="14"/>
        <v>1</v>
      </c>
      <c r="AK26" s="129">
        <f t="shared" si="15"/>
        <v>0</v>
      </c>
      <c r="AL26" s="129">
        <f t="shared" si="16"/>
        <v>0</v>
      </c>
      <c r="AN26" t="e">
        <f t="shared" si="17"/>
        <v>#DIV/0!</v>
      </c>
      <c r="AO26" t="e">
        <f t="shared" si="18"/>
        <v>#DIV/0!</v>
      </c>
      <c r="AP26" t="e">
        <f t="shared" si="18"/>
        <v>#DIV/0!</v>
      </c>
      <c r="AQ26" t="e">
        <f t="shared" si="30"/>
        <v>#DIV/0!</v>
      </c>
      <c r="AS26" t="e">
        <f t="shared" si="19"/>
        <v>#DIV/0!</v>
      </c>
      <c r="AT26" t="e">
        <f t="shared" si="20"/>
        <v>#DIV/0!</v>
      </c>
      <c r="AU26" t="e">
        <f t="shared" si="31"/>
        <v>#DIV/0!</v>
      </c>
      <c r="AX26" t="e">
        <f t="shared" si="21"/>
        <v>#DIV/0!</v>
      </c>
      <c r="AY26" t="e">
        <f t="shared" si="22"/>
        <v>#DIV/0!</v>
      </c>
      <c r="AZ26" t="e">
        <f t="shared" si="23"/>
        <v>#DIV/0!</v>
      </c>
      <c r="BB26" s="129" t="e">
        <f t="shared" si="10"/>
        <v>#DIV/0!</v>
      </c>
      <c r="BC26" s="129" t="e">
        <f t="shared" si="24"/>
        <v>#DIV/0!</v>
      </c>
      <c r="BD26" s="129" t="e">
        <f t="shared" si="25"/>
        <v>#DIV/0!</v>
      </c>
      <c r="BF26" t="e">
        <f t="shared" si="26"/>
        <v>#DIV/0!</v>
      </c>
      <c r="BG26" t="e">
        <f t="shared" si="27"/>
        <v>#DIV/0!</v>
      </c>
      <c r="BH26" t="e">
        <f t="shared" si="27"/>
        <v>#DIV/0!</v>
      </c>
      <c r="BJ26" s="129" t="e">
        <f t="shared" si="32"/>
        <v>#DIV/0!</v>
      </c>
      <c r="BK26" s="129">
        <f t="shared" si="28"/>
        <v>1</v>
      </c>
      <c r="BL26" s="129">
        <f t="shared" si="11"/>
        <v>0.91292740619464163</v>
      </c>
      <c r="BN26" s="129" t="e">
        <f t="shared" si="33"/>
        <v>#DIV/0!</v>
      </c>
      <c r="BO26" s="129">
        <f t="shared" si="29"/>
        <v>1</v>
      </c>
      <c r="BP26" s="129">
        <f t="shared" si="12"/>
        <v>1.0562354499437476</v>
      </c>
    </row>
    <row r="27" spans="1:68" x14ac:dyDescent="0.2">
      <c r="A27" s="133" t="s">
        <v>664</v>
      </c>
      <c r="B27" s="133">
        <f t="shared" si="13"/>
        <v>1966</v>
      </c>
      <c r="D27" s="125">
        <f>'Passenger-based Energy Use'!E24</f>
        <v>45.007199999999997</v>
      </c>
      <c r="E27" s="125"/>
      <c r="F27" s="174"/>
      <c r="G27" s="125">
        <f t="shared" si="34"/>
        <v>45.007199999999997</v>
      </c>
      <c r="I27" s="4"/>
      <c r="J27" s="4"/>
      <c r="K27" s="172"/>
      <c r="L27" s="4"/>
      <c r="X27" s="131"/>
      <c r="Y27" s="131"/>
      <c r="Z27" s="131"/>
      <c r="AA27" s="131"/>
      <c r="AB27" s="131"/>
      <c r="AC27" s="131"/>
      <c r="AD27" s="131"/>
      <c r="AE27" s="131"/>
      <c r="AH27" s="134"/>
      <c r="AJ27" s="129">
        <f t="shared" si="14"/>
        <v>1</v>
      </c>
      <c r="AK27" s="129">
        <f t="shared" si="15"/>
        <v>0</v>
      </c>
      <c r="AL27" s="129">
        <f t="shared" si="16"/>
        <v>0</v>
      </c>
      <c r="AN27" t="e">
        <f t="shared" si="17"/>
        <v>#DIV/0!</v>
      </c>
      <c r="AO27" t="e">
        <f t="shared" si="18"/>
        <v>#DIV/0!</v>
      </c>
      <c r="AP27" t="e">
        <f t="shared" si="18"/>
        <v>#DIV/0!</v>
      </c>
      <c r="AQ27" t="e">
        <f t="shared" si="30"/>
        <v>#DIV/0!</v>
      </c>
      <c r="AS27" t="e">
        <f t="shared" si="19"/>
        <v>#DIV/0!</v>
      </c>
      <c r="AT27" t="e">
        <f t="shared" si="20"/>
        <v>#DIV/0!</v>
      </c>
      <c r="AU27" t="e">
        <f t="shared" si="31"/>
        <v>#DIV/0!</v>
      </c>
      <c r="AX27" t="e">
        <f t="shared" si="21"/>
        <v>#DIV/0!</v>
      </c>
      <c r="AY27" t="e">
        <f t="shared" si="22"/>
        <v>#DIV/0!</v>
      </c>
      <c r="AZ27" t="e">
        <f t="shared" si="23"/>
        <v>#DIV/0!</v>
      </c>
      <c r="BB27" s="129" t="e">
        <f t="shared" si="10"/>
        <v>#DIV/0!</v>
      </c>
      <c r="BC27" s="129" t="e">
        <f t="shared" si="24"/>
        <v>#DIV/0!</v>
      </c>
      <c r="BD27" s="129" t="e">
        <f t="shared" si="25"/>
        <v>#DIV/0!</v>
      </c>
      <c r="BF27" t="e">
        <f t="shared" si="26"/>
        <v>#DIV/0!</v>
      </c>
      <c r="BG27" t="e">
        <f t="shared" si="27"/>
        <v>#DIV/0!</v>
      </c>
      <c r="BH27" t="e">
        <f t="shared" si="27"/>
        <v>#DIV/0!</v>
      </c>
      <c r="BJ27" s="129" t="e">
        <f t="shared" si="32"/>
        <v>#DIV/0!</v>
      </c>
      <c r="BK27" s="129">
        <f t="shared" si="28"/>
        <v>1</v>
      </c>
      <c r="BL27" s="129">
        <f t="shared" si="11"/>
        <v>0.91292740619464163</v>
      </c>
      <c r="BN27" s="129" t="e">
        <f t="shared" si="33"/>
        <v>#DIV/0!</v>
      </c>
      <c r="BO27" s="129">
        <f t="shared" si="29"/>
        <v>1</v>
      </c>
      <c r="BP27" s="129">
        <f t="shared" si="12"/>
        <v>1.0562354499437476</v>
      </c>
    </row>
    <row r="28" spans="1:68" x14ac:dyDescent="0.2">
      <c r="A28" s="133" t="s">
        <v>664</v>
      </c>
      <c r="B28" s="133">
        <f t="shared" si="13"/>
        <v>1967</v>
      </c>
      <c r="D28" s="125">
        <f>'Passenger-based Energy Use'!E25</f>
        <v>44.715609999999998</v>
      </c>
      <c r="E28" s="125"/>
      <c r="F28" s="174"/>
      <c r="G28" s="125">
        <f t="shared" si="34"/>
        <v>44.715609999999998</v>
      </c>
      <c r="I28" s="4"/>
      <c r="J28" s="4"/>
      <c r="K28" s="172"/>
      <c r="L28" s="4"/>
      <c r="X28" s="131"/>
      <c r="Y28" s="131"/>
      <c r="Z28" s="131"/>
      <c r="AA28" s="131"/>
      <c r="AB28" s="131"/>
      <c r="AC28" s="131"/>
      <c r="AD28" s="131"/>
      <c r="AE28" s="131"/>
      <c r="AH28" s="134"/>
      <c r="AJ28" s="129">
        <f t="shared" si="14"/>
        <v>1</v>
      </c>
      <c r="AK28" s="129">
        <f t="shared" si="15"/>
        <v>0</v>
      </c>
      <c r="AL28" s="129">
        <f t="shared" si="16"/>
        <v>0</v>
      </c>
      <c r="AN28" t="e">
        <f t="shared" si="17"/>
        <v>#DIV/0!</v>
      </c>
      <c r="AO28" t="e">
        <f t="shared" si="18"/>
        <v>#DIV/0!</v>
      </c>
      <c r="AP28" t="e">
        <f t="shared" si="18"/>
        <v>#DIV/0!</v>
      </c>
      <c r="AQ28" t="e">
        <f t="shared" si="30"/>
        <v>#DIV/0!</v>
      </c>
      <c r="AS28" t="e">
        <f t="shared" si="19"/>
        <v>#DIV/0!</v>
      </c>
      <c r="AT28" t="e">
        <f t="shared" si="20"/>
        <v>#DIV/0!</v>
      </c>
      <c r="AU28" t="e">
        <f t="shared" si="31"/>
        <v>#DIV/0!</v>
      </c>
      <c r="AX28" t="e">
        <f t="shared" si="21"/>
        <v>#DIV/0!</v>
      </c>
      <c r="AY28" t="e">
        <f t="shared" si="22"/>
        <v>#DIV/0!</v>
      </c>
      <c r="AZ28" t="e">
        <f t="shared" si="23"/>
        <v>#DIV/0!</v>
      </c>
      <c r="BB28" s="129" t="e">
        <f t="shared" si="10"/>
        <v>#DIV/0!</v>
      </c>
      <c r="BC28" s="129" t="e">
        <f t="shared" si="24"/>
        <v>#DIV/0!</v>
      </c>
      <c r="BD28" s="129" t="e">
        <f t="shared" si="25"/>
        <v>#DIV/0!</v>
      </c>
      <c r="BF28" t="e">
        <f t="shared" si="26"/>
        <v>#DIV/0!</v>
      </c>
      <c r="BG28" t="e">
        <f t="shared" si="27"/>
        <v>#DIV/0!</v>
      </c>
      <c r="BH28" t="e">
        <f t="shared" si="27"/>
        <v>#DIV/0!</v>
      </c>
      <c r="BJ28" s="129" t="e">
        <f t="shared" si="32"/>
        <v>#DIV/0!</v>
      </c>
      <c r="BK28" s="129">
        <f t="shared" si="28"/>
        <v>1</v>
      </c>
      <c r="BL28" s="129">
        <f t="shared" si="11"/>
        <v>0.91292740619464163</v>
      </c>
      <c r="BN28" s="129" t="e">
        <f t="shared" si="33"/>
        <v>#DIV/0!</v>
      </c>
      <c r="BO28" s="129">
        <f t="shared" si="29"/>
        <v>1</v>
      </c>
      <c r="BP28" s="129">
        <f t="shared" si="12"/>
        <v>1.0562354499437476</v>
      </c>
    </row>
    <row r="29" spans="1:68" x14ac:dyDescent="0.2">
      <c r="A29" s="133" t="s">
        <v>664</v>
      </c>
      <c r="B29" s="133">
        <f t="shared" si="13"/>
        <v>1968</v>
      </c>
      <c r="D29" s="125">
        <f>'Passenger-based Energy Use'!E26</f>
        <v>43.744039999999998</v>
      </c>
      <c r="E29" s="125"/>
      <c r="F29" s="174"/>
      <c r="G29" s="125">
        <f t="shared" si="34"/>
        <v>43.744039999999998</v>
      </c>
      <c r="I29" s="4"/>
      <c r="J29" s="4"/>
      <c r="K29" s="172"/>
      <c r="L29" s="4"/>
      <c r="X29" s="131"/>
      <c r="Y29" s="131"/>
      <c r="Z29" s="131"/>
      <c r="AA29" s="131"/>
      <c r="AB29" s="131"/>
      <c r="AC29" s="131"/>
      <c r="AD29" s="131"/>
      <c r="AE29" s="131"/>
      <c r="AH29" s="134"/>
      <c r="AJ29" s="129">
        <f t="shared" si="14"/>
        <v>1</v>
      </c>
      <c r="AK29" s="129">
        <f t="shared" si="15"/>
        <v>0</v>
      </c>
      <c r="AL29" s="129">
        <f t="shared" si="16"/>
        <v>0</v>
      </c>
      <c r="AN29" t="e">
        <f t="shared" si="17"/>
        <v>#DIV/0!</v>
      </c>
      <c r="AO29" t="e">
        <f t="shared" si="18"/>
        <v>#DIV/0!</v>
      </c>
      <c r="AP29" t="e">
        <f t="shared" si="18"/>
        <v>#DIV/0!</v>
      </c>
      <c r="AQ29" t="e">
        <f t="shared" si="30"/>
        <v>#DIV/0!</v>
      </c>
      <c r="AS29" t="e">
        <f t="shared" si="19"/>
        <v>#DIV/0!</v>
      </c>
      <c r="AT29" t="e">
        <f t="shared" si="20"/>
        <v>#DIV/0!</v>
      </c>
      <c r="AU29" t="e">
        <f t="shared" si="31"/>
        <v>#DIV/0!</v>
      </c>
      <c r="AX29" t="e">
        <f t="shared" si="21"/>
        <v>#DIV/0!</v>
      </c>
      <c r="AY29" t="e">
        <f t="shared" si="22"/>
        <v>#DIV/0!</v>
      </c>
      <c r="AZ29" t="e">
        <f t="shared" si="23"/>
        <v>#DIV/0!</v>
      </c>
      <c r="BB29" s="129" t="e">
        <f t="shared" si="10"/>
        <v>#DIV/0!</v>
      </c>
      <c r="BC29" s="129" t="e">
        <f t="shared" si="24"/>
        <v>#DIV/0!</v>
      </c>
      <c r="BD29" s="129" t="e">
        <f t="shared" si="25"/>
        <v>#DIV/0!</v>
      </c>
      <c r="BF29" t="e">
        <f t="shared" si="26"/>
        <v>#DIV/0!</v>
      </c>
      <c r="BG29" t="e">
        <f t="shared" si="27"/>
        <v>#DIV/0!</v>
      </c>
      <c r="BH29" t="e">
        <f t="shared" si="27"/>
        <v>#DIV/0!</v>
      </c>
      <c r="BJ29" s="129" t="e">
        <f t="shared" si="32"/>
        <v>#DIV/0!</v>
      </c>
      <c r="BK29" s="129">
        <f t="shared" si="28"/>
        <v>1</v>
      </c>
      <c r="BL29" s="129">
        <f t="shared" si="11"/>
        <v>0.91292740619464163</v>
      </c>
      <c r="BN29" s="129" t="e">
        <f t="shared" si="33"/>
        <v>#DIV/0!</v>
      </c>
      <c r="BO29" s="129">
        <f t="shared" si="29"/>
        <v>1</v>
      </c>
      <c r="BP29" s="129">
        <f t="shared" si="12"/>
        <v>1.0562354499437476</v>
      </c>
    </row>
    <row r="30" spans="1:68" x14ac:dyDescent="0.2">
      <c r="A30" s="133" t="s">
        <v>664</v>
      </c>
      <c r="B30" s="133">
        <f t="shared" si="13"/>
        <v>1969</v>
      </c>
      <c r="D30" s="125">
        <f>'Passenger-based Energy Use'!E27</f>
        <v>42.976059999999997</v>
      </c>
      <c r="E30" s="125"/>
      <c r="F30" s="174"/>
      <c r="G30" s="125">
        <f t="shared" si="34"/>
        <v>42.976059999999997</v>
      </c>
      <c r="I30" s="4"/>
      <c r="J30" s="4"/>
      <c r="K30" s="172"/>
      <c r="L30" s="4"/>
      <c r="X30" s="131"/>
      <c r="Y30" s="131"/>
      <c r="Z30" s="131"/>
      <c r="AA30" s="131"/>
      <c r="AB30" s="131"/>
      <c r="AC30" s="131"/>
      <c r="AD30" s="131"/>
      <c r="AE30" s="131"/>
      <c r="AH30" s="134"/>
      <c r="AJ30" s="129">
        <f t="shared" si="14"/>
        <v>1</v>
      </c>
      <c r="AK30" s="129">
        <f t="shared" si="15"/>
        <v>0</v>
      </c>
      <c r="AL30" s="129">
        <f t="shared" si="16"/>
        <v>0</v>
      </c>
      <c r="AN30" t="e">
        <f t="shared" si="17"/>
        <v>#DIV/0!</v>
      </c>
      <c r="AO30" t="e">
        <f t="shared" si="18"/>
        <v>#DIV/0!</v>
      </c>
      <c r="AP30" t="e">
        <f t="shared" si="18"/>
        <v>#DIV/0!</v>
      </c>
      <c r="AQ30" t="e">
        <f t="shared" si="30"/>
        <v>#DIV/0!</v>
      </c>
      <c r="AS30" t="e">
        <f t="shared" si="19"/>
        <v>#DIV/0!</v>
      </c>
      <c r="AT30" t="e">
        <f t="shared" si="20"/>
        <v>#DIV/0!</v>
      </c>
      <c r="AU30" t="e">
        <f t="shared" si="31"/>
        <v>#DIV/0!</v>
      </c>
      <c r="AX30" t="e">
        <f t="shared" si="21"/>
        <v>#DIV/0!</v>
      </c>
      <c r="AY30" t="e">
        <f t="shared" si="22"/>
        <v>#DIV/0!</v>
      </c>
      <c r="AZ30" t="e">
        <f t="shared" si="23"/>
        <v>#DIV/0!</v>
      </c>
      <c r="BB30" s="129" t="e">
        <f t="shared" si="10"/>
        <v>#DIV/0!</v>
      </c>
      <c r="BC30" s="129" t="e">
        <f t="shared" si="24"/>
        <v>#DIV/0!</v>
      </c>
      <c r="BD30" s="129" t="e">
        <f t="shared" si="25"/>
        <v>#DIV/0!</v>
      </c>
      <c r="BF30" t="e">
        <f t="shared" si="26"/>
        <v>#DIV/0!</v>
      </c>
      <c r="BG30" t="e">
        <f t="shared" si="27"/>
        <v>#DIV/0!</v>
      </c>
      <c r="BH30" t="e">
        <f t="shared" si="27"/>
        <v>#DIV/0!</v>
      </c>
      <c r="BJ30" s="129" t="e">
        <f t="shared" si="32"/>
        <v>#DIV/0!</v>
      </c>
      <c r="BK30" s="129">
        <f t="shared" si="28"/>
        <v>1</v>
      </c>
      <c r="BL30" s="129">
        <f t="shared" si="11"/>
        <v>0.91292740619464163</v>
      </c>
      <c r="BN30" s="129" t="e">
        <f t="shared" si="33"/>
        <v>#DIV/0!</v>
      </c>
      <c r="BO30" s="129">
        <f t="shared" si="29"/>
        <v>1</v>
      </c>
      <c r="BP30" s="129">
        <f t="shared" si="12"/>
        <v>1.0562354499437476</v>
      </c>
    </row>
    <row r="31" spans="1:68" x14ac:dyDescent="0.2">
      <c r="A31" s="133" t="s">
        <v>664</v>
      </c>
      <c r="B31" s="133">
        <f t="shared" si="13"/>
        <v>1970</v>
      </c>
      <c r="D31" s="125">
        <f>'Passenger-based Energy Use'!E28</f>
        <v>42.182220000000001</v>
      </c>
      <c r="E31" s="125">
        <f>'Passenger-based Energy Use'!G28</f>
        <v>26.617190476190473</v>
      </c>
      <c r="F31" s="174">
        <f>'Passenger-based Energy Use'!H28</f>
        <v>41.182520399999994</v>
      </c>
      <c r="G31" s="125">
        <f t="shared" si="34"/>
        <v>109.98193087619046</v>
      </c>
      <c r="I31" s="4">
        <f>'Passenger-based Activity'!F29</f>
        <v>18210</v>
      </c>
      <c r="J31" s="4">
        <f>'Passenger-based Activity'!E29</f>
        <v>25300</v>
      </c>
      <c r="K31" s="4">
        <f>'Passenger-based Activity'!H29</f>
        <v>48300.000000000007</v>
      </c>
      <c r="L31" s="4">
        <f t="shared" ref="L31:L61" si="35">I31+J31+K31</f>
        <v>91810</v>
      </c>
      <c r="N31" s="125">
        <f>D31/I31*1000000</f>
        <v>2316.4316309719934</v>
      </c>
      <c r="O31" s="125">
        <f>E31/J31*1000000</f>
        <v>1052.0628646715602</v>
      </c>
      <c r="P31" s="125">
        <f>F31/K31*1000000</f>
        <v>852.64017391304321</v>
      </c>
      <c r="Q31" s="125">
        <f>G31/L31*1000000</f>
        <v>1197.9297557585282</v>
      </c>
      <c r="S31" s="129">
        <f t="shared" ref="S31:S62" si="36">N31/N$74</f>
        <v>0.67503413123947908</v>
      </c>
      <c r="T31" s="129">
        <f t="shared" ref="T31:T62" si="37">O31/O$74</f>
        <v>1.0704646665645108</v>
      </c>
      <c r="U31" s="129">
        <f t="shared" ref="U31:U62" si="38">P31/P$74</f>
        <v>1.1584189723320155</v>
      </c>
      <c r="V31" s="129">
        <f t="shared" ref="V31:V62" si="39">Q31/Q$74</f>
        <v>0.964266289647976</v>
      </c>
      <c r="X31" s="131">
        <f t="shared" ref="X31" si="40">L31/L$74</f>
        <v>0.73882428680642187</v>
      </c>
      <c r="Y31" s="131">
        <f t="shared" ref="Y31" si="41">V31</f>
        <v>0.964266289647976</v>
      </c>
      <c r="Z31" s="131">
        <f t="shared" ref="Z31" si="42">BP31</f>
        <v>1.0562354499437476</v>
      </c>
      <c r="AA31" s="131">
        <f t="shared" ref="AA31" si="43">BL31</f>
        <v>0.91292740619464163</v>
      </c>
      <c r="AB31" s="131">
        <f t="shared" ref="AB31" si="44">X31*Z31*AA31</f>
        <v>0.71242335374064025</v>
      </c>
      <c r="AC31" s="131">
        <f t="shared" ref="AC31" si="45">G31/G$74</f>
        <v>0.71242335374064036</v>
      </c>
      <c r="AD31" s="131"/>
      <c r="AE31" s="131">
        <f t="shared" ref="AE31" si="46">Z31*AA31</f>
        <v>0.96426628964797578</v>
      </c>
      <c r="AH31" s="134"/>
      <c r="AJ31" s="129">
        <f t="shared" si="14"/>
        <v>0.3835377290064641</v>
      </c>
      <c r="AK31" s="129">
        <f t="shared" si="15"/>
        <v>0.24201421328158115</v>
      </c>
      <c r="AL31" s="129">
        <f t="shared" si="16"/>
        <v>0.37444805771195483</v>
      </c>
      <c r="AN31">
        <f t="shared" si="17"/>
        <v>0.64327575259678926</v>
      </c>
      <c r="AO31" t="e">
        <f t="shared" si="18"/>
        <v>#DIV/0!</v>
      </c>
      <c r="AP31" t="e">
        <f t="shared" si="18"/>
        <v>#DIV/0!</v>
      </c>
      <c r="AQ31" t="e">
        <f t="shared" si="30"/>
        <v>#DIV/0!</v>
      </c>
      <c r="AS31" t="e">
        <f t="shared" si="19"/>
        <v>#DIV/0!</v>
      </c>
      <c r="AT31" t="e">
        <f t="shared" si="20"/>
        <v>#DIV/0!</v>
      </c>
      <c r="AU31" t="e">
        <f t="shared" si="31"/>
        <v>#DIV/0!</v>
      </c>
      <c r="AX31" t="e">
        <f t="shared" si="21"/>
        <v>#DIV/0!</v>
      </c>
      <c r="AY31" t="e">
        <f t="shared" si="22"/>
        <v>#DIV/0!</v>
      </c>
      <c r="AZ31" t="e">
        <f t="shared" si="23"/>
        <v>#DIV/0!</v>
      </c>
      <c r="BB31" s="129">
        <f t="shared" si="10"/>
        <v>0.19834440692734998</v>
      </c>
      <c r="BC31" s="129">
        <f t="shared" si="24"/>
        <v>0.27556911011872343</v>
      </c>
      <c r="BD31" s="129">
        <f t="shared" si="25"/>
        <v>0.52608648295392668</v>
      </c>
      <c r="BF31" t="e">
        <f t="shared" si="26"/>
        <v>#DIV/0!</v>
      </c>
      <c r="BG31" t="e">
        <f t="shared" si="27"/>
        <v>#DIV/0!</v>
      </c>
      <c r="BH31" t="e">
        <f t="shared" si="27"/>
        <v>#DIV/0!</v>
      </c>
      <c r="BI31" s="129" t="e">
        <f>#REF!</f>
        <v>#REF!</v>
      </c>
      <c r="BJ31" s="129" t="e">
        <f t="shared" si="32"/>
        <v>#DIV/0!</v>
      </c>
      <c r="BK31" s="129">
        <f t="shared" si="28"/>
        <v>1</v>
      </c>
      <c r="BL31" s="129">
        <f t="shared" si="11"/>
        <v>0.91292740619464163</v>
      </c>
      <c r="BN31" s="129" t="e">
        <f t="shared" si="33"/>
        <v>#DIV/0!</v>
      </c>
      <c r="BO31" s="129">
        <f t="shared" si="29"/>
        <v>1</v>
      </c>
      <c r="BP31" s="129">
        <f t="shared" si="12"/>
        <v>1.0562354499437476</v>
      </c>
    </row>
    <row r="32" spans="1:68" x14ac:dyDescent="0.2">
      <c r="A32" s="133" t="s">
        <v>664</v>
      </c>
      <c r="B32" s="133">
        <f t="shared" si="13"/>
        <v>1971</v>
      </c>
      <c r="D32" s="125">
        <f>'Passenger-based Energy Use'!E29</f>
        <v>39.29316</v>
      </c>
      <c r="E32" s="125">
        <f>'Passenger-based Energy Use'!G29</f>
        <v>27.108520325203251</v>
      </c>
      <c r="F32" s="174">
        <f>'Passenger-based Energy Use'!H29</f>
        <v>42.998589979581098</v>
      </c>
      <c r="G32" s="125">
        <f t="shared" si="34"/>
        <v>109.40027030478434</v>
      </c>
      <c r="I32" s="4">
        <f>'Passenger-based Activity'!F30</f>
        <v>16810</v>
      </c>
      <c r="J32" s="4">
        <f>'Passenger-based Activity'!E30</f>
        <v>25500</v>
      </c>
      <c r="K32" s="4">
        <f>'Passenger-based Activity'!H30</f>
        <v>50876</v>
      </c>
      <c r="L32" s="4">
        <f t="shared" si="35"/>
        <v>93186</v>
      </c>
      <c r="N32" s="125">
        <f t="shared" ref="N32:N71" si="47">D32/I32*1000000</f>
        <v>2337.4872099940512</v>
      </c>
      <c r="O32" s="125">
        <f t="shared" ref="O32:O71" si="48">E32/J32*1000000</f>
        <v>1063.0792284393431</v>
      </c>
      <c r="P32" s="125">
        <f t="shared" ref="P32:P71" si="49">F32/K32*1000000</f>
        <v>845.16451724941226</v>
      </c>
      <c r="Q32" s="125">
        <f t="shared" ref="Q32:Q71" si="50">G32/L32*1000000</f>
        <v>1173.9989945354919</v>
      </c>
      <c r="S32" s="129">
        <f t="shared" si="36"/>
        <v>0.68116996287934273</v>
      </c>
      <c r="T32" s="129">
        <f t="shared" si="37"/>
        <v>1.0816737193344843</v>
      </c>
      <c r="U32" s="129">
        <f t="shared" si="38"/>
        <v>1.1482623520193143</v>
      </c>
      <c r="V32" s="129">
        <f t="shared" si="39"/>
        <v>0.94500336857763534</v>
      </c>
      <c r="X32" s="131">
        <f t="shared" ref="X32:X72" si="51">L32/L$74</f>
        <v>0.74989739669255229</v>
      </c>
      <c r="Y32" s="131">
        <f t="shared" ref="Y32:Y71" si="52">V32</f>
        <v>0.94500336857763534</v>
      </c>
      <c r="Z32" s="131">
        <f t="shared" ref="Z32:Z71" si="53">BP32</f>
        <v>1.0325177922888631</v>
      </c>
      <c r="AA32" s="131">
        <f t="shared" ref="AA32:AA71" si="54">BL32</f>
        <v>0.91524172816700056</v>
      </c>
      <c r="AB32" s="131">
        <f t="shared" ref="AB32:AB71" si="55">X32*Z32*AA32</f>
        <v>0.70865556596206114</v>
      </c>
      <c r="AC32" s="131">
        <f t="shared" ref="AC32:AC72" si="56">G32/G$74</f>
        <v>0.70865556596206125</v>
      </c>
      <c r="AD32" s="131"/>
      <c r="AE32" s="131">
        <f t="shared" ref="AE32:AE71" si="57">Z32*AA32</f>
        <v>0.94500336857763523</v>
      </c>
      <c r="AH32" s="134"/>
      <c r="AJ32" s="129">
        <f t="shared" ref="AJ32:AJ71" si="58">D32/G32</f>
        <v>0.35916876521905278</v>
      </c>
      <c r="AK32" s="129">
        <f t="shared" ref="AK32:AK71" si="59">E32/G32</f>
        <v>0.24779207811534748</v>
      </c>
      <c r="AL32" s="129">
        <f t="shared" ref="AL32:AL71" si="60">F32/G32</f>
        <v>0.3930391566655998</v>
      </c>
      <c r="AN32" s="129">
        <f t="shared" si="17"/>
        <v>0.37121994704055206</v>
      </c>
      <c r="AO32" s="129">
        <f t="shared" si="18"/>
        <v>0.24489178577874332</v>
      </c>
      <c r="AP32" s="129">
        <f t="shared" si="18"/>
        <v>0.38366853904177772</v>
      </c>
      <c r="AQ32" s="129">
        <f t="shared" si="30"/>
        <v>0.9997802718610731</v>
      </c>
      <c r="AS32" s="129">
        <f t="shared" si="19"/>
        <v>0.37130153243525477</v>
      </c>
      <c r="AT32" s="129">
        <f t="shared" si="20"/>
        <v>0.24494560722115635</v>
      </c>
      <c r="AU32" s="129">
        <f t="shared" si="31"/>
        <v>0.38375286034358891</v>
      </c>
      <c r="AX32" s="129">
        <f t="shared" si="21"/>
        <v>9.0485990003700053E-3</v>
      </c>
      <c r="AY32" s="129">
        <f t="shared" si="22"/>
        <v>1.041675962851488E-2</v>
      </c>
      <c r="AZ32" s="129">
        <f t="shared" si="23"/>
        <v>-8.8063191422379106E-3</v>
      </c>
      <c r="BB32" s="129">
        <f t="shared" si="10"/>
        <v>0.18039190436331637</v>
      </c>
      <c r="BC32" s="129">
        <f t="shared" si="24"/>
        <v>0.27364625587534608</v>
      </c>
      <c r="BD32" s="129">
        <f t="shared" si="25"/>
        <v>0.5459618397613375</v>
      </c>
      <c r="BF32" s="129">
        <f t="shared" si="26"/>
        <v>-9.4873217979312863E-2</v>
      </c>
      <c r="BG32" s="129">
        <f t="shared" si="27"/>
        <v>-7.0022152294143486E-3</v>
      </c>
      <c r="BH32" s="129">
        <f t="shared" si="27"/>
        <v>3.7083467270390434E-2</v>
      </c>
      <c r="BI32" s="175" t="e">
        <f>#REF!</f>
        <v>#REF!</v>
      </c>
      <c r="BJ32" s="129">
        <f t="shared" si="32"/>
        <v>1.0025350558616766</v>
      </c>
      <c r="BK32" s="129">
        <f t="shared" si="28"/>
        <v>1.0025350558616766</v>
      </c>
      <c r="BL32" s="129">
        <f t="shared" si="11"/>
        <v>0.91524172816700056</v>
      </c>
      <c r="BM32" s="175">
        <f>BJ32*BK31</f>
        <v>1.0025350558616766</v>
      </c>
      <c r="BN32" s="129">
        <f t="shared" si="33"/>
        <v>0.97754510355039914</v>
      </c>
      <c r="BO32" s="129">
        <f t="shared" si="29"/>
        <v>0.97754510355039914</v>
      </c>
      <c r="BP32" s="129">
        <f t="shared" si="12"/>
        <v>1.0325177922888631</v>
      </c>
    </row>
    <row r="33" spans="1:68" x14ac:dyDescent="0.2">
      <c r="A33" s="133" t="s">
        <v>664</v>
      </c>
      <c r="B33" s="133">
        <f t="shared" si="13"/>
        <v>1972</v>
      </c>
      <c r="D33" s="125">
        <f>'Passenger-based Energy Use'!E30</f>
        <v>37.575775</v>
      </c>
      <c r="E33" s="125">
        <f>'Passenger-based Energy Use'!G30</f>
        <v>27.323899999999998</v>
      </c>
      <c r="F33" s="174">
        <f>'Passenger-based Energy Use'!H30</f>
        <v>45.457535132332204</v>
      </c>
      <c r="G33" s="125">
        <f t="shared" si="34"/>
        <v>110.3572101323322</v>
      </c>
      <c r="I33" s="4">
        <f>'Passenger-based Activity'!F31</f>
        <v>16180</v>
      </c>
      <c r="J33" s="4">
        <f>'Passenger-based Activity'!E31</f>
        <v>25600</v>
      </c>
      <c r="K33" s="4">
        <f>'Passenger-based Activity'!H31</f>
        <v>54257</v>
      </c>
      <c r="L33" s="4">
        <f t="shared" si="35"/>
        <v>96037</v>
      </c>
      <c r="N33" s="125">
        <f t="shared" si="47"/>
        <v>2322.3593943139676</v>
      </c>
      <c r="O33" s="125">
        <f t="shared" si="48"/>
        <v>1067.33984375</v>
      </c>
      <c r="P33" s="125">
        <f t="shared" si="49"/>
        <v>837.81880922889582</v>
      </c>
      <c r="Q33" s="125">
        <f t="shared" si="50"/>
        <v>1149.1113855319534</v>
      </c>
      <c r="S33" s="129">
        <f t="shared" si="36"/>
        <v>0.67676154789371623</v>
      </c>
      <c r="T33" s="129">
        <f t="shared" si="37"/>
        <v>1.0860088577573255</v>
      </c>
      <c r="U33" s="129">
        <f t="shared" si="38"/>
        <v>1.1382822832909956</v>
      </c>
      <c r="V33" s="129">
        <f t="shared" si="39"/>
        <v>0.92497023869110384</v>
      </c>
      <c r="X33" s="131">
        <f t="shared" si="51"/>
        <v>0.77284030096970191</v>
      </c>
      <c r="Y33" s="131">
        <f t="shared" si="52"/>
        <v>0.92497023869110384</v>
      </c>
      <c r="Z33" s="131">
        <f t="shared" si="53"/>
        <v>1.0154856646294241</v>
      </c>
      <c r="AA33" s="131">
        <f t="shared" si="54"/>
        <v>0.91086489047449815</v>
      </c>
      <c r="AB33" s="131">
        <f t="shared" si="55"/>
        <v>0.71485427765804932</v>
      </c>
      <c r="AC33" s="131">
        <f t="shared" si="56"/>
        <v>0.71485427765804965</v>
      </c>
      <c r="AD33" s="131"/>
      <c r="AE33" s="131">
        <f t="shared" si="57"/>
        <v>0.9249702386911034</v>
      </c>
      <c r="AH33" s="134"/>
      <c r="AJ33" s="129">
        <f t="shared" si="58"/>
        <v>0.34049225197829769</v>
      </c>
      <c r="AK33" s="129">
        <f t="shared" si="59"/>
        <v>0.24759505941872942</v>
      </c>
      <c r="AL33" s="129">
        <f t="shared" si="60"/>
        <v>0.41191268860297292</v>
      </c>
      <c r="AN33" s="129">
        <f t="shared" ref="AN33:AN71" si="61">(AJ33-AJ32)/LN(AJ33/AJ32)</f>
        <v>0.34974740205562516</v>
      </c>
      <c r="AO33" s="129">
        <f t="shared" ref="AO33:AO71" si="62">(AK33-AK32)/LN(AK33/AK32)</f>
        <v>0.24769355570776136</v>
      </c>
      <c r="AP33" s="129">
        <f t="shared" ref="AP33:AP71" si="63">(AL33-AL32)/LN(AL33/AL32)</f>
        <v>0.40240215788146133</v>
      </c>
      <c r="AQ33" s="129">
        <f t="shared" ref="AQ33:AQ71" si="64">AN33+AO33+AP33</f>
        <v>0.99984311564484796</v>
      </c>
      <c r="AS33" s="129">
        <f t="shared" ref="AS33:AS71" si="65">AN33/AQ33</f>
        <v>0.34980228056084167</v>
      </c>
      <c r="AT33" s="129">
        <f t="shared" ref="AT33:AT71" si="66">AO33/AQ33</f>
        <v>0.24773242104888787</v>
      </c>
      <c r="AU33" s="129">
        <f t="shared" ref="AU33:AU71" si="67">AP33/AQ33</f>
        <v>0.40246529839027034</v>
      </c>
      <c r="AX33" s="129">
        <f t="shared" ref="AX33:AX71" si="68">LN(S33/S32)</f>
        <v>-6.4928612936100208E-3</v>
      </c>
      <c r="AY33" s="129">
        <f t="shared" ref="AY33:AY71" si="69">LN(T33/T32)</f>
        <v>3.9997961401258761E-3</v>
      </c>
      <c r="AZ33" s="129">
        <f t="shared" ref="AZ33:AZ71" si="70">LN(U33/U32)</f>
        <v>-8.7294443766507898E-3</v>
      </c>
      <c r="BB33" s="129">
        <f t="shared" si="10"/>
        <v>0.1684767329258515</v>
      </c>
      <c r="BC33" s="129">
        <f t="shared" si="24"/>
        <v>0.26656392848589605</v>
      </c>
      <c r="BD33" s="129">
        <f t="shared" si="25"/>
        <v>0.56495933858825242</v>
      </c>
      <c r="BF33" s="129">
        <f t="shared" ref="BF33:BF71" si="71">LN(BB33/BB32)</f>
        <v>-6.833407385482751E-2</v>
      </c>
      <c r="BG33" s="129">
        <f t="shared" ref="BG33:BG71" si="72">LN(BC33/BC32)</f>
        <v>-2.6222138743512664E-2</v>
      </c>
      <c r="BH33" s="129">
        <f t="shared" ref="BH33:BH71" si="73">LN(BD33/BD32)</f>
        <v>3.4204678700800746E-2</v>
      </c>
      <c r="BI33" s="175" t="e">
        <f>#REF!</f>
        <v>#REF!</v>
      </c>
      <c r="BJ33" s="129">
        <f t="shared" si="32"/>
        <v>0.9952178341985477</v>
      </c>
      <c r="BK33" s="129">
        <f t="shared" si="28"/>
        <v>0.99774076700277781</v>
      </c>
      <c r="BL33" s="129">
        <f t="shared" si="11"/>
        <v>0.91086489047449815</v>
      </c>
      <c r="BM33" s="175">
        <f t="shared" ref="BM33:BM46" si="74">BJ33*BK32</f>
        <v>0.99774076700277781</v>
      </c>
      <c r="BN33" s="129">
        <f t="shared" si="33"/>
        <v>0.98350427683993458</v>
      </c>
      <c r="BO33" s="129">
        <f t="shared" si="29"/>
        <v>0.96141979014575429</v>
      </c>
      <c r="BP33" s="129">
        <f t="shared" si="12"/>
        <v>1.0154856646294241</v>
      </c>
    </row>
    <row r="34" spans="1:68" x14ac:dyDescent="0.2">
      <c r="A34" s="133" t="s">
        <v>664</v>
      </c>
      <c r="B34" s="133">
        <f t="shared" si="13"/>
        <v>1973</v>
      </c>
      <c r="D34" s="125">
        <f>'Passenger-based Energy Use'!E31</f>
        <v>40.736893999999999</v>
      </c>
      <c r="E34" s="125">
        <f>'Passenger-based Energy Use'!G31</f>
        <v>27.231433333333335</v>
      </c>
      <c r="F34" s="174">
        <f>'Passenger-based Energy Use'!H31</f>
        <v>46.078348442355193</v>
      </c>
      <c r="G34" s="125">
        <f t="shared" si="34"/>
        <v>114.04667577568853</v>
      </c>
      <c r="I34" s="4">
        <f>'Passenger-based Activity'!F32</f>
        <v>16170</v>
      </c>
      <c r="J34" s="4">
        <f>'Passenger-based Activity'!E32</f>
        <v>26400</v>
      </c>
      <c r="K34" s="4">
        <f>'Passenger-based Activity'!H32</f>
        <v>55476</v>
      </c>
      <c r="L34" s="4">
        <f t="shared" si="35"/>
        <v>98046</v>
      </c>
      <c r="N34" s="125">
        <f t="shared" si="47"/>
        <v>2519.2884353741497</v>
      </c>
      <c r="O34" s="125">
        <f t="shared" si="48"/>
        <v>1031.4936868686871</v>
      </c>
      <c r="P34" s="125">
        <f t="shared" si="49"/>
        <v>830.59969071950388</v>
      </c>
      <c r="Q34" s="125">
        <f t="shared" si="50"/>
        <v>1163.1955997765185</v>
      </c>
      <c r="S34" s="129">
        <f t="shared" si="36"/>
        <v>0.7341488769089497</v>
      </c>
      <c r="T34" s="129">
        <f t="shared" si="37"/>
        <v>1.0495357099425768</v>
      </c>
      <c r="U34" s="129">
        <f t="shared" si="38"/>
        <v>1.1284742023435388</v>
      </c>
      <c r="V34" s="129">
        <f t="shared" si="39"/>
        <v>0.93630724150527511</v>
      </c>
      <c r="X34" s="131">
        <f t="shared" si="51"/>
        <v>0.7890073632961816</v>
      </c>
      <c r="Y34" s="131">
        <f t="shared" si="52"/>
        <v>0.93630724150527511</v>
      </c>
      <c r="Z34" s="131">
        <f t="shared" si="53"/>
        <v>1.0110571559226045</v>
      </c>
      <c r="AA34" s="131">
        <f t="shared" si="54"/>
        <v>0.92606756801091117</v>
      </c>
      <c r="AB34" s="131">
        <f t="shared" si="55"/>
        <v>0.7387533078551981</v>
      </c>
      <c r="AC34" s="131">
        <f t="shared" si="56"/>
        <v>0.73875330785519833</v>
      </c>
      <c r="AD34" s="131"/>
      <c r="AE34" s="131">
        <f t="shared" si="57"/>
        <v>0.93630724150527489</v>
      </c>
      <c r="AH34" s="134"/>
      <c r="AJ34" s="129">
        <f t="shared" si="58"/>
        <v>0.35719492675194603</v>
      </c>
      <c r="AK34" s="129">
        <f t="shared" si="59"/>
        <v>0.23877445921258753</v>
      </c>
      <c r="AL34" s="129">
        <f t="shared" si="60"/>
        <v>0.40403061403546647</v>
      </c>
      <c r="AN34" s="129">
        <f t="shared" si="61"/>
        <v>0.34877693532986348</v>
      </c>
      <c r="AO34" s="129">
        <f t="shared" si="62"/>
        <v>0.24315809583928649</v>
      </c>
      <c r="AP34" s="129">
        <f t="shared" si="63"/>
        <v>0.40795896076311333</v>
      </c>
      <c r="AQ34" s="129">
        <f t="shared" si="64"/>
        <v>0.99989399193226336</v>
      </c>
      <c r="AS34" s="129">
        <f t="shared" si="65"/>
        <v>0.34881391241871862</v>
      </c>
      <c r="AT34" s="129">
        <f t="shared" si="66"/>
        <v>0.24318387529201091</v>
      </c>
      <c r="AU34" s="129">
        <f t="shared" si="67"/>
        <v>0.40800221228927042</v>
      </c>
      <c r="AX34" s="129">
        <f t="shared" si="68"/>
        <v>8.1392845523442073E-2</v>
      </c>
      <c r="AY34" s="129">
        <f t="shared" si="69"/>
        <v>-3.4161492421264927E-2</v>
      </c>
      <c r="AZ34" s="129">
        <f t="shared" si="70"/>
        <v>-8.6539001609812968E-3</v>
      </c>
      <c r="BB34" s="129">
        <f t="shared" si="10"/>
        <v>0.16492258735695489</v>
      </c>
      <c r="BC34" s="129">
        <f t="shared" si="24"/>
        <v>0.26926136711339577</v>
      </c>
      <c r="BD34" s="129">
        <f t="shared" si="25"/>
        <v>0.56581604552964937</v>
      </c>
      <c r="BF34" s="129">
        <f t="shared" si="71"/>
        <v>-2.1321460458454376E-2</v>
      </c>
      <c r="BG34" s="129">
        <f t="shared" si="72"/>
        <v>1.0068436249629539E-2</v>
      </c>
      <c r="BH34" s="129">
        <f t="shared" si="73"/>
        <v>1.5152560222769663E-3</v>
      </c>
      <c r="BI34" s="175" t="e">
        <f>#REF!</f>
        <v>#REF!</v>
      </c>
      <c r="BJ34" s="129">
        <f t="shared" si="32"/>
        <v>1.0166903760320516</v>
      </c>
      <c r="BK34" s="129">
        <f t="shared" si="28"/>
        <v>1.0143934355865618</v>
      </c>
      <c r="BL34" s="129">
        <f t="shared" si="11"/>
        <v>0.92606756801091117</v>
      </c>
      <c r="BM34" s="175">
        <f t="shared" si="74"/>
        <v>1.0143934355865618</v>
      </c>
      <c r="BN34" s="129">
        <f t="shared" si="33"/>
        <v>0.99563902390642245</v>
      </c>
      <c r="BO34" s="129">
        <f t="shared" si="29"/>
        <v>0.95722706142503633</v>
      </c>
      <c r="BP34" s="129">
        <f t="shared" si="12"/>
        <v>1.0110571559226045</v>
      </c>
    </row>
    <row r="35" spans="1:68" x14ac:dyDescent="0.2">
      <c r="A35" s="133" t="s">
        <v>664</v>
      </c>
      <c r="B35" s="133">
        <f t="shared" si="13"/>
        <v>1974</v>
      </c>
      <c r="D35" s="125">
        <f>'Passenger-based Energy Use'!E32</f>
        <v>44.816631999999998</v>
      </c>
      <c r="E35" s="125">
        <f>'Passenger-based Energy Use'!G32</f>
        <v>26.317856418918918</v>
      </c>
      <c r="F35" s="174">
        <f>'Passenger-based Energy Use'!H32</f>
        <v>46.404445744186042</v>
      </c>
      <c r="G35" s="125">
        <f t="shared" si="34"/>
        <v>117.53893416310495</v>
      </c>
      <c r="I35" s="4">
        <f>'Passenger-based Activity'!F33</f>
        <v>17910</v>
      </c>
      <c r="J35" s="4">
        <f>'Passenger-based Activity'!E33</f>
        <v>27700</v>
      </c>
      <c r="K35" s="4">
        <f>'Passenger-based Activity'!H33</f>
        <v>56350</v>
      </c>
      <c r="L35" s="4">
        <f t="shared" si="35"/>
        <v>101960</v>
      </c>
      <c r="N35" s="125">
        <f t="shared" si="47"/>
        <v>2502.3245114461197</v>
      </c>
      <c r="O35" s="125">
        <f t="shared" si="48"/>
        <v>950.10311981656741</v>
      </c>
      <c r="P35" s="125">
        <f t="shared" si="49"/>
        <v>823.5039173768597</v>
      </c>
      <c r="Q35" s="125">
        <f t="shared" si="50"/>
        <v>1152.794568096361</v>
      </c>
      <c r="S35" s="129">
        <f t="shared" si="36"/>
        <v>0.72920539940758033</v>
      </c>
      <c r="T35" s="129">
        <f t="shared" si="37"/>
        <v>0.96672152730517014</v>
      </c>
      <c r="U35" s="129">
        <f t="shared" si="38"/>
        <v>1.1188337013268401</v>
      </c>
      <c r="V35" s="129">
        <f t="shared" si="39"/>
        <v>0.92793499415226899</v>
      </c>
      <c r="X35" s="131">
        <f t="shared" si="51"/>
        <v>0.82050456685309625</v>
      </c>
      <c r="Y35" s="131">
        <f t="shared" si="52"/>
        <v>0.92793499415226899</v>
      </c>
      <c r="Z35" s="131">
        <f t="shared" si="53"/>
        <v>1.0273151345411962</v>
      </c>
      <c r="AA35" s="131">
        <f t="shared" si="54"/>
        <v>0.90326226388817776</v>
      </c>
      <c r="AB35" s="131">
        <f t="shared" si="55"/>
        <v>0.76137490044473766</v>
      </c>
      <c r="AC35" s="131">
        <f t="shared" si="56"/>
        <v>0.76137490044473799</v>
      </c>
      <c r="AD35" s="131"/>
      <c r="AE35" s="131">
        <f t="shared" si="57"/>
        <v>0.92793499415226877</v>
      </c>
      <c r="AH35" s="134"/>
      <c r="AJ35" s="129">
        <f t="shared" si="58"/>
        <v>0.3812918018961225</v>
      </c>
      <c r="AK35" s="129">
        <f t="shared" si="59"/>
        <v>0.22390756396002778</v>
      </c>
      <c r="AL35" s="129">
        <f t="shared" si="60"/>
        <v>0.39480063414384975</v>
      </c>
      <c r="AN35" s="129">
        <f t="shared" si="61"/>
        <v>0.36911227996703083</v>
      </c>
      <c r="AO35" s="129">
        <f t="shared" si="62"/>
        <v>0.23126137249305109</v>
      </c>
      <c r="AP35" s="129">
        <f t="shared" si="63"/>
        <v>0.39939784904598657</v>
      </c>
      <c r="AQ35" s="129">
        <f t="shared" si="64"/>
        <v>0.99977150150606842</v>
      </c>
      <c r="AS35" s="129">
        <f t="shared" si="65"/>
        <v>0.36919664084342818</v>
      </c>
      <c r="AT35" s="129">
        <f t="shared" si="66"/>
        <v>0.23131422744564736</v>
      </c>
      <c r="AU35" s="129">
        <f t="shared" si="67"/>
        <v>0.39948913171092454</v>
      </c>
      <c r="AX35" s="129">
        <f t="shared" si="68"/>
        <v>-6.7563902831794384E-3</v>
      </c>
      <c r="AY35" s="129">
        <f t="shared" si="69"/>
        <v>-8.2192686272890475E-2</v>
      </c>
      <c r="AZ35" s="129">
        <f t="shared" si="70"/>
        <v>-8.5796522476234167E-3</v>
      </c>
      <c r="BB35" s="129">
        <f t="shared" si="10"/>
        <v>0.175657120439388</v>
      </c>
      <c r="BC35" s="129">
        <f t="shared" si="24"/>
        <v>0.27167516673205178</v>
      </c>
      <c r="BD35" s="129">
        <f t="shared" si="25"/>
        <v>0.5526677128285602</v>
      </c>
      <c r="BF35" s="129">
        <f t="shared" si="71"/>
        <v>6.3057719273392418E-2</v>
      </c>
      <c r="BG35" s="129">
        <f t="shared" si="72"/>
        <v>8.9245798308097059E-3</v>
      </c>
      <c r="BH35" s="129">
        <f t="shared" si="73"/>
        <v>-2.3512077518516073E-2</v>
      </c>
      <c r="BI35" s="175" t="e">
        <f>#REF!</f>
        <v>#REF!</v>
      </c>
      <c r="BJ35" s="129">
        <f t="shared" si="32"/>
        <v>0.97537403866575678</v>
      </c>
      <c r="BK35" s="129">
        <f t="shared" si="28"/>
        <v>0.98941302206409698</v>
      </c>
      <c r="BL35" s="129">
        <f t="shared" si="11"/>
        <v>0.90326226388817776</v>
      </c>
      <c r="BM35" s="175">
        <f t="shared" si="74"/>
        <v>0.98941302206409698</v>
      </c>
      <c r="BN35" s="129">
        <f t="shared" si="33"/>
        <v>1.0160801775877408</v>
      </c>
      <c r="BO35" s="129">
        <f t="shared" ref="BO35:BO71" si="75">IF(ISERR(BN35),BO34,BN35*BO34)</f>
        <v>0.97261944256454225</v>
      </c>
      <c r="BP35" s="129">
        <f t="shared" si="12"/>
        <v>1.0273151345411962</v>
      </c>
    </row>
    <row r="36" spans="1:68" x14ac:dyDescent="0.2">
      <c r="A36" s="133" t="s">
        <v>664</v>
      </c>
      <c r="B36" s="133">
        <f t="shared" si="13"/>
        <v>1975</v>
      </c>
      <c r="D36" s="125">
        <f>'Passenger-based Energy Use'!E33</f>
        <v>51.258822000000002</v>
      </c>
      <c r="E36" s="125">
        <f>'Passenger-based Energy Use'!G33</f>
        <v>24.798247972972973</v>
      </c>
      <c r="F36" s="174">
        <f>'Passenger-based Energy Use'!H33</f>
        <v>46.950380399999993</v>
      </c>
      <c r="G36" s="125">
        <f t="shared" si="34"/>
        <v>123.00745037297298</v>
      </c>
      <c r="I36" s="4">
        <f>'Passenger-based Activity'!F34</f>
        <v>18300</v>
      </c>
      <c r="J36" s="4">
        <f>'Passenger-based Activity'!E34</f>
        <v>25400</v>
      </c>
      <c r="K36" s="4">
        <f>'Passenger-based Activity'!H34</f>
        <v>57500</v>
      </c>
      <c r="L36" s="4">
        <f t="shared" si="35"/>
        <v>101200</v>
      </c>
      <c r="N36" s="125">
        <f t="shared" si="47"/>
        <v>2801.0285245901641</v>
      </c>
      <c r="O36" s="125">
        <f t="shared" si="48"/>
        <v>976.30897531389655</v>
      </c>
      <c r="P36" s="125">
        <f t="shared" si="49"/>
        <v>816.52835478260852</v>
      </c>
      <c r="Q36" s="125">
        <f t="shared" si="50"/>
        <v>1215.4886400491403</v>
      </c>
      <c r="S36" s="129">
        <f t="shared" si="36"/>
        <v>0.8162510956044623</v>
      </c>
      <c r="T36" s="129">
        <f t="shared" si="37"/>
        <v>0.99338575366368131</v>
      </c>
      <c r="U36" s="129">
        <f t="shared" si="38"/>
        <v>1.1093565217391301</v>
      </c>
      <c r="V36" s="129">
        <f t="shared" si="39"/>
        <v>0.9784002070366008</v>
      </c>
      <c r="X36" s="131">
        <f t="shared" si="51"/>
        <v>0.81438860499738475</v>
      </c>
      <c r="Y36" s="131">
        <f t="shared" si="52"/>
        <v>0.9784002070366008</v>
      </c>
      <c r="Z36" s="131">
        <f t="shared" si="53"/>
        <v>1.0329685521332059</v>
      </c>
      <c r="AA36" s="131">
        <f t="shared" si="54"/>
        <v>0.94717327552332997</v>
      </c>
      <c r="AB36" s="131">
        <f t="shared" si="55"/>
        <v>0.79679797973768929</v>
      </c>
      <c r="AC36" s="131">
        <f t="shared" si="56"/>
        <v>0.79679797973768973</v>
      </c>
      <c r="AD36" s="131"/>
      <c r="AE36" s="131">
        <f t="shared" si="57"/>
        <v>0.97840020703660036</v>
      </c>
      <c r="AH36" s="134"/>
      <c r="AJ36" s="129">
        <f t="shared" si="58"/>
        <v>0.41671314903753598</v>
      </c>
      <c r="AK36" s="129">
        <f t="shared" si="59"/>
        <v>0.20159956082157449</v>
      </c>
      <c r="AL36" s="129">
        <f t="shared" si="60"/>
        <v>0.38168729014088942</v>
      </c>
      <c r="AN36" s="129">
        <f t="shared" si="61"/>
        <v>0.39874029419547491</v>
      </c>
      <c r="AO36" s="129">
        <f t="shared" si="62"/>
        <v>0.21255849621633061</v>
      </c>
      <c r="AP36" s="129">
        <f t="shared" si="63"/>
        <v>0.38820704959767754</v>
      </c>
      <c r="AQ36" s="129">
        <f t="shared" si="64"/>
        <v>0.99950584000948295</v>
      </c>
      <c r="AS36" s="129">
        <f t="shared" si="65"/>
        <v>0.39893743311363922</v>
      </c>
      <c r="AT36" s="129">
        <f t="shared" si="66"/>
        <v>0.21266358605199739</v>
      </c>
      <c r="AU36" s="129">
        <f t="shared" si="67"/>
        <v>0.38839898083436347</v>
      </c>
      <c r="AX36" s="129">
        <f t="shared" si="68"/>
        <v>0.11276657549061692</v>
      </c>
      <c r="AY36" s="129">
        <f t="shared" si="69"/>
        <v>2.7208583502826532E-2</v>
      </c>
      <c r="AZ36" s="129">
        <f t="shared" si="70"/>
        <v>-8.5066675543283947E-3</v>
      </c>
      <c r="BB36" s="129">
        <f t="shared" si="10"/>
        <v>0.18083003952569171</v>
      </c>
      <c r="BC36" s="129">
        <f t="shared" si="24"/>
        <v>0.25098814229249011</v>
      </c>
      <c r="BD36" s="129">
        <f t="shared" si="25"/>
        <v>0.56818181818181823</v>
      </c>
      <c r="BF36" s="129">
        <f t="shared" si="71"/>
        <v>2.9023666429304394E-2</v>
      </c>
      <c r="BG36" s="129">
        <f t="shared" si="72"/>
        <v>-7.9201416514252346E-2</v>
      </c>
      <c r="BH36" s="129">
        <f t="shared" si="73"/>
        <v>2.7684529972069036E-2</v>
      </c>
      <c r="BI36" s="175" t="e">
        <f>#REF!</f>
        <v>#REF!</v>
      </c>
      <c r="BJ36" s="129">
        <f t="shared" si="32"/>
        <v>1.0486138006542343</v>
      </c>
      <c r="BK36" s="129">
        <f t="shared" si="28"/>
        <v>1.0375121494834245</v>
      </c>
      <c r="BL36" s="129">
        <f t="shared" si="11"/>
        <v>0.94717327552332997</v>
      </c>
      <c r="BM36" s="175">
        <f t="shared" si="74"/>
        <v>1.0375121494834245</v>
      </c>
      <c r="BN36" s="129">
        <f t="shared" si="33"/>
        <v>1.0055030996837544</v>
      </c>
      <c r="BO36" s="129">
        <f t="shared" si="75"/>
        <v>0.97797186431133254</v>
      </c>
      <c r="BP36" s="129">
        <f t="shared" si="12"/>
        <v>1.0329685521332059</v>
      </c>
    </row>
    <row r="37" spans="1:68" x14ac:dyDescent="0.2">
      <c r="A37" s="133" t="s">
        <v>664</v>
      </c>
      <c r="B37" s="133">
        <f t="shared" si="13"/>
        <v>1976</v>
      </c>
      <c r="D37" s="125">
        <f>'Passenger-based Energy Use'!E34</f>
        <v>54.6302369</v>
      </c>
      <c r="E37" s="125">
        <f>'Passenger-based Energy Use'!G34</f>
        <v>25.045120962199309</v>
      </c>
      <c r="F37" s="174">
        <f>'Passenger-based Energy Use'!H34</f>
        <v>48.431966053153033</v>
      </c>
      <c r="G37" s="125">
        <f t="shared" si="34"/>
        <v>128.10732391535234</v>
      </c>
      <c r="I37" s="4">
        <f>'Passenger-based Activity'!F35</f>
        <v>18890</v>
      </c>
      <c r="J37" s="4">
        <f>'Passenger-based Activity'!E35</f>
        <v>25100</v>
      </c>
      <c r="K37" s="4">
        <f>'Passenger-based Activity'!H35</f>
        <v>60269.824604853537</v>
      </c>
      <c r="L37" s="4">
        <f t="shared" si="35"/>
        <v>104259.82460485354</v>
      </c>
      <c r="N37" s="125">
        <f t="shared" si="47"/>
        <v>2892.0188935944943</v>
      </c>
      <c r="O37" s="125">
        <f t="shared" si="48"/>
        <v>997.81358415136697</v>
      </c>
      <c r="P37" s="125">
        <f t="shared" si="49"/>
        <v>803.58564788743058</v>
      </c>
      <c r="Q37" s="125">
        <f t="shared" si="50"/>
        <v>1228.7314351513751</v>
      </c>
      <c r="S37" s="129">
        <f t="shared" si="36"/>
        <v>0.84276670861490321</v>
      </c>
      <c r="T37" s="129">
        <f t="shared" si="37"/>
        <v>1.0152665030958834</v>
      </c>
      <c r="U37" s="129">
        <f t="shared" si="38"/>
        <v>1.0917722257143505</v>
      </c>
      <c r="V37" s="129">
        <f t="shared" si="39"/>
        <v>0.9890599146166289</v>
      </c>
      <c r="X37" s="131">
        <f t="shared" si="51"/>
        <v>0.83901198732429527</v>
      </c>
      <c r="Y37" s="131">
        <f t="shared" si="52"/>
        <v>0.9890599146166289</v>
      </c>
      <c r="Z37" s="131">
        <f t="shared" si="53"/>
        <v>1.0320425909548456</v>
      </c>
      <c r="AA37" s="131">
        <f t="shared" si="54"/>
        <v>0.9583518386596338</v>
      </c>
      <c r="AB37" s="131">
        <f t="shared" si="55"/>
        <v>0.82983312454529534</v>
      </c>
      <c r="AC37" s="131">
        <f t="shared" si="56"/>
        <v>0.82983312454529568</v>
      </c>
      <c r="AD37" s="131"/>
      <c r="AE37" s="131">
        <f t="shared" si="57"/>
        <v>0.98905991461662868</v>
      </c>
      <c r="AH37" s="134"/>
      <c r="AJ37" s="129">
        <f t="shared" si="58"/>
        <v>0.42644116846978436</v>
      </c>
      <c r="AK37" s="129">
        <f t="shared" si="59"/>
        <v>0.19550108609518702</v>
      </c>
      <c r="AL37" s="129">
        <f t="shared" si="60"/>
        <v>0.37805774543502868</v>
      </c>
      <c r="AN37" s="129">
        <f t="shared" si="61"/>
        <v>0.42155845167563477</v>
      </c>
      <c r="AO37" s="129">
        <f t="shared" si="62"/>
        <v>0.19853471291829636</v>
      </c>
      <c r="AP37" s="129">
        <f t="shared" si="63"/>
        <v>0.37986962785463957</v>
      </c>
      <c r="AQ37" s="129">
        <f t="shared" si="64"/>
        <v>0.99996279244857078</v>
      </c>
      <c r="AS37" s="129">
        <f t="shared" si="65"/>
        <v>0.42157413741703392</v>
      </c>
      <c r="AT37" s="129">
        <f t="shared" si="66"/>
        <v>0.1985421001836998</v>
      </c>
      <c r="AU37" s="129">
        <f t="shared" si="67"/>
        <v>0.37988376239926619</v>
      </c>
      <c r="AX37" s="129">
        <f t="shared" si="68"/>
        <v>3.196815738727618E-2</v>
      </c>
      <c r="AY37" s="129">
        <f t="shared" si="69"/>
        <v>2.1787360054729404E-2</v>
      </c>
      <c r="AZ37" s="129">
        <f t="shared" si="70"/>
        <v>-1.5977866027150064E-2</v>
      </c>
      <c r="BB37" s="129">
        <f t="shared" si="10"/>
        <v>0.18118196603143552</v>
      </c>
      <c r="BC37" s="129">
        <f t="shared" si="24"/>
        <v>0.24074469811482435</v>
      </c>
      <c r="BD37" s="129">
        <f t="shared" si="25"/>
        <v>0.5780733358537401</v>
      </c>
      <c r="BF37" s="129">
        <f t="shared" si="71"/>
        <v>1.9442814669409236E-3</v>
      </c>
      <c r="BG37" s="129">
        <f t="shared" si="72"/>
        <v>-4.1668668085854531E-2</v>
      </c>
      <c r="BH37" s="129">
        <f t="shared" si="73"/>
        <v>1.7259269331575677E-2</v>
      </c>
      <c r="BI37" s="175" t="e">
        <f>#REF!</f>
        <v>#REF!</v>
      </c>
      <c r="BJ37" s="129">
        <f t="shared" si="32"/>
        <v>1.0118020254848592</v>
      </c>
      <c r="BK37" s="129">
        <f t="shared" si="28"/>
        <v>1.0497568943124789</v>
      </c>
      <c r="BL37" s="129">
        <f t="shared" si="11"/>
        <v>0.9583518386596338</v>
      </c>
      <c r="BM37" s="175">
        <f t="shared" si="74"/>
        <v>1.0497568943124789</v>
      </c>
      <c r="BN37" s="129">
        <f t="shared" si="33"/>
        <v>0.99910359209247157</v>
      </c>
      <c r="BO37" s="129">
        <f t="shared" si="75"/>
        <v>0.97709520259882354</v>
      </c>
      <c r="BP37" s="129">
        <f t="shared" si="12"/>
        <v>1.0320425909548456</v>
      </c>
    </row>
    <row r="38" spans="1:68" x14ac:dyDescent="0.2">
      <c r="A38" s="133" t="s">
        <v>664</v>
      </c>
      <c r="B38" s="133">
        <f t="shared" si="13"/>
        <v>1977</v>
      </c>
      <c r="D38" s="125">
        <f>'Passenger-based Energy Use'!E35</f>
        <v>56.886685399999998</v>
      </c>
      <c r="E38" s="125">
        <f>'Passenger-based Energy Use'!G35</f>
        <v>25.03075888501742</v>
      </c>
      <c r="F38" s="174">
        <f>'Passenger-based Energy Use'!H35</f>
        <v>49.740914536857431</v>
      </c>
      <c r="G38" s="125">
        <f t="shared" si="34"/>
        <v>131.65835882187486</v>
      </c>
      <c r="I38" s="4">
        <f>'Passenger-based Activity'!F36</f>
        <v>19730</v>
      </c>
      <c r="J38" s="4">
        <f>'Passenger-based Activity'!E36</f>
        <v>26000</v>
      </c>
      <c r="K38" s="4">
        <f>'Passenger-based Activity'!H36</f>
        <v>62879.859521512801</v>
      </c>
      <c r="L38" s="4">
        <f t="shared" si="35"/>
        <v>108609.8595215128</v>
      </c>
      <c r="N38" s="125">
        <f t="shared" si="47"/>
        <v>2883.2582564622398</v>
      </c>
      <c r="O38" s="125">
        <f t="shared" si="48"/>
        <v>962.72149557759315</v>
      </c>
      <c r="P38" s="125">
        <f t="shared" si="49"/>
        <v>791.04684576847376</v>
      </c>
      <c r="Q38" s="125">
        <f t="shared" si="50"/>
        <v>1212.2136922182165</v>
      </c>
      <c r="S38" s="129">
        <f t="shared" si="36"/>
        <v>0.84021376079783583</v>
      </c>
      <c r="T38" s="129">
        <f t="shared" si="37"/>
        <v>0.97956061311952314</v>
      </c>
      <c r="U38" s="129">
        <f t="shared" si="38"/>
        <v>1.0747366851553646</v>
      </c>
      <c r="V38" s="129">
        <f t="shared" si="39"/>
        <v>0.97576405764759433</v>
      </c>
      <c r="X38" s="131">
        <f t="shared" si="51"/>
        <v>0.87401810261548152</v>
      </c>
      <c r="Y38" s="131">
        <f t="shared" si="52"/>
        <v>0.97576405764759433</v>
      </c>
      <c r="Z38" s="131">
        <f t="shared" si="53"/>
        <v>1.0326770829178769</v>
      </c>
      <c r="AA38" s="131">
        <f t="shared" si="54"/>
        <v>0.94488787810660757</v>
      </c>
      <c r="AB38" s="131">
        <f t="shared" si="55"/>
        <v>0.85283545026553342</v>
      </c>
      <c r="AC38" s="131">
        <f t="shared" si="56"/>
        <v>0.85283545026553387</v>
      </c>
      <c r="AD38" s="131"/>
      <c r="AE38" s="131">
        <f t="shared" si="57"/>
        <v>0.97576405764759389</v>
      </c>
      <c r="AH38" s="134"/>
      <c r="AJ38" s="129">
        <f t="shared" si="58"/>
        <v>0.43207803825782121</v>
      </c>
      <c r="AK38" s="129">
        <f t="shared" si="59"/>
        <v>0.19011902555220514</v>
      </c>
      <c r="AL38" s="129">
        <f t="shared" si="60"/>
        <v>0.37780293618997357</v>
      </c>
      <c r="AN38" s="129">
        <f t="shared" si="61"/>
        <v>0.42925343486148543</v>
      </c>
      <c r="AO38" s="129">
        <f t="shared" si="62"/>
        <v>0.19279753569501437</v>
      </c>
      <c r="AP38" s="129">
        <f t="shared" si="63"/>
        <v>0.3779303264959859</v>
      </c>
      <c r="AQ38" s="129">
        <f t="shared" si="64"/>
        <v>0.99998129705248573</v>
      </c>
      <c r="AS38" s="129">
        <f t="shared" si="65"/>
        <v>0.42926146331610371</v>
      </c>
      <c r="AT38" s="129">
        <f t="shared" si="66"/>
        <v>0.19280114164464723</v>
      </c>
      <c r="AU38" s="129">
        <f t="shared" si="67"/>
        <v>0.377937395039249</v>
      </c>
      <c r="AX38" s="129">
        <f t="shared" si="68"/>
        <v>-3.033843614492937E-3</v>
      </c>
      <c r="AY38" s="129">
        <f t="shared" si="69"/>
        <v>-3.5802304474057113E-2</v>
      </c>
      <c r="AZ38" s="129">
        <f t="shared" si="70"/>
        <v>-1.5726583520857276E-2</v>
      </c>
      <c r="BB38" s="129">
        <f t="shared" si="10"/>
        <v>0.18165938237027179</v>
      </c>
      <c r="BC38" s="129">
        <f t="shared" si="24"/>
        <v>0.23938894787770232</v>
      </c>
      <c r="BD38" s="129">
        <f t="shared" si="25"/>
        <v>0.57895166975202583</v>
      </c>
      <c r="BF38" s="129">
        <f t="shared" si="71"/>
        <v>2.6315447037629459E-3</v>
      </c>
      <c r="BG38" s="129">
        <f t="shared" si="72"/>
        <v>-5.6474019335991128E-3</v>
      </c>
      <c r="BH38" s="129">
        <f t="shared" si="73"/>
        <v>1.5182628944966315E-3</v>
      </c>
      <c r="BI38" s="175" t="e">
        <f>#REF!</f>
        <v>#REF!</v>
      </c>
      <c r="BJ38" s="129">
        <f t="shared" si="32"/>
        <v>0.98595092114409966</v>
      </c>
      <c r="BK38" s="129">
        <f t="shared" si="28"/>
        <v>1.0350087769247578</v>
      </c>
      <c r="BL38" s="129">
        <f t="shared" si="11"/>
        <v>0.94488787810660757</v>
      </c>
      <c r="BM38" s="175">
        <f t="shared" si="74"/>
        <v>1.0350087769247578</v>
      </c>
      <c r="BN38" s="129">
        <f t="shared" si="33"/>
        <v>1.0006147924209643</v>
      </c>
      <c r="BO38" s="129">
        <f t="shared" si="75"/>
        <v>0.9776959133239419</v>
      </c>
      <c r="BP38" s="129">
        <f t="shared" si="12"/>
        <v>1.0326770829178769</v>
      </c>
    </row>
    <row r="39" spans="1:68" x14ac:dyDescent="0.2">
      <c r="A39" s="133" t="s">
        <v>664</v>
      </c>
      <c r="B39" s="133">
        <f t="shared" si="13"/>
        <v>1978</v>
      </c>
      <c r="D39" s="125">
        <f>'Passenger-based Energy Use'!E36</f>
        <v>59.696257899999999</v>
      </c>
      <c r="E39" s="125">
        <f>'Passenger-based Energy Use'!G36</f>
        <v>26.978325423728812</v>
      </c>
      <c r="F39" s="174">
        <f>'Passenger-based Energy Use'!H36</f>
        <v>50.142921214766957</v>
      </c>
      <c r="G39" s="125">
        <f t="shared" si="34"/>
        <v>136.81750453849577</v>
      </c>
      <c r="I39" s="4">
        <f>'Passenger-based Activity'!F37</f>
        <v>20708</v>
      </c>
      <c r="J39" s="4">
        <f>'Passenger-based Activity'!E37</f>
        <v>25600</v>
      </c>
      <c r="K39" s="4">
        <f>'Passenger-based Activity'!H37</f>
        <v>64377.135051278201</v>
      </c>
      <c r="L39" s="4">
        <f t="shared" si="35"/>
        <v>110685.13505127819</v>
      </c>
      <c r="N39" s="125">
        <f t="shared" si="47"/>
        <v>2882.7630819007145</v>
      </c>
      <c r="O39" s="125">
        <f t="shared" si="48"/>
        <v>1053.8408368644066</v>
      </c>
      <c r="P39" s="125">
        <f t="shared" si="49"/>
        <v>778.89333184564225</v>
      </c>
      <c r="Q39" s="125">
        <f t="shared" si="50"/>
        <v>1236.096468375008</v>
      </c>
      <c r="S39" s="129">
        <f t="shared" si="36"/>
        <v>0.84006946138252736</v>
      </c>
      <c r="T39" s="129">
        <f t="shared" si="37"/>
        <v>1.0722737375568325</v>
      </c>
      <c r="U39" s="129">
        <f t="shared" si="38"/>
        <v>1.0582246070954056</v>
      </c>
      <c r="V39" s="129">
        <f t="shared" si="39"/>
        <v>0.99498835342996295</v>
      </c>
      <c r="X39" s="131">
        <f t="shared" si="51"/>
        <v>0.89071850522092466</v>
      </c>
      <c r="Y39" s="131">
        <f t="shared" si="52"/>
        <v>0.99498835342996295</v>
      </c>
      <c r="Z39" s="131">
        <f t="shared" si="53"/>
        <v>1.0408001462287773</v>
      </c>
      <c r="AA39" s="131">
        <f t="shared" si="54"/>
        <v>0.95598406383318757</v>
      </c>
      <c r="AB39" s="131">
        <f t="shared" si="55"/>
        <v>0.88625453887936512</v>
      </c>
      <c r="AC39" s="131">
        <f t="shared" si="56"/>
        <v>0.88625453887936567</v>
      </c>
      <c r="AD39" s="131"/>
      <c r="AE39" s="131">
        <f t="shared" si="57"/>
        <v>0.99498835342996239</v>
      </c>
      <c r="AH39" s="134"/>
      <c r="AJ39" s="129">
        <f t="shared" si="58"/>
        <v>0.43632032393342995</v>
      </c>
      <c r="AK39" s="129">
        <f t="shared" si="59"/>
        <v>0.19718474996843721</v>
      </c>
      <c r="AL39" s="129">
        <f t="shared" si="60"/>
        <v>0.36649492609813283</v>
      </c>
      <c r="AN39" s="129">
        <f t="shared" si="61"/>
        <v>0.4341957270160442</v>
      </c>
      <c r="AO39" s="129">
        <f t="shared" si="62"/>
        <v>0.19363040208750851</v>
      </c>
      <c r="AP39" s="129">
        <f t="shared" si="63"/>
        <v>0.37212029588692358</v>
      </c>
      <c r="AQ39" s="129">
        <f t="shared" si="64"/>
        <v>0.99994642499047637</v>
      </c>
      <c r="AS39" s="129">
        <f t="shared" si="65"/>
        <v>0.43421899030258498</v>
      </c>
      <c r="AT39" s="129">
        <f t="shared" si="66"/>
        <v>0.19364077639394797</v>
      </c>
      <c r="AU39" s="129">
        <f t="shared" si="67"/>
        <v>0.37214023330346696</v>
      </c>
      <c r="AX39" s="129">
        <f t="shared" si="68"/>
        <v>-1.7175606321408605E-4</v>
      </c>
      <c r="AY39" s="129">
        <f t="shared" si="69"/>
        <v>9.0432544068203627E-2</v>
      </c>
      <c r="AZ39" s="129">
        <f t="shared" si="70"/>
        <v>-1.5483082588470941E-2</v>
      </c>
      <c r="BB39" s="129">
        <f t="shared" si="10"/>
        <v>0.1870892599119692</v>
      </c>
      <c r="BC39" s="129">
        <f t="shared" si="24"/>
        <v>0.23128670338740639</v>
      </c>
      <c r="BD39" s="129">
        <f t="shared" si="25"/>
        <v>0.58162403670062446</v>
      </c>
      <c r="BF39" s="129">
        <f t="shared" si="71"/>
        <v>2.9452420556502087E-2</v>
      </c>
      <c r="BG39" s="129">
        <f t="shared" si="72"/>
        <v>-3.4431544984594026E-2</v>
      </c>
      <c r="BH39" s="129">
        <f t="shared" si="73"/>
        <v>4.6052517845732339E-3</v>
      </c>
      <c r="BI39" s="175" t="e">
        <f>#REF!</f>
        <v>#REF!</v>
      </c>
      <c r="BJ39" s="129">
        <f t="shared" si="32"/>
        <v>1.0117433888016585</v>
      </c>
      <c r="BK39" s="129">
        <f t="shared" si="28"/>
        <v>1.0471632874053143</v>
      </c>
      <c r="BL39" s="129">
        <f t="shared" si="11"/>
        <v>0.95598406383318757</v>
      </c>
      <c r="BM39" s="175">
        <f t="shared" si="74"/>
        <v>1.0471632874053143</v>
      </c>
      <c r="BN39" s="129">
        <f t="shared" si="33"/>
        <v>1.0078660245736724</v>
      </c>
      <c r="BO39" s="129">
        <f t="shared" si="75"/>
        <v>0.98538649340372708</v>
      </c>
      <c r="BP39" s="129">
        <f t="shared" si="12"/>
        <v>1.0408001462287773</v>
      </c>
    </row>
    <row r="40" spans="1:68" x14ac:dyDescent="0.2">
      <c r="A40" s="133" t="s">
        <v>664</v>
      </c>
      <c r="B40" s="133">
        <f t="shared" si="13"/>
        <v>1979</v>
      </c>
      <c r="D40" s="125">
        <f>'Passenger-based Energy Use'!E37</f>
        <v>59.824504399999995</v>
      </c>
      <c r="E40" s="125">
        <f>'Passenger-based Energy Use'!G37</f>
        <v>28.100133333333332</v>
      </c>
      <c r="F40" s="174">
        <f>'Passenger-based Energy Use'!H37</f>
        <v>51.986783077938107</v>
      </c>
      <c r="G40" s="125">
        <f t="shared" si="34"/>
        <v>139.91142081127143</v>
      </c>
      <c r="I40" s="4">
        <f>'Passenger-based Activity'!F38</f>
        <v>21393</v>
      </c>
      <c r="J40" s="4">
        <f>'Passenger-based Activity'!E38</f>
        <v>27700</v>
      </c>
      <c r="K40" s="4">
        <f>'Passenger-based Activity'!H38</f>
        <v>67769.869536210012</v>
      </c>
      <c r="L40" s="4">
        <f t="shared" si="35"/>
        <v>116862.86953621001</v>
      </c>
      <c r="N40" s="125">
        <f t="shared" si="47"/>
        <v>2796.4523161781885</v>
      </c>
      <c r="O40" s="125">
        <f t="shared" si="48"/>
        <v>1014.4452466907339</v>
      </c>
      <c r="P40" s="125">
        <f t="shared" si="49"/>
        <v>767.1076163155534</v>
      </c>
      <c r="Q40" s="125">
        <f t="shared" si="50"/>
        <v>1197.2273260662987</v>
      </c>
      <c r="S40" s="129">
        <f t="shared" si="36"/>
        <v>0.81491753720004156</v>
      </c>
      <c r="T40" s="129">
        <f t="shared" si="37"/>
        <v>1.032189072737361</v>
      </c>
      <c r="U40" s="129">
        <f t="shared" si="38"/>
        <v>1.0422122294356644</v>
      </c>
      <c r="V40" s="129">
        <f t="shared" si="39"/>
        <v>0.96370087312851083</v>
      </c>
      <c r="X40" s="131">
        <f t="shared" si="51"/>
        <v>0.94043270056902606</v>
      </c>
      <c r="Y40" s="131">
        <f t="shared" si="52"/>
        <v>0.96370087312851083</v>
      </c>
      <c r="Z40" s="131">
        <f t="shared" si="53"/>
        <v>1.0349767880691143</v>
      </c>
      <c r="AA40" s="131">
        <f t="shared" si="54"/>
        <v>0.93113283721697904</v>
      </c>
      <c r="AB40" s="131">
        <f t="shared" si="55"/>
        <v>0.9062958146569734</v>
      </c>
      <c r="AC40" s="131">
        <f t="shared" si="56"/>
        <v>0.90629581465697384</v>
      </c>
      <c r="AD40" s="131"/>
      <c r="AE40" s="131">
        <f t="shared" si="57"/>
        <v>0.96370087312851038</v>
      </c>
      <c r="AH40" s="134"/>
      <c r="AJ40" s="129">
        <f t="shared" si="58"/>
        <v>0.42758842740006298</v>
      </c>
      <c r="AK40" s="129">
        <f t="shared" si="59"/>
        <v>0.2008423127318392</v>
      </c>
      <c r="AL40" s="129">
        <f t="shared" si="60"/>
        <v>0.37156925986809786</v>
      </c>
      <c r="AN40" s="129">
        <f t="shared" si="61"/>
        <v>0.43193966576167658</v>
      </c>
      <c r="AO40" s="129">
        <f t="shared" si="62"/>
        <v>0.19900792952559232</v>
      </c>
      <c r="AP40" s="129">
        <f t="shared" si="63"/>
        <v>0.36902627840577007</v>
      </c>
      <c r="AQ40" s="129">
        <f t="shared" si="64"/>
        <v>0.99997387369303903</v>
      </c>
      <c r="AS40" s="129">
        <f t="shared" si="65"/>
        <v>0.43195095104481568</v>
      </c>
      <c r="AT40" s="129">
        <f t="shared" si="66"/>
        <v>0.19901312900368992</v>
      </c>
      <c r="AU40" s="129">
        <f t="shared" si="67"/>
        <v>0.36903591995149437</v>
      </c>
      <c r="AX40" s="129">
        <f t="shared" si="68"/>
        <v>-3.0397653768568251E-2</v>
      </c>
      <c r="AY40" s="129">
        <f t="shared" si="69"/>
        <v>-3.8099521955036228E-2</v>
      </c>
      <c r="AZ40" s="129">
        <f t="shared" si="70"/>
        <v>-1.5247007271509471E-2</v>
      </c>
      <c r="BB40" s="129">
        <f t="shared" si="10"/>
        <v>0.18306071111296279</v>
      </c>
      <c r="BC40" s="129">
        <f t="shared" si="24"/>
        <v>0.23702994894727569</v>
      </c>
      <c r="BD40" s="129">
        <f t="shared" si="25"/>
        <v>0.57990933993976146</v>
      </c>
      <c r="BF40" s="129">
        <f t="shared" si="71"/>
        <v>-2.1767976164716107E-2</v>
      </c>
      <c r="BG40" s="129">
        <f t="shared" si="72"/>
        <v>2.452841886843855E-2</v>
      </c>
      <c r="BH40" s="129">
        <f t="shared" si="73"/>
        <v>-2.9524730686958313E-3</v>
      </c>
      <c r="BI40" s="175" t="e">
        <f>#REF!</f>
        <v>#REF!</v>
      </c>
      <c r="BJ40" s="129">
        <f t="shared" si="32"/>
        <v>0.97400455974489453</v>
      </c>
      <c r="BK40" s="129">
        <f t="shared" si="28"/>
        <v>1.0199418167302297</v>
      </c>
      <c r="BL40" s="129">
        <f t="shared" si="11"/>
        <v>0.93113283721697904</v>
      </c>
      <c r="BM40" s="175">
        <f t="shared" si="74"/>
        <v>1.0199418167302297</v>
      </c>
      <c r="BN40" s="129">
        <f t="shared" si="33"/>
        <v>0.99440492184713536</v>
      </c>
      <c r="BO40" s="129">
        <f t="shared" si="75"/>
        <v>0.97987317896235604</v>
      </c>
      <c r="BP40" s="129">
        <f t="shared" si="12"/>
        <v>1.0349767880691143</v>
      </c>
    </row>
    <row r="41" spans="1:68" x14ac:dyDescent="0.2">
      <c r="A41" s="133" t="s">
        <v>664</v>
      </c>
      <c r="B41" s="133">
        <f t="shared" si="13"/>
        <v>1980</v>
      </c>
      <c r="D41" s="125">
        <f>'Passenger-based Energy Use'!E38</f>
        <v>61.260179999999998</v>
      </c>
      <c r="E41" s="125">
        <f>'Passenger-based Energy Use'!G38</f>
        <v>29.299999999999997</v>
      </c>
      <c r="F41" s="174">
        <f>'Passenger-based Energy Use'!H38</f>
        <v>52.141454399999994</v>
      </c>
      <c r="G41" s="125">
        <f t="shared" si="34"/>
        <v>142.70163439999999</v>
      </c>
      <c r="I41" s="4">
        <f>'Passenger-based Activity'!F39</f>
        <v>21790</v>
      </c>
      <c r="J41" s="4">
        <f>'Passenger-based Activity'!E39</f>
        <v>27400</v>
      </c>
      <c r="K41" s="4">
        <f>'Passenger-based Activity'!H39</f>
        <v>69000</v>
      </c>
      <c r="L41" s="4">
        <f t="shared" si="35"/>
        <v>118190</v>
      </c>
      <c r="N41" s="125">
        <f t="shared" si="47"/>
        <v>2811.3896282698483</v>
      </c>
      <c r="O41" s="125">
        <f t="shared" si="48"/>
        <v>1069.3430656934304</v>
      </c>
      <c r="P41" s="125">
        <f t="shared" si="49"/>
        <v>755.67325217391294</v>
      </c>
      <c r="Q41" s="125">
        <f t="shared" si="50"/>
        <v>1207.3917793383534</v>
      </c>
      <c r="S41" s="129">
        <f t="shared" si="36"/>
        <v>0.81927043730554372</v>
      </c>
      <c r="T41" s="129">
        <f t="shared" si="37"/>
        <v>1.0880471183800862</v>
      </c>
      <c r="U41" s="129">
        <f t="shared" si="38"/>
        <v>1.0266772068511199</v>
      </c>
      <c r="V41" s="129">
        <f t="shared" si="39"/>
        <v>0.9718826881271192</v>
      </c>
      <c r="X41" s="131">
        <f t="shared" si="51"/>
        <v>0.95111254174546345</v>
      </c>
      <c r="Y41" s="131">
        <f t="shared" si="52"/>
        <v>0.9718826881271192</v>
      </c>
      <c r="Z41" s="131">
        <f t="shared" si="53"/>
        <v>1.0360151160188591</v>
      </c>
      <c r="AA41" s="131">
        <f t="shared" si="54"/>
        <v>0.93809701528469536</v>
      </c>
      <c r="AB41" s="131">
        <f t="shared" si="55"/>
        <v>0.92436981378299776</v>
      </c>
      <c r="AC41" s="131">
        <f t="shared" si="56"/>
        <v>0.92436981378299798</v>
      </c>
      <c r="AD41" s="131"/>
      <c r="AE41" s="131">
        <f t="shared" si="57"/>
        <v>0.97188268812711909</v>
      </c>
      <c r="AH41" s="134"/>
      <c r="AJ41" s="129">
        <f t="shared" si="58"/>
        <v>0.4292885660179937</v>
      </c>
      <c r="AK41" s="129">
        <f t="shared" si="59"/>
        <v>0.20532350679229502</v>
      </c>
      <c r="AL41" s="129">
        <f t="shared" si="60"/>
        <v>0.36538792718971125</v>
      </c>
      <c r="AN41" s="129">
        <f t="shared" si="61"/>
        <v>0.42843793449797629</v>
      </c>
      <c r="AO41" s="129">
        <f t="shared" si="62"/>
        <v>0.20307466938702814</v>
      </c>
      <c r="AP41" s="129">
        <f t="shared" si="63"/>
        <v>0.36846995223304663</v>
      </c>
      <c r="AQ41" s="129">
        <f t="shared" si="64"/>
        <v>0.99998255611805109</v>
      </c>
      <c r="AS41" s="129">
        <f t="shared" si="65"/>
        <v>0.42844540824909932</v>
      </c>
      <c r="AT41" s="129">
        <f t="shared" si="66"/>
        <v>0.20307821185938221</v>
      </c>
      <c r="AU41" s="129">
        <f t="shared" si="67"/>
        <v>0.36847637989151844</v>
      </c>
      <c r="AX41" s="129">
        <f t="shared" si="68"/>
        <v>5.3273068558651864E-3</v>
      </c>
      <c r="AY41" s="129">
        <f t="shared" si="69"/>
        <v>5.2702594535365153E-2</v>
      </c>
      <c r="AZ41" s="129">
        <f t="shared" si="70"/>
        <v>-1.5018022996330543E-2</v>
      </c>
      <c r="BB41" s="129">
        <f t="shared" si="10"/>
        <v>0.18436415940434894</v>
      </c>
      <c r="BC41" s="129">
        <f t="shared" si="24"/>
        <v>0.23183010406971824</v>
      </c>
      <c r="BD41" s="129">
        <f t="shared" si="25"/>
        <v>0.58380573652593282</v>
      </c>
      <c r="BF41" s="129">
        <f t="shared" si="71"/>
        <v>7.0950763758793637E-3</v>
      </c>
      <c r="BG41" s="129">
        <f t="shared" si="72"/>
        <v>-2.2181706665641145E-2</v>
      </c>
      <c r="BH41" s="129">
        <f t="shared" si="73"/>
        <v>6.6965036812206957E-3</v>
      </c>
      <c r="BI41" s="175" t="e">
        <f>#REF!</f>
        <v>#REF!</v>
      </c>
      <c r="BJ41" s="129">
        <f t="shared" si="32"/>
        <v>1.0074792530016783</v>
      </c>
      <c r="BK41" s="129">
        <f t="shared" si="28"/>
        <v>1.0275702196245464</v>
      </c>
      <c r="BL41" s="129">
        <f t="shared" si="11"/>
        <v>0.93809701528469536</v>
      </c>
      <c r="BM41" s="175">
        <f t="shared" si="74"/>
        <v>1.0275702196245464</v>
      </c>
      <c r="BN41" s="129">
        <f t="shared" si="33"/>
        <v>1.0010032379099842</v>
      </c>
      <c r="BO41" s="129">
        <f t="shared" si="75"/>
        <v>0.98085622488246782</v>
      </c>
      <c r="BP41" s="129">
        <f t="shared" si="12"/>
        <v>1.0360151160188591</v>
      </c>
    </row>
    <row r="42" spans="1:68" x14ac:dyDescent="0.2">
      <c r="A42" s="133" t="s">
        <v>664</v>
      </c>
      <c r="B42" s="133">
        <f t="shared" si="13"/>
        <v>1981</v>
      </c>
      <c r="D42" s="125">
        <f>'Passenger-based Energy Use'!E39</f>
        <v>63.603265</v>
      </c>
      <c r="E42" s="125">
        <f>'Passenger-based Energy Use'!G39</f>
        <v>28.561040973030327</v>
      </c>
      <c r="F42" s="174">
        <f>'Passenger-based Energy Use'!H39</f>
        <v>53.676989111275631</v>
      </c>
      <c r="G42" s="125">
        <f t="shared" si="34"/>
        <v>145.84129508430595</v>
      </c>
      <c r="I42" s="4">
        <f>'Passenger-based Activity'!F40</f>
        <v>21012</v>
      </c>
      <c r="J42" s="4">
        <f>'Passenger-based Activity'!E40</f>
        <v>27100</v>
      </c>
      <c r="K42" s="4">
        <f>'Passenger-based Activity'!H40</f>
        <v>71410.99593556831</v>
      </c>
      <c r="L42" s="4">
        <f t="shared" si="35"/>
        <v>119522.99593556831</v>
      </c>
      <c r="N42" s="125">
        <f t="shared" si="47"/>
        <v>3026.9971920807161</v>
      </c>
      <c r="O42" s="125">
        <f t="shared" si="48"/>
        <v>1053.9129510343294</v>
      </c>
      <c r="P42" s="125">
        <f t="shared" si="49"/>
        <v>751.66279937765512</v>
      </c>
      <c r="Q42" s="125">
        <f t="shared" si="50"/>
        <v>1220.1944399295776</v>
      </c>
      <c r="S42" s="129">
        <f t="shared" si="36"/>
        <v>0.88210089712993278</v>
      </c>
      <c r="T42" s="129">
        <f t="shared" si="37"/>
        <v>1.0723471130873765</v>
      </c>
      <c r="U42" s="129">
        <f t="shared" si="38"/>
        <v>1.0212285020528153</v>
      </c>
      <c r="V42" s="129">
        <f t="shared" si="39"/>
        <v>0.98218811210258861</v>
      </c>
      <c r="X42" s="131">
        <f t="shared" si="51"/>
        <v>0.96183958423987703</v>
      </c>
      <c r="Y42" s="131">
        <f t="shared" si="52"/>
        <v>0.98218811210258861</v>
      </c>
      <c r="Z42" s="131">
        <f t="shared" si="53"/>
        <v>1.0190000902517642</v>
      </c>
      <c r="AA42" s="131">
        <f t="shared" si="54"/>
        <v>0.96387441129658724</v>
      </c>
      <c r="AB42" s="131">
        <f t="shared" si="55"/>
        <v>0.94470740539010345</v>
      </c>
      <c r="AC42" s="131">
        <f t="shared" si="56"/>
        <v>0.94470740539010367</v>
      </c>
      <c r="AD42" s="131"/>
      <c r="AE42" s="131">
        <f t="shared" si="57"/>
        <v>0.9821881121025885</v>
      </c>
      <c r="AH42" s="134"/>
      <c r="AJ42" s="129">
        <f t="shared" si="58"/>
        <v>0.43611286476325578</v>
      </c>
      <c r="AK42" s="129">
        <f t="shared" si="59"/>
        <v>0.19583644643665671</v>
      </c>
      <c r="AL42" s="129">
        <f t="shared" si="60"/>
        <v>0.36805068880008757</v>
      </c>
      <c r="AN42" s="129">
        <f t="shared" si="61"/>
        <v>0.43269174617626405</v>
      </c>
      <c r="AO42" s="129">
        <f t="shared" si="62"/>
        <v>0.2005425776747555</v>
      </c>
      <c r="AP42" s="129">
        <f t="shared" si="63"/>
        <v>0.36671769678887195</v>
      </c>
      <c r="AQ42" s="129">
        <f t="shared" si="64"/>
        <v>0.99995202063989153</v>
      </c>
      <c r="AS42" s="129">
        <f t="shared" si="65"/>
        <v>0.43271250744548223</v>
      </c>
      <c r="AT42" s="129">
        <f t="shared" si="66"/>
        <v>0.20055220004098182</v>
      </c>
      <c r="AU42" s="129">
        <f t="shared" si="67"/>
        <v>0.36673529251353593</v>
      </c>
      <c r="AX42" s="129">
        <f t="shared" si="68"/>
        <v>7.3892211675104721E-2</v>
      </c>
      <c r="AY42" s="129">
        <f t="shared" si="69"/>
        <v>-1.4534645071988171E-2</v>
      </c>
      <c r="AZ42" s="129">
        <f t="shared" si="70"/>
        <v>-5.3212583290726525E-3</v>
      </c>
      <c r="BB42" s="129">
        <f t="shared" ref="BB42:BB62" si="76">I42/L42</f>
        <v>0.1757988062090329</v>
      </c>
      <c r="BC42" s="129">
        <f t="shared" si="24"/>
        <v>0.22673461109198512</v>
      </c>
      <c r="BD42" s="129">
        <f t="shared" si="25"/>
        <v>0.59746658269898201</v>
      </c>
      <c r="BF42" s="129">
        <f t="shared" si="71"/>
        <v>-4.7572734306331688E-2</v>
      </c>
      <c r="BG42" s="129">
        <f t="shared" si="72"/>
        <v>-2.222457394988768E-2</v>
      </c>
      <c r="BH42" s="129">
        <f t="shared" si="73"/>
        <v>2.3130069149091066E-2</v>
      </c>
      <c r="BI42" s="175" t="e">
        <f>#REF!</f>
        <v>#REF!</v>
      </c>
      <c r="BJ42" s="129">
        <f t="shared" si="32"/>
        <v>1.0274783903923508</v>
      </c>
      <c r="BK42" s="129">
        <f t="shared" si="28"/>
        <v>1.0558061952749433</v>
      </c>
      <c r="BL42" s="129">
        <f t="shared" ref="BL42:BL72" si="77">BK42/BK$74</f>
        <v>0.96387441129658724</v>
      </c>
      <c r="BM42" s="175">
        <f t="shared" si="74"/>
        <v>1.0558061952749433</v>
      </c>
      <c r="BN42" s="129">
        <f t="shared" si="33"/>
        <v>0.9835764695861976</v>
      </c>
      <c r="BO42" s="129">
        <f t="shared" si="75"/>
        <v>0.96474710284154319</v>
      </c>
      <c r="BP42" s="129">
        <f t="shared" ref="BP42:BP72" si="78">BO42/BO$74</f>
        <v>1.0190000902517642</v>
      </c>
    </row>
    <row r="43" spans="1:68" x14ac:dyDescent="0.2">
      <c r="A43" s="133" t="s">
        <v>664</v>
      </c>
      <c r="B43" s="133">
        <f t="shared" ref="B43:B72" si="79">B42+1</f>
        <v>1982</v>
      </c>
      <c r="D43" s="125">
        <f>'Passenger-based Energy Use'!E40</f>
        <v>64.652833000000001</v>
      </c>
      <c r="E43" s="125">
        <f>'Passenger-based Energy Use'!G40</f>
        <v>28.050196415195717</v>
      </c>
      <c r="F43" s="174">
        <f>'Passenger-based Energy Use'!H40</f>
        <v>54.550515249048367</v>
      </c>
      <c r="G43" s="125">
        <f t="shared" si="34"/>
        <v>147.25354466424409</v>
      </c>
      <c r="I43" s="4">
        <f>'Passenger-based Activity'!F41</f>
        <v>19987</v>
      </c>
      <c r="J43" s="4">
        <f>'Passenger-based Activity'!E41</f>
        <v>26900</v>
      </c>
      <c r="K43" s="4">
        <f>'Passenger-based Activity'!H41</f>
        <v>72958.275606681898</v>
      </c>
      <c r="L43" s="4">
        <f t="shared" si="35"/>
        <v>119845.2756066819</v>
      </c>
      <c r="N43" s="125">
        <f t="shared" si="47"/>
        <v>3234.7442337519387</v>
      </c>
      <c r="O43" s="125">
        <f t="shared" si="48"/>
        <v>1042.758231048168</v>
      </c>
      <c r="P43" s="125">
        <f t="shared" si="49"/>
        <v>747.6946898132602</v>
      </c>
      <c r="Q43" s="125">
        <f t="shared" si="50"/>
        <v>1228.6971173357965</v>
      </c>
      <c r="S43" s="129">
        <f t="shared" si="36"/>
        <v>0.94264071273125105</v>
      </c>
      <c r="T43" s="129">
        <f t="shared" si="37"/>
        <v>1.0609972840880093</v>
      </c>
      <c r="U43" s="129">
        <f t="shared" si="38"/>
        <v>1.0158373258634608</v>
      </c>
      <c r="V43" s="129">
        <f t="shared" si="39"/>
        <v>0.9890322906991682</v>
      </c>
      <c r="X43" s="131">
        <f t="shared" si="51"/>
        <v>0.96443307131277445</v>
      </c>
      <c r="Y43" s="131">
        <f t="shared" si="52"/>
        <v>0.9890322906991682</v>
      </c>
      <c r="Z43" s="131">
        <f t="shared" si="53"/>
        <v>1.0007292871477114</v>
      </c>
      <c r="AA43" s="131">
        <f t="shared" si="54"/>
        <v>0.98831152780400566</v>
      </c>
      <c r="AB43" s="131">
        <f t="shared" si="55"/>
        <v>0.95385544974650749</v>
      </c>
      <c r="AC43" s="131">
        <f t="shared" si="56"/>
        <v>0.95385544974650749</v>
      </c>
      <c r="AD43" s="131"/>
      <c r="AE43" s="131">
        <f t="shared" si="57"/>
        <v>0.98903229069916809</v>
      </c>
      <c r="AH43" s="134"/>
      <c r="AJ43" s="129">
        <f t="shared" si="58"/>
        <v>0.4390579061944912</v>
      </c>
      <c r="AK43" s="129">
        <f t="shared" si="59"/>
        <v>0.19048910828702673</v>
      </c>
      <c r="AL43" s="129">
        <f t="shared" si="60"/>
        <v>0.37045298551848205</v>
      </c>
      <c r="AN43" s="129">
        <f t="shared" si="61"/>
        <v>0.43758373374500847</v>
      </c>
      <c r="AO43" s="129">
        <f t="shared" si="62"/>
        <v>0.19315044083808339</v>
      </c>
      <c r="AP43" s="129">
        <f t="shared" si="63"/>
        <v>0.36925053474061709</v>
      </c>
      <c r="AQ43" s="129">
        <f t="shared" si="64"/>
        <v>0.99998470932370898</v>
      </c>
      <c r="AS43" s="175">
        <f t="shared" si="65"/>
        <v>0.4375904247985421</v>
      </c>
      <c r="AT43" s="175">
        <f t="shared" si="66"/>
        <v>0.19315339428410991</v>
      </c>
      <c r="AU43" s="175">
        <f t="shared" si="67"/>
        <v>0.36925618091734796</v>
      </c>
      <c r="AX43" s="175">
        <f t="shared" si="68"/>
        <v>6.6378760203003997E-2</v>
      </c>
      <c r="AY43" s="175">
        <f t="shared" si="69"/>
        <v>-1.064050989634473E-2</v>
      </c>
      <c r="AZ43" s="175">
        <f t="shared" si="70"/>
        <v>-5.2930923512021673E-3</v>
      </c>
      <c r="BB43" s="129">
        <f t="shared" si="76"/>
        <v>0.16677336589883596</v>
      </c>
      <c r="BC43" s="129">
        <f t="shared" si="24"/>
        <v>0.22445607358176251</v>
      </c>
      <c r="BD43" s="129">
        <f t="shared" si="25"/>
        <v>0.60877056051940148</v>
      </c>
      <c r="BF43" s="129">
        <f t="shared" si="71"/>
        <v>-5.2704394298738071E-2</v>
      </c>
      <c r="BG43" s="129">
        <f t="shared" si="72"/>
        <v>-1.0100194697289325E-2</v>
      </c>
      <c r="BH43" s="129">
        <f t="shared" si="73"/>
        <v>1.8743095102635964E-2</v>
      </c>
      <c r="BI43" s="580" t="e">
        <f>#REF!</f>
        <v>#REF!</v>
      </c>
      <c r="BJ43" s="129">
        <f t="shared" si="32"/>
        <v>1.0253530088785592</v>
      </c>
      <c r="BK43" s="580">
        <f t="shared" si="28"/>
        <v>1.0825740591177868</v>
      </c>
      <c r="BL43" s="129">
        <f t="shared" si="77"/>
        <v>0.98831152780400566</v>
      </c>
      <c r="BM43" s="175">
        <f t="shared" si="74"/>
        <v>1.0825740591177868</v>
      </c>
      <c r="BN43" s="129">
        <f t="shared" si="33"/>
        <v>0.98206987096582221</v>
      </c>
      <c r="BO43" s="129">
        <f t="shared" si="75"/>
        <v>0.94744906280224517</v>
      </c>
      <c r="BP43" s="129">
        <f t="shared" si="78"/>
        <v>1.0007292871477114</v>
      </c>
    </row>
    <row r="44" spans="1:68" x14ac:dyDescent="0.2">
      <c r="A44" s="133" t="s">
        <v>664</v>
      </c>
      <c r="B44" s="133">
        <f t="shared" si="79"/>
        <v>1983</v>
      </c>
      <c r="D44" s="125">
        <f>'Passenger-based Energy Use'!E41</f>
        <v>63.638562</v>
      </c>
      <c r="E44" s="125">
        <f>'Passenger-based Energy Use'!G41</f>
        <v>28.143603158664185</v>
      </c>
      <c r="F44" s="174">
        <f>'Passenger-based Energy Use'!H41</f>
        <v>57.781020384618401</v>
      </c>
      <c r="G44" s="125">
        <f t="shared" si="34"/>
        <v>149.5631855432826</v>
      </c>
      <c r="I44" s="4">
        <f>'Passenger-based Activity'!F42</f>
        <v>20047</v>
      </c>
      <c r="J44" s="4">
        <f>'Passenger-based Activity'!E42</f>
        <v>26500</v>
      </c>
      <c r="K44" s="4">
        <f>'Passenger-based Activity'!H42</f>
        <v>77686.859969511235</v>
      </c>
      <c r="L44" s="4">
        <f t="shared" si="35"/>
        <v>124233.85996951124</v>
      </c>
      <c r="N44" s="125">
        <f t="shared" si="47"/>
        <v>3174.4680999650818</v>
      </c>
      <c r="O44" s="125">
        <f t="shared" si="48"/>
        <v>1062.0227607043089</v>
      </c>
      <c r="P44" s="125">
        <f t="shared" si="49"/>
        <v>743.76825639876517</v>
      </c>
      <c r="Q44" s="125">
        <f t="shared" si="50"/>
        <v>1203.8842355859147</v>
      </c>
      <c r="S44" s="129">
        <f t="shared" si="36"/>
        <v>0.92507557199441337</v>
      </c>
      <c r="T44" s="129">
        <f t="shared" si="37"/>
        <v>1.0805987727512565</v>
      </c>
      <c r="U44" s="129">
        <f t="shared" si="38"/>
        <v>1.0105027719682635</v>
      </c>
      <c r="V44" s="129">
        <f t="shared" si="39"/>
        <v>0.96905931206213414</v>
      </c>
      <c r="X44" s="131">
        <f t="shared" si="51"/>
        <v>0.99974940626492781</v>
      </c>
      <c r="Y44" s="131">
        <f t="shared" si="52"/>
        <v>0.96905931206213414</v>
      </c>
      <c r="Z44" s="131">
        <f t="shared" si="53"/>
        <v>0.9870693602988555</v>
      </c>
      <c r="AA44" s="131">
        <f t="shared" si="54"/>
        <v>0.98175401956427</v>
      </c>
      <c r="AB44" s="131">
        <f t="shared" si="55"/>
        <v>0.96881647186961795</v>
      </c>
      <c r="AC44" s="131">
        <f t="shared" si="56"/>
        <v>0.96881647186961806</v>
      </c>
      <c r="AD44" s="131"/>
      <c r="AE44" s="131">
        <f t="shared" si="57"/>
        <v>0.96905931206213403</v>
      </c>
      <c r="AH44" s="134"/>
      <c r="AJ44" s="129">
        <f t="shared" si="58"/>
        <v>0.42549616584345495</v>
      </c>
      <c r="AK44" s="129">
        <f t="shared" si="59"/>
        <v>0.1881719960459094</v>
      </c>
      <c r="AL44" s="129">
        <f t="shared" si="60"/>
        <v>0.38633183811063554</v>
      </c>
      <c r="AN44" s="129">
        <f t="shared" si="61"/>
        <v>0.43224157787988643</v>
      </c>
      <c r="AO44" s="129">
        <f t="shared" si="62"/>
        <v>0.18932818898793802</v>
      </c>
      <c r="AP44" s="129">
        <f t="shared" si="63"/>
        <v>0.37833687696960466</v>
      </c>
      <c r="AQ44" s="129">
        <f t="shared" si="64"/>
        <v>0.99990664383742911</v>
      </c>
      <c r="AS44" s="129">
        <f t="shared" si="65"/>
        <v>0.43228193406239923</v>
      </c>
      <c r="AT44" s="129">
        <f t="shared" si="66"/>
        <v>0.18934586559134828</v>
      </c>
      <c r="AU44" s="129">
        <f t="shared" si="67"/>
        <v>0.37837220034625252</v>
      </c>
      <c r="AX44" s="129">
        <f t="shared" si="68"/>
        <v>-1.8809771877389789E-2</v>
      </c>
      <c r="AY44" s="129">
        <f t="shared" si="69"/>
        <v>1.8306006854384198E-2</v>
      </c>
      <c r="AZ44" s="129">
        <f t="shared" si="70"/>
        <v>-5.2652229750208305E-3</v>
      </c>
      <c r="BB44" s="129">
        <f t="shared" si="76"/>
        <v>0.16136502564534194</v>
      </c>
      <c r="BC44" s="129">
        <f t="shared" si="24"/>
        <v>0.21330738662151749</v>
      </c>
      <c r="BD44" s="129">
        <f t="shared" si="25"/>
        <v>0.62532758773314057</v>
      </c>
      <c r="BF44" s="129">
        <f t="shared" si="71"/>
        <v>-3.2966761602258636E-2</v>
      </c>
      <c r="BG44" s="129">
        <f t="shared" si="72"/>
        <v>-5.0945769627810042E-2</v>
      </c>
      <c r="BH44" s="129">
        <f t="shared" si="73"/>
        <v>2.6834203988865907E-2</v>
      </c>
      <c r="BI44" s="580" t="e">
        <f>#REF!</f>
        <v>#REF!</v>
      </c>
      <c r="BJ44" s="129">
        <f t="shared" si="32"/>
        <v>0.99336493802282533</v>
      </c>
      <c r="BK44" s="129">
        <f t="shared" si="28"/>
        <v>1.0753911131406588</v>
      </c>
      <c r="BL44" s="129">
        <f t="shared" si="77"/>
        <v>0.98175401956427</v>
      </c>
      <c r="BM44" s="175">
        <f t="shared" si="74"/>
        <v>1.0753911131406588</v>
      </c>
      <c r="BN44" s="129">
        <f t="shared" si="33"/>
        <v>0.98635002790036308</v>
      </c>
      <c r="BO44" s="129">
        <f t="shared" si="75"/>
        <v>0.93451640952916737</v>
      </c>
      <c r="BP44" s="129">
        <f t="shared" si="78"/>
        <v>0.9870693602988555</v>
      </c>
    </row>
    <row r="45" spans="1:68" x14ac:dyDescent="0.2">
      <c r="A45" s="133" t="s">
        <v>664</v>
      </c>
      <c r="B45" s="133">
        <f t="shared" si="79"/>
        <v>1984</v>
      </c>
      <c r="D45" s="125">
        <f>'Passenger-based Energy Use'!E42</f>
        <v>71.050296299999999</v>
      </c>
      <c r="E45" s="125">
        <f>'Passenger-based Energy Use'!G42</f>
        <v>24.567267026524188</v>
      </c>
      <c r="F45" s="174">
        <f>'Passenger-based Energy Use'!H42</f>
        <v>57.576334360246427</v>
      </c>
      <c r="G45" s="125">
        <f t="shared" si="34"/>
        <v>153.19389768677061</v>
      </c>
      <c r="I45" s="4">
        <f>'Passenger-based Activity'!F43</f>
        <v>21595</v>
      </c>
      <c r="J45" s="4">
        <f>'Passenger-based Activity'!E43</f>
        <v>24600</v>
      </c>
      <c r="K45" s="4">
        <f>'Passenger-based Activity'!H43</f>
        <v>77818.177123832967</v>
      </c>
      <c r="L45" s="4">
        <f t="shared" si="35"/>
        <v>124013.17712383297</v>
      </c>
      <c r="N45" s="125">
        <f t="shared" si="47"/>
        <v>3290.1271729567029</v>
      </c>
      <c r="O45" s="125">
        <f t="shared" si="48"/>
        <v>998.66939132212144</v>
      </c>
      <c r="P45" s="125">
        <f t="shared" si="49"/>
        <v>739.88284599142605</v>
      </c>
      <c r="Q45" s="125">
        <f t="shared" si="50"/>
        <v>1235.303386621563</v>
      </c>
      <c r="S45" s="129">
        <f t="shared" si="36"/>
        <v>0.95877992174209059</v>
      </c>
      <c r="T45" s="129">
        <f t="shared" si="37"/>
        <v>1.0161372793284149</v>
      </c>
      <c r="U45" s="129">
        <f t="shared" si="38"/>
        <v>1.0052239529906148</v>
      </c>
      <c r="V45" s="129">
        <f t="shared" si="39"/>
        <v>0.99434996708376377</v>
      </c>
      <c r="X45" s="131">
        <f t="shared" si="51"/>
        <v>0.9979735011775881</v>
      </c>
      <c r="Y45" s="131">
        <f t="shared" si="52"/>
        <v>0.99434996708376377</v>
      </c>
      <c r="Z45" s="131">
        <f t="shared" si="53"/>
        <v>1.0095814872176958</v>
      </c>
      <c r="AA45" s="131">
        <f t="shared" si="54"/>
        <v>0.98491303542430397</v>
      </c>
      <c r="AB45" s="131">
        <f t="shared" si="55"/>
        <v>0.99233491804640339</v>
      </c>
      <c r="AC45" s="131">
        <f t="shared" si="56"/>
        <v>0.99233491804640328</v>
      </c>
      <c r="AD45" s="131"/>
      <c r="AE45" s="131">
        <f t="shared" si="57"/>
        <v>0.99434996708376389</v>
      </c>
      <c r="AH45" s="134"/>
      <c r="AJ45" s="129">
        <f t="shared" si="58"/>
        <v>0.46379325399288213</v>
      </c>
      <c r="AK45" s="129">
        <f t="shared" si="59"/>
        <v>0.16036713862294888</v>
      </c>
      <c r="AL45" s="129">
        <f t="shared" si="60"/>
        <v>0.37583960738416905</v>
      </c>
      <c r="AN45" s="129">
        <f t="shared" si="61"/>
        <v>0.44436969764808243</v>
      </c>
      <c r="AO45" s="129">
        <f t="shared" si="62"/>
        <v>0.17389924711545485</v>
      </c>
      <c r="AP45" s="129">
        <f t="shared" si="63"/>
        <v>0.38106164844623952</v>
      </c>
      <c r="AQ45" s="129">
        <f t="shared" si="64"/>
        <v>0.99933059320977669</v>
      </c>
      <c r="AS45" s="175">
        <f t="shared" si="65"/>
        <v>0.44466736099892579</v>
      </c>
      <c r="AT45" s="129">
        <f t="shared" si="66"/>
        <v>0.17401573442968779</v>
      </c>
      <c r="AU45" s="175">
        <f t="shared" si="67"/>
        <v>0.38131690457138656</v>
      </c>
      <c r="AX45" s="129">
        <f t="shared" si="68"/>
        <v>3.5786127684062009E-2</v>
      </c>
      <c r="AY45" s="129">
        <f t="shared" si="69"/>
        <v>-6.1506849238727485E-2</v>
      </c>
      <c r="AZ45" s="129">
        <f t="shared" si="70"/>
        <v>-5.2376455400128365E-3</v>
      </c>
      <c r="BB45" s="129">
        <f t="shared" si="76"/>
        <v>0.17413472100981964</v>
      </c>
      <c r="BC45" s="129">
        <f t="shared" si="24"/>
        <v>0.19836601698733794</v>
      </c>
      <c r="BD45" s="129">
        <f t="shared" si="25"/>
        <v>0.62749926200284245</v>
      </c>
      <c r="BF45" s="129">
        <f t="shared" si="71"/>
        <v>7.6160219600842641E-2</v>
      </c>
      <c r="BG45" s="129">
        <f t="shared" si="72"/>
        <v>-7.2620360243341966E-2</v>
      </c>
      <c r="BH45" s="129">
        <f t="shared" si="73"/>
        <v>3.4668421183196465E-3</v>
      </c>
      <c r="BI45" s="580" t="e">
        <f>#REF!</f>
        <v>#REF!</v>
      </c>
      <c r="BJ45" s="129">
        <f t="shared" si="32"/>
        <v>1.0032177264335886</v>
      </c>
      <c r="BK45" s="129">
        <f t="shared" si="28"/>
        <v>1.0788514275518579</v>
      </c>
      <c r="BL45" s="129">
        <f t="shared" si="77"/>
        <v>0.98491303542430397</v>
      </c>
      <c r="BM45" s="175">
        <f t="shared" si="74"/>
        <v>1.0788514275518579</v>
      </c>
      <c r="BN45" s="129">
        <f t="shared" si="33"/>
        <v>1.0228070364903479</v>
      </c>
      <c r="BO45" s="129">
        <f t="shared" si="75"/>
        <v>0.955829959382128</v>
      </c>
      <c r="BP45" s="129">
        <f t="shared" si="78"/>
        <v>1.0095814872176958</v>
      </c>
    </row>
    <row r="46" spans="1:68" x14ac:dyDescent="0.2">
      <c r="A46" s="133" t="s">
        <v>664</v>
      </c>
      <c r="B46" s="133">
        <f t="shared" si="79"/>
        <v>1985</v>
      </c>
      <c r="D46" s="125">
        <f>'Passenger-based Energy Use'!E43</f>
        <v>72.615601899999987</v>
      </c>
      <c r="E46" s="125">
        <f>'Passenger-based Energy Use'!G43</f>
        <v>23.390866565957946</v>
      </c>
      <c r="F46" s="174">
        <f>'Passenger-based Energy Use'!H43</f>
        <v>58.370743199999986</v>
      </c>
      <c r="G46" s="125">
        <f t="shared" si="34"/>
        <v>154.37721166595793</v>
      </c>
      <c r="I46" s="4">
        <f>'Passenger-based Activity'!F44</f>
        <v>21161</v>
      </c>
      <c r="J46" s="4">
        <f>'Passenger-based Activity'!E44</f>
        <v>23800</v>
      </c>
      <c r="K46" s="4">
        <f>'Passenger-based Activity'!H44</f>
        <v>79303.999999999985</v>
      </c>
      <c r="L46" s="4">
        <f t="shared" si="35"/>
        <v>124264.99999999999</v>
      </c>
      <c r="N46" s="125">
        <f t="shared" si="47"/>
        <v>3431.5770473985153</v>
      </c>
      <c r="O46" s="125">
        <f t="shared" si="48"/>
        <v>982.80951957806485</v>
      </c>
      <c r="P46" s="125">
        <f t="shared" si="49"/>
        <v>736.03781902552203</v>
      </c>
      <c r="Q46" s="125">
        <f t="shared" si="50"/>
        <v>1242.3225499212003</v>
      </c>
      <c r="S46" s="129">
        <f t="shared" si="36"/>
        <v>1</v>
      </c>
      <c r="T46" s="129">
        <f t="shared" si="37"/>
        <v>1</v>
      </c>
      <c r="U46" s="129">
        <f t="shared" si="38"/>
        <v>1</v>
      </c>
      <c r="V46" s="129">
        <f t="shared" si="39"/>
        <v>1</v>
      </c>
      <c r="X46" s="131">
        <f t="shared" si="51"/>
        <v>1</v>
      </c>
      <c r="Y46" s="131">
        <f t="shared" si="52"/>
        <v>1</v>
      </c>
      <c r="Z46" s="131">
        <f t="shared" si="53"/>
        <v>1</v>
      </c>
      <c r="AA46" s="131">
        <f t="shared" si="54"/>
        <v>1</v>
      </c>
      <c r="AB46" s="131">
        <f t="shared" si="55"/>
        <v>1</v>
      </c>
      <c r="AC46" s="131">
        <f t="shared" si="56"/>
        <v>1</v>
      </c>
      <c r="AD46" s="131"/>
      <c r="AE46" s="131">
        <f t="shared" si="57"/>
        <v>1</v>
      </c>
      <c r="AH46" s="134"/>
      <c r="AJ46" s="129">
        <f t="shared" si="58"/>
        <v>0.4703777268443346</v>
      </c>
      <c r="AK46" s="129">
        <f t="shared" si="59"/>
        <v>0.15151761269384242</v>
      </c>
      <c r="AL46" s="129">
        <f t="shared" si="60"/>
        <v>0.37810466046182289</v>
      </c>
      <c r="AN46" s="129">
        <f t="shared" si="61"/>
        <v>0.46707775524342149</v>
      </c>
      <c r="AO46" s="129">
        <f t="shared" si="62"/>
        <v>0.15590051675083205</v>
      </c>
      <c r="AP46" s="129">
        <f t="shared" si="63"/>
        <v>0.37697099978130078</v>
      </c>
      <c r="AQ46" s="129">
        <f t="shared" si="64"/>
        <v>0.99994927177555437</v>
      </c>
      <c r="AS46" s="129">
        <f t="shared" si="65"/>
        <v>0.46710145047063983</v>
      </c>
      <c r="AT46" s="129">
        <f t="shared" si="66"/>
        <v>0.15590842570844435</v>
      </c>
      <c r="AU46" s="129">
        <f t="shared" si="67"/>
        <v>0.37699012382091573</v>
      </c>
      <c r="AX46" s="129">
        <f t="shared" si="68"/>
        <v>4.2093717669448388E-2</v>
      </c>
      <c r="AY46" s="129">
        <f t="shared" si="69"/>
        <v>-1.6008457477977113E-2</v>
      </c>
      <c r="AZ46" s="129">
        <f t="shared" si="70"/>
        <v>-5.210355482794052E-3</v>
      </c>
      <c r="BB46" s="129">
        <f t="shared" si="76"/>
        <v>0.17028930109041163</v>
      </c>
      <c r="BC46" s="129">
        <f t="shared" si="24"/>
        <v>0.191526173902547</v>
      </c>
      <c r="BD46" s="129">
        <f t="shared" si="25"/>
        <v>0.63818452500704137</v>
      </c>
      <c r="BF46" s="129">
        <f t="shared" si="71"/>
        <v>-2.2330496509476362E-2</v>
      </c>
      <c r="BG46" s="129">
        <f t="shared" si="72"/>
        <v>-3.5089417210334262E-2</v>
      </c>
      <c r="BH46" s="129">
        <f t="shared" si="73"/>
        <v>1.6884970762356628E-2</v>
      </c>
      <c r="BI46" s="580" t="e">
        <f>#REF!</f>
        <v>#REF!</v>
      </c>
      <c r="BJ46" s="129">
        <f t="shared" si="32"/>
        <v>1.0153180677207674</v>
      </c>
      <c r="BK46" s="129">
        <f t="shared" si="28"/>
        <v>1.0953773467797439</v>
      </c>
      <c r="BL46" s="129">
        <f t="shared" si="77"/>
        <v>1</v>
      </c>
      <c r="BM46" s="175">
        <f t="shared" si="74"/>
        <v>1.0953773467797439</v>
      </c>
      <c r="BN46" s="129">
        <f t="shared" si="33"/>
        <v>0.99050944640030836</v>
      </c>
      <c r="BO46" s="129">
        <f t="shared" si="75"/>
        <v>0.94675860392042088</v>
      </c>
      <c r="BP46" s="129">
        <f t="shared" si="78"/>
        <v>1</v>
      </c>
    </row>
    <row r="47" spans="1:68" x14ac:dyDescent="0.2">
      <c r="A47" s="133" t="s">
        <v>664</v>
      </c>
      <c r="B47" s="133">
        <f t="shared" si="79"/>
        <v>1986</v>
      </c>
      <c r="D47" s="125">
        <f>'Passenger-based Energy Use'!E44</f>
        <v>76.353920400000007</v>
      </c>
      <c r="E47" s="125">
        <f>'Passenger-based Energy Use'!G44</f>
        <v>23.654564788063507</v>
      </c>
      <c r="F47" s="174">
        <f>'Passenger-based Energy Use'!H44</f>
        <v>58.785924020130437</v>
      </c>
      <c r="G47" s="125">
        <f t="shared" si="34"/>
        <v>158.79440920819394</v>
      </c>
      <c r="I47" s="4">
        <f>'Passenger-based Activity'!F45</f>
        <v>21395</v>
      </c>
      <c r="J47" s="4">
        <f>'Passenger-based Activity'!E45</f>
        <v>23700</v>
      </c>
      <c r="K47" s="4">
        <f>'Passenger-based Activity'!H45</f>
        <v>79744.62414558568</v>
      </c>
      <c r="L47" s="4">
        <f t="shared" si="35"/>
        <v>124839.62414558568</v>
      </c>
      <c r="N47" s="125">
        <f t="shared" si="47"/>
        <v>3568.7740313157283</v>
      </c>
      <c r="O47" s="125">
        <f t="shared" si="48"/>
        <v>998.08290244993702</v>
      </c>
      <c r="P47" s="125">
        <f t="shared" si="49"/>
        <v>737.17726617919709</v>
      </c>
      <c r="Q47" s="125">
        <f t="shared" si="50"/>
        <v>1271.9872419914595</v>
      </c>
      <c r="S47" s="129">
        <f t="shared" si="36"/>
        <v>1.0399807383084179</v>
      </c>
      <c r="T47" s="129">
        <f t="shared" si="37"/>
        <v>1.0155405320844157</v>
      </c>
      <c r="U47" s="129">
        <f t="shared" si="38"/>
        <v>1.0015480823460725</v>
      </c>
      <c r="V47" s="129">
        <f t="shared" si="39"/>
        <v>1.0238784139208781</v>
      </c>
      <c r="X47" s="131">
        <f t="shared" si="51"/>
        <v>1.0046241833628591</v>
      </c>
      <c r="Y47" s="131">
        <f t="shared" si="52"/>
        <v>1.0238784139208781</v>
      </c>
      <c r="Z47" s="131">
        <f t="shared" si="53"/>
        <v>1.002059492392211</v>
      </c>
      <c r="AA47" s="131">
        <f t="shared" si="54"/>
        <v>1.0217740779807187</v>
      </c>
      <c r="AB47" s="131">
        <f t="shared" si="55"/>
        <v>1.0286130154481219</v>
      </c>
      <c r="AC47" s="131">
        <f t="shared" si="56"/>
        <v>1.0286130154481217</v>
      </c>
      <c r="AD47" s="131"/>
      <c r="AE47" s="131">
        <f t="shared" si="57"/>
        <v>1.0238784139208785</v>
      </c>
      <c r="AH47" s="134"/>
      <c r="AJ47" s="129">
        <f t="shared" si="58"/>
        <v>0.4808350670576384</v>
      </c>
      <c r="AK47" s="129">
        <f t="shared" si="59"/>
        <v>0.14896346103123956</v>
      </c>
      <c r="AL47" s="129">
        <f t="shared" si="60"/>
        <v>0.37020147191112213</v>
      </c>
      <c r="AN47" s="129">
        <f t="shared" si="61"/>
        <v>0.47558723553765192</v>
      </c>
      <c r="AO47" s="129">
        <f t="shared" si="62"/>
        <v>0.15023691832270214</v>
      </c>
      <c r="AP47" s="129">
        <f t="shared" si="63"/>
        <v>0.3741391542671475</v>
      </c>
      <c r="AQ47" s="129">
        <f t="shared" si="64"/>
        <v>0.99996330812750156</v>
      </c>
      <c r="AS47" s="129">
        <f t="shared" si="65"/>
        <v>0.47560468636416364</v>
      </c>
      <c r="AT47" s="129">
        <f t="shared" si="66"/>
        <v>0.1502424309988242</v>
      </c>
      <c r="AU47" s="129">
        <f t="shared" si="67"/>
        <v>0.37415288263701213</v>
      </c>
      <c r="AX47" s="129">
        <f t="shared" si="68"/>
        <v>3.9202192124477585E-2</v>
      </c>
      <c r="AY47" s="129">
        <f t="shared" si="69"/>
        <v>1.5421014668090692E-2</v>
      </c>
      <c r="AZ47" s="129">
        <f t="shared" si="70"/>
        <v>1.5468853018535025E-3</v>
      </c>
      <c r="BB47" s="129">
        <f t="shared" si="76"/>
        <v>0.1713798815594762</v>
      </c>
      <c r="BC47" s="129">
        <f t="shared" si="24"/>
        <v>0.18984357059871868</v>
      </c>
      <c r="BD47" s="129">
        <f t="shared" si="25"/>
        <v>0.63877654784180515</v>
      </c>
      <c r="BF47" s="129">
        <f t="shared" si="71"/>
        <v>6.3838603433127939E-3</v>
      </c>
      <c r="BG47" s="129">
        <f t="shared" si="72"/>
        <v>-8.8240572091766514E-3</v>
      </c>
      <c r="BH47" s="129">
        <f t="shared" si="73"/>
        <v>9.2723715666591876E-4</v>
      </c>
      <c r="BI47" s="129" t="e">
        <f>#REF!</f>
        <v>#REF!</v>
      </c>
      <c r="BJ47" s="129">
        <f t="shared" si="32"/>
        <v>1.0217740779807187</v>
      </c>
      <c r="BK47" s="129">
        <f t="shared" si="28"/>
        <v>1.1192281785468388</v>
      </c>
      <c r="BL47" s="129">
        <f t="shared" si="77"/>
        <v>1.0217740779807187</v>
      </c>
      <c r="BN47" s="129">
        <f t="shared" si="33"/>
        <v>1.002059492392211</v>
      </c>
      <c r="BO47" s="129">
        <f t="shared" si="75"/>
        <v>0.9487084460624553</v>
      </c>
      <c r="BP47" s="129">
        <f t="shared" si="78"/>
        <v>1.002059492392211</v>
      </c>
    </row>
    <row r="48" spans="1:68" x14ac:dyDescent="0.2">
      <c r="A48" s="133" t="s">
        <v>664</v>
      </c>
      <c r="B48" s="133">
        <f t="shared" si="79"/>
        <v>1987</v>
      </c>
      <c r="D48" s="125">
        <f>'Passenger-based Energy Use'!E45</f>
        <v>75.607651799999999</v>
      </c>
      <c r="E48" s="125">
        <f>'Passenger-based Energy Use'!G45</f>
        <v>23.917659717054548</v>
      </c>
      <c r="F48" s="174">
        <f>'Passenger-based Energy Use'!H45</f>
        <v>60.31504346679715</v>
      </c>
      <c r="G48" s="125">
        <f t="shared" si="34"/>
        <v>159.84035498385168</v>
      </c>
      <c r="I48" s="4">
        <f>'Passenger-based Activity'!F46</f>
        <v>20970</v>
      </c>
      <c r="J48" s="4">
        <f>'Passenger-based Activity'!E46</f>
        <v>23000</v>
      </c>
      <c r="K48" s="4">
        <f>'Passenger-based Activity'!H46</f>
        <v>81692.251749614574</v>
      </c>
      <c r="L48" s="4">
        <f t="shared" si="35"/>
        <v>125662.25174961457</v>
      </c>
      <c r="N48" s="125">
        <f t="shared" si="47"/>
        <v>3605.5151072961376</v>
      </c>
      <c r="O48" s="125">
        <f t="shared" si="48"/>
        <v>1039.898248567589</v>
      </c>
      <c r="P48" s="125">
        <f t="shared" si="49"/>
        <v>738.32024671889053</v>
      </c>
      <c r="Q48" s="125">
        <f t="shared" si="50"/>
        <v>1271.9838516210732</v>
      </c>
      <c r="S48" s="129">
        <f t="shared" si="36"/>
        <v>1.0506874995068185</v>
      </c>
      <c r="T48" s="129">
        <f t="shared" si="37"/>
        <v>1.0580872771908367</v>
      </c>
      <c r="U48" s="129">
        <f t="shared" si="38"/>
        <v>1.0031009652416913</v>
      </c>
      <c r="V48" s="129">
        <f t="shared" si="39"/>
        <v>1.0238756848628034</v>
      </c>
      <c r="X48" s="131">
        <f t="shared" si="51"/>
        <v>1.0112441294782488</v>
      </c>
      <c r="Y48" s="131">
        <f t="shared" si="52"/>
        <v>1.0238756848628034</v>
      </c>
      <c r="Z48" s="131">
        <f t="shared" si="53"/>
        <v>0.990508397620109</v>
      </c>
      <c r="AA48" s="131">
        <f t="shared" si="54"/>
        <v>1.0336870311477075</v>
      </c>
      <c r="AB48" s="131">
        <f t="shared" si="55"/>
        <v>1.0353882756330317</v>
      </c>
      <c r="AC48" s="131">
        <f t="shared" si="56"/>
        <v>1.0353882756330315</v>
      </c>
      <c r="AD48" s="131"/>
      <c r="AE48" s="131">
        <f t="shared" si="57"/>
        <v>1.0238756848628034</v>
      </c>
      <c r="AH48" s="134"/>
      <c r="AJ48" s="129">
        <f t="shared" si="58"/>
        <v>0.47301979407915151</v>
      </c>
      <c r="AK48" s="129">
        <f t="shared" si="59"/>
        <v>0.14963467592067659</v>
      </c>
      <c r="AL48" s="129">
        <f t="shared" si="60"/>
        <v>0.37734553000017201</v>
      </c>
      <c r="AN48" s="129">
        <f t="shared" si="61"/>
        <v>0.47691675815765794</v>
      </c>
      <c r="AO48" s="129">
        <f t="shared" si="62"/>
        <v>0.14929881700640579</v>
      </c>
      <c r="AP48" s="129">
        <f t="shared" si="63"/>
        <v>0.37376212178062129</v>
      </c>
      <c r="AQ48" s="129">
        <f t="shared" si="64"/>
        <v>0.99997769694468497</v>
      </c>
      <c r="AS48" s="129">
        <f t="shared" si="65"/>
        <v>0.47692739509573201</v>
      </c>
      <c r="AT48" s="129">
        <f t="shared" si="66"/>
        <v>0.14930214690044677</v>
      </c>
      <c r="AU48" s="129">
        <f t="shared" si="67"/>
        <v>0.37377045800382125</v>
      </c>
      <c r="AX48" s="129">
        <f t="shared" si="68"/>
        <v>1.0242519217273533E-2</v>
      </c>
      <c r="AY48" s="129">
        <f t="shared" si="69"/>
        <v>4.1041807984626248E-2</v>
      </c>
      <c r="AZ48" s="129">
        <f t="shared" si="70"/>
        <v>1.5492818636754146E-3</v>
      </c>
      <c r="BB48" s="129">
        <f t="shared" si="76"/>
        <v>0.16687588920325327</v>
      </c>
      <c r="BC48" s="129">
        <f t="shared" si="24"/>
        <v>0.18303030289341082</v>
      </c>
      <c r="BD48" s="129">
        <f t="shared" si="25"/>
        <v>0.65009380790333593</v>
      </c>
      <c r="BF48" s="129">
        <f t="shared" si="71"/>
        <v>-2.6632264442728711E-2</v>
      </c>
      <c r="BG48" s="129">
        <f t="shared" si="72"/>
        <v>-3.6548691699713108E-2</v>
      </c>
      <c r="BH48" s="129">
        <f t="shared" si="73"/>
        <v>1.756196949467893E-2</v>
      </c>
      <c r="BI48" s="129" t="e">
        <f>#REF!</f>
        <v>#REF!</v>
      </c>
      <c r="BJ48" s="129">
        <f t="shared" si="32"/>
        <v>1.0116590872911277</v>
      </c>
      <c r="BK48" s="129">
        <f t="shared" si="28"/>
        <v>1.1322773575792062</v>
      </c>
      <c r="BL48" s="129">
        <f t="shared" si="77"/>
        <v>1.0336870311477075</v>
      </c>
      <c r="BN48" s="129">
        <f t="shared" si="33"/>
        <v>0.98847264572632698</v>
      </c>
      <c r="BO48" s="129">
        <f t="shared" si="75"/>
        <v>0.93777234770226758</v>
      </c>
      <c r="BP48" s="129">
        <f t="shared" si="78"/>
        <v>0.990508397620109</v>
      </c>
    </row>
    <row r="49" spans="1:68" x14ac:dyDescent="0.2">
      <c r="A49" s="133" t="s">
        <v>664</v>
      </c>
      <c r="B49" s="133">
        <f t="shared" si="79"/>
        <v>1988</v>
      </c>
      <c r="D49" s="125">
        <f>'Passenger-based Energy Use'!E46</f>
        <v>76.903664600000013</v>
      </c>
      <c r="E49" s="125">
        <f>'Passenger-based Energy Use'!G46</f>
        <v>24.18015342090132</v>
      </c>
      <c r="F49" s="174">
        <f>'Passenger-based Energy Use'!H46</f>
        <v>62.424709742177832</v>
      </c>
      <c r="G49" s="125">
        <f t="shared" si="34"/>
        <v>163.50852776307917</v>
      </c>
      <c r="I49" s="4">
        <f>'Passenger-based Activity'!F47</f>
        <v>20753</v>
      </c>
      <c r="J49" s="4">
        <f>'Passenger-based Activity'!E47</f>
        <v>23100</v>
      </c>
      <c r="K49" s="4">
        <f>'Passenger-based Activity'!H47</f>
        <v>84418.545463974122</v>
      </c>
      <c r="L49" s="4">
        <f t="shared" si="35"/>
        <v>128271.54546397412</v>
      </c>
      <c r="N49" s="125">
        <f t="shared" si="47"/>
        <v>3705.6649448272547</v>
      </c>
      <c r="O49" s="125">
        <f t="shared" si="48"/>
        <v>1046.7598883507067</v>
      </c>
      <c r="P49" s="125">
        <f t="shared" si="49"/>
        <v>739.46677710548533</v>
      </c>
      <c r="Q49" s="125">
        <f t="shared" si="50"/>
        <v>1274.7061491435884</v>
      </c>
      <c r="S49" s="129">
        <f t="shared" si="36"/>
        <v>1.0798722842713167</v>
      </c>
      <c r="T49" s="129">
        <f t="shared" si="37"/>
        <v>1.0650689350262874</v>
      </c>
      <c r="U49" s="129">
        <f t="shared" si="38"/>
        <v>1.0046586710510379</v>
      </c>
      <c r="V49" s="129">
        <f t="shared" si="39"/>
        <v>1.0260669817387136</v>
      </c>
      <c r="X49" s="131">
        <f t="shared" si="51"/>
        <v>1.0322419463563686</v>
      </c>
      <c r="Y49" s="131">
        <f t="shared" si="52"/>
        <v>1.0260669817387136</v>
      </c>
      <c r="Z49" s="131">
        <f t="shared" si="53"/>
        <v>0.97834841191946298</v>
      </c>
      <c r="AA49" s="131">
        <f t="shared" si="54"/>
        <v>1.0487746177515938</v>
      </c>
      <c r="AB49" s="131">
        <f t="shared" si="55"/>
        <v>1.0591493783219743</v>
      </c>
      <c r="AC49" s="131">
        <f t="shared" si="56"/>
        <v>1.0591493783219743</v>
      </c>
      <c r="AD49" s="131"/>
      <c r="AE49" s="131">
        <f t="shared" si="57"/>
        <v>1.0260669817387136</v>
      </c>
      <c r="AH49" s="134"/>
      <c r="AJ49" s="129">
        <f t="shared" si="58"/>
        <v>0.47033427339907308</v>
      </c>
      <c r="AK49" s="129">
        <f t="shared" si="59"/>
        <v>0.14788313338578837</v>
      </c>
      <c r="AL49" s="129">
        <f t="shared" si="60"/>
        <v>0.38178259321513847</v>
      </c>
      <c r="AN49" s="129">
        <f t="shared" si="61"/>
        <v>0.47167575955564867</v>
      </c>
      <c r="AO49" s="129">
        <f t="shared" si="62"/>
        <v>0.14875718602804403</v>
      </c>
      <c r="AP49" s="129">
        <f t="shared" si="63"/>
        <v>0.37955973916880875</v>
      </c>
      <c r="AQ49" s="129">
        <f t="shared" si="64"/>
        <v>0.99999268475250136</v>
      </c>
      <c r="AS49" s="129">
        <f t="shared" si="65"/>
        <v>0.47167921000580981</v>
      </c>
      <c r="AT49" s="129">
        <f t="shared" si="66"/>
        <v>0.14875827423163751</v>
      </c>
      <c r="AU49" s="129">
        <f t="shared" si="67"/>
        <v>0.37956251576255279</v>
      </c>
      <c r="AX49" s="129">
        <f t="shared" si="68"/>
        <v>2.7398067497331008E-2</v>
      </c>
      <c r="AY49" s="129">
        <f t="shared" si="69"/>
        <v>6.5767021381363385E-3</v>
      </c>
      <c r="AZ49" s="129">
        <f t="shared" si="70"/>
        <v>1.5516858629224927E-3</v>
      </c>
      <c r="BB49" s="129">
        <f t="shared" si="76"/>
        <v>0.16178958415862082</v>
      </c>
      <c r="BC49" s="129">
        <f t="shared" si="24"/>
        <v>0.18008670525052481</v>
      </c>
      <c r="BD49" s="129">
        <f t="shared" si="25"/>
        <v>0.65812371059085439</v>
      </c>
      <c r="BF49" s="129">
        <f t="shared" si="71"/>
        <v>-3.0953729939100449E-2</v>
      </c>
      <c r="BG49" s="129">
        <f t="shared" si="72"/>
        <v>-1.6213297966196711E-2</v>
      </c>
      <c r="BH49" s="129">
        <f t="shared" si="73"/>
        <v>1.2276251342284088E-2</v>
      </c>
      <c r="BI49" s="129" t="e">
        <f>#REF!</f>
        <v>#REF!</v>
      </c>
      <c r="BJ49" s="129">
        <f t="shared" si="32"/>
        <v>1.0145958942593432</v>
      </c>
      <c r="BK49" s="129">
        <f t="shared" si="28"/>
        <v>1.1488039581626808</v>
      </c>
      <c r="BL49" s="129">
        <f t="shared" si="77"/>
        <v>1.0487746177515938</v>
      </c>
      <c r="BN49" s="129">
        <f t="shared" si="33"/>
        <v>0.98772349055307074</v>
      </c>
      <c r="BO49" s="129">
        <f t="shared" si="75"/>
        <v>0.92625977661663161</v>
      </c>
      <c r="BP49" s="129">
        <f t="shared" si="78"/>
        <v>0.97834841191946298</v>
      </c>
    </row>
    <row r="50" spans="1:68" x14ac:dyDescent="0.2">
      <c r="A50" s="133" t="s">
        <v>664</v>
      </c>
      <c r="B50" s="133">
        <f t="shared" si="79"/>
        <v>1989</v>
      </c>
      <c r="D50" s="125">
        <f>'Passenger-based Energy Use'!E47</f>
        <v>76.695337199999983</v>
      </c>
      <c r="E50" s="125">
        <f>'Passenger-based Energy Use'!G47</f>
        <v>24.44204795813339</v>
      </c>
      <c r="F50" s="174">
        <f>'Passenger-based Energy Use'!H47</f>
        <v>64.131996088434406</v>
      </c>
      <c r="G50" s="125">
        <f t="shared" si="34"/>
        <v>165.26938124656778</v>
      </c>
      <c r="I50" s="4">
        <f>'Passenger-based Activity'!F48</f>
        <v>20768</v>
      </c>
      <c r="J50" s="4">
        <f>'Passenger-based Activity'!E48</f>
        <v>24000</v>
      </c>
      <c r="K50" s="4">
        <f>'Passenger-based Activity'!H48</f>
        <v>86592.674766544646</v>
      </c>
      <c r="L50" s="4">
        <f t="shared" si="35"/>
        <v>131360.67476654466</v>
      </c>
      <c r="N50" s="125">
        <f t="shared" si="47"/>
        <v>3692.9572996918328</v>
      </c>
      <c r="O50" s="125">
        <f t="shared" si="48"/>
        <v>1018.4186649222246</v>
      </c>
      <c r="P50" s="125">
        <f t="shared" si="49"/>
        <v>740.61687390227155</v>
      </c>
      <c r="Q50" s="125">
        <f t="shared" si="50"/>
        <v>1258.1343810869269</v>
      </c>
      <c r="S50" s="129">
        <f t="shared" si="36"/>
        <v>1.0761691340986996</v>
      </c>
      <c r="T50" s="129">
        <f t="shared" si="37"/>
        <v>1.0362319906704274</v>
      </c>
      <c r="U50" s="129">
        <f t="shared" si="38"/>
        <v>1.0062212222774258</v>
      </c>
      <c r="V50" s="129">
        <f t="shared" si="39"/>
        <v>1.0127276375742591</v>
      </c>
      <c r="X50" s="131">
        <f t="shared" si="51"/>
        <v>1.0571011529114769</v>
      </c>
      <c r="Y50" s="131">
        <f t="shared" si="52"/>
        <v>1.0127276375742591</v>
      </c>
      <c r="Z50" s="131">
        <f t="shared" si="53"/>
        <v>0.9705337778308667</v>
      </c>
      <c r="AA50" s="131">
        <f t="shared" si="54"/>
        <v>1.0434749008300312</v>
      </c>
      <c r="AB50" s="131">
        <f t="shared" si="55"/>
        <v>1.0705555532650657</v>
      </c>
      <c r="AC50" s="131">
        <f t="shared" si="56"/>
        <v>1.0705555532650659</v>
      </c>
      <c r="AD50" s="131"/>
      <c r="AE50" s="131">
        <f t="shared" si="57"/>
        <v>1.0127276375742591</v>
      </c>
      <c r="AH50" s="134"/>
      <c r="AJ50" s="129">
        <f t="shared" si="58"/>
        <v>0.46406259055073912</v>
      </c>
      <c r="AK50" s="129">
        <f t="shared" si="59"/>
        <v>0.14789217321306447</v>
      </c>
      <c r="AL50" s="129">
        <f t="shared" si="60"/>
        <v>0.38804523623619641</v>
      </c>
      <c r="AN50" s="129">
        <f t="shared" si="61"/>
        <v>0.46719141595565761</v>
      </c>
      <c r="AO50" s="129">
        <f t="shared" si="62"/>
        <v>0.1478876532535052</v>
      </c>
      <c r="AP50" s="129">
        <f t="shared" si="63"/>
        <v>0.38490542334870126</v>
      </c>
      <c r="AQ50" s="129">
        <f t="shared" si="64"/>
        <v>0.99998449255786404</v>
      </c>
      <c r="AS50" s="129">
        <f t="shared" si="65"/>
        <v>0.46719866101185925</v>
      </c>
      <c r="AT50" s="129">
        <f t="shared" si="66"/>
        <v>0.14788994664829533</v>
      </c>
      <c r="AU50" s="129">
        <f t="shared" si="67"/>
        <v>0.38491139233984545</v>
      </c>
      <c r="AX50" s="129">
        <f t="shared" si="68"/>
        <v>-3.4351416281307237E-3</v>
      </c>
      <c r="AY50" s="129">
        <f t="shared" si="69"/>
        <v>-2.7448476803407836E-2</v>
      </c>
      <c r="AZ50" s="129">
        <f t="shared" si="70"/>
        <v>1.5540973342703572E-3</v>
      </c>
      <c r="BB50" s="129">
        <f t="shared" si="76"/>
        <v>0.15809906607825416</v>
      </c>
      <c r="BC50" s="129">
        <f t="shared" si="24"/>
        <v>0.182703080984115</v>
      </c>
      <c r="BD50" s="129">
        <f t="shared" si="25"/>
        <v>0.65919785293763067</v>
      </c>
      <c r="BF50" s="129">
        <f t="shared" si="71"/>
        <v>-2.3074790720476593E-2</v>
      </c>
      <c r="BG50" s="129">
        <f t="shared" si="72"/>
        <v>1.4423896117564908E-2</v>
      </c>
      <c r="BH50" s="129">
        <f t="shared" si="73"/>
        <v>1.6307978470436668E-3</v>
      </c>
      <c r="BI50" s="129" t="e">
        <f>#REF!</f>
        <v>#REF!</v>
      </c>
      <c r="BJ50" s="129">
        <f t="shared" si="32"/>
        <v>0.99494675325674442</v>
      </c>
      <c r="BK50" s="129">
        <f t="shared" si="28"/>
        <v>1.1429987683024561</v>
      </c>
      <c r="BL50" s="129">
        <f t="shared" si="77"/>
        <v>1.0434749008300312</v>
      </c>
      <c r="BN50" s="129">
        <f t="shared" si="33"/>
        <v>0.99201242216638907</v>
      </c>
      <c r="BO50" s="129">
        <f t="shared" si="75"/>
        <v>0.91886120455676323</v>
      </c>
      <c r="BP50" s="129">
        <f t="shared" si="78"/>
        <v>0.9705337778308667</v>
      </c>
    </row>
    <row r="51" spans="1:68" x14ac:dyDescent="0.2">
      <c r="A51" s="133" t="s">
        <v>664</v>
      </c>
      <c r="B51" s="133">
        <f t="shared" si="79"/>
        <v>1990</v>
      </c>
      <c r="D51" s="125">
        <f>'Passenger-based Energy Use'!E48</f>
        <v>78.359043699999987</v>
      </c>
      <c r="E51" s="125">
        <f>'Passenger-based Energy Use'!G48</f>
        <v>24.703345377893466</v>
      </c>
      <c r="F51" s="174">
        <f>'Passenger-based Energy Use'!H48</f>
        <v>64.830746399999995</v>
      </c>
      <c r="G51" s="125">
        <f t="shared" si="34"/>
        <v>167.89313547789345</v>
      </c>
      <c r="I51" s="4">
        <f>'Passenger-based Activity'!F49</f>
        <v>20981</v>
      </c>
      <c r="J51" s="4">
        <f>'Passenger-based Activity'!E49</f>
        <v>23000</v>
      </c>
      <c r="K51" s="4">
        <f>'Passenger-based Activity'!H49</f>
        <v>87400</v>
      </c>
      <c r="L51" s="4">
        <f t="shared" si="35"/>
        <v>131381</v>
      </c>
      <c r="N51" s="125">
        <f t="shared" si="47"/>
        <v>3734.7621038082066</v>
      </c>
      <c r="O51" s="125">
        <f t="shared" si="48"/>
        <v>1074.0584946910203</v>
      </c>
      <c r="P51" s="125">
        <f t="shared" si="49"/>
        <v>741.77055377574368</v>
      </c>
      <c r="Q51" s="125">
        <f t="shared" si="50"/>
        <v>1277.9103179142603</v>
      </c>
      <c r="S51" s="129">
        <f t="shared" si="36"/>
        <v>1.0883515224114044</v>
      </c>
      <c r="T51" s="129">
        <f t="shared" si="37"/>
        <v>1.092845025709692</v>
      </c>
      <c r="U51" s="129">
        <f t="shared" si="38"/>
        <v>1.0077886415643853</v>
      </c>
      <c r="V51" s="129">
        <f t="shared" si="39"/>
        <v>1.0286461579525521</v>
      </c>
      <c r="X51" s="131">
        <f t="shared" si="51"/>
        <v>1.0572647165332154</v>
      </c>
      <c r="Y51" s="131">
        <f t="shared" si="52"/>
        <v>1.0286461579525521</v>
      </c>
      <c r="Z51" s="131">
        <f t="shared" si="53"/>
        <v>0.97238750261964702</v>
      </c>
      <c r="AA51" s="131">
        <f t="shared" si="54"/>
        <v>1.057856209773719</v>
      </c>
      <c r="AB51" s="131">
        <f t="shared" si="55"/>
        <v>1.087551288600686</v>
      </c>
      <c r="AC51" s="131">
        <f t="shared" si="56"/>
        <v>1.0875512886006864</v>
      </c>
      <c r="AD51" s="131"/>
      <c r="AE51" s="131">
        <f t="shared" si="57"/>
        <v>1.0286461579525521</v>
      </c>
      <c r="AH51" s="134"/>
      <c r="AJ51" s="129">
        <f t="shared" si="58"/>
        <v>0.46671975883324635</v>
      </c>
      <c r="AK51" s="129">
        <f t="shared" si="59"/>
        <v>0.14713731629096988</v>
      </c>
      <c r="AL51" s="129">
        <f t="shared" si="60"/>
        <v>0.38614292487578378</v>
      </c>
      <c r="AN51" s="129">
        <f t="shared" si="61"/>
        <v>0.46538991042245148</v>
      </c>
      <c r="AO51" s="129">
        <f t="shared" si="62"/>
        <v>0.14751442285765895</v>
      </c>
      <c r="AP51" s="129">
        <f t="shared" si="63"/>
        <v>0.38709330150456545</v>
      </c>
      <c r="AQ51" s="129">
        <f t="shared" si="64"/>
        <v>0.99999763478467585</v>
      </c>
      <c r="AS51" s="129">
        <f t="shared" si="65"/>
        <v>0.46539101117240284</v>
      </c>
      <c r="AT51" s="129">
        <f t="shared" si="66"/>
        <v>0.14751477176185765</v>
      </c>
      <c r="AU51" s="129">
        <f t="shared" si="67"/>
        <v>0.38709421706573954</v>
      </c>
      <c r="AX51" s="129">
        <f t="shared" si="68"/>
        <v>1.125654949197741E-2</v>
      </c>
      <c r="AY51" s="129">
        <f t="shared" si="69"/>
        <v>5.3193363148315354E-2</v>
      </c>
      <c r="AZ51" s="129">
        <f t="shared" si="70"/>
        <v>1.5565163126102836E-3</v>
      </c>
      <c r="BB51" s="129">
        <f t="shared" si="76"/>
        <v>0.15969584643137136</v>
      </c>
      <c r="BC51" s="129">
        <f t="shared" si="24"/>
        <v>0.17506336532679764</v>
      </c>
      <c r="BD51" s="129">
        <f t="shared" si="25"/>
        <v>0.66524078824183097</v>
      </c>
      <c r="BF51" s="129">
        <f t="shared" si="71"/>
        <v>1.0049209273178917E-2</v>
      </c>
      <c r="BG51" s="129">
        <f t="shared" si="72"/>
        <v>-4.271433089850122E-2</v>
      </c>
      <c r="BH51" s="129">
        <f t="shared" si="73"/>
        <v>9.1253411824775855E-3</v>
      </c>
      <c r="BI51" s="129" t="e">
        <f>#REF!</f>
        <v>#REF!</v>
      </c>
      <c r="BJ51" s="129">
        <f t="shared" si="32"/>
        <v>1.0137821321166882</v>
      </c>
      <c r="BK51" s="129">
        <f t="shared" si="28"/>
        <v>1.1587517283364124</v>
      </c>
      <c r="BL51" s="129">
        <f t="shared" si="77"/>
        <v>1.057856209773719</v>
      </c>
      <c r="BN51" s="129">
        <f t="shared" si="33"/>
        <v>1.00191000543322</v>
      </c>
      <c r="BO51" s="129">
        <f t="shared" si="75"/>
        <v>0.92061623444984164</v>
      </c>
      <c r="BP51" s="129">
        <f t="shared" si="78"/>
        <v>0.97238750261964702</v>
      </c>
    </row>
    <row r="52" spans="1:68" x14ac:dyDescent="0.2">
      <c r="A52" s="133" t="s">
        <v>664</v>
      </c>
      <c r="B52" s="133">
        <f t="shared" si="79"/>
        <v>1991</v>
      </c>
      <c r="D52" s="125">
        <f>'Passenger-based Energy Use'!E49</f>
        <v>79.705820700000004</v>
      </c>
      <c r="E52" s="125">
        <f>'Passenger-based Energy Use'!G49</f>
        <v>26.044677752952744</v>
      </c>
      <c r="F52" s="174">
        <f>'Passenger-based Energy Use'!H49</f>
        <v>66.664251034070517</v>
      </c>
      <c r="G52" s="125">
        <f t="shared" si="34"/>
        <v>172.41474948702324</v>
      </c>
      <c r="I52" s="4">
        <f>'Passenger-based Activity'!F50</f>
        <v>21090</v>
      </c>
      <c r="J52" s="4">
        <f>'Passenger-based Activity'!E50</f>
        <v>23100</v>
      </c>
      <c r="K52" s="4">
        <f>'Passenger-based Activity'!H50</f>
        <v>89897.264588576203</v>
      </c>
      <c r="L52" s="4">
        <f t="shared" si="35"/>
        <v>134087.26458857622</v>
      </c>
      <c r="N52" s="125">
        <f t="shared" si="47"/>
        <v>3779.3181934566146</v>
      </c>
      <c r="O52" s="125">
        <f t="shared" si="48"/>
        <v>1127.4752274005516</v>
      </c>
      <c r="P52" s="125">
        <f t="shared" si="49"/>
        <v>741.5603949593584</v>
      </c>
      <c r="Q52" s="125">
        <f t="shared" si="50"/>
        <v>1285.8398597066496</v>
      </c>
      <c r="S52" s="129">
        <f t="shared" si="36"/>
        <v>1.1013356661543481</v>
      </c>
      <c r="T52" s="129">
        <f t="shared" si="37"/>
        <v>1.1471960791391134</v>
      </c>
      <c r="U52" s="129">
        <f t="shared" si="38"/>
        <v>1.0075031143659818</v>
      </c>
      <c r="V52" s="129">
        <f t="shared" si="39"/>
        <v>1.035028994513711</v>
      </c>
      <c r="X52" s="131">
        <f t="shared" si="51"/>
        <v>1.0790428888953143</v>
      </c>
      <c r="Y52" s="131">
        <f t="shared" si="52"/>
        <v>1.035028994513711</v>
      </c>
      <c r="Z52" s="131">
        <f t="shared" si="53"/>
        <v>0.96613601868310794</v>
      </c>
      <c r="AA52" s="131">
        <f t="shared" si="54"/>
        <v>1.0713077397989028</v>
      </c>
      <c r="AB52" s="131">
        <f t="shared" si="55"/>
        <v>1.116840676330487</v>
      </c>
      <c r="AC52" s="131">
        <f t="shared" si="56"/>
        <v>1.1168406763304872</v>
      </c>
      <c r="AD52" s="131"/>
      <c r="AE52" s="131">
        <f t="shared" si="57"/>
        <v>1.035028994513711</v>
      </c>
      <c r="AH52" s="134"/>
      <c r="AJ52" s="129">
        <f t="shared" si="58"/>
        <v>0.46229119571930266</v>
      </c>
      <c r="AK52" s="129">
        <f t="shared" si="59"/>
        <v>0.151058293043038</v>
      </c>
      <c r="AL52" s="129">
        <f t="shared" si="60"/>
        <v>0.38665051123765942</v>
      </c>
      <c r="AN52" s="129">
        <f t="shared" si="61"/>
        <v>0.46450195878706685</v>
      </c>
      <c r="AO52" s="129">
        <f t="shared" si="62"/>
        <v>0.14908921144435336</v>
      </c>
      <c r="AP52" s="129">
        <f t="shared" si="63"/>
        <v>0.38639666249119259</v>
      </c>
      <c r="AQ52" s="129">
        <f t="shared" si="64"/>
        <v>0.99998783272261282</v>
      </c>
      <c r="AS52" s="129">
        <f t="shared" si="65"/>
        <v>0.46450761058001322</v>
      </c>
      <c r="AT52" s="129">
        <f t="shared" si="66"/>
        <v>0.14909102547621628</v>
      </c>
      <c r="AU52" s="129">
        <f t="shared" si="67"/>
        <v>0.38640136394377045</v>
      </c>
      <c r="AX52" s="129">
        <f t="shared" si="68"/>
        <v>1.1859498464337271E-2</v>
      </c>
      <c r="AY52" s="129">
        <f t="shared" si="69"/>
        <v>4.8536361955851676E-2</v>
      </c>
      <c r="AZ52" s="129">
        <f t="shared" si="70"/>
        <v>-2.8336065929286132E-4</v>
      </c>
      <c r="BB52" s="129">
        <f t="shared" si="76"/>
        <v>0.15728563085175201</v>
      </c>
      <c r="BC52" s="129">
        <f t="shared" si="24"/>
        <v>0.17227586878499154</v>
      </c>
      <c r="BD52" s="129">
        <f t="shared" si="25"/>
        <v>0.67043850036325636</v>
      </c>
      <c r="BF52" s="129">
        <f t="shared" si="71"/>
        <v>-1.5207589106673129E-2</v>
      </c>
      <c r="BG52" s="129">
        <f t="shared" si="72"/>
        <v>-1.605091572419453E-2</v>
      </c>
      <c r="BH52" s="129">
        <f t="shared" si="73"/>
        <v>7.7829137620332219E-3</v>
      </c>
      <c r="BI52" s="129" t="e">
        <f>#REF!</f>
        <v>#REF!</v>
      </c>
      <c r="BJ52" s="129">
        <f t="shared" si="32"/>
        <v>1.0127158397340801</v>
      </c>
      <c r="BK52" s="129">
        <f t="shared" si="28"/>
        <v>1.1734862296055264</v>
      </c>
      <c r="BL52" s="129">
        <f t="shared" si="77"/>
        <v>1.0713077397989028</v>
      </c>
      <c r="BN52" s="129">
        <f t="shared" si="33"/>
        <v>0.99357099518484415</v>
      </c>
      <c r="BO52" s="129">
        <f t="shared" si="75"/>
        <v>0.91469758824565295</v>
      </c>
      <c r="BP52" s="129">
        <f t="shared" si="78"/>
        <v>0.96613601868310794</v>
      </c>
    </row>
    <row r="53" spans="1:68" x14ac:dyDescent="0.2">
      <c r="A53" s="133" t="s">
        <v>664</v>
      </c>
      <c r="B53" s="133">
        <f t="shared" si="79"/>
        <v>1992</v>
      </c>
      <c r="D53" s="125">
        <f>'Passenger-based Energy Use'!E50</f>
        <v>82.625603199999986</v>
      </c>
      <c r="E53" s="125">
        <f>'Passenger-based Energy Use'!G50</f>
        <v>27.382958857685725</v>
      </c>
      <c r="F53" s="174">
        <f>'Passenger-based Energy Use'!H50</f>
        <v>69.531186056359061</v>
      </c>
      <c r="G53" s="125">
        <f t="shared" si="34"/>
        <v>179.53974811404476</v>
      </c>
      <c r="I53" s="4">
        <f>'Passenger-based Activity'!F51</f>
        <v>20336</v>
      </c>
      <c r="J53" s="4">
        <f>'Passenger-based Activity'!E51</f>
        <v>22600</v>
      </c>
      <c r="K53" s="4">
        <f>'Passenger-based Activity'!H51</f>
        <v>93789.913998459844</v>
      </c>
      <c r="L53" s="4">
        <f t="shared" si="35"/>
        <v>136725.91399845984</v>
      </c>
      <c r="N53" s="125">
        <f t="shared" si="47"/>
        <v>4063.0214004720688</v>
      </c>
      <c r="O53" s="125">
        <f t="shared" si="48"/>
        <v>1211.6353476852091</v>
      </c>
      <c r="P53" s="125">
        <f t="shared" si="49"/>
        <v>741.35035519385235</v>
      </c>
      <c r="Q53" s="125">
        <f t="shared" si="50"/>
        <v>1313.1362070548469</v>
      </c>
      <c r="S53" s="129">
        <f t="shared" si="36"/>
        <v>1.1840099593719606</v>
      </c>
      <c r="T53" s="129">
        <f t="shared" si="37"/>
        <v>1.2328282577130334</v>
      </c>
      <c r="U53" s="129">
        <f t="shared" si="38"/>
        <v>1.0072177489131793</v>
      </c>
      <c r="V53" s="129">
        <f t="shared" si="39"/>
        <v>1.0570010237181464</v>
      </c>
      <c r="X53" s="131">
        <f t="shared" si="51"/>
        <v>1.1002769403972146</v>
      </c>
      <c r="Y53" s="131">
        <f t="shared" si="52"/>
        <v>1.0570010237181464</v>
      </c>
      <c r="Z53" s="131">
        <f t="shared" si="53"/>
        <v>0.94398148667262693</v>
      </c>
      <c r="AA53" s="131">
        <f t="shared" si="54"/>
        <v>1.1197264338773147</v>
      </c>
      <c r="AB53" s="131">
        <f t="shared" si="55"/>
        <v>1.1629938523733259</v>
      </c>
      <c r="AC53" s="131">
        <f t="shared" si="56"/>
        <v>1.1629938523733259</v>
      </c>
      <c r="AD53" s="131"/>
      <c r="AE53" s="131">
        <f t="shared" si="57"/>
        <v>1.0570010237181464</v>
      </c>
      <c r="AH53" s="134"/>
      <c r="AJ53" s="129">
        <f t="shared" si="58"/>
        <v>0.46020785964072808</v>
      </c>
      <c r="AK53" s="129">
        <f t="shared" si="59"/>
        <v>0.15251752965751017</v>
      </c>
      <c r="AL53" s="129">
        <f t="shared" si="60"/>
        <v>0.38727461070176183</v>
      </c>
      <c r="AN53" s="129">
        <f t="shared" si="61"/>
        <v>0.46124874352471801</v>
      </c>
      <c r="AO53" s="129">
        <f t="shared" si="62"/>
        <v>0.15178674229328723</v>
      </c>
      <c r="AP53" s="129">
        <f t="shared" si="63"/>
        <v>0.3869624770899146</v>
      </c>
      <c r="AQ53" s="129">
        <f t="shared" si="64"/>
        <v>0.99999796290791987</v>
      </c>
      <c r="AS53" s="129">
        <f t="shared" si="65"/>
        <v>0.46124968313279446</v>
      </c>
      <c r="AT53" s="129">
        <f t="shared" si="66"/>
        <v>0.1517870514974877</v>
      </c>
      <c r="AU53" s="129">
        <f t="shared" si="67"/>
        <v>0.38696326536971781</v>
      </c>
      <c r="AX53" s="129">
        <f t="shared" si="68"/>
        <v>7.2383262890893862E-2</v>
      </c>
      <c r="AY53" s="129">
        <f t="shared" si="69"/>
        <v>7.1990153240708454E-2</v>
      </c>
      <c r="AZ53" s="129">
        <f t="shared" si="70"/>
        <v>-2.832803887744869E-4</v>
      </c>
      <c r="BB53" s="129">
        <f t="shared" si="76"/>
        <v>0.148735520614103</v>
      </c>
      <c r="BC53" s="129">
        <f t="shared" si="24"/>
        <v>0.16529419580442212</v>
      </c>
      <c r="BD53" s="129">
        <f t="shared" si="25"/>
        <v>0.68597028358147483</v>
      </c>
      <c r="BF53" s="129">
        <f t="shared" si="71"/>
        <v>-5.5893757927604641E-2</v>
      </c>
      <c r="BG53" s="129">
        <f t="shared" si="72"/>
        <v>-4.1370189133527253E-2</v>
      </c>
      <c r="BH53" s="129">
        <f t="shared" si="73"/>
        <v>2.290233193156533E-2</v>
      </c>
      <c r="BI53" s="129" t="e">
        <f>#REF!</f>
        <v>#REF!</v>
      </c>
      <c r="BJ53" s="129">
        <f t="shared" si="32"/>
        <v>1.0451958781586892</v>
      </c>
      <c r="BK53" s="129">
        <f t="shared" si="28"/>
        <v>1.2265229702596774</v>
      </c>
      <c r="BL53" s="129">
        <f t="shared" si="77"/>
        <v>1.1197264338773147</v>
      </c>
      <c r="BN53" s="129">
        <f t="shared" si="33"/>
        <v>0.97706893068671763</v>
      </c>
      <c r="BO53" s="129">
        <f t="shared" si="75"/>
        <v>0.89372259444889968</v>
      </c>
      <c r="BP53" s="129">
        <f t="shared" si="78"/>
        <v>0.94398148667262693</v>
      </c>
    </row>
    <row r="54" spans="1:68" x14ac:dyDescent="0.2">
      <c r="A54" s="133" t="s">
        <v>664</v>
      </c>
      <c r="B54" s="133">
        <f t="shared" si="79"/>
        <v>1993</v>
      </c>
      <c r="D54" s="125">
        <f>'Passenger-based Energy Use'!E51</f>
        <v>80.685725500000004</v>
      </c>
      <c r="E54" s="125">
        <f>'Passenger-based Energy Use'!G51</f>
        <v>28.718199091833718</v>
      </c>
      <c r="F54" s="174">
        <f>'Passenger-based Energy Use'!H51</f>
        <v>71.975012536453619</v>
      </c>
      <c r="G54" s="125">
        <f t="shared" si="34"/>
        <v>181.37893712828733</v>
      </c>
      <c r="I54" s="4">
        <f>'Passenger-based Activity'!F52</f>
        <v>20247</v>
      </c>
      <c r="J54" s="4">
        <f>'Passenger-based Activity'!E52</f>
        <v>24700</v>
      </c>
      <c r="K54" s="4">
        <f>'Passenger-based Activity'!H52</f>
        <v>97113.865602069432</v>
      </c>
      <c r="L54" s="4">
        <f t="shared" si="35"/>
        <v>142060.86560206942</v>
      </c>
      <c r="N54" s="125">
        <f t="shared" si="47"/>
        <v>3985.0706524423376</v>
      </c>
      <c r="O54" s="125">
        <f t="shared" si="48"/>
        <v>1162.6801251754541</v>
      </c>
      <c r="P54" s="125">
        <f t="shared" si="49"/>
        <v>741.14043437809437</v>
      </c>
      <c r="Q54" s="125">
        <f t="shared" si="50"/>
        <v>1276.7691957921249</v>
      </c>
      <c r="S54" s="129">
        <f t="shared" si="36"/>
        <v>1.1612942380132267</v>
      </c>
      <c r="T54" s="129">
        <f t="shared" si="37"/>
        <v>1.1830167514806027</v>
      </c>
      <c r="U54" s="129">
        <f t="shared" si="38"/>
        <v>1.006932545068578</v>
      </c>
      <c r="V54" s="129">
        <f t="shared" si="39"/>
        <v>1.0277276186229651</v>
      </c>
      <c r="X54" s="131">
        <f t="shared" si="51"/>
        <v>1.1432089936995087</v>
      </c>
      <c r="Y54" s="131">
        <f t="shared" si="52"/>
        <v>1.0277276186229651</v>
      </c>
      <c r="Z54" s="131">
        <f t="shared" si="53"/>
        <v>0.93197708291341552</v>
      </c>
      <c r="AA54" s="131">
        <f t="shared" si="54"/>
        <v>1.1027391525660994</v>
      </c>
      <c r="AB54" s="131">
        <f t="shared" si="55"/>
        <v>1.1749074566831526</v>
      </c>
      <c r="AC54" s="131">
        <f t="shared" si="56"/>
        <v>1.1749074566831526</v>
      </c>
      <c r="AD54" s="131"/>
      <c r="AE54" s="131">
        <f t="shared" si="57"/>
        <v>1.0277276186229651</v>
      </c>
      <c r="AH54" s="134"/>
      <c r="AJ54" s="129">
        <f t="shared" si="58"/>
        <v>0.44484616999895571</v>
      </c>
      <c r="AK54" s="129">
        <f t="shared" si="59"/>
        <v>0.15833260215612385</v>
      </c>
      <c r="AL54" s="129">
        <f t="shared" si="60"/>
        <v>0.39682122784492052</v>
      </c>
      <c r="AN54" s="129">
        <f t="shared" si="61"/>
        <v>0.45248355523386929</v>
      </c>
      <c r="AO54" s="129">
        <f t="shared" si="62"/>
        <v>0.15540693379055545</v>
      </c>
      <c r="AP54" s="129">
        <f t="shared" si="63"/>
        <v>0.39202854632227518</v>
      </c>
      <c r="AQ54" s="129">
        <f t="shared" si="64"/>
        <v>0.99991903534670001</v>
      </c>
      <c r="AS54" s="129">
        <f t="shared" si="65"/>
        <v>0.45252019337443711</v>
      </c>
      <c r="AT54" s="129">
        <f t="shared" si="66"/>
        <v>0.15541951727788791</v>
      </c>
      <c r="AU54" s="129">
        <f t="shared" si="67"/>
        <v>0.3920602893476749</v>
      </c>
      <c r="AX54" s="129">
        <f t="shared" si="68"/>
        <v>-1.9371842470379232E-2</v>
      </c>
      <c r="AY54" s="129">
        <f t="shared" si="69"/>
        <v>-4.1243181266754143E-2</v>
      </c>
      <c r="AZ54" s="129">
        <f t="shared" si="70"/>
        <v>-2.8320016372129721E-4</v>
      </c>
      <c r="BB54" s="129">
        <f t="shared" si="76"/>
        <v>0.14252341708739427</v>
      </c>
      <c r="BC54" s="129">
        <f t="shared" si="24"/>
        <v>0.17386913626999745</v>
      </c>
      <c r="BD54" s="129">
        <f t="shared" si="25"/>
        <v>0.68360744664260842</v>
      </c>
      <c r="BF54" s="129">
        <f t="shared" si="71"/>
        <v>-4.2663382632670034E-2</v>
      </c>
      <c r="BG54" s="129">
        <f t="shared" si="72"/>
        <v>5.0576034740740197E-2</v>
      </c>
      <c r="BH54" s="129">
        <f t="shared" si="73"/>
        <v>-3.4504639364259654E-3</v>
      </c>
      <c r="BI54" s="129" t="e">
        <f>#REF!</f>
        <v>#REF!</v>
      </c>
      <c r="BJ54" s="129">
        <f t="shared" si="32"/>
        <v>0.98482907896315985</v>
      </c>
      <c r="BK54" s="129">
        <f t="shared" si="28"/>
        <v>1.2079154871279971</v>
      </c>
      <c r="BL54" s="129">
        <f t="shared" si="77"/>
        <v>1.1027391525660994</v>
      </c>
      <c r="BN54" s="129">
        <f t="shared" si="33"/>
        <v>0.98728322119798684</v>
      </c>
      <c r="BO54" s="129">
        <f t="shared" si="75"/>
        <v>0.88235732190493166</v>
      </c>
      <c r="BP54" s="129">
        <f t="shared" si="78"/>
        <v>0.93197708291341552</v>
      </c>
    </row>
    <row r="55" spans="1:68" x14ac:dyDescent="0.2">
      <c r="A55" s="133" t="s">
        <v>664</v>
      </c>
      <c r="B55" s="133">
        <f t="shared" si="79"/>
        <v>1994</v>
      </c>
      <c r="D55" s="125">
        <f>'Passenger-based Energy Use'!E52</f>
        <v>79.975101499999994</v>
      </c>
      <c r="E55" s="125">
        <f>'Passenger-based Energy Use'!G52</f>
        <v>30.050408807930623</v>
      </c>
      <c r="F55" s="174">
        <f>'Passenger-based Energy Use'!H52</f>
        <v>74.982180000000014</v>
      </c>
      <c r="G55" s="125">
        <f t="shared" si="34"/>
        <v>185.00769030793063</v>
      </c>
      <c r="I55" s="4">
        <f>'Passenger-based Activity'!F53</f>
        <v>18832</v>
      </c>
      <c r="J55" s="4">
        <f>'Passenger-based Activity'!E53</f>
        <v>28100</v>
      </c>
      <c r="K55" s="4">
        <f>'Passenger-based Activity'!H53</f>
        <v>101200.00000000001</v>
      </c>
      <c r="L55" s="4">
        <f t="shared" si="35"/>
        <v>148132</v>
      </c>
      <c r="N55" s="125">
        <f t="shared" si="47"/>
        <v>4246.7662223874249</v>
      </c>
      <c r="O55" s="125">
        <f t="shared" si="48"/>
        <v>1069.4095661185277</v>
      </c>
      <c r="P55" s="125">
        <f t="shared" si="49"/>
        <v>740.93063241106722</v>
      </c>
      <c r="Q55" s="125">
        <f t="shared" si="50"/>
        <v>1248.9380438253086</v>
      </c>
      <c r="S55" s="129">
        <f t="shared" si="36"/>
        <v>1.237555259208563</v>
      </c>
      <c r="T55" s="129">
        <f t="shared" si="37"/>
        <v>1.0881147819748851</v>
      </c>
      <c r="U55" s="129">
        <f t="shared" si="38"/>
        <v>1.0066475026949335</v>
      </c>
      <c r="V55" s="129">
        <f t="shared" si="39"/>
        <v>1.0053251016851685</v>
      </c>
      <c r="X55" s="131">
        <f t="shared" si="51"/>
        <v>1.1920653442240374</v>
      </c>
      <c r="Y55" s="131">
        <f t="shared" si="52"/>
        <v>1.0053251016851685</v>
      </c>
      <c r="Z55" s="131">
        <f t="shared" si="53"/>
        <v>0.89865601868859679</v>
      </c>
      <c r="AA55" s="131">
        <f t="shared" si="54"/>
        <v>1.1186984572275311</v>
      </c>
      <c r="AB55" s="131">
        <f t="shared" si="55"/>
        <v>1.1984132133973959</v>
      </c>
      <c r="AC55" s="131">
        <f t="shared" si="56"/>
        <v>1.1984132133973961</v>
      </c>
      <c r="AD55" s="131"/>
      <c r="AE55" s="131">
        <f t="shared" si="57"/>
        <v>1.0053251016851685</v>
      </c>
      <c r="AH55" s="134"/>
      <c r="AJ55" s="129">
        <f t="shared" si="58"/>
        <v>0.43227987640344995</v>
      </c>
      <c r="AK55" s="129">
        <f t="shared" si="59"/>
        <v>0.16242789020236997</v>
      </c>
      <c r="AL55" s="129">
        <f t="shared" si="60"/>
        <v>0.40529223339418008</v>
      </c>
      <c r="AN55" s="129">
        <f t="shared" si="61"/>
        <v>0.43853301603946387</v>
      </c>
      <c r="AO55" s="129">
        <f t="shared" si="62"/>
        <v>0.16037153141455845</v>
      </c>
      <c r="AP55" s="129">
        <f t="shared" si="63"/>
        <v>0.40104181999638278</v>
      </c>
      <c r="AQ55" s="129">
        <f t="shared" si="64"/>
        <v>0.9999463674504051</v>
      </c>
      <c r="AS55" s="129">
        <f t="shared" si="65"/>
        <v>0.43855653694468172</v>
      </c>
      <c r="AT55" s="129">
        <f t="shared" si="66"/>
        <v>0.16038013300999615</v>
      </c>
      <c r="AU55" s="129">
        <f t="shared" si="67"/>
        <v>0.40106333004532213</v>
      </c>
      <c r="AX55" s="129">
        <f t="shared" si="68"/>
        <v>6.3602762781881109E-2</v>
      </c>
      <c r="AY55" s="129">
        <f t="shared" si="69"/>
        <v>-8.3621104057671911E-2</v>
      </c>
      <c r="AZ55" s="129">
        <f t="shared" si="70"/>
        <v>-2.8311998409507883E-4</v>
      </c>
      <c r="BB55" s="129">
        <f t="shared" si="76"/>
        <v>0.12712985715442984</v>
      </c>
      <c r="BC55" s="129">
        <f t="shared" si="24"/>
        <v>0.18969567682877433</v>
      </c>
      <c r="BD55" s="129">
        <f t="shared" si="25"/>
        <v>0.68317446601679588</v>
      </c>
      <c r="BF55" s="129">
        <f t="shared" si="71"/>
        <v>-0.11429725530250121</v>
      </c>
      <c r="BG55" s="129">
        <f t="shared" si="72"/>
        <v>8.7118161314725426E-2</v>
      </c>
      <c r="BH55" s="129">
        <f t="shared" si="73"/>
        <v>-6.3357677810347126E-4</v>
      </c>
      <c r="BI55" s="129" t="e">
        <f>#REF!</f>
        <v>#REF!</v>
      </c>
      <c r="BJ55" s="129">
        <f t="shared" si="32"/>
        <v>1.0144724204489286</v>
      </c>
      <c r="BK55" s="129">
        <f t="shared" si="28"/>
        <v>1.2253969479244859</v>
      </c>
      <c r="BL55" s="129">
        <f t="shared" si="77"/>
        <v>1.1186984572275311</v>
      </c>
      <c r="BN55" s="129">
        <f t="shared" si="33"/>
        <v>0.96424690602835939</v>
      </c>
      <c r="BO55" s="129">
        <f t="shared" si="75"/>
        <v>0.85081031765829951</v>
      </c>
      <c r="BP55" s="129">
        <f t="shared" si="78"/>
        <v>0.89865601868859679</v>
      </c>
    </row>
    <row r="56" spans="1:68" x14ac:dyDescent="0.2">
      <c r="A56" s="133" t="s">
        <v>664</v>
      </c>
      <c r="B56" s="133">
        <f t="shared" si="79"/>
        <v>1995</v>
      </c>
      <c r="D56" s="125">
        <f>'Passenger-based Energy Use'!E53</f>
        <v>80.818264400000004</v>
      </c>
      <c r="E56" s="125">
        <f>'Passenger-based Energy Use'!G53</f>
        <v>29.59497660664708</v>
      </c>
      <c r="F56" s="174">
        <f>'Passenger-based Energy Use'!H53</f>
        <v>78.267071391175094</v>
      </c>
      <c r="G56" s="125">
        <f t="shared" si="34"/>
        <v>188.68031239782218</v>
      </c>
      <c r="I56" s="4">
        <f>'Passenger-based Activity'!F54</f>
        <v>18818</v>
      </c>
      <c r="J56" s="4">
        <f>'Passenger-based Activity'!E54</f>
        <v>28100</v>
      </c>
      <c r="K56" s="4">
        <f>'Passenger-based Activity'!H54</f>
        <v>105633.46684221395</v>
      </c>
      <c r="L56" s="4">
        <f t="shared" si="35"/>
        <v>152551.46684221394</v>
      </c>
      <c r="N56" s="125">
        <f t="shared" si="47"/>
        <v>4294.731873737911</v>
      </c>
      <c r="O56" s="125">
        <f t="shared" si="48"/>
        <v>1053.2020144714263</v>
      </c>
      <c r="P56" s="125">
        <f t="shared" si="49"/>
        <v>740.93063241106734</v>
      </c>
      <c r="Q56" s="125">
        <f t="shared" si="50"/>
        <v>1236.8305353168239</v>
      </c>
      <c r="S56" s="129">
        <f t="shared" si="36"/>
        <v>1.2515329874332137</v>
      </c>
      <c r="T56" s="129">
        <f t="shared" si="37"/>
        <v>1.0716237414179526</v>
      </c>
      <c r="U56" s="129">
        <f t="shared" si="38"/>
        <v>1.0066475026949337</v>
      </c>
      <c r="V56" s="129">
        <f t="shared" si="39"/>
        <v>0.99557923616155497</v>
      </c>
      <c r="X56" s="131">
        <f t="shared" si="51"/>
        <v>1.2276302003155672</v>
      </c>
      <c r="Y56" s="131">
        <f t="shared" si="52"/>
        <v>0.99557923616155497</v>
      </c>
      <c r="Z56" s="131">
        <f t="shared" si="53"/>
        <v>0.88781513543691215</v>
      </c>
      <c r="AA56" s="131">
        <f t="shared" si="54"/>
        <v>1.1213812385295843</v>
      </c>
      <c r="AB56" s="131">
        <f t="shared" si="55"/>
        <v>1.2222031371190294</v>
      </c>
      <c r="AC56" s="131">
        <f t="shared" si="56"/>
        <v>1.2222031371190292</v>
      </c>
      <c r="AD56" s="131"/>
      <c r="AE56" s="131">
        <f t="shared" si="57"/>
        <v>0.99557923616155519</v>
      </c>
      <c r="AH56" s="134"/>
      <c r="AJ56" s="129">
        <f t="shared" si="58"/>
        <v>0.42833437878563124</v>
      </c>
      <c r="AK56" s="129">
        <f t="shared" si="59"/>
        <v>0.15685248890328143</v>
      </c>
      <c r="AL56" s="129">
        <f t="shared" si="60"/>
        <v>0.4148131323110873</v>
      </c>
      <c r="AN56" s="129">
        <f t="shared" si="61"/>
        <v>0.43030411287983716</v>
      </c>
      <c r="AO56" s="129">
        <f t="shared" si="62"/>
        <v>0.15962396158633024</v>
      </c>
      <c r="AP56" s="129">
        <f t="shared" si="63"/>
        <v>0.41003426026570439</v>
      </c>
      <c r="AQ56" s="129">
        <f t="shared" si="64"/>
        <v>0.99996233473187179</v>
      </c>
      <c r="AS56" s="129">
        <f t="shared" si="65"/>
        <v>0.43032032101010903</v>
      </c>
      <c r="AT56" s="129">
        <f t="shared" si="66"/>
        <v>0.15962997409210572</v>
      </c>
      <c r="AU56" s="129">
        <f t="shared" si="67"/>
        <v>0.41004970489778525</v>
      </c>
      <c r="AX56" s="129">
        <f t="shared" si="68"/>
        <v>1.1231321489246668E-2</v>
      </c>
      <c r="AY56" s="129">
        <f t="shared" si="69"/>
        <v>-1.5271627453061171E-2</v>
      </c>
      <c r="AZ56" s="129">
        <f t="shared" si="70"/>
        <v>2.2204460492503128E-16</v>
      </c>
      <c r="BB56" s="129">
        <f t="shared" si="76"/>
        <v>0.12335509051160887</v>
      </c>
      <c r="BC56" s="129">
        <f t="shared" si="24"/>
        <v>0.18420012984250236</v>
      </c>
      <c r="BD56" s="129">
        <f t="shared" si="25"/>
        <v>0.69244477964588891</v>
      </c>
      <c r="BF56" s="129">
        <f t="shared" si="71"/>
        <v>-3.0141950377880911E-2</v>
      </c>
      <c r="BG56" s="129">
        <f t="shared" si="72"/>
        <v>-2.9398258444533681E-2</v>
      </c>
      <c r="BH56" s="129">
        <f t="shared" si="73"/>
        <v>1.3478226619754795E-2</v>
      </c>
      <c r="BI56" s="129" t="e">
        <f>#REF!</f>
        <v>#REF!</v>
      </c>
      <c r="BJ56" s="129">
        <f t="shared" si="32"/>
        <v>1.00239812729223</v>
      </c>
      <c r="BK56" s="129">
        <f t="shared" si="28"/>
        <v>1.228335605789119</v>
      </c>
      <c r="BL56" s="129">
        <f t="shared" si="77"/>
        <v>1.1213812385295843</v>
      </c>
      <c r="BN56" s="129">
        <f t="shared" si="33"/>
        <v>0.98793655967774563</v>
      </c>
      <c r="BO56" s="129">
        <f t="shared" si="75"/>
        <v>0.84054661816567033</v>
      </c>
      <c r="BP56" s="129">
        <f t="shared" si="78"/>
        <v>0.88781513543691215</v>
      </c>
    </row>
    <row r="57" spans="1:68" x14ac:dyDescent="0.2">
      <c r="A57" s="133" t="s">
        <v>664</v>
      </c>
      <c r="B57" s="133">
        <f t="shared" si="79"/>
        <v>1996</v>
      </c>
      <c r="D57" s="125">
        <f>'Passenger-based Energy Use'!E54</f>
        <v>82.945325300000007</v>
      </c>
      <c r="E57" s="125">
        <f>'Passenger-based Energy Use'!G54</f>
        <v>30.205184701923937</v>
      </c>
      <c r="F57" s="174">
        <f>'Passenger-based Energy Use'!H54</f>
        <v>80.396023894552982</v>
      </c>
      <c r="G57" s="125">
        <f t="shared" si="34"/>
        <v>193.54653389647694</v>
      </c>
      <c r="I57" s="4">
        <f>'Passenger-based Activity'!F55</f>
        <v>19096</v>
      </c>
      <c r="J57" s="4">
        <f>'Passenger-based Activity'!E55</f>
        <v>28800</v>
      </c>
      <c r="K57" s="4">
        <f>'Passenger-based Activity'!H55</f>
        <v>108506.81612789549</v>
      </c>
      <c r="L57" s="4">
        <f t="shared" si="35"/>
        <v>156402.81612789549</v>
      </c>
      <c r="N57" s="125">
        <f t="shared" si="47"/>
        <v>4343.5968422706337</v>
      </c>
      <c r="O57" s="125">
        <f t="shared" si="48"/>
        <v>1048.79113548347</v>
      </c>
      <c r="P57" s="125">
        <f t="shared" si="49"/>
        <v>740.93063241106711</v>
      </c>
      <c r="Q57" s="125">
        <f t="shared" si="50"/>
        <v>1237.4875254049637</v>
      </c>
      <c r="S57" s="129">
        <f t="shared" si="36"/>
        <v>1.2657727867609798</v>
      </c>
      <c r="T57" s="129">
        <f t="shared" si="37"/>
        <v>1.067135711031505</v>
      </c>
      <c r="U57" s="129">
        <f t="shared" si="38"/>
        <v>1.0066475026949335</v>
      </c>
      <c r="V57" s="129">
        <f t="shared" si="39"/>
        <v>0.99610807634736775</v>
      </c>
      <c r="X57" s="131">
        <f t="shared" si="51"/>
        <v>1.2586232336369494</v>
      </c>
      <c r="Y57" s="131">
        <f t="shared" si="52"/>
        <v>0.99610807634736775</v>
      </c>
      <c r="Z57" s="131">
        <f t="shared" si="53"/>
        <v>0.88457202694192705</v>
      </c>
      <c r="AA57" s="131">
        <f t="shared" si="54"/>
        <v>1.1260904098347251</v>
      </c>
      <c r="AB57" s="131">
        <f t="shared" si="55"/>
        <v>1.2537247681042059</v>
      </c>
      <c r="AC57" s="131">
        <f t="shared" si="56"/>
        <v>1.2537247681042054</v>
      </c>
      <c r="AD57" s="131"/>
      <c r="AE57" s="131">
        <f t="shared" si="57"/>
        <v>0.99610807634736809</v>
      </c>
      <c r="AH57" s="134"/>
      <c r="AJ57" s="129">
        <f t="shared" si="58"/>
        <v>0.4285549507405042</v>
      </c>
      <c r="AK57" s="129">
        <f t="shared" si="59"/>
        <v>0.15606161522933762</v>
      </c>
      <c r="AL57" s="129">
        <f t="shared" si="60"/>
        <v>0.41538343403015804</v>
      </c>
      <c r="AN57" s="129">
        <f t="shared" si="61"/>
        <v>0.42844465530012288</v>
      </c>
      <c r="AO57" s="129">
        <f t="shared" si="62"/>
        <v>0.15645671891725033</v>
      </c>
      <c r="AP57" s="129">
        <f t="shared" si="63"/>
        <v>0.41509821787602186</v>
      </c>
      <c r="AQ57" s="129">
        <f t="shared" si="64"/>
        <v>0.99999959209339506</v>
      </c>
      <c r="AS57" s="129">
        <f t="shared" si="65"/>
        <v>0.42844483006559891</v>
      </c>
      <c r="AT57" s="129">
        <f t="shared" si="66"/>
        <v>0.15645678273700539</v>
      </c>
      <c r="AU57" s="129">
        <f t="shared" si="67"/>
        <v>0.41509838719739567</v>
      </c>
      <c r="AX57" s="129">
        <f t="shared" si="68"/>
        <v>1.1313644423250599E-2</v>
      </c>
      <c r="AY57" s="129">
        <f t="shared" si="69"/>
        <v>-4.196859977730766E-3</v>
      </c>
      <c r="AZ57" s="129">
        <f t="shared" si="70"/>
        <v>-2.2204460492503131E-16</v>
      </c>
      <c r="BB57" s="129">
        <f t="shared" si="76"/>
        <v>0.12209498826660897</v>
      </c>
      <c r="BC57" s="129">
        <f t="shared" si="24"/>
        <v>0.18413990689559795</v>
      </c>
      <c r="BD57" s="129">
        <f t="shared" si="25"/>
        <v>0.69376510483779308</v>
      </c>
      <c r="BF57" s="129">
        <f t="shared" si="71"/>
        <v>-1.0267776828685637E-2</v>
      </c>
      <c r="BG57" s="129">
        <f t="shared" si="72"/>
        <v>-3.269964784406697E-4</v>
      </c>
      <c r="BH57" s="129">
        <f t="shared" si="73"/>
        <v>1.9049432642924558E-3</v>
      </c>
      <c r="BI57" s="129" t="e">
        <f>#REF!</f>
        <v>#REF!</v>
      </c>
      <c r="BJ57" s="129">
        <f t="shared" si="32"/>
        <v>1.0041994382849813</v>
      </c>
      <c r="BK57" s="129">
        <f t="shared" si="28"/>
        <v>1.2334939253588755</v>
      </c>
      <c r="BL57" s="129">
        <f t="shared" si="77"/>
        <v>1.1260904098347251</v>
      </c>
      <c r="BN57" s="129">
        <f t="shared" si="33"/>
        <v>0.99634709032822566</v>
      </c>
      <c r="BO57" s="129">
        <f t="shared" si="75"/>
        <v>0.83747617729459578</v>
      </c>
      <c r="BP57" s="129">
        <f t="shared" si="78"/>
        <v>0.88457202694192705</v>
      </c>
    </row>
    <row r="58" spans="1:68" x14ac:dyDescent="0.2">
      <c r="A58" s="133" t="s">
        <v>664</v>
      </c>
      <c r="B58" s="133">
        <f t="shared" si="79"/>
        <v>1997</v>
      </c>
      <c r="D58" s="125">
        <f>'Passenger-based Energy Use'!E55</f>
        <v>86.941995999999989</v>
      </c>
      <c r="E58" s="125">
        <f>'Passenger-based Energy Use'!G55</f>
        <v>31.555922956305047</v>
      </c>
      <c r="F58" s="174">
        <f>'Passenger-based Energy Use'!H55</f>
        <v>78.884874644966544</v>
      </c>
      <c r="G58" s="125">
        <f t="shared" si="34"/>
        <v>197.38279360127157</v>
      </c>
      <c r="I58" s="4">
        <f>'Passenger-based Activity'!F56</f>
        <v>19604</v>
      </c>
      <c r="J58" s="4">
        <f>'Passenger-based Activity'!E56</f>
        <v>30600</v>
      </c>
      <c r="K58" s="4">
        <f>'Passenger-based Activity'!H56</f>
        <v>106467.28748178053</v>
      </c>
      <c r="L58" s="4">
        <f t="shared" si="35"/>
        <v>156671.28748178051</v>
      </c>
      <c r="N58" s="125">
        <f t="shared" si="47"/>
        <v>4434.9110385635586</v>
      </c>
      <c r="O58" s="125">
        <f t="shared" si="48"/>
        <v>1031.2393122975504</v>
      </c>
      <c r="P58" s="125">
        <f t="shared" si="49"/>
        <v>740.93063241106722</v>
      </c>
      <c r="Q58" s="125">
        <f t="shared" si="50"/>
        <v>1259.8530131069833</v>
      </c>
      <c r="S58" s="129">
        <f t="shared" si="36"/>
        <v>1.2923827666715724</v>
      </c>
      <c r="T58" s="129">
        <f t="shared" si="37"/>
        <v>1.0492768860646335</v>
      </c>
      <c r="U58" s="129">
        <f t="shared" si="38"/>
        <v>1.0066475026949335</v>
      </c>
      <c r="V58" s="129">
        <f t="shared" si="39"/>
        <v>1.0141110399927096</v>
      </c>
      <c r="X58" s="131">
        <f t="shared" si="51"/>
        <v>1.2607837080576232</v>
      </c>
      <c r="Y58" s="131">
        <f t="shared" si="52"/>
        <v>1.0141110399927096</v>
      </c>
      <c r="Z58" s="131">
        <f t="shared" si="53"/>
        <v>0.89483716718765161</v>
      </c>
      <c r="AA58" s="131">
        <f t="shared" si="54"/>
        <v>1.1332911474608496</v>
      </c>
      <c r="AB58" s="131">
        <f t="shared" si="55"/>
        <v>1.2785746773841813</v>
      </c>
      <c r="AC58" s="131">
        <f t="shared" si="56"/>
        <v>1.2785746773841808</v>
      </c>
      <c r="AD58" s="131"/>
      <c r="AE58" s="131">
        <f t="shared" si="57"/>
        <v>1.0141110399927098</v>
      </c>
      <c r="AH58" s="134"/>
      <c r="AJ58" s="129">
        <f t="shared" si="58"/>
        <v>0.44047403734506618</v>
      </c>
      <c r="AK58" s="129">
        <f t="shared" si="59"/>
        <v>0.15987170097536688</v>
      </c>
      <c r="AL58" s="129">
        <f t="shared" si="60"/>
        <v>0.39965426167956697</v>
      </c>
      <c r="AN58" s="129">
        <f t="shared" si="61"/>
        <v>0.4344872468211608</v>
      </c>
      <c r="AO58" s="129">
        <f t="shared" si="62"/>
        <v>0.15795899967376278</v>
      </c>
      <c r="AP58" s="129">
        <f t="shared" si="63"/>
        <v>0.40746825071873743</v>
      </c>
      <c r="AQ58" s="129">
        <f t="shared" si="64"/>
        <v>0.9999144972136611</v>
      </c>
      <c r="AS58" s="129">
        <f t="shared" si="65"/>
        <v>0.43452439986808178</v>
      </c>
      <c r="AT58" s="129">
        <f t="shared" si="66"/>
        <v>0.15797250676325597</v>
      </c>
      <c r="AU58" s="129">
        <f t="shared" si="67"/>
        <v>0.40750309336866219</v>
      </c>
      <c r="AX58" s="129">
        <f t="shared" si="68"/>
        <v>2.0804786235933667E-2</v>
      </c>
      <c r="AY58" s="129">
        <f t="shared" si="69"/>
        <v>-1.6876906595075871E-2</v>
      </c>
      <c r="AZ58" s="129">
        <f t="shared" si="70"/>
        <v>0</v>
      </c>
      <c r="BB58" s="129">
        <f t="shared" si="76"/>
        <v>0.12512822429112783</v>
      </c>
      <c r="BC58" s="129">
        <f t="shared" si="24"/>
        <v>0.19531338825283165</v>
      </c>
      <c r="BD58" s="129">
        <f t="shared" si="25"/>
        <v>0.67955838745604058</v>
      </c>
      <c r="BF58" s="129">
        <f t="shared" si="71"/>
        <v>2.4539671727118531E-2</v>
      </c>
      <c r="BG58" s="129">
        <f t="shared" si="72"/>
        <v>5.8909555532781349E-2</v>
      </c>
      <c r="BH58" s="129">
        <f t="shared" si="73"/>
        <v>-2.0690280575480991E-2</v>
      </c>
      <c r="BI58" s="129" t="e">
        <f>#REF!</f>
        <v>#REF!</v>
      </c>
      <c r="BJ58" s="129">
        <f t="shared" si="32"/>
        <v>1.0063944578190496</v>
      </c>
      <c r="BK58" s="129">
        <f t="shared" si="28"/>
        <v>1.2413814502346368</v>
      </c>
      <c r="BL58" s="129">
        <f t="shared" si="77"/>
        <v>1.1332911474608496</v>
      </c>
      <c r="BN58" s="129">
        <f t="shared" si="33"/>
        <v>1.0116046403606187</v>
      </c>
      <c r="BO58" s="129">
        <f t="shared" si="75"/>
        <v>0.84719478714268526</v>
      </c>
      <c r="BP58" s="129">
        <f t="shared" si="78"/>
        <v>0.89483716718765161</v>
      </c>
    </row>
    <row r="59" spans="1:68" x14ac:dyDescent="0.2">
      <c r="A59" s="133" t="s">
        <v>664</v>
      </c>
      <c r="B59" s="133">
        <f t="shared" si="79"/>
        <v>1998</v>
      </c>
      <c r="D59" s="125">
        <f>'Passenger-based Energy Use'!E56</f>
        <v>89.578493299999991</v>
      </c>
      <c r="E59" s="125">
        <f>'Passenger-based Energy Use'!G56</f>
        <v>32.809740214977282</v>
      </c>
      <c r="F59" s="174">
        <f>'Passenger-based Energy Use'!H56</f>
        <v>79.127736018090758</v>
      </c>
      <c r="G59" s="125">
        <f t="shared" si="34"/>
        <v>201.51596953306802</v>
      </c>
      <c r="I59" s="4">
        <f>'Passenger-based Activity'!F57</f>
        <v>20360</v>
      </c>
      <c r="J59" s="4">
        <f>'Passenger-based Activity'!E57</f>
        <v>33638.969870129869</v>
      </c>
      <c r="K59" s="4">
        <f>'Passenger-based Activity'!H57</f>
        <v>106795.06630816526</v>
      </c>
      <c r="L59" s="4">
        <f t="shared" si="35"/>
        <v>160794.03617829512</v>
      </c>
      <c r="N59" s="125">
        <f t="shared" si="47"/>
        <v>4399.7295333988204</v>
      </c>
      <c r="O59" s="125">
        <f t="shared" si="48"/>
        <v>975.34913648206236</v>
      </c>
      <c r="P59" s="125">
        <f t="shared" si="49"/>
        <v>740.93063241106734</v>
      </c>
      <c r="Q59" s="125">
        <f t="shared" si="50"/>
        <v>1253.2552470392541</v>
      </c>
      <c r="S59" s="129">
        <f t="shared" si="36"/>
        <v>1.2821304818827435</v>
      </c>
      <c r="T59" s="129">
        <f t="shared" si="37"/>
        <v>0.99240912613544352</v>
      </c>
      <c r="U59" s="129">
        <f t="shared" si="38"/>
        <v>1.0066475026949337</v>
      </c>
      <c r="V59" s="129">
        <f t="shared" si="39"/>
        <v>1.0088002082218883</v>
      </c>
      <c r="X59" s="131">
        <f t="shared" si="51"/>
        <v>1.2939607788057388</v>
      </c>
      <c r="Y59" s="131">
        <f t="shared" si="52"/>
        <v>1.0088002082218883</v>
      </c>
      <c r="Z59" s="131">
        <f t="shared" si="53"/>
        <v>0.9013606988272459</v>
      </c>
      <c r="AA59" s="131">
        <f t="shared" si="54"/>
        <v>1.1191970201656576</v>
      </c>
      <c r="AB59" s="131">
        <f t="shared" si="55"/>
        <v>1.3053479030901862</v>
      </c>
      <c r="AC59" s="131">
        <f t="shared" si="56"/>
        <v>1.3053479030901862</v>
      </c>
      <c r="AD59" s="131"/>
      <c r="AE59" s="131">
        <f t="shared" si="57"/>
        <v>1.0088002082218883</v>
      </c>
      <c r="AH59" s="134"/>
      <c r="AJ59" s="129">
        <f t="shared" si="58"/>
        <v>0.44452304950104959</v>
      </c>
      <c r="AK59" s="129">
        <f t="shared" si="59"/>
        <v>0.16281459127532483</v>
      </c>
      <c r="AL59" s="129">
        <f t="shared" si="60"/>
        <v>0.39266235922362563</v>
      </c>
      <c r="AN59" s="129">
        <f t="shared" si="61"/>
        <v>0.44249545591930139</v>
      </c>
      <c r="AO59" s="129">
        <f t="shared" si="62"/>
        <v>0.16133867284607425</v>
      </c>
      <c r="AP59" s="129">
        <f t="shared" si="63"/>
        <v>0.39614802674390004</v>
      </c>
      <c r="AQ59" s="129">
        <f t="shared" si="64"/>
        <v>0.99998215550927572</v>
      </c>
      <c r="AS59" s="129">
        <f t="shared" si="65"/>
        <v>0.44250335216626457</v>
      </c>
      <c r="AT59" s="129">
        <f t="shared" si="66"/>
        <v>0.16134155190390065</v>
      </c>
      <c r="AU59" s="129">
        <f t="shared" si="67"/>
        <v>0.39615509592983472</v>
      </c>
      <c r="AX59" s="129">
        <f t="shared" si="68"/>
        <v>-7.9644872591036805E-3</v>
      </c>
      <c r="AY59" s="129">
        <f t="shared" si="69"/>
        <v>-5.5721078163565939E-2</v>
      </c>
      <c r="AZ59" s="129">
        <f t="shared" si="70"/>
        <v>2.2204460492503128E-16</v>
      </c>
      <c r="BB59" s="129">
        <f t="shared" si="76"/>
        <v>0.12662161162136626</v>
      </c>
      <c r="BC59" s="129">
        <f t="shared" si="24"/>
        <v>0.20920533291937257</v>
      </c>
      <c r="BD59" s="129">
        <f t="shared" si="25"/>
        <v>0.6641730554592612</v>
      </c>
      <c r="BF59" s="129">
        <f t="shared" si="71"/>
        <v>1.186419718698163E-2</v>
      </c>
      <c r="BG59" s="129">
        <f t="shared" si="72"/>
        <v>6.8710836057384095E-2</v>
      </c>
      <c r="BH59" s="129">
        <f t="shared" si="73"/>
        <v>-2.2900415776185151E-2</v>
      </c>
      <c r="BI59" s="129" t="e">
        <f>#REF!</f>
        <v>#REF!</v>
      </c>
      <c r="BJ59" s="129">
        <f t="shared" si="32"/>
        <v>0.98756354240764188</v>
      </c>
      <c r="BK59" s="129">
        <f t="shared" si="28"/>
        <v>1.2259430624728536</v>
      </c>
      <c r="BL59" s="129">
        <f t="shared" si="77"/>
        <v>1.1191970201656576</v>
      </c>
      <c r="BN59" s="129">
        <f t="shared" si="33"/>
        <v>1.0072901885156345</v>
      </c>
      <c r="BO59" s="129">
        <f t="shared" si="75"/>
        <v>0.85337099685041828</v>
      </c>
      <c r="BP59" s="129">
        <f t="shared" si="78"/>
        <v>0.9013606988272459</v>
      </c>
    </row>
    <row r="60" spans="1:68" x14ac:dyDescent="0.2">
      <c r="A60" s="133" t="s">
        <v>664</v>
      </c>
      <c r="B60" s="133">
        <f t="shared" si="79"/>
        <v>1999</v>
      </c>
      <c r="D60" s="125">
        <f>'Passenger-based Energy Use'!E57</f>
        <v>92.132940899999994</v>
      </c>
      <c r="E60" s="125">
        <f>'Passenger-based Energy Use'!G57</f>
        <v>34.060727812446878</v>
      </c>
      <c r="F60" s="174">
        <f>'Passenger-based Energy Use'!H57</f>
        <v>79.370597391214943</v>
      </c>
      <c r="G60" s="125">
        <f t="shared" si="34"/>
        <v>205.56426610366182</v>
      </c>
      <c r="I60" s="4">
        <f>'Passenger-based Activity'!F58</f>
        <v>21205</v>
      </c>
      <c r="J60" s="4">
        <f>'Passenger-based Activity'!E58</f>
        <v>36818.414545454543</v>
      </c>
      <c r="K60" s="4">
        <f>'Passenger-based Activity'!H58</f>
        <v>107122.84513455001</v>
      </c>
      <c r="L60" s="4">
        <f t="shared" si="35"/>
        <v>165146.25968000456</v>
      </c>
      <c r="N60" s="125">
        <f t="shared" si="47"/>
        <v>4344.8687054939874</v>
      </c>
      <c r="O60" s="125">
        <f t="shared" si="48"/>
        <v>925.10033995072934</v>
      </c>
      <c r="P60" s="125">
        <f t="shared" si="49"/>
        <v>740.93063241106711</v>
      </c>
      <c r="Q60" s="125">
        <f t="shared" si="50"/>
        <v>1244.740671099504</v>
      </c>
      <c r="S60" s="129">
        <f t="shared" si="36"/>
        <v>1.2661434219545908</v>
      </c>
      <c r="T60" s="129">
        <f t="shared" si="37"/>
        <v>0.9412814197687962</v>
      </c>
      <c r="U60" s="129">
        <f t="shared" si="38"/>
        <v>1.0066475026949335</v>
      </c>
      <c r="V60" s="129">
        <f t="shared" si="39"/>
        <v>1.0019464519729253</v>
      </c>
      <c r="X60" s="131">
        <f t="shared" si="51"/>
        <v>1.3289845063373</v>
      </c>
      <c r="Y60" s="131">
        <f t="shared" si="52"/>
        <v>1.0019464519729253</v>
      </c>
      <c r="Z60" s="131">
        <f t="shared" si="53"/>
        <v>0.90812041001711619</v>
      </c>
      <c r="AA60" s="131">
        <f t="shared" si="54"/>
        <v>1.1033189441849904</v>
      </c>
      <c r="AB60" s="131">
        <f t="shared" si="55"/>
        <v>1.3315713108516474</v>
      </c>
      <c r="AC60" s="131">
        <f t="shared" si="56"/>
        <v>1.3315713108516474</v>
      </c>
      <c r="AD60" s="131"/>
      <c r="AE60" s="131">
        <f t="shared" si="57"/>
        <v>1.0019464519729253</v>
      </c>
      <c r="AH60" s="134"/>
      <c r="AJ60" s="129">
        <f t="shared" si="58"/>
        <v>0.44819531451803618</v>
      </c>
      <c r="AK60" s="129">
        <f t="shared" si="59"/>
        <v>0.16569381662506827</v>
      </c>
      <c r="AL60" s="129">
        <f t="shared" si="60"/>
        <v>0.38611086885689549</v>
      </c>
      <c r="AN60" s="129">
        <f t="shared" si="61"/>
        <v>0.44635666430785487</v>
      </c>
      <c r="AO60" s="129">
        <f t="shared" si="62"/>
        <v>0.16424999801602086</v>
      </c>
      <c r="AP60" s="129">
        <f t="shared" si="63"/>
        <v>0.38937742804649805</v>
      </c>
      <c r="AQ60" s="129">
        <f t="shared" si="64"/>
        <v>0.99998409037037383</v>
      </c>
      <c r="AS60" s="129">
        <f t="shared" si="65"/>
        <v>0.44636376579004711</v>
      </c>
      <c r="AT60" s="129">
        <f t="shared" si="66"/>
        <v>0.1642526112142304</v>
      </c>
      <c r="AU60" s="129">
        <f t="shared" si="67"/>
        <v>0.38938362299572243</v>
      </c>
      <c r="AX60" s="129">
        <f t="shared" si="68"/>
        <v>-1.2547528469668116E-2</v>
      </c>
      <c r="AY60" s="129">
        <f t="shared" si="69"/>
        <v>-5.2893288347160984E-2</v>
      </c>
      <c r="AZ60" s="129">
        <f t="shared" si="70"/>
        <v>-2.2204460492503131E-16</v>
      </c>
      <c r="BB60" s="129">
        <f t="shared" si="76"/>
        <v>0.12840133370920928</v>
      </c>
      <c r="BC60" s="129">
        <f t="shared" si="24"/>
        <v>0.22294428355080945</v>
      </c>
      <c r="BD60" s="129">
        <f t="shared" si="25"/>
        <v>0.64865438273998122</v>
      </c>
      <c r="BF60" s="129">
        <f t="shared" si="71"/>
        <v>1.3957575294464602E-2</v>
      </c>
      <c r="BG60" s="129">
        <f t="shared" si="72"/>
        <v>6.3605666862319568E-2</v>
      </c>
      <c r="BH60" s="129">
        <f t="shared" si="73"/>
        <v>-2.3642704506860398E-2</v>
      </c>
      <c r="BI60" s="129" t="e">
        <f>#REF!</f>
        <v>#REF!</v>
      </c>
      <c r="BJ60" s="129">
        <f t="shared" si="32"/>
        <v>0.98581297511110511</v>
      </c>
      <c r="BK60" s="129">
        <f t="shared" si="28"/>
        <v>1.2085505777331831</v>
      </c>
      <c r="BL60" s="129">
        <f t="shared" si="77"/>
        <v>1.1033189441849904</v>
      </c>
      <c r="BN60" s="129">
        <f t="shared" si="33"/>
        <v>1.0074994518827649</v>
      </c>
      <c r="BO60" s="129">
        <f t="shared" si="75"/>
        <v>0.85977081157944513</v>
      </c>
      <c r="BP60" s="129">
        <f t="shared" si="78"/>
        <v>0.90812041001711619</v>
      </c>
    </row>
    <row r="61" spans="1:68" x14ac:dyDescent="0.2">
      <c r="A61" s="133" t="s">
        <v>664</v>
      </c>
      <c r="B61" s="133">
        <f t="shared" si="79"/>
        <v>2000</v>
      </c>
      <c r="D61" s="125">
        <f>'Passenger-based Energy Use'!E58</f>
        <v>96.262861999999998</v>
      </c>
      <c r="E61" s="125">
        <f>'Passenger-based Energy Use'!G58</f>
        <v>35.30889531704296</v>
      </c>
      <c r="F61" s="174">
        <f>'Passenger-based Energy Use'!H58</f>
        <v>81.822703156354578</v>
      </c>
      <c r="G61" s="125">
        <f t="shared" si="34"/>
        <v>213.39446047339754</v>
      </c>
      <c r="I61" s="4">
        <f>'Passenger-based Activity'!F59</f>
        <v>21241</v>
      </c>
      <c r="J61" s="4">
        <f>'Passenger-based Activity'!E59</f>
        <v>40138.334025974022</v>
      </c>
      <c r="K61" s="4">
        <f>'Passenger-based Activity'!H59</f>
        <v>110432.33951617683</v>
      </c>
      <c r="L61" s="4">
        <f t="shared" si="35"/>
        <v>171811.67354215085</v>
      </c>
      <c r="N61" s="125">
        <f t="shared" si="47"/>
        <v>4531.9364436702608</v>
      </c>
      <c r="O61" s="125">
        <f t="shared" si="48"/>
        <v>879.68014054081391</v>
      </c>
      <c r="P61" s="125">
        <f t="shared" si="49"/>
        <v>740.93063241106722</v>
      </c>
      <c r="Q61" s="125">
        <f t="shared" si="50"/>
        <v>1242.0253878793931</v>
      </c>
      <c r="S61" s="129">
        <f t="shared" si="36"/>
        <v>1.3206570568205456</v>
      </c>
      <c r="T61" s="129">
        <f t="shared" si="37"/>
        <v>0.89506676829755782</v>
      </c>
      <c r="U61" s="129">
        <f t="shared" si="38"/>
        <v>1.0066475026949335</v>
      </c>
      <c r="V61" s="129">
        <f t="shared" si="39"/>
        <v>0.99976080121718303</v>
      </c>
      <c r="X61" s="131">
        <f t="shared" si="51"/>
        <v>1.3826232128286393</v>
      </c>
      <c r="Y61" s="131">
        <f t="shared" si="52"/>
        <v>0.99976080121718303</v>
      </c>
      <c r="Z61" s="131">
        <f t="shared" si="53"/>
        <v>0.89656847367565207</v>
      </c>
      <c r="AA61" s="131">
        <f t="shared" si="54"/>
        <v>1.1150969843033565</v>
      </c>
      <c r="AB61" s="131">
        <f t="shared" si="55"/>
        <v>1.3822924910390362</v>
      </c>
      <c r="AC61" s="131">
        <f t="shared" si="56"/>
        <v>1.3822924910390362</v>
      </c>
      <c r="AD61" s="131"/>
      <c r="AE61" s="131">
        <f t="shared" si="57"/>
        <v>0.9997608012171828</v>
      </c>
      <c r="AH61" s="134"/>
      <c r="AJ61" s="129">
        <f t="shared" si="58"/>
        <v>0.45110290954342952</v>
      </c>
      <c r="AK61" s="129">
        <f t="shared" si="59"/>
        <v>0.16546303610090518</v>
      </c>
      <c r="AL61" s="129">
        <f t="shared" si="60"/>
        <v>0.38343405435566524</v>
      </c>
      <c r="AM61" s="129"/>
      <c r="AN61" s="129">
        <f t="shared" si="61"/>
        <v>0.44964754522894274</v>
      </c>
      <c r="AO61" s="129">
        <f t="shared" si="62"/>
        <v>0.1655783995581408</v>
      </c>
      <c r="AP61" s="129">
        <f t="shared" si="63"/>
        <v>0.38477090974560918</v>
      </c>
      <c r="AQ61" s="129">
        <f t="shared" si="64"/>
        <v>0.99999685453269271</v>
      </c>
      <c r="AS61" s="129">
        <f t="shared" si="65"/>
        <v>0.44964895958504486</v>
      </c>
      <c r="AT61" s="129">
        <f t="shared" si="66"/>
        <v>0.16557892038122163</v>
      </c>
      <c r="AU61" s="129">
        <f t="shared" si="67"/>
        <v>0.38477212003373351</v>
      </c>
      <c r="AV61" s="129"/>
      <c r="AW61" s="129"/>
      <c r="AX61" s="129">
        <f t="shared" si="68"/>
        <v>4.2153778281004882E-2</v>
      </c>
      <c r="AY61" s="129">
        <f t="shared" si="69"/>
        <v>-5.0343842511346173E-2</v>
      </c>
      <c r="AZ61" s="129">
        <f t="shared" si="70"/>
        <v>0</v>
      </c>
      <c r="BA61" s="129"/>
      <c r="BB61" s="129">
        <f t="shared" si="76"/>
        <v>0.12362955067071685</v>
      </c>
      <c r="BC61" s="129">
        <f t="shared" si="24"/>
        <v>0.23361820066391947</v>
      </c>
      <c r="BD61" s="129">
        <f t="shared" si="25"/>
        <v>0.64275224866536362</v>
      </c>
      <c r="BE61" s="129"/>
      <c r="BF61" s="129">
        <f t="shared" si="71"/>
        <v>-3.7871178801093142E-2</v>
      </c>
      <c r="BG61" s="129">
        <f t="shared" si="72"/>
        <v>4.6766271025393664E-2</v>
      </c>
      <c r="BH61" s="129">
        <f t="shared" si="73"/>
        <v>-9.1406920573936026E-3</v>
      </c>
      <c r="BI61" s="129" t="e">
        <f>#REF!</f>
        <v>#REF!</v>
      </c>
      <c r="BJ61" s="129">
        <f t="shared" si="32"/>
        <v>1.0106751000519314</v>
      </c>
      <c r="BK61" s="129">
        <f t="shared" si="28"/>
        <v>1.2214519760683042</v>
      </c>
      <c r="BL61" s="129">
        <f t="shared" si="77"/>
        <v>1.1150969843033565</v>
      </c>
      <c r="BN61" s="129">
        <f t="shared" si="33"/>
        <v>0.98727929004343551</v>
      </c>
      <c r="BO61" s="129">
        <f t="shared" si="75"/>
        <v>0.84883391645622297</v>
      </c>
      <c r="BP61" s="129">
        <f t="shared" si="78"/>
        <v>0.89656847367565207</v>
      </c>
    </row>
    <row r="62" spans="1:68" x14ac:dyDescent="0.2">
      <c r="A62" s="133" t="s">
        <v>664</v>
      </c>
      <c r="B62" s="133">
        <f t="shared" si="79"/>
        <v>2001</v>
      </c>
      <c r="D62" s="125">
        <f>'Passenger-based Energy Use'!E59</f>
        <v>91.224926799999992</v>
      </c>
      <c r="E62" s="125">
        <f>'Passenger-based Energy Use'!G59</f>
        <v>36.554252254003615</v>
      </c>
      <c r="F62" s="174">
        <f>'Passenger-based Energy Use'!H59</f>
        <v>84.366760213845382</v>
      </c>
      <c r="G62" s="125">
        <f t="shared" si="34"/>
        <v>212.14593926784897</v>
      </c>
      <c r="I62" s="4">
        <f>'Passenger-based Activity'!F60</f>
        <v>22022</v>
      </c>
      <c r="J62" s="4">
        <f>'Passenger-based Activity'!E60</f>
        <v>43598.728311688305</v>
      </c>
      <c r="K62" s="4">
        <f>'Passenger-based Activity'!H60</f>
        <v>113865.93632835365</v>
      </c>
      <c r="L62" s="4">
        <f t="shared" ref="L62:L67" si="80">I62+J62+K62</f>
        <v>179486.66464004194</v>
      </c>
      <c r="N62" s="125">
        <f t="shared" si="47"/>
        <v>4142.4451366815001</v>
      </c>
      <c r="O62" s="125">
        <f t="shared" si="48"/>
        <v>838.42473552614717</v>
      </c>
      <c r="P62" s="125">
        <f t="shared" si="49"/>
        <v>740.93063241106722</v>
      </c>
      <c r="Q62" s="125">
        <f t="shared" si="50"/>
        <v>1181.9593377218569</v>
      </c>
      <c r="S62" s="129">
        <f t="shared" si="36"/>
        <v>1.2071549259900474</v>
      </c>
      <c r="T62" s="129">
        <f t="shared" si="37"/>
        <v>0.85308975831460787</v>
      </c>
      <c r="U62" s="129">
        <f t="shared" si="38"/>
        <v>1.0066475026949335</v>
      </c>
      <c r="V62" s="129">
        <f t="shared" si="39"/>
        <v>0.95141099853401823</v>
      </c>
      <c r="X62" s="131">
        <f t="shared" si="51"/>
        <v>1.444386308614992</v>
      </c>
      <c r="Y62" s="131">
        <f t="shared" si="52"/>
        <v>0.95141099853401823</v>
      </c>
      <c r="Z62" s="131">
        <f t="shared" si="53"/>
        <v>0.89489393019555374</v>
      </c>
      <c r="AA62" s="131">
        <f t="shared" si="54"/>
        <v>1.0631550471306854</v>
      </c>
      <c r="AB62" s="131">
        <f t="shared" si="55"/>
        <v>1.3742050201482543</v>
      </c>
      <c r="AC62" s="131">
        <f t="shared" si="56"/>
        <v>1.3742050201482539</v>
      </c>
      <c r="AD62" s="131"/>
      <c r="AE62" s="131">
        <f t="shared" si="57"/>
        <v>0.95141099853401823</v>
      </c>
      <c r="AH62" s="134"/>
      <c r="AJ62" s="129">
        <f t="shared" si="58"/>
        <v>0.43001024254733528</v>
      </c>
      <c r="AK62" s="129">
        <f t="shared" si="59"/>
        <v>0.17230710321469475</v>
      </c>
      <c r="AL62" s="129">
        <f t="shared" si="60"/>
        <v>0.39768265423797006</v>
      </c>
      <c r="AM62" s="129"/>
      <c r="AN62" s="129">
        <f t="shared" si="61"/>
        <v>0.44047240815536315</v>
      </c>
      <c r="AO62" s="129">
        <f t="shared" si="62"/>
        <v>0.1688619541428758</v>
      </c>
      <c r="AP62" s="129">
        <f t="shared" si="63"/>
        <v>0.39051503157390083</v>
      </c>
      <c r="AQ62" s="129">
        <f t="shared" si="64"/>
        <v>0.99984939387213978</v>
      </c>
      <c r="AS62" s="129">
        <f t="shared" si="65"/>
        <v>0.44053875599157538</v>
      </c>
      <c r="AT62" s="129">
        <f t="shared" si="66"/>
        <v>0.1688873896186707</v>
      </c>
      <c r="AU62" s="129">
        <f t="shared" si="67"/>
        <v>0.39057385438975389</v>
      </c>
      <c r="AV62" s="129"/>
      <c r="AW62" s="129"/>
      <c r="AX62" s="129">
        <f t="shared" si="68"/>
        <v>-8.9863092944957354E-2</v>
      </c>
      <c r="AY62" s="129">
        <f t="shared" si="69"/>
        <v>-4.803354835726209E-2</v>
      </c>
      <c r="AZ62" s="129">
        <f t="shared" si="70"/>
        <v>0</v>
      </c>
      <c r="BA62" s="129"/>
      <c r="BB62" s="129">
        <f t="shared" si="76"/>
        <v>0.1226943519406571</v>
      </c>
      <c r="BC62" s="129">
        <f t="shared" si="24"/>
        <v>0.24290789735897628</v>
      </c>
      <c r="BD62" s="129">
        <f t="shared" si="25"/>
        <v>0.63439775070036675</v>
      </c>
      <c r="BE62" s="129"/>
      <c r="BF62" s="129">
        <f t="shared" si="71"/>
        <v>-7.593280340297528E-3</v>
      </c>
      <c r="BG62" s="129">
        <f t="shared" si="72"/>
        <v>3.8994186559030891E-2</v>
      </c>
      <c r="BH62" s="129">
        <f t="shared" si="73"/>
        <v>-1.3083219886786747E-2</v>
      </c>
      <c r="BI62" s="129" t="e">
        <f>#REF!</f>
        <v>#REF!</v>
      </c>
      <c r="BJ62" s="129">
        <f t="shared" si="32"/>
        <v>0.95341935463566763</v>
      </c>
      <c r="BK62" s="129">
        <f t="shared" si="28"/>
        <v>1.1645559547415036</v>
      </c>
      <c r="BL62" s="129">
        <f t="shared" si="77"/>
        <v>1.0631550471306854</v>
      </c>
      <c r="BN62" s="129">
        <f t="shared" si="33"/>
        <v>0.99813227485767675</v>
      </c>
      <c r="BO62" s="129">
        <f t="shared" si="75"/>
        <v>0.84724852800880102</v>
      </c>
      <c r="BP62" s="129">
        <f t="shared" si="78"/>
        <v>0.89489393019555374</v>
      </c>
    </row>
    <row r="63" spans="1:68" x14ac:dyDescent="0.2">
      <c r="A63" s="133" t="s">
        <v>664</v>
      </c>
      <c r="B63" s="133">
        <f t="shared" si="79"/>
        <v>2002</v>
      </c>
      <c r="D63" s="125">
        <f>'Passenger-based Energy Use'!E60</f>
        <v>90.190249099999988</v>
      </c>
      <c r="E63" s="125">
        <f>'Passenger-based Energy Use'!G60</f>
        <v>37.796808105718142</v>
      </c>
      <c r="F63" s="174">
        <f>'Passenger-based Energy Use'!H60</f>
        <v>85.010605517044155</v>
      </c>
      <c r="G63" s="125">
        <f t="shared" si="34"/>
        <v>212.9976627227623</v>
      </c>
      <c r="I63" s="4">
        <f>'Passenger-based Activity'!F61</f>
        <v>21841</v>
      </c>
      <c r="J63" s="4">
        <f>'Passenger-based Activity'!E61</f>
        <v>47199.597402597399</v>
      </c>
      <c r="K63" s="4">
        <f>'Passenger-based Activity'!H61</f>
        <v>114734.90472436075</v>
      </c>
      <c r="L63" s="4">
        <f t="shared" si="80"/>
        <v>183775.50212695816</v>
      </c>
      <c r="N63" s="125">
        <f t="shared" si="47"/>
        <v>4129.4010851151497</v>
      </c>
      <c r="O63" s="125">
        <f t="shared" si="48"/>
        <v>800.78666314298221</v>
      </c>
      <c r="P63" s="125">
        <f t="shared" si="49"/>
        <v>740.93063241106722</v>
      </c>
      <c r="Q63" s="125">
        <f t="shared" si="50"/>
        <v>1159.0100979597189</v>
      </c>
      <c r="S63" s="129">
        <f t="shared" ref="S63:V64" si="81">N63/N$74</f>
        <v>1.2033537432142625</v>
      </c>
      <c r="T63" s="129">
        <f t="shared" si="81"/>
        <v>0.81479335231385641</v>
      </c>
      <c r="U63" s="129">
        <f t="shared" si="81"/>
        <v>1.0066475026949335</v>
      </c>
      <c r="V63" s="129">
        <f t="shared" si="81"/>
        <v>0.93293814720922041</v>
      </c>
      <c r="X63" s="131">
        <f t="shared" si="51"/>
        <v>1.4788999487141044</v>
      </c>
      <c r="Y63" s="131">
        <f t="shared" si="52"/>
        <v>0.93293814720922041</v>
      </c>
      <c r="Z63" s="131">
        <f t="shared" si="53"/>
        <v>0.88578620828765309</v>
      </c>
      <c r="AA63" s="131">
        <f t="shared" si="54"/>
        <v>1.0532317375009919</v>
      </c>
      <c r="AB63" s="131">
        <f t="shared" si="55"/>
        <v>1.3797221780611475</v>
      </c>
      <c r="AC63" s="131">
        <f t="shared" si="56"/>
        <v>1.3797221780611477</v>
      </c>
      <c r="AD63" s="131"/>
      <c r="AE63" s="131">
        <f t="shared" si="57"/>
        <v>0.9329381472092203</v>
      </c>
      <c r="AH63" s="134"/>
      <c r="AJ63" s="129">
        <f t="shared" si="58"/>
        <v>0.42343304591746433</v>
      </c>
      <c r="AK63" s="129">
        <f t="shared" si="59"/>
        <v>0.17745175051481413</v>
      </c>
      <c r="AL63" s="129">
        <f t="shared" si="60"/>
        <v>0.39911520356772145</v>
      </c>
      <c r="AM63" s="129"/>
      <c r="AN63" s="129">
        <f t="shared" si="61"/>
        <v>0.42671319606303243</v>
      </c>
      <c r="AO63" s="129">
        <f t="shared" si="62"/>
        <v>0.17486681392549377</v>
      </c>
      <c r="AP63" s="129">
        <f t="shared" si="63"/>
        <v>0.3983984996431309</v>
      </c>
      <c r="AQ63" s="129">
        <f t="shared" si="64"/>
        <v>0.99997850963165713</v>
      </c>
      <c r="AS63" s="129">
        <f t="shared" si="65"/>
        <v>0.4267223664838683</v>
      </c>
      <c r="AT63" s="129">
        <f t="shared" si="66"/>
        <v>0.17487057195849748</v>
      </c>
      <c r="AU63" s="129">
        <f t="shared" si="67"/>
        <v>0.39840706155763417</v>
      </c>
      <c r="AV63" s="129"/>
      <c r="AW63" s="129"/>
      <c r="AX63" s="129">
        <f t="shared" si="68"/>
        <v>-3.1538454726411699E-3</v>
      </c>
      <c r="AY63" s="129">
        <f t="shared" si="69"/>
        <v>-4.593024293770321E-2</v>
      </c>
      <c r="AZ63" s="129">
        <f t="shared" si="70"/>
        <v>0</v>
      </c>
      <c r="BA63" s="129"/>
      <c r="BB63" s="129">
        <f t="shared" ref="BB63:BB68" si="82">I63/L63</f>
        <v>0.11884609073145951</v>
      </c>
      <c r="BC63" s="129">
        <f t="shared" ref="BC63:BC68" si="83">J63/L63</f>
        <v>0.25683291220170557</v>
      </c>
      <c r="BD63" s="129">
        <f t="shared" ref="BD63:BD68" si="84">K63/L63</f>
        <v>0.62432099706683486</v>
      </c>
      <c r="BE63" s="129"/>
      <c r="BF63" s="129">
        <f t="shared" si="71"/>
        <v>-3.1867018395883469E-2</v>
      </c>
      <c r="BG63" s="129">
        <f t="shared" si="72"/>
        <v>5.5743378103880623E-2</v>
      </c>
      <c r="BH63" s="129">
        <f t="shared" si="73"/>
        <v>-1.601147028208447E-2</v>
      </c>
      <c r="BI63" s="129" t="e">
        <f>#REF!</f>
        <v>#REF!</v>
      </c>
      <c r="BJ63" s="129">
        <f t="shared" si="32"/>
        <v>0.99066616891254466</v>
      </c>
      <c r="BK63" s="129">
        <f t="shared" si="28"/>
        <v>1.1536861861680561</v>
      </c>
      <c r="BL63" s="129">
        <f t="shared" si="77"/>
        <v>1.0532317375009919</v>
      </c>
      <c r="BN63" s="129">
        <f t="shared" si="33"/>
        <v>0.98982256823899739</v>
      </c>
      <c r="BO63" s="129">
        <f t="shared" si="75"/>
        <v>0.83862571393038154</v>
      </c>
      <c r="BP63" s="129">
        <f t="shared" si="78"/>
        <v>0.88578620828765309</v>
      </c>
    </row>
    <row r="64" spans="1:68" x14ac:dyDescent="0.2">
      <c r="A64" s="133" t="s">
        <v>664</v>
      </c>
      <c r="B64" s="133">
        <f t="shared" si="79"/>
        <v>2003</v>
      </c>
      <c r="D64" s="125">
        <f>'Passenger-based Energy Use'!E61</f>
        <v>89.131225700000002</v>
      </c>
      <c r="E64" s="125">
        <f>'Passenger-based Energy Use'!G61</f>
        <v>39.036572311967774</v>
      </c>
      <c r="F64" s="174">
        <f>'Passenger-based Energy Use'!H61</f>
        <v>87.169364093530206</v>
      </c>
      <c r="G64" s="125">
        <f t="shared" si="34"/>
        <v>215.33716210549795</v>
      </c>
      <c r="I64" s="4">
        <f>'Passenger-based Activity'!F62</f>
        <v>21262</v>
      </c>
      <c r="J64" s="4">
        <f>'Passenger-based Activity'!E62</f>
        <v>50940.941298701298</v>
      </c>
      <c r="K64" s="4">
        <f>'Passenger-based Activity'!H62</f>
        <v>117648.48189616863</v>
      </c>
      <c r="L64" s="4">
        <f t="shared" si="80"/>
        <v>189851.42319486995</v>
      </c>
      <c r="N64" s="125">
        <f t="shared" si="47"/>
        <v>4192.0433496378519</v>
      </c>
      <c r="O64" s="125">
        <f t="shared" si="48"/>
        <v>766.31038447189007</v>
      </c>
      <c r="P64" s="125">
        <f t="shared" si="49"/>
        <v>740.93063241106722</v>
      </c>
      <c r="Q64" s="125">
        <f t="shared" si="50"/>
        <v>1134.2404417188307</v>
      </c>
      <c r="S64" s="129">
        <f t="shared" si="81"/>
        <v>1.2216084009583428</v>
      </c>
      <c r="T64" s="129">
        <f t="shared" si="81"/>
        <v>0.77971404347088424</v>
      </c>
      <c r="U64" s="129">
        <f t="shared" si="81"/>
        <v>1.0066475026949335</v>
      </c>
      <c r="V64" s="129">
        <f t="shared" si="81"/>
        <v>0.91299996268342287</v>
      </c>
      <c r="X64" s="131">
        <f t="shared" si="51"/>
        <v>1.5277948190952397</v>
      </c>
      <c r="Y64" s="131">
        <f t="shared" si="52"/>
        <v>0.91299996268342287</v>
      </c>
      <c r="Z64" s="131">
        <f t="shared" si="53"/>
        <v>0.86823506868817091</v>
      </c>
      <c r="AA64" s="131">
        <f t="shared" si="54"/>
        <v>1.051558495630553</v>
      </c>
      <c r="AB64" s="131">
        <f t="shared" si="55"/>
        <v>1.3948766128218808</v>
      </c>
      <c r="AC64" s="131">
        <f t="shared" si="56"/>
        <v>1.3948766128218808</v>
      </c>
      <c r="AD64" s="131"/>
      <c r="AE64" s="131">
        <f t="shared" si="57"/>
        <v>0.91299996268342287</v>
      </c>
      <c r="AH64" s="134"/>
      <c r="AJ64" s="129">
        <f t="shared" si="58"/>
        <v>0.41391474109022036</v>
      </c>
      <c r="AK64" s="129">
        <f t="shared" si="59"/>
        <v>0.18128116823998536</v>
      </c>
      <c r="AL64" s="129">
        <f t="shared" si="60"/>
        <v>0.40480409066979439</v>
      </c>
      <c r="AM64" s="129"/>
      <c r="AN64" s="129">
        <f t="shared" si="61"/>
        <v>0.41865586012708378</v>
      </c>
      <c r="AO64" s="129">
        <f t="shared" si="62"/>
        <v>0.17935964609794389</v>
      </c>
      <c r="AP64" s="129">
        <f t="shared" si="63"/>
        <v>0.40195293751725097</v>
      </c>
      <c r="AQ64" s="129">
        <f t="shared" si="64"/>
        <v>0.99996844374227867</v>
      </c>
      <c r="AS64" s="129">
        <f t="shared" si="65"/>
        <v>0.41866907175621204</v>
      </c>
      <c r="AT64" s="129">
        <f t="shared" si="66"/>
        <v>0.17936530619577246</v>
      </c>
      <c r="AU64" s="129">
        <f t="shared" si="67"/>
        <v>0.40196562204801545</v>
      </c>
      <c r="AV64" s="129"/>
      <c r="AW64" s="129"/>
      <c r="AX64" s="129">
        <f t="shared" si="68"/>
        <v>1.5055907258307459E-2</v>
      </c>
      <c r="AY64" s="129">
        <f t="shared" si="69"/>
        <v>-4.4007284116469828E-2</v>
      </c>
      <c r="AZ64" s="129">
        <f t="shared" si="70"/>
        <v>0</v>
      </c>
      <c r="BA64" s="129"/>
      <c r="BB64" s="129">
        <f t="shared" si="82"/>
        <v>0.11199283967534951</v>
      </c>
      <c r="BC64" s="129">
        <f t="shared" si="83"/>
        <v>0.26832003912034824</v>
      </c>
      <c r="BD64" s="129">
        <f t="shared" si="84"/>
        <v>0.61968712120430214</v>
      </c>
      <c r="BE64" s="129"/>
      <c r="BF64" s="129">
        <f t="shared" si="71"/>
        <v>-5.9394363026717779E-2</v>
      </c>
      <c r="BG64" s="129">
        <f t="shared" si="72"/>
        <v>4.3754717489364298E-2</v>
      </c>
      <c r="BH64" s="129">
        <f t="shared" si="73"/>
        <v>-7.4499470329652999E-3</v>
      </c>
      <c r="BI64" s="129" t="e">
        <f>#REF!</f>
        <v>#REF!</v>
      </c>
      <c r="BJ64" s="129">
        <f t="shared" si="32"/>
        <v>0.99841132600655502</v>
      </c>
      <c r="BK64" s="129">
        <f t="shared" si="28"/>
        <v>1.1518533549274941</v>
      </c>
      <c r="BL64" s="129">
        <f t="shared" si="77"/>
        <v>1.051558495630553</v>
      </c>
      <c r="BN64" s="129">
        <f t="shared" si="33"/>
        <v>0.98018580619649642</v>
      </c>
      <c r="BO64" s="129">
        <f t="shared" si="75"/>
        <v>0.82200902150596344</v>
      </c>
      <c r="BP64" s="129">
        <f t="shared" si="78"/>
        <v>0.86823506868817091</v>
      </c>
    </row>
    <row r="65" spans="1:68" x14ac:dyDescent="0.2">
      <c r="A65" s="133" t="s">
        <v>664</v>
      </c>
      <c r="B65" s="133">
        <f t="shared" si="79"/>
        <v>2004</v>
      </c>
      <c r="D65" s="125">
        <f>'Passenger-based Energy Use'!E62</f>
        <v>93.397523561904762</v>
      </c>
      <c r="E65" s="125">
        <f>'Passenger-based Energy Use'!G62</f>
        <v>40.273554270164659</v>
      </c>
      <c r="F65" s="174">
        <f>'Passenger-based Energy Use'!H62</f>
        <v>86.296694885213284</v>
      </c>
      <c r="G65" s="125">
        <f t="shared" si="34"/>
        <v>219.96777271728268</v>
      </c>
      <c r="I65" s="4">
        <f>'Passenger-based Activity'!F63</f>
        <v>21376.973000000002</v>
      </c>
      <c r="J65" s="4">
        <f>'Passenger-based Activity'!E63</f>
        <v>54822.760000000009</v>
      </c>
      <c r="K65" s="4">
        <f>'Passenger-based Activity'!H63</f>
        <v>116470.6803987772</v>
      </c>
      <c r="L65" s="4">
        <f t="shared" si="80"/>
        <v>192670.41339877719</v>
      </c>
      <c r="N65" s="125">
        <f t="shared" si="47"/>
        <v>4369.0715033370143</v>
      </c>
      <c r="O65" s="125">
        <f t="shared" si="48"/>
        <v>734.61376753313141</v>
      </c>
      <c r="P65" s="125">
        <f t="shared" si="49"/>
        <v>740.93063241106722</v>
      </c>
      <c r="Q65" s="125">
        <f t="shared" si="50"/>
        <v>1141.6790405800766</v>
      </c>
      <c r="S65" s="129">
        <f t="shared" ref="S65:V66" si="85">N65/N$74</f>
        <v>1.2731963884212407</v>
      </c>
      <c r="T65" s="129">
        <f t="shared" si="85"/>
        <v>0.74746301587362762</v>
      </c>
      <c r="U65" s="129">
        <f t="shared" si="85"/>
        <v>1.0066475026949335</v>
      </c>
      <c r="V65" s="129">
        <f t="shared" si="85"/>
        <v>0.918987617710467</v>
      </c>
      <c r="X65" s="131">
        <f t="shared" si="51"/>
        <v>1.5504801303567153</v>
      </c>
      <c r="Y65" s="131">
        <f t="shared" si="52"/>
        <v>0.918987617710467</v>
      </c>
      <c r="Z65" s="131">
        <f t="shared" si="53"/>
        <v>0.86554053874165748</v>
      </c>
      <c r="AA65" s="131">
        <f t="shared" si="54"/>
        <v>1.061749943043121</v>
      </c>
      <c r="AB65" s="131">
        <f t="shared" si="55"/>
        <v>1.4248720413039322</v>
      </c>
      <c r="AC65" s="131">
        <f t="shared" si="56"/>
        <v>1.4248720413039322</v>
      </c>
      <c r="AD65" s="131"/>
      <c r="AE65" s="131">
        <f t="shared" si="57"/>
        <v>0.91898761771046711</v>
      </c>
      <c r="AH65" s="134"/>
      <c r="AJ65" s="129">
        <f t="shared" si="58"/>
        <v>0.42459639613638089</v>
      </c>
      <c r="AK65" s="129">
        <f t="shared" si="59"/>
        <v>0.183088430512623</v>
      </c>
      <c r="AL65" s="129">
        <f t="shared" si="60"/>
        <v>0.39231517335099619</v>
      </c>
      <c r="AM65" s="129"/>
      <c r="AN65" s="129">
        <f t="shared" si="61"/>
        <v>0.41923288899157457</v>
      </c>
      <c r="AO65" s="129">
        <f t="shared" si="62"/>
        <v>0.18218330537206448</v>
      </c>
      <c r="AP65" s="129">
        <f t="shared" si="63"/>
        <v>0.39852701805619639</v>
      </c>
      <c r="AQ65" s="129">
        <f t="shared" si="64"/>
        <v>0.99994321241983541</v>
      </c>
      <c r="AS65" s="129">
        <f t="shared" si="65"/>
        <v>0.41925669756489709</v>
      </c>
      <c r="AT65" s="129">
        <f t="shared" si="66"/>
        <v>0.18219365170866636</v>
      </c>
      <c r="AU65" s="129">
        <f t="shared" si="67"/>
        <v>0.39854965072643661</v>
      </c>
      <c r="AV65" s="129"/>
      <c r="AW65" s="129"/>
      <c r="AX65" s="129">
        <f t="shared" si="68"/>
        <v>4.1362227895317467E-2</v>
      </c>
      <c r="AY65" s="129">
        <f t="shared" si="69"/>
        <v>-4.224241458198294E-2</v>
      </c>
      <c r="AZ65" s="129">
        <f t="shared" si="70"/>
        <v>0</v>
      </c>
      <c r="BA65" s="129"/>
      <c r="BB65" s="129">
        <f t="shared" si="82"/>
        <v>0.11095098942750113</v>
      </c>
      <c r="BC65" s="129">
        <f t="shared" si="83"/>
        <v>0.28454166383362289</v>
      </c>
      <c r="BD65" s="129">
        <f t="shared" si="84"/>
        <v>0.60450734673887607</v>
      </c>
      <c r="BE65" s="129"/>
      <c r="BF65" s="129">
        <f t="shared" si="71"/>
        <v>-9.3463706641688654E-3</v>
      </c>
      <c r="BG65" s="129">
        <f t="shared" si="72"/>
        <v>5.8699244784376776E-2</v>
      </c>
      <c r="BH65" s="129">
        <f t="shared" si="73"/>
        <v>-2.4800884049843767E-2</v>
      </c>
      <c r="BI65" s="129" t="e">
        <f>#REF!</f>
        <v>#REF!</v>
      </c>
      <c r="BJ65" s="129">
        <f t="shared" si="32"/>
        <v>1.0096917550996121</v>
      </c>
      <c r="BK65" s="129">
        <f t="shared" si="28"/>
        <v>1.1630168355541179</v>
      </c>
      <c r="BL65" s="129">
        <f t="shared" si="77"/>
        <v>1.061749943043121</v>
      </c>
      <c r="BN65" s="129">
        <f t="shared" si="33"/>
        <v>0.99689654329375954</v>
      </c>
      <c r="BO65" s="129">
        <f t="shared" si="75"/>
        <v>0.81945795209558059</v>
      </c>
      <c r="BP65" s="129">
        <f t="shared" si="78"/>
        <v>0.86554053874165748</v>
      </c>
    </row>
    <row r="66" spans="1:68" x14ac:dyDescent="0.2">
      <c r="A66" s="133" t="s">
        <v>664</v>
      </c>
      <c r="B66" s="133">
        <f t="shared" si="79"/>
        <v>2005</v>
      </c>
      <c r="D66" s="125">
        <f>'Passenger-based Energy Use'!E63</f>
        <v>93.074290052380945</v>
      </c>
      <c r="E66" s="125">
        <f>'Passenger-based Energy Use'!G63</f>
        <v>41.50776333558936</v>
      </c>
      <c r="F66" s="174">
        <f>'Passenger-based Energy Use'!H63</f>
        <v>85.216714285634666</v>
      </c>
      <c r="G66" s="125">
        <f t="shared" si="34"/>
        <v>219.79876767360497</v>
      </c>
      <c r="I66" s="4">
        <f>'Passenger-based Activity'!F64</f>
        <v>21824.942999999999</v>
      </c>
      <c r="J66" s="4">
        <f>'Passenger-based Activity'!E64</f>
        <v>57582.400000000009</v>
      </c>
      <c r="K66" s="4">
        <f>'Passenger-based Activity'!H64</f>
        <v>115013.08025061726</v>
      </c>
      <c r="L66" s="4">
        <f t="shared" si="80"/>
        <v>194420.42325061728</v>
      </c>
      <c r="N66" s="125">
        <f t="shared" si="47"/>
        <v>4264.5834196396736</v>
      </c>
      <c r="O66" s="125">
        <f t="shared" si="48"/>
        <v>720.84114826039468</v>
      </c>
      <c r="P66" s="125">
        <f t="shared" si="49"/>
        <v>740.93063241106722</v>
      </c>
      <c r="Q66" s="125">
        <f t="shared" si="50"/>
        <v>1130.5333256592789</v>
      </c>
      <c r="S66" s="129">
        <f t="shared" si="85"/>
        <v>1.2427473901169324</v>
      </c>
      <c r="T66" s="129">
        <f t="shared" si="85"/>
        <v>0.73344949748743049</v>
      </c>
      <c r="U66" s="129">
        <f t="shared" si="85"/>
        <v>1.0066475026949335</v>
      </c>
      <c r="V66" s="129">
        <f t="shared" si="85"/>
        <v>0.91001594210053416</v>
      </c>
      <c r="X66" s="131">
        <f t="shared" si="51"/>
        <v>1.5645630165422066</v>
      </c>
      <c r="Y66" s="131">
        <f t="shared" si="52"/>
        <v>0.91001594210053416</v>
      </c>
      <c r="Z66" s="131">
        <f t="shared" si="53"/>
        <v>0.86898617839835257</v>
      </c>
      <c r="AA66" s="131">
        <f t="shared" si="54"/>
        <v>1.0472156689279046</v>
      </c>
      <c r="AB66" s="131">
        <f t="shared" si="55"/>
        <v>1.42377728747431</v>
      </c>
      <c r="AC66" s="131">
        <f t="shared" si="56"/>
        <v>1.42377728747431</v>
      </c>
      <c r="AD66" s="131"/>
      <c r="AE66" s="131">
        <f t="shared" si="57"/>
        <v>0.91001594210053427</v>
      </c>
      <c r="AH66" s="134"/>
      <c r="AJ66" s="129">
        <f t="shared" si="58"/>
        <v>0.42345228336581792</v>
      </c>
      <c r="AK66" s="129">
        <f t="shared" si="59"/>
        <v>0.18884438604872994</v>
      </c>
      <c r="AL66" s="129">
        <f t="shared" si="60"/>
        <v>0.38770333058545214</v>
      </c>
      <c r="AM66" s="129"/>
      <c r="AN66" s="129">
        <f t="shared" si="61"/>
        <v>0.4240240824949037</v>
      </c>
      <c r="AO66" s="129">
        <f t="shared" si="62"/>
        <v>0.18595156100230895</v>
      </c>
      <c r="AP66" s="129">
        <f t="shared" si="63"/>
        <v>0.39000470735552994</v>
      </c>
      <c r="AQ66" s="129">
        <f t="shared" si="64"/>
        <v>0.99998035085274262</v>
      </c>
      <c r="AS66" s="129">
        <f t="shared" si="65"/>
        <v>0.42403241437025557</v>
      </c>
      <c r="AT66" s="129">
        <f t="shared" si="66"/>
        <v>0.18595521486370908</v>
      </c>
      <c r="AU66" s="129">
        <f t="shared" si="67"/>
        <v>0.39001237076603534</v>
      </c>
      <c r="AV66" s="129"/>
      <c r="AW66" s="129"/>
      <c r="AX66" s="129">
        <f t="shared" si="68"/>
        <v>-2.4206013902871051E-2</v>
      </c>
      <c r="AY66" s="129">
        <f t="shared" si="69"/>
        <v>-1.8926083150549888E-2</v>
      </c>
      <c r="AZ66" s="129">
        <f t="shared" si="70"/>
        <v>0</v>
      </c>
      <c r="BA66" s="129"/>
      <c r="BB66" s="129">
        <f t="shared" si="82"/>
        <v>0.11225643188661613</v>
      </c>
      <c r="BC66" s="129">
        <f t="shared" si="83"/>
        <v>0.29617464583838254</v>
      </c>
      <c r="BD66" s="129">
        <f t="shared" si="84"/>
        <v>0.59156892227500124</v>
      </c>
      <c r="BE66" s="129"/>
      <c r="BF66" s="129">
        <f t="shared" si="71"/>
        <v>1.1697257521722763E-2</v>
      </c>
      <c r="BG66" s="129">
        <f t="shared" si="72"/>
        <v>4.0069611398497317E-2</v>
      </c>
      <c r="BH66" s="129">
        <f t="shared" si="73"/>
        <v>-2.163562558982465E-2</v>
      </c>
      <c r="BI66" s="129" t="e">
        <f>#REF!</f>
        <v>#REF!</v>
      </c>
      <c r="BJ66" s="129">
        <f t="shared" si="32"/>
        <v>0.98631101964219647</v>
      </c>
      <c r="BK66" s="129">
        <f t="shared" si="28"/>
        <v>1.1470963209364229</v>
      </c>
      <c r="BL66" s="129">
        <f t="shared" si="77"/>
        <v>1.0472156689279046</v>
      </c>
      <c r="BN66" s="129">
        <f t="shared" si="33"/>
        <v>1.003980910774791</v>
      </c>
      <c r="BO66" s="129">
        <f t="shared" si="75"/>
        <v>0.8227201410865661</v>
      </c>
      <c r="BP66" s="129">
        <f t="shared" si="78"/>
        <v>0.86898617839835257</v>
      </c>
    </row>
    <row r="67" spans="1:68" x14ac:dyDescent="0.2">
      <c r="A67" s="133" t="s">
        <v>664</v>
      </c>
      <c r="B67" s="133">
        <f t="shared" si="79"/>
        <v>2006</v>
      </c>
      <c r="D67" s="125">
        <f>'Passenger-based Energy Use'!E64</f>
        <v>98.392057619047605</v>
      </c>
      <c r="E67" s="125">
        <f>'Passenger-based Energy Use'!G64</f>
        <v>42.739208821626711</v>
      </c>
      <c r="F67" s="174">
        <f>'Passenger-based Energy Use'!H64</f>
        <v>86.313649090321547</v>
      </c>
      <c r="G67" s="125">
        <f t="shared" si="34"/>
        <v>227.44491553099587</v>
      </c>
      <c r="I67" s="4">
        <f>'Passenger-based Activity'!F65</f>
        <v>22821</v>
      </c>
      <c r="J67" s="4">
        <f>'Passenger-based Activity'!E65</f>
        <v>61103.000000000015</v>
      </c>
      <c r="K67" s="4">
        <f>'Passenger-based Activity'!H65</f>
        <v>116493.56270970704</v>
      </c>
      <c r="L67" s="4">
        <f t="shared" si="80"/>
        <v>200417.56270970707</v>
      </c>
      <c r="N67" s="125">
        <f t="shared" si="47"/>
        <v>4311.4700328227336</v>
      </c>
      <c r="O67" s="125">
        <f t="shared" si="48"/>
        <v>699.46170927166747</v>
      </c>
      <c r="P67" s="125">
        <f t="shared" si="49"/>
        <v>740.93063241106722</v>
      </c>
      <c r="Q67" s="125">
        <f t="shared" si="50"/>
        <v>1134.8552115686405</v>
      </c>
      <c r="S67" s="129">
        <f t="shared" ref="S67:V68" si="86">N67/N$74</f>
        <v>1.2564106745297374</v>
      </c>
      <c r="T67" s="129">
        <f t="shared" si="86"/>
        <v>0.71169610727006094</v>
      </c>
      <c r="U67" s="129">
        <f t="shared" si="86"/>
        <v>1.0066475026949335</v>
      </c>
      <c r="V67" s="129">
        <f t="shared" si="86"/>
        <v>0.91349481794452136</v>
      </c>
      <c r="X67" s="131">
        <f t="shared" si="51"/>
        <v>1.6128239062463854</v>
      </c>
      <c r="Y67" s="131">
        <f t="shared" si="52"/>
        <v>0.91349481794452136</v>
      </c>
      <c r="Z67" s="131">
        <f t="shared" si="53"/>
        <v>0.87317362011573119</v>
      </c>
      <c r="AA67" s="131">
        <f t="shared" si="54"/>
        <v>1.0461777553740641</v>
      </c>
      <c r="AB67" s="131">
        <f t="shared" si="55"/>
        <v>1.4733062806131136</v>
      </c>
      <c r="AC67" s="131">
        <f t="shared" si="56"/>
        <v>1.4733062806131139</v>
      </c>
      <c r="AD67" s="131"/>
      <c r="AE67" s="131">
        <f t="shared" si="57"/>
        <v>0.91349481794452136</v>
      </c>
      <c r="AH67" s="134"/>
      <c r="AJ67" s="129">
        <f t="shared" si="58"/>
        <v>0.43259730554688469</v>
      </c>
      <c r="AK67" s="129">
        <f t="shared" si="59"/>
        <v>0.18791015275873368</v>
      </c>
      <c r="AL67" s="129">
        <f t="shared" si="60"/>
        <v>0.37949254169438157</v>
      </c>
      <c r="AM67" s="129"/>
      <c r="AN67" s="129">
        <f t="shared" si="61"/>
        <v>0.42800851152580865</v>
      </c>
      <c r="AO67" s="129">
        <f t="shared" si="62"/>
        <v>0.18837688330209229</v>
      </c>
      <c r="AP67" s="129">
        <f t="shared" si="63"/>
        <v>0.38358328992070878</v>
      </c>
      <c r="AQ67" s="129">
        <f t="shared" si="64"/>
        <v>0.99996868474860978</v>
      </c>
      <c r="AS67" s="129">
        <f t="shared" si="65"/>
        <v>0.4280219151396818</v>
      </c>
      <c r="AT67" s="129">
        <f t="shared" si="66"/>
        <v>0.18838278255628563</v>
      </c>
      <c r="AU67" s="129">
        <f t="shared" si="67"/>
        <v>0.38359530230403255</v>
      </c>
      <c r="AV67" s="129"/>
      <c r="AW67" s="129"/>
      <c r="AX67" s="129">
        <f t="shared" si="68"/>
        <v>1.093441886641823E-2</v>
      </c>
      <c r="AY67" s="129">
        <f t="shared" si="69"/>
        <v>-3.0107739129802066E-2</v>
      </c>
      <c r="AZ67" s="129">
        <f t="shared" si="70"/>
        <v>0</v>
      </c>
      <c r="BA67" s="129"/>
      <c r="BB67" s="129">
        <f t="shared" si="82"/>
        <v>0.11386726637852024</v>
      </c>
      <c r="BC67" s="129">
        <f t="shared" si="83"/>
        <v>0.30487847059842793</v>
      </c>
      <c r="BD67" s="129">
        <f t="shared" si="84"/>
        <v>0.58125426302305172</v>
      </c>
      <c r="BE67" s="129"/>
      <c r="BF67" s="129">
        <f t="shared" si="71"/>
        <v>1.4247615383867578E-2</v>
      </c>
      <c r="BG67" s="129">
        <f t="shared" si="72"/>
        <v>2.8963940092846724E-2</v>
      </c>
      <c r="BH67" s="129">
        <f t="shared" si="73"/>
        <v>-1.758990669747966E-2</v>
      </c>
      <c r="BI67" s="129" t="e">
        <f>#REF!</f>
        <v>#REF!</v>
      </c>
      <c r="BJ67" s="129">
        <f t="shared" si="32"/>
        <v>0.99900888271190302</v>
      </c>
      <c r="BK67" s="129">
        <f t="shared" si="28"/>
        <v>1.1459594139416303</v>
      </c>
      <c r="BL67" s="129">
        <f t="shared" si="77"/>
        <v>1.0461777553740641</v>
      </c>
      <c r="BN67" s="129">
        <f t="shared" si="33"/>
        <v>1.0048187667669197</v>
      </c>
      <c r="BO67" s="129">
        <f t="shared" si="75"/>
        <v>0.8266846375609096</v>
      </c>
      <c r="BP67" s="129">
        <f t="shared" si="78"/>
        <v>0.87317362011573119</v>
      </c>
    </row>
    <row r="68" spans="1:68" x14ac:dyDescent="0.2">
      <c r="A68" s="133" t="s">
        <v>664</v>
      </c>
      <c r="B68" s="133">
        <f t="shared" si="79"/>
        <v>2007</v>
      </c>
      <c r="D68" s="125">
        <f>'Passenger-based Energy Use'!E65</f>
        <v>91.678117142857147</v>
      </c>
      <c r="E68" s="125">
        <f>'Passenger-based Energy Use'!G65</f>
        <v>43.9679</v>
      </c>
      <c r="F68" s="174">
        <f>'Passenger-based Energy Use'!H65</f>
        <v>84.170910413418341</v>
      </c>
      <c r="G68" s="125">
        <f t="shared" si="34"/>
        <v>219.81692755627549</v>
      </c>
      <c r="I68" s="4">
        <f>'Passenger-based Activity'!F66</f>
        <v>20976</v>
      </c>
      <c r="J68" s="4">
        <f>'Passenger-based Activity'!E66</f>
        <v>65495.999999999993</v>
      </c>
      <c r="K68" s="4">
        <f>'Passenger-based Activity'!H66</f>
        <v>113601.60685962898</v>
      </c>
      <c r="L68" s="4">
        <f>I68+J68+K68</f>
        <v>200073.60685962898</v>
      </c>
      <c r="N68" s="125">
        <f t="shared" si="47"/>
        <v>4370.6196197014278</v>
      </c>
      <c r="O68" s="125">
        <f t="shared" si="48"/>
        <v>671.30664468059126</v>
      </c>
      <c r="P68" s="125">
        <f t="shared" si="49"/>
        <v>740.93063241106734</v>
      </c>
      <c r="Q68" s="125">
        <f t="shared" si="50"/>
        <v>1098.6802857535245</v>
      </c>
      <c r="S68" s="129">
        <f t="shared" si="86"/>
        <v>1.2736475268753771</v>
      </c>
      <c r="T68" s="129">
        <f t="shared" si="86"/>
        <v>0.68304857788597073</v>
      </c>
      <c r="U68" s="129">
        <f t="shared" si="86"/>
        <v>1.0066475026949337</v>
      </c>
      <c r="V68" s="129">
        <f t="shared" si="86"/>
        <v>0.88437603086510264</v>
      </c>
      <c r="X68" s="131">
        <f t="shared" si="51"/>
        <v>1.6100559840633244</v>
      </c>
      <c r="Y68" s="131">
        <f t="shared" si="52"/>
        <v>0.88437603086510264</v>
      </c>
      <c r="Z68" s="131">
        <f t="shared" si="53"/>
        <v>0.84718384958794868</v>
      </c>
      <c r="AA68" s="131">
        <f t="shared" si="54"/>
        <v>1.043900956439672</v>
      </c>
      <c r="AB68" s="131">
        <f t="shared" si="55"/>
        <v>1.4238949206565301</v>
      </c>
      <c r="AC68" s="131">
        <f t="shared" si="56"/>
        <v>1.4238949206565299</v>
      </c>
      <c r="AD68" s="131"/>
      <c r="AE68" s="131">
        <f t="shared" si="57"/>
        <v>0.88437603086510286</v>
      </c>
      <c r="AH68" s="134"/>
      <c r="AJ68" s="129">
        <f t="shared" si="58"/>
        <v>0.4170657745154161</v>
      </c>
      <c r="AK68" s="129">
        <f t="shared" si="59"/>
        <v>0.20002053749360929</v>
      </c>
      <c r="AL68" s="129">
        <f t="shared" si="60"/>
        <v>0.38291368799097458</v>
      </c>
      <c r="AN68" s="129">
        <f t="shared" si="61"/>
        <v>0.42478421736087701</v>
      </c>
      <c r="AO68" s="129">
        <f t="shared" si="62"/>
        <v>0.19390231859580734</v>
      </c>
      <c r="AP68" s="129">
        <f t="shared" si="63"/>
        <v>0.38120055621002391</v>
      </c>
      <c r="AQ68" s="129">
        <f t="shared" si="64"/>
        <v>0.99988709216670824</v>
      </c>
      <c r="AS68" s="129">
        <f t="shared" si="65"/>
        <v>0.42483218424231239</v>
      </c>
      <c r="AT68" s="129">
        <f t="shared" si="66"/>
        <v>0.1939242141586508</v>
      </c>
      <c r="AU68" s="129">
        <f t="shared" si="67"/>
        <v>0.38124360159903681</v>
      </c>
      <c r="AX68" s="129">
        <f t="shared" si="68"/>
        <v>1.3625867597990924E-2</v>
      </c>
      <c r="AY68" s="129">
        <f t="shared" si="69"/>
        <v>-4.1085023342744664E-2</v>
      </c>
      <c r="AZ68" s="129">
        <f t="shared" si="70"/>
        <v>2.2204460492503128E-16</v>
      </c>
      <c r="BB68" s="129">
        <f t="shared" si="82"/>
        <v>0.10484141476350099</v>
      </c>
      <c r="BC68" s="129">
        <f t="shared" si="83"/>
        <v>0.32735952046864325</v>
      </c>
      <c r="BD68" s="129">
        <f t="shared" si="84"/>
        <v>0.56779906476785569</v>
      </c>
      <c r="BF68" s="129">
        <f t="shared" si="71"/>
        <v>-8.2584567157409028E-2</v>
      </c>
      <c r="BG68" s="129">
        <f t="shared" si="72"/>
        <v>7.1145777770141416E-2</v>
      </c>
      <c r="BH68" s="129">
        <f t="shared" si="73"/>
        <v>-2.3420694185799264E-2</v>
      </c>
      <c r="BI68" s="129" t="e">
        <f>#REF!</f>
        <v>#REF!</v>
      </c>
      <c r="BJ68" s="129">
        <f t="shared" si="32"/>
        <v>0.99782369781550351</v>
      </c>
      <c r="BK68" s="129">
        <f t="shared" si="28"/>
        <v>1.1434654599657248</v>
      </c>
      <c r="BL68" s="129">
        <f t="shared" si="77"/>
        <v>1.043900956439672</v>
      </c>
      <c r="BN68" s="129">
        <f t="shared" si="33"/>
        <v>0.97023527746482097</v>
      </c>
      <c r="BO68" s="129">
        <f t="shared" si="75"/>
        <v>0.80207859869981413</v>
      </c>
      <c r="BP68" s="129">
        <f t="shared" si="78"/>
        <v>0.84718384958794868</v>
      </c>
    </row>
    <row r="69" spans="1:68" x14ac:dyDescent="0.2">
      <c r="A69" s="133" t="s">
        <v>664</v>
      </c>
      <c r="B69" s="133">
        <f t="shared" si="79"/>
        <v>2008</v>
      </c>
      <c r="D69" s="125">
        <f>'Passenger-based Energy Use'!E66</f>
        <v>94.599100952380951</v>
      </c>
      <c r="E69" s="125">
        <f>'Passenger-based Energy Use'!G66</f>
        <v>44.232621732610809</v>
      </c>
      <c r="F69" s="174">
        <f>'Passenger-based Energy Use'!H66</f>
        <v>80.963070528054999</v>
      </c>
      <c r="G69" s="125">
        <f t="shared" si="34"/>
        <v>219.79479321304674</v>
      </c>
      <c r="I69" s="4">
        <f>'Passenger-based Activity'!F67</f>
        <v>21757</v>
      </c>
      <c r="J69" s="4">
        <f>'Passenger-based Activity'!E67</f>
        <v>64750</v>
      </c>
      <c r="K69" s="4">
        <f>'Passenger-based Activity'!H67</f>
        <v>109272.13289129717</v>
      </c>
      <c r="L69" s="4">
        <f>I69+J69+K69</f>
        <v>195779.13289129717</v>
      </c>
      <c r="N69" s="125">
        <f t="shared" si="47"/>
        <v>4347.9846004679393</v>
      </c>
      <c r="O69" s="125">
        <f t="shared" si="48"/>
        <v>683.12929316773455</v>
      </c>
      <c r="P69" s="125">
        <f t="shared" si="49"/>
        <v>740.93063241106734</v>
      </c>
      <c r="Q69" s="125">
        <f t="shared" si="50"/>
        <v>1122.6671094466633</v>
      </c>
      <c r="S69" s="129">
        <f t="shared" ref="S69:U71" si="87">N69/N$74</f>
        <v>1.2670514286613948</v>
      </c>
      <c r="T69" s="129">
        <f t="shared" si="87"/>
        <v>0.69507801823186699</v>
      </c>
      <c r="U69" s="129">
        <f t="shared" si="87"/>
        <v>1.0066475026949337</v>
      </c>
      <c r="V69" s="129">
        <f>Q69/Q$74</f>
        <v>0.90368407908064885</v>
      </c>
      <c r="X69" s="131">
        <f t="shared" si="51"/>
        <v>1.5754969854045564</v>
      </c>
      <c r="Y69" s="131">
        <f t="shared" si="52"/>
        <v>0.90368407908064885</v>
      </c>
      <c r="Z69" s="131">
        <f t="shared" si="53"/>
        <v>0.86455284589010717</v>
      </c>
      <c r="AA69" s="131">
        <f t="shared" si="54"/>
        <v>1.045261817570277</v>
      </c>
      <c r="AB69" s="131">
        <f t="shared" si="55"/>
        <v>1.4237515423496552</v>
      </c>
      <c r="AC69" s="131">
        <f t="shared" si="56"/>
        <v>1.423751542349655</v>
      </c>
      <c r="AD69" s="131"/>
      <c r="AE69" s="131">
        <f t="shared" si="57"/>
        <v>0.90368407908064907</v>
      </c>
      <c r="AH69" s="134"/>
      <c r="AJ69" s="129">
        <f t="shared" si="58"/>
        <v>0.43039737006274847</v>
      </c>
      <c r="AK69" s="129">
        <f t="shared" si="59"/>
        <v>0.20124508449904999</v>
      </c>
      <c r="AL69" s="129">
        <f t="shared" si="60"/>
        <v>0.36835754543820165</v>
      </c>
      <c r="AN69" s="129">
        <f t="shared" si="61"/>
        <v>0.42369661635985734</v>
      </c>
      <c r="AO69" s="129">
        <f t="shared" si="62"/>
        <v>0.20063218816737294</v>
      </c>
      <c r="AP69" s="129">
        <f t="shared" si="63"/>
        <v>0.37558860695039964</v>
      </c>
      <c r="AQ69" s="129">
        <f t="shared" si="64"/>
        <v>0.99991741147762991</v>
      </c>
      <c r="AS69" s="129">
        <f t="shared" si="65"/>
        <v>0.42373161172755142</v>
      </c>
      <c r="AT69" s="129">
        <f t="shared" si="66"/>
        <v>0.20064875945193147</v>
      </c>
      <c r="AU69" s="129">
        <f t="shared" si="67"/>
        <v>0.37561962882051714</v>
      </c>
      <c r="AX69" s="129">
        <f t="shared" si="68"/>
        <v>-5.1923609597050308E-3</v>
      </c>
      <c r="AY69" s="129">
        <f t="shared" si="69"/>
        <v>1.7458114387661757E-2</v>
      </c>
      <c r="AZ69" s="129">
        <f t="shared" si="70"/>
        <v>0</v>
      </c>
      <c r="BB69" s="129">
        <f>I69/L69</f>
        <v>0.11113033181161437</v>
      </c>
      <c r="BC69" s="129">
        <f>J69/L69</f>
        <v>0.33072983337785683</v>
      </c>
      <c r="BD69" s="129">
        <f>K69/L69</f>
        <v>0.55813983481052876</v>
      </c>
      <c r="BF69" s="129">
        <f t="shared" si="71"/>
        <v>5.8254800124731831E-2</v>
      </c>
      <c r="BG69" s="129">
        <f t="shared" si="72"/>
        <v>1.0242810815510584E-2</v>
      </c>
      <c r="BH69" s="129">
        <f t="shared" si="73"/>
        <v>-1.7158065916838855E-2</v>
      </c>
      <c r="BI69" s="129" t="e">
        <f>#REF!</f>
        <v>#REF!</v>
      </c>
      <c r="BJ69" s="129">
        <f t="shared" si="32"/>
        <v>1.0013036305046088</v>
      </c>
      <c r="BK69" s="129">
        <f t="shared" si="28"/>
        <v>1.1449561164203026</v>
      </c>
      <c r="BL69" s="129">
        <f t="shared" si="77"/>
        <v>1.045261817570277</v>
      </c>
      <c r="BN69" s="129">
        <f t="shared" si="33"/>
        <v>1.0205020389737203</v>
      </c>
      <c r="BO69" s="129">
        <f t="shared" si="75"/>
        <v>0.8185228453903447</v>
      </c>
      <c r="BP69" s="129">
        <f t="shared" si="78"/>
        <v>0.86455284589010717</v>
      </c>
    </row>
    <row r="70" spans="1:68" x14ac:dyDescent="0.2">
      <c r="A70" s="133" t="s">
        <v>664</v>
      </c>
      <c r="B70" s="133">
        <f t="shared" si="79"/>
        <v>2009</v>
      </c>
      <c r="D70" s="125">
        <f>'Passenger-based Energy Use'!E67</f>
        <v>91.275816666666671</v>
      </c>
      <c r="E70" s="125">
        <f>'Passenger-based Energy Use'!G67</f>
        <v>44.409738868645192</v>
      </c>
      <c r="F70" s="174">
        <f>'Passenger-based Energy Use'!H67</f>
        <v>83.216419612653397</v>
      </c>
      <c r="G70" s="125">
        <f t="shared" si="34"/>
        <v>218.90197514796526</v>
      </c>
      <c r="I70" s="4">
        <f>'Passenger-based Activity'!F68</f>
        <v>21477</v>
      </c>
      <c r="J70" s="4">
        <f>'Passenger-based Activity'!E68</f>
        <v>64600</v>
      </c>
      <c r="K70" s="4">
        <f>'Passenger-based Activity'!H68</f>
        <v>112313.37452179336</v>
      </c>
      <c r="L70" s="4">
        <f>I70+J70+K70</f>
        <v>198390.37452179336</v>
      </c>
      <c r="N70" s="125">
        <f t="shared" si="47"/>
        <v>4249.9332619391289</v>
      </c>
      <c r="O70" s="125">
        <f t="shared" si="48"/>
        <v>687.45725802856327</v>
      </c>
      <c r="P70" s="125">
        <f t="shared" si="49"/>
        <v>740.93063241106722</v>
      </c>
      <c r="Q70" s="125">
        <f t="shared" si="50"/>
        <v>1103.3900998252245</v>
      </c>
      <c r="S70" s="129">
        <f t="shared" si="87"/>
        <v>1.2384781700183625</v>
      </c>
      <c r="T70" s="129">
        <f t="shared" si="87"/>
        <v>0.69948168422676571</v>
      </c>
      <c r="U70" s="129">
        <f t="shared" si="87"/>
        <v>1.0066475026949335</v>
      </c>
      <c r="V70" s="129">
        <f>Q70/Q$74</f>
        <v>0.88816716712999522</v>
      </c>
      <c r="X70" s="131">
        <f t="shared" si="51"/>
        <v>1.5965104777837154</v>
      </c>
      <c r="Y70" s="131">
        <f t="shared" si="52"/>
        <v>0.88816716712999522</v>
      </c>
      <c r="Z70" s="131">
        <f t="shared" si="53"/>
        <v>0.8568647672729679</v>
      </c>
      <c r="AA70" s="131">
        <f t="shared" si="54"/>
        <v>1.0365313186544585</v>
      </c>
      <c r="AB70" s="131">
        <f t="shared" si="55"/>
        <v>1.4179681883465174</v>
      </c>
      <c r="AC70" s="131">
        <f t="shared" si="56"/>
        <v>1.4179681883465176</v>
      </c>
      <c r="AD70" s="131"/>
      <c r="AE70" s="131">
        <f t="shared" si="57"/>
        <v>0.88816716712999511</v>
      </c>
      <c r="AH70" s="134"/>
      <c r="AJ70" s="129">
        <f t="shared" si="58"/>
        <v>0.41697118815382739</v>
      </c>
      <c r="AK70" s="129">
        <f t="shared" si="59"/>
        <v>0.20287500301734024</v>
      </c>
      <c r="AL70" s="129">
        <f t="shared" si="60"/>
        <v>0.38015380882883237</v>
      </c>
      <c r="AN70" s="129">
        <f t="shared" si="61"/>
        <v>0.42364882141036431</v>
      </c>
      <c r="AO70" s="129">
        <f t="shared" si="62"/>
        <v>0.20205894810783978</v>
      </c>
      <c r="AP70" s="129">
        <f t="shared" si="63"/>
        <v>0.37422469095307065</v>
      </c>
      <c r="AQ70" s="129">
        <f t="shared" si="64"/>
        <v>0.99993246047127471</v>
      </c>
      <c r="AS70" s="129">
        <f t="shared" si="65"/>
        <v>0.42367743638474925</v>
      </c>
      <c r="AT70" s="129">
        <f t="shared" si="66"/>
        <v>0.20207259599574162</v>
      </c>
      <c r="AU70" s="129">
        <f t="shared" si="67"/>
        <v>0.37424996761950913</v>
      </c>
      <c r="AX70" s="129">
        <f t="shared" si="68"/>
        <v>-2.2809147762102411E-2</v>
      </c>
      <c r="AY70" s="129">
        <f t="shared" si="69"/>
        <v>6.3155139562299954E-3</v>
      </c>
      <c r="AZ70" s="129">
        <f t="shared" si="70"/>
        <v>-2.2204460492503131E-16</v>
      </c>
      <c r="BB70" s="129">
        <f>I70/L70</f>
        <v>0.1082562601727471</v>
      </c>
      <c r="BC70" s="129">
        <f>J70/L70</f>
        <v>0.32562063636259547</v>
      </c>
      <c r="BD70" s="129">
        <f>K70/L70</f>
        <v>0.56612310346465744</v>
      </c>
      <c r="BF70" s="129">
        <f t="shared" si="71"/>
        <v>-2.6202477084449078E-2</v>
      </c>
      <c r="BG70" s="129">
        <f t="shared" si="72"/>
        <v>-1.5568817121632397E-2</v>
      </c>
      <c r="BH70" s="129">
        <f t="shared" si="73"/>
        <v>1.4202020836217749E-2</v>
      </c>
      <c r="BI70" s="129" t="e">
        <f>#REF!</f>
        <v>#REF!</v>
      </c>
      <c r="BJ70" s="129">
        <f t="shared" si="32"/>
        <v>0.99164754823235346</v>
      </c>
      <c r="BK70" s="129">
        <f t="shared" si="28"/>
        <v>1.13539292568183</v>
      </c>
      <c r="BL70" s="129">
        <f t="shared" si="77"/>
        <v>1.0365313186544585</v>
      </c>
      <c r="BN70" s="129">
        <f t="shared" si="33"/>
        <v>0.99110745091675234</v>
      </c>
      <c r="BO70" s="129">
        <f t="shared" si="75"/>
        <v>0.81124409081195148</v>
      </c>
      <c r="BP70" s="129">
        <f t="shared" si="78"/>
        <v>0.8568647672729679</v>
      </c>
    </row>
    <row r="71" spans="1:68" x14ac:dyDescent="0.2">
      <c r="A71" s="133" t="s">
        <v>664</v>
      </c>
      <c r="B71" s="133">
        <f t="shared" si="79"/>
        <v>2010</v>
      </c>
      <c r="D71" s="125">
        <f>'Passenger-based Energy Use'!E68</f>
        <v>86.633312857142855</v>
      </c>
      <c r="E71" s="125">
        <f>'Passenger-based Energy Use'!G68</f>
        <v>44.56663739615319</v>
      </c>
      <c r="F71" s="174">
        <f>'Passenger-based Energy Use'!H68</f>
        <v>80.997946282793009</v>
      </c>
      <c r="G71" s="125">
        <f t="shared" si="34"/>
        <v>212.19789653608905</v>
      </c>
      <c r="I71" s="4">
        <f>'Passenger-based Activity'!F69</f>
        <v>21013</v>
      </c>
      <c r="J71" s="4">
        <f>'Passenger-based Activity'!E69</f>
        <v>62523.569726596084</v>
      </c>
      <c r="K71" s="4">
        <f>'Passenger-based Activity'!H69</f>
        <v>109319.20309357041</v>
      </c>
      <c r="L71" s="4">
        <f>I71+J71+K71</f>
        <v>192855.77282016649</v>
      </c>
      <c r="N71" s="125">
        <f t="shared" si="47"/>
        <v>4122.8436138172965</v>
      </c>
      <c r="O71" s="125">
        <f t="shared" si="48"/>
        <v>712.79739130434791</v>
      </c>
      <c r="P71" s="125">
        <f t="shared" si="49"/>
        <v>740.93063241106711</v>
      </c>
      <c r="Q71" s="125">
        <f t="shared" si="50"/>
        <v>1100.2932058142674</v>
      </c>
      <c r="S71" s="129">
        <f t="shared" si="87"/>
        <v>1.2014428226062508</v>
      </c>
      <c r="T71" s="129">
        <f t="shared" si="87"/>
        <v>0.72526504587619656</v>
      </c>
      <c r="U71" s="129">
        <f t="shared" si="87"/>
        <v>1.0066475026949335</v>
      </c>
      <c r="V71" s="129">
        <f>Q71/Q$74</f>
        <v>0.88567434108320597</v>
      </c>
      <c r="X71" s="131">
        <f t="shared" si="51"/>
        <v>1.5519717766077858</v>
      </c>
      <c r="Y71" s="131">
        <f t="shared" si="52"/>
        <v>0.88567434108320597</v>
      </c>
      <c r="Z71" s="131">
        <f t="shared" si="53"/>
        <v>0.85878974766342941</v>
      </c>
      <c r="AA71" s="131">
        <f t="shared" si="54"/>
        <v>1.0313052100271614</v>
      </c>
      <c r="AB71" s="131">
        <f t="shared" si="55"/>
        <v>1.3745415806268333</v>
      </c>
      <c r="AC71" s="131">
        <f t="shared" si="56"/>
        <v>1.3745415806268335</v>
      </c>
      <c r="AD71" s="131"/>
      <c r="AE71" s="131">
        <f t="shared" si="57"/>
        <v>0.88567434108320597</v>
      </c>
      <c r="AH71" s="134"/>
      <c r="AJ71" s="129">
        <f t="shared" si="58"/>
        <v>0.40826659581146652</v>
      </c>
      <c r="AK71" s="129">
        <f t="shared" si="59"/>
        <v>0.21002393578662842</v>
      </c>
      <c r="AL71" s="129">
        <f t="shared" si="60"/>
        <v>0.38170946840190512</v>
      </c>
      <c r="AN71" s="129">
        <f t="shared" si="61"/>
        <v>0.41260358888304505</v>
      </c>
      <c r="AO71" s="129">
        <f t="shared" si="62"/>
        <v>0.20642883831404948</v>
      </c>
      <c r="AP71" s="129">
        <f t="shared" si="63"/>
        <v>0.38093110919417117</v>
      </c>
      <c r="AQ71" s="129">
        <f t="shared" si="64"/>
        <v>0.99996353639126567</v>
      </c>
      <c r="AS71" s="129">
        <f t="shared" si="65"/>
        <v>0.41261863444748803</v>
      </c>
      <c r="AT71" s="129">
        <f t="shared" si="66"/>
        <v>0.20643636572891796</v>
      </c>
      <c r="AU71" s="129">
        <f t="shared" si="67"/>
        <v>0.38094499982359403</v>
      </c>
      <c r="AX71" s="129">
        <f t="shared" si="68"/>
        <v>-3.0360156926753534E-2</v>
      </c>
      <c r="AY71" s="129">
        <f t="shared" si="69"/>
        <v>3.6197558895822692E-2</v>
      </c>
      <c r="AZ71" s="129">
        <f t="shared" si="70"/>
        <v>0</v>
      </c>
      <c r="BB71" s="129">
        <f>I71/L71</f>
        <v>0.10895707031593051</v>
      </c>
      <c r="BC71" s="129">
        <f>J71/L71</f>
        <v>0.3241985905441257</v>
      </c>
      <c r="BD71" s="129">
        <f>K71/L71</f>
        <v>0.56684433913994381</v>
      </c>
      <c r="BF71" s="129">
        <f t="shared" si="71"/>
        <v>6.4527584315823552E-3</v>
      </c>
      <c r="BG71" s="129">
        <f t="shared" si="72"/>
        <v>-4.3767498086820346E-3</v>
      </c>
      <c r="BH71" s="129">
        <f t="shared" si="73"/>
        <v>1.2731800501777873E-3</v>
      </c>
      <c r="BI71" s="129" t="e">
        <f>#REF!</f>
        <v>#REF!</v>
      </c>
      <c r="BJ71" s="129">
        <f t="shared" si="32"/>
        <v>0.99495807938144964</v>
      </c>
      <c r="BK71" s="129">
        <f t="shared" si="28"/>
        <v>1.1296683646796786</v>
      </c>
      <c r="BL71" s="129">
        <f t="shared" si="77"/>
        <v>1.0313052100271614</v>
      </c>
      <c r="BN71" s="129">
        <f t="shared" si="33"/>
        <v>1.0022465393186697</v>
      </c>
      <c r="BO71" s="129">
        <f t="shared" si="75"/>
        <v>0.813066582558999</v>
      </c>
      <c r="BP71" s="129">
        <f t="shared" si="78"/>
        <v>0.85878974766342941</v>
      </c>
    </row>
    <row r="72" spans="1:68" x14ac:dyDescent="0.2">
      <c r="A72" s="133" t="s">
        <v>664</v>
      </c>
      <c r="B72" s="133">
        <f t="shared" si="79"/>
        <v>2011</v>
      </c>
      <c r="D72" s="125">
        <f>'Passenger-based Energy Use'!E69</f>
        <v>91.022176666666667</v>
      </c>
      <c r="E72" s="125">
        <f>'Passenger-based Energy Use'!G69</f>
        <v>42.935339814653339</v>
      </c>
      <c r="F72" s="174">
        <f>'Passenger-based Energy Use'!H69</f>
        <v>75.47035762981784</v>
      </c>
      <c r="G72" s="125">
        <f t="shared" ref="G72" si="88">D72+E72+F72</f>
        <v>209.42787411113784</v>
      </c>
      <c r="I72" s="4">
        <f>'Passenger-based Activity'!F70</f>
        <v>21414</v>
      </c>
      <c r="J72" s="4">
        <f>'Passenger-based Activity'!E70</f>
        <v>68371.375899952662</v>
      </c>
      <c r="K72" s="4">
        <f>'Passenger-based Activity'!H70</f>
        <v>101858.87089622582</v>
      </c>
      <c r="L72" s="4">
        <f>I72+J72+K72</f>
        <v>191644.24679617849</v>
      </c>
      <c r="N72" s="125">
        <f t="shared" ref="N72" si="89">D72/I72*1000000</f>
        <v>4250.5919803243987</v>
      </c>
      <c r="O72" s="125">
        <f t="shared" ref="O72" si="90">E72/J72*1000000</f>
        <v>627.97244094488178</v>
      </c>
      <c r="P72" s="125">
        <f t="shared" ref="P72" si="91">F72/K72*1000000</f>
        <v>740.93063241106711</v>
      </c>
      <c r="Q72" s="125">
        <f t="shared" ref="Q72" si="92">G72/L72*1000000</f>
        <v>1092.7949970440436</v>
      </c>
      <c r="S72" s="129">
        <f t="shared" ref="S72" si="93">N72/N$74</f>
        <v>1.2386701279363026</v>
      </c>
      <c r="T72" s="129">
        <f t="shared" ref="T72" si="94">O72/O$74</f>
        <v>0.63895640857699465</v>
      </c>
      <c r="U72" s="129">
        <f t="shared" ref="U72" si="95">P72/P$74</f>
        <v>1.0066475026949335</v>
      </c>
      <c r="V72" s="129">
        <f>Q72/Q$74</f>
        <v>0.87963870342155415</v>
      </c>
      <c r="X72" s="131">
        <f t="shared" si="51"/>
        <v>1.5422222411473747</v>
      </c>
      <c r="Y72" s="131">
        <f t="shared" ref="Y72" si="96">V72</f>
        <v>0.87963870342155415</v>
      </c>
      <c r="Z72" s="131">
        <f t="shared" ref="Z72" si="97">BP72</f>
        <v>0.86447695164000338</v>
      </c>
      <c r="AA72" s="131">
        <f t="shared" ref="AA72" si="98">BL72</f>
        <v>1.0175386420109724</v>
      </c>
      <c r="AB72" s="131">
        <f t="shared" ref="AB72" si="99">X72*Z72*AA72</f>
        <v>1.3565983725907602</v>
      </c>
      <c r="AC72" s="131">
        <f t="shared" si="56"/>
        <v>1.3565983725907602</v>
      </c>
      <c r="AD72" s="131"/>
      <c r="AE72" s="131">
        <f t="shared" ref="AE72" si="100">Z72*AA72</f>
        <v>0.87963870342155415</v>
      </c>
      <c r="AH72" s="134"/>
      <c r="AJ72" s="129">
        <f t="shared" ref="AJ72" si="101">D72/G72</f>
        <v>0.43462302739301839</v>
      </c>
      <c r="AK72" s="129">
        <f t="shared" ref="AK72" si="102">E72/G72</f>
        <v>0.20501253711752185</v>
      </c>
      <c r="AL72" s="129">
        <f t="shared" ref="AL72" si="103">F72/G72</f>
        <v>0.36036443548945979</v>
      </c>
      <c r="AN72" s="129">
        <f t="shared" ref="AN72" si="104">(AJ72-AJ71)/LN(AJ72/AJ71)</f>
        <v>0.4213074186224911</v>
      </c>
      <c r="AO72" s="129">
        <f t="shared" ref="AO72" si="105">(AK72-AK71)/LN(AK72/AK71)</f>
        <v>0.20750815095568093</v>
      </c>
      <c r="AP72" s="129">
        <f t="shared" ref="AP72" si="106">(AL72-AL71)/LN(AL72/AL71)</f>
        <v>0.37093460117950039</v>
      </c>
      <c r="AQ72" s="129">
        <f t="shared" ref="AQ72" si="107">AN72+AO72+AP72</f>
        <v>0.99975017075767247</v>
      </c>
      <c r="AS72" s="129">
        <f t="shared" ref="AS72" si="108">AN72/AQ72</f>
        <v>0.42141269983799884</v>
      </c>
      <c r="AT72" s="129">
        <f t="shared" ref="AT72" si="109">AO72/AQ72</f>
        <v>0.20756000551459614</v>
      </c>
      <c r="AU72" s="129">
        <f t="shared" ref="AU72" si="110">AP72/AQ72</f>
        <v>0.37102729464740497</v>
      </c>
      <c r="AX72" s="129">
        <f t="shared" ref="AX72" si="111">LN(S72/S71)</f>
        <v>3.0515139911407935E-2</v>
      </c>
      <c r="AY72" s="129">
        <f t="shared" ref="AY72" si="112">LN(T72/T71)</f>
        <v>-0.12670093470408916</v>
      </c>
      <c r="AZ72" s="129">
        <f t="shared" ref="AZ72" si="113">LN(U72/U71)</f>
        <v>0</v>
      </c>
      <c r="BB72" s="129">
        <f>I72/L72</f>
        <v>0.11173828778055971</v>
      </c>
      <c r="BC72" s="129">
        <f>J72/L72</f>
        <v>0.35676195368738839</v>
      </c>
      <c r="BD72" s="129">
        <f>K72/L72</f>
        <v>0.53149975853205189</v>
      </c>
      <c r="BF72" s="129">
        <f t="shared" ref="BF72" si="114">LN(BB72/BB71)</f>
        <v>2.5205466331032055E-2</v>
      </c>
      <c r="BG72" s="129">
        <f t="shared" ref="BG72" si="115">LN(BC72/BC71)</f>
        <v>9.5712501174872164E-2</v>
      </c>
      <c r="BH72" s="129">
        <f t="shared" ref="BH72" si="116">LN(BD72/BD71)</f>
        <v>-6.438198842384335E-2</v>
      </c>
      <c r="BI72" s="129" t="e">
        <f>#REF!</f>
        <v>#REF!</v>
      </c>
      <c r="BJ72" s="129">
        <f t="shared" ref="BJ72" si="117">EXP(SUMPRODUCT($AS72:$AU72,AX72:AZ72))</f>
        <v>0.98665131536005091</v>
      </c>
      <c r="BK72" s="129">
        <f t="shared" ref="BK72" si="118">IF(ISERR(BJ72),BK71,BJ72*BK71)</f>
        <v>1.1145887779318426</v>
      </c>
      <c r="BL72" s="129">
        <f t="shared" si="77"/>
        <v>1.0175386420109724</v>
      </c>
      <c r="BN72" s="129">
        <f t="shared" ref="BN72" si="119">EXP(SUMPRODUCT($AS72:$AU72,BF72:BH72))</f>
        <v>1.0066223473114899</v>
      </c>
      <c r="BO72" s="129">
        <f t="shared" ref="BO72" si="120">IF(ISERR(BN72),BO71,BN72*BO71)</f>
        <v>0.81845099185607084</v>
      </c>
      <c r="BP72" s="129">
        <f t="shared" si="78"/>
        <v>0.86447695164000338</v>
      </c>
    </row>
    <row r="73" spans="1:68" hidden="1" x14ac:dyDescent="0.2">
      <c r="A73" s="133"/>
      <c r="B73" s="133"/>
      <c r="AH73" s="134"/>
    </row>
    <row r="74" spans="1:68" hidden="1" x14ac:dyDescent="0.2">
      <c r="A74" s="133" t="s">
        <v>684</v>
      </c>
      <c r="B74" s="133">
        <f>Base_year</f>
        <v>1985</v>
      </c>
      <c r="G74" s="129">
        <f>INDEX(G10:G71,Base_row,0)</f>
        <v>154.37721166595793</v>
      </c>
      <c r="L74" s="138">
        <f>INDEX(L10:L71,Base_row,0)</f>
        <v>124264.99999999999</v>
      </c>
      <c r="N74" s="129">
        <f>INDEX(N10:N71,Base_row,0)</f>
        <v>3431.5770473985153</v>
      </c>
      <c r="O74" s="129">
        <f>INDEX(O10:O71,Base_row,0)</f>
        <v>982.80951957806485</v>
      </c>
      <c r="P74" s="129">
        <f>INDEX(P10:P71,Base_row,0)</f>
        <v>736.03781902552203</v>
      </c>
      <c r="Q74" s="129">
        <f>INDEX(Q10:Q71,Base_row,0)</f>
        <v>1242.3225499212003</v>
      </c>
      <c r="AH74" s="134"/>
      <c r="BK74" s="129">
        <f>INDEX(BK10:BK71,Base_row,1)</f>
        <v>1.0953773467797439</v>
      </c>
      <c r="BO74" s="129">
        <f>INDEX(BO10:BO71,Base_row,1)</f>
        <v>0.94675860392042088</v>
      </c>
    </row>
    <row r="75" spans="1:68" hidden="1" x14ac:dyDescent="0.2">
      <c r="A75" s="133" t="s">
        <v>683</v>
      </c>
      <c r="B75" s="133">
        <f>Base_year2</f>
        <v>1996</v>
      </c>
      <c r="L75" s="138">
        <f>INDEX(L10:L71,Base_row2,0)</f>
        <v>156402.81612789549</v>
      </c>
      <c r="N75" s="129">
        <f>INDEX(N10:N71,Base_row2,0)</f>
        <v>4343.5968422706337</v>
      </c>
      <c r="O75" s="129">
        <f>INDEX(O10:O71,Base_row2,0)</f>
        <v>1048.79113548347</v>
      </c>
      <c r="P75" s="129">
        <f>INDEX(P10:P71,Base_row2,0)</f>
        <v>740.93063241106711</v>
      </c>
      <c r="Q75" s="129">
        <f>INDEX(Q10:Q71,Base_row2,0)</f>
        <v>1237.4875254049637</v>
      </c>
      <c r="AH75" s="134"/>
    </row>
    <row r="76" spans="1:68" x14ac:dyDescent="0.2">
      <c r="A76" s="133"/>
      <c r="B76" s="133"/>
      <c r="AH76" s="134"/>
    </row>
    <row r="77" spans="1:68" x14ac:dyDescent="0.2">
      <c r="A77" s="133"/>
      <c r="B77" s="133"/>
      <c r="I77" s="136">
        <f>I72/$L72</f>
        <v>0.11173828778055971</v>
      </c>
      <c r="J77" s="136">
        <f t="shared" ref="J77:K77" si="121">J72/$L72</f>
        <v>0.35676195368738839</v>
      </c>
      <c r="K77" s="136">
        <f t="shared" si="121"/>
        <v>0.53149975853205189</v>
      </c>
      <c r="AH77" s="134"/>
    </row>
    <row r="78" spans="1:68" x14ac:dyDescent="0.2">
      <c r="A78" s="133"/>
      <c r="B78" s="133"/>
      <c r="AH78" s="134"/>
    </row>
    <row r="79" spans="1:68" x14ac:dyDescent="0.2">
      <c r="A79" s="133"/>
      <c r="B79" s="133"/>
      <c r="AH79" s="134"/>
    </row>
    <row r="80" spans="1:68" x14ac:dyDescent="0.2">
      <c r="A80" s="133"/>
      <c r="B80" s="133"/>
      <c r="F80" s="173"/>
      <c r="G80" s="173"/>
      <c r="H80" s="173"/>
      <c r="I80" s="173"/>
      <c r="J80" s="173"/>
      <c r="K80" s="173"/>
      <c r="L80" s="173"/>
      <c r="M80" s="173"/>
      <c r="N80" s="173"/>
      <c r="AH80" s="134"/>
    </row>
    <row r="81" spans="1:34" x14ac:dyDescent="0.2">
      <c r="A81" s="133"/>
      <c r="B81" s="133"/>
      <c r="AH81" s="134"/>
    </row>
    <row r="82" spans="1:34" x14ac:dyDescent="0.2">
      <c r="A82" s="133"/>
      <c r="B82" s="133"/>
      <c r="AH82" s="134"/>
    </row>
    <row r="83" spans="1:34" x14ac:dyDescent="0.2">
      <c r="A83" s="133"/>
      <c r="B83" s="133"/>
      <c r="AH83" s="134"/>
    </row>
    <row r="84" spans="1:34" x14ac:dyDescent="0.2">
      <c r="A84" s="133"/>
      <c r="B84" s="133"/>
      <c r="AH84" s="134"/>
    </row>
    <row r="85" spans="1:34" x14ac:dyDescent="0.2">
      <c r="A85" s="133"/>
      <c r="B85" s="133"/>
      <c r="AH85" s="134"/>
    </row>
    <row r="86" spans="1:34" x14ac:dyDescent="0.2">
      <c r="A86" s="133"/>
      <c r="B86" s="133"/>
      <c r="AH86" s="134"/>
    </row>
    <row r="87" spans="1:34" x14ac:dyDescent="0.2">
      <c r="A87" s="133"/>
      <c r="B87" s="133"/>
      <c r="AH87" s="134"/>
    </row>
    <row r="88" spans="1:34" x14ac:dyDescent="0.2">
      <c r="A88" s="133"/>
      <c r="B88" s="133"/>
      <c r="AH88" s="134"/>
    </row>
    <row r="89" spans="1:34" x14ac:dyDescent="0.2">
      <c r="A89" s="133"/>
      <c r="B89" s="133"/>
      <c r="AH89" s="134"/>
    </row>
    <row r="90" spans="1:34" x14ac:dyDescent="0.2">
      <c r="A90" s="133"/>
      <c r="B90" s="133"/>
      <c r="AH90" s="134"/>
    </row>
    <row r="91" spans="1:34" x14ac:dyDescent="0.2">
      <c r="A91" s="133"/>
      <c r="B91" s="133"/>
      <c r="AH91" s="134"/>
    </row>
    <row r="92" spans="1:34" x14ac:dyDescent="0.2">
      <c r="A92" s="133"/>
      <c r="B92" s="133"/>
      <c r="AH92" s="134"/>
    </row>
    <row r="93" spans="1:34" x14ac:dyDescent="0.2">
      <c r="A93" s="133"/>
      <c r="B93" s="133"/>
      <c r="AH93" s="134"/>
    </row>
    <row r="94" spans="1:34" x14ac:dyDescent="0.2">
      <c r="A94" s="133"/>
      <c r="B94" s="133"/>
      <c r="AH94" s="134"/>
    </row>
    <row r="95" spans="1:34" x14ac:dyDescent="0.2">
      <c r="A95" s="133"/>
      <c r="B95" s="133"/>
      <c r="AH95" s="134"/>
    </row>
    <row r="96" spans="1:34" x14ac:dyDescent="0.2">
      <c r="A96" s="133"/>
      <c r="B96" s="133"/>
      <c r="AH96" s="134"/>
    </row>
    <row r="97" spans="1:34" x14ac:dyDescent="0.2">
      <c r="A97" s="133"/>
      <c r="B97" s="133"/>
      <c r="AH97" s="134"/>
    </row>
    <row r="98" spans="1:34" x14ac:dyDescent="0.2">
      <c r="A98" s="133"/>
      <c r="B98" s="133"/>
      <c r="AH98" s="134"/>
    </row>
    <row r="99" spans="1:34" x14ac:dyDescent="0.2">
      <c r="A99" s="133"/>
      <c r="B99" s="133"/>
      <c r="AH99" s="134"/>
    </row>
    <row r="100" spans="1:34" x14ac:dyDescent="0.2">
      <c r="A100" s="133"/>
      <c r="B100" s="133"/>
      <c r="AH100" s="134"/>
    </row>
    <row r="101" spans="1:34" x14ac:dyDescent="0.2">
      <c r="A101" s="133"/>
      <c r="B101" s="133"/>
      <c r="AH101" s="134"/>
    </row>
    <row r="102" spans="1:34" x14ac:dyDescent="0.2">
      <c r="A102" s="133"/>
      <c r="B102" s="133"/>
      <c r="AH102" s="134"/>
    </row>
    <row r="103" spans="1:34" x14ac:dyDescent="0.2">
      <c r="A103" s="133"/>
      <c r="B103" s="133"/>
      <c r="AH103" s="134"/>
    </row>
    <row r="104" spans="1:34" x14ac:dyDescent="0.2">
      <c r="A104" s="133"/>
      <c r="B104" s="133"/>
      <c r="AH104" s="134"/>
    </row>
    <row r="105" spans="1:34" x14ac:dyDescent="0.2">
      <c r="A105" s="133"/>
      <c r="B105" s="133"/>
      <c r="AH105" s="134"/>
    </row>
    <row r="106" spans="1:34" x14ac:dyDescent="0.2">
      <c r="A106" s="133"/>
      <c r="B106" s="133"/>
      <c r="AH106" s="134"/>
    </row>
    <row r="107" spans="1:34" x14ac:dyDescent="0.2">
      <c r="A107" s="133"/>
      <c r="B107" s="133"/>
      <c r="AH107" s="134"/>
    </row>
    <row r="108" spans="1:34" x14ac:dyDescent="0.2">
      <c r="A108" s="133"/>
      <c r="B108" s="133"/>
      <c r="AH108" s="134"/>
    </row>
    <row r="109" spans="1:34" x14ac:dyDescent="0.2">
      <c r="A109" s="133"/>
      <c r="B109" s="133"/>
      <c r="AH109" s="134"/>
    </row>
    <row r="110" spans="1:34" x14ac:dyDescent="0.2">
      <c r="A110" s="133"/>
      <c r="B110" s="133"/>
      <c r="AH110" s="134"/>
    </row>
    <row r="111" spans="1:34" x14ac:dyDescent="0.2">
      <c r="A111" s="133"/>
      <c r="B111" s="133"/>
      <c r="AH111" s="134"/>
    </row>
    <row r="112" spans="1:34" x14ac:dyDescent="0.2">
      <c r="A112" s="133"/>
      <c r="B112" s="133"/>
      <c r="AH112" s="134"/>
    </row>
    <row r="113" spans="1:34" x14ac:dyDescent="0.2">
      <c r="A113" s="133"/>
      <c r="B113" s="133"/>
      <c r="AH113" s="134"/>
    </row>
    <row r="114" spans="1:34" x14ac:dyDescent="0.2">
      <c r="A114" s="133"/>
      <c r="B114" s="133"/>
      <c r="AH114" s="134"/>
    </row>
    <row r="115" spans="1:34" x14ac:dyDescent="0.2">
      <c r="A115" s="133"/>
      <c r="B115" s="133"/>
      <c r="AH115" s="134"/>
    </row>
    <row r="116" spans="1:34" x14ac:dyDescent="0.2">
      <c r="A116" s="133"/>
      <c r="B116" s="133"/>
      <c r="AH116" s="134"/>
    </row>
    <row r="117" spans="1:34" x14ac:dyDescent="0.2">
      <c r="A117" s="133"/>
      <c r="B117" s="133"/>
      <c r="AH117" s="134"/>
    </row>
    <row r="118" spans="1:34" x14ac:dyDescent="0.2">
      <c r="A118" s="133"/>
      <c r="B118" s="133"/>
      <c r="AH118" s="134"/>
    </row>
    <row r="119" spans="1:34" x14ac:dyDescent="0.2">
      <c r="A119" s="133"/>
      <c r="B119" s="133"/>
      <c r="AH119" s="134"/>
    </row>
    <row r="120" spans="1:34" x14ac:dyDescent="0.2">
      <c r="A120" s="133"/>
      <c r="B120" s="133"/>
      <c r="AH120" s="134"/>
    </row>
    <row r="121" spans="1:34" x14ac:dyDescent="0.2">
      <c r="A121" s="133"/>
      <c r="B121" s="133"/>
      <c r="AH121" s="134"/>
    </row>
    <row r="122" spans="1:34" x14ac:dyDescent="0.2">
      <c r="A122" s="133"/>
      <c r="B122" s="133"/>
      <c r="AH122" s="134"/>
    </row>
    <row r="123" spans="1:34" x14ac:dyDescent="0.2">
      <c r="A123" s="133"/>
      <c r="B123" s="133"/>
      <c r="AH123" s="134"/>
    </row>
    <row r="124" spans="1:34" x14ac:dyDescent="0.2">
      <c r="A124" s="133"/>
      <c r="B124" s="133"/>
      <c r="AH124" s="134"/>
    </row>
    <row r="125" spans="1:34" x14ac:dyDescent="0.2">
      <c r="A125" s="133"/>
      <c r="B125" s="133"/>
      <c r="AH125" s="134"/>
    </row>
    <row r="126" spans="1:34" x14ac:dyDescent="0.2">
      <c r="A126" s="133"/>
      <c r="B126" s="133"/>
      <c r="AH126" s="134"/>
    </row>
    <row r="127" spans="1:34" x14ac:dyDescent="0.2">
      <c r="A127" s="133"/>
      <c r="B127" s="133"/>
      <c r="AH127" s="134"/>
    </row>
    <row r="128" spans="1:34" x14ac:dyDescent="0.2">
      <c r="A128" s="133"/>
      <c r="B128" s="133"/>
      <c r="AH128" s="134"/>
    </row>
    <row r="129" spans="1:34" x14ac:dyDescent="0.2">
      <c r="A129" s="133"/>
      <c r="B129" s="133"/>
      <c r="AH129" s="134"/>
    </row>
    <row r="130" spans="1:34" x14ac:dyDescent="0.2">
      <c r="A130" s="133"/>
      <c r="B130" s="133"/>
      <c r="AH130" s="134"/>
    </row>
    <row r="131" spans="1:34" x14ac:dyDescent="0.2">
      <c r="A131" s="133"/>
      <c r="B131" s="133"/>
      <c r="AH131" s="134"/>
    </row>
    <row r="132" spans="1:34" x14ac:dyDescent="0.2">
      <c r="A132" s="133"/>
      <c r="B132" s="133"/>
      <c r="AH132" s="134"/>
    </row>
    <row r="133" spans="1:34" x14ac:dyDescent="0.2">
      <c r="A133" s="133"/>
      <c r="B133" s="133"/>
      <c r="AH133" s="134"/>
    </row>
    <row r="134" spans="1:34" x14ac:dyDescent="0.2">
      <c r="A134" s="133"/>
      <c r="B134" s="133"/>
      <c r="AH134" s="134"/>
    </row>
    <row r="135" spans="1:34" x14ac:dyDescent="0.2">
      <c r="A135" s="133"/>
      <c r="B135" s="133"/>
      <c r="AH135" s="134"/>
    </row>
    <row r="136" spans="1:34" x14ac:dyDescent="0.2">
      <c r="A136" s="133"/>
      <c r="B136" s="133"/>
      <c r="AH136" s="134"/>
    </row>
    <row r="137" spans="1:34" x14ac:dyDescent="0.2">
      <c r="A137" s="133"/>
      <c r="B137" s="133"/>
      <c r="AH137" s="134"/>
    </row>
    <row r="138" spans="1:34" x14ac:dyDescent="0.2">
      <c r="A138" s="133"/>
      <c r="B138" s="133"/>
      <c r="AH138" s="134"/>
    </row>
    <row r="139" spans="1:34" x14ac:dyDescent="0.2">
      <c r="A139" s="133"/>
      <c r="B139" s="133"/>
      <c r="AH139" s="134"/>
    </row>
    <row r="140" spans="1:34" x14ac:dyDescent="0.2">
      <c r="A140" s="133"/>
      <c r="B140" s="133"/>
      <c r="AH140" s="134"/>
    </row>
    <row r="141" spans="1:34" x14ac:dyDescent="0.2">
      <c r="A141" s="133"/>
      <c r="B141" s="133"/>
      <c r="AH141" s="134"/>
    </row>
    <row r="142" spans="1:34" x14ac:dyDescent="0.2">
      <c r="A142" s="133"/>
      <c r="B142" s="133"/>
      <c r="AH142" s="134"/>
    </row>
    <row r="143" spans="1:34" x14ac:dyDescent="0.2">
      <c r="A143" s="133"/>
      <c r="B143" s="133"/>
      <c r="AH143" s="134"/>
    </row>
    <row r="144" spans="1:34" x14ac:dyDescent="0.2">
      <c r="A144" s="133"/>
      <c r="B144" s="133"/>
      <c r="AH144" s="134"/>
    </row>
    <row r="145" spans="1:34" x14ac:dyDescent="0.2">
      <c r="A145" s="133"/>
      <c r="B145" s="133"/>
      <c r="AH145" s="134"/>
    </row>
    <row r="146" spans="1:34" x14ac:dyDescent="0.2">
      <c r="A146" s="133"/>
      <c r="B146" s="133"/>
      <c r="AH146" s="134"/>
    </row>
    <row r="147" spans="1:34" x14ac:dyDescent="0.2">
      <c r="A147" s="133"/>
      <c r="B147" s="133"/>
      <c r="AH147" s="134"/>
    </row>
    <row r="148" spans="1:34" x14ac:dyDescent="0.2">
      <c r="A148" s="133"/>
      <c r="B148" s="133"/>
      <c r="AH148" s="134"/>
    </row>
    <row r="149" spans="1:34" x14ac:dyDescent="0.2">
      <c r="A149" s="133"/>
      <c r="B149" s="133"/>
      <c r="AH149" s="134"/>
    </row>
    <row r="150" spans="1:34" x14ac:dyDescent="0.2">
      <c r="A150" s="133"/>
      <c r="B150" s="133"/>
      <c r="AH150" s="134"/>
    </row>
    <row r="151" spans="1:34" x14ac:dyDescent="0.2">
      <c r="A151" s="133"/>
      <c r="B151" s="133"/>
      <c r="AH151" s="134"/>
    </row>
    <row r="152" spans="1:34" x14ac:dyDescent="0.2">
      <c r="A152" s="133"/>
      <c r="B152" s="133"/>
      <c r="AH152" s="134"/>
    </row>
    <row r="153" spans="1:34" x14ac:dyDescent="0.2">
      <c r="A153" s="133"/>
      <c r="B153" s="133"/>
      <c r="AH153" s="134"/>
    </row>
    <row r="154" spans="1:34" x14ac:dyDescent="0.2">
      <c r="A154" s="133"/>
      <c r="B154" s="133"/>
      <c r="AH154" s="134"/>
    </row>
    <row r="155" spans="1:34" x14ac:dyDescent="0.2">
      <c r="A155" s="133"/>
      <c r="B155" s="133"/>
      <c r="AH155" s="134"/>
    </row>
    <row r="156" spans="1:34" x14ac:dyDescent="0.2">
      <c r="A156" s="133"/>
      <c r="B156" s="133"/>
      <c r="AH156" s="134"/>
    </row>
    <row r="157" spans="1:34" x14ac:dyDescent="0.2">
      <c r="A157" s="133"/>
      <c r="B157" s="133"/>
      <c r="AH157" s="134"/>
    </row>
    <row r="158" spans="1:34" x14ac:dyDescent="0.2">
      <c r="A158" s="133"/>
      <c r="B158" s="133"/>
      <c r="AH158" s="134"/>
    </row>
    <row r="159" spans="1:34" x14ac:dyDescent="0.2">
      <c r="A159" s="133"/>
      <c r="B159" s="133"/>
      <c r="AH159" s="134"/>
    </row>
    <row r="160" spans="1:34" x14ac:dyDescent="0.2">
      <c r="A160" s="133"/>
      <c r="B160" s="133"/>
      <c r="AH160" s="134"/>
    </row>
    <row r="161" spans="1:34" x14ac:dyDescent="0.2">
      <c r="A161" s="133"/>
      <c r="B161" s="133"/>
      <c r="AH161" s="134"/>
    </row>
    <row r="162" spans="1:34" x14ac:dyDescent="0.2">
      <c r="A162" s="133"/>
      <c r="B162" s="133"/>
      <c r="AH162" s="134"/>
    </row>
    <row r="163" spans="1:34" x14ac:dyDescent="0.2">
      <c r="A163" s="133"/>
      <c r="B163" s="133"/>
      <c r="AH163" s="134"/>
    </row>
    <row r="164" spans="1:34" x14ac:dyDescent="0.2">
      <c r="A164" s="133"/>
      <c r="B164" s="133"/>
      <c r="AH164" s="134"/>
    </row>
    <row r="165" spans="1:34" x14ac:dyDescent="0.2">
      <c r="A165" s="133"/>
      <c r="B165" s="133"/>
      <c r="AH165" s="134"/>
    </row>
    <row r="166" spans="1:34" x14ac:dyDescent="0.2">
      <c r="A166" s="133"/>
      <c r="B166" s="133"/>
      <c r="AH166" s="134"/>
    </row>
    <row r="167" spans="1:34" x14ac:dyDescent="0.2">
      <c r="A167" s="133"/>
      <c r="B167" s="133"/>
      <c r="AH167" s="134"/>
    </row>
    <row r="168" spans="1:34" x14ac:dyDescent="0.2">
      <c r="A168" s="133"/>
      <c r="B168" s="133"/>
      <c r="AH168" s="134"/>
    </row>
    <row r="169" spans="1:34" x14ac:dyDescent="0.2">
      <c r="A169" s="133"/>
      <c r="B169" s="133"/>
      <c r="AH169" s="134"/>
    </row>
    <row r="170" spans="1:34" x14ac:dyDescent="0.2">
      <c r="A170" s="133"/>
      <c r="B170" s="133"/>
      <c r="AH170" s="134"/>
    </row>
    <row r="171" spans="1:34" x14ac:dyDescent="0.2">
      <c r="A171" s="133"/>
      <c r="B171" s="133"/>
      <c r="AH171" s="134"/>
    </row>
    <row r="172" spans="1:34" x14ac:dyDescent="0.2">
      <c r="A172" s="133"/>
      <c r="B172" s="133"/>
      <c r="AH172" s="134"/>
    </row>
    <row r="173" spans="1:34" x14ac:dyDescent="0.2">
      <c r="A173" s="133"/>
      <c r="B173" s="133"/>
      <c r="AH173" s="134"/>
    </row>
    <row r="174" spans="1:34" x14ac:dyDescent="0.2">
      <c r="A174" s="133"/>
      <c r="B174" s="133"/>
      <c r="AH174" s="134"/>
    </row>
    <row r="175" spans="1:34" x14ac:dyDescent="0.2">
      <c r="A175" s="133"/>
      <c r="B175" s="133"/>
      <c r="AH175" s="134"/>
    </row>
    <row r="176" spans="1:34" x14ac:dyDescent="0.2">
      <c r="A176" s="133"/>
      <c r="B176" s="133"/>
      <c r="AH176" s="134"/>
    </row>
    <row r="177" spans="1:34" x14ac:dyDescent="0.2">
      <c r="A177" s="133"/>
      <c r="B177" s="133"/>
      <c r="AH177" s="134"/>
    </row>
    <row r="178" spans="1:34" x14ac:dyDescent="0.2">
      <c r="A178" s="133"/>
      <c r="B178" s="133"/>
      <c r="AH178" s="134"/>
    </row>
    <row r="179" spans="1:34" x14ac:dyDescent="0.2">
      <c r="A179" s="133"/>
      <c r="B179" s="133"/>
      <c r="AH179" s="134"/>
    </row>
    <row r="180" spans="1:34" x14ac:dyDescent="0.2">
      <c r="A180" s="133"/>
      <c r="B180" s="133"/>
      <c r="AH180" s="134"/>
    </row>
    <row r="181" spans="1:34" x14ac:dyDescent="0.2">
      <c r="A181" s="133"/>
      <c r="B181" s="133"/>
      <c r="AH181" s="134"/>
    </row>
    <row r="182" spans="1:34" x14ac:dyDescent="0.2">
      <c r="A182" s="133"/>
      <c r="B182" s="133"/>
      <c r="AH182" s="134"/>
    </row>
    <row r="183" spans="1:34" x14ac:dyDescent="0.2">
      <c r="A183" s="133"/>
      <c r="B183" s="133"/>
      <c r="AH183" s="134"/>
    </row>
    <row r="184" spans="1:34" x14ac:dyDescent="0.2">
      <c r="A184" s="133"/>
      <c r="B184" s="133"/>
      <c r="AH184" s="134"/>
    </row>
    <row r="185" spans="1:34" x14ac:dyDescent="0.2">
      <c r="A185" s="133"/>
      <c r="B185" s="133"/>
      <c r="AH185" s="134"/>
    </row>
    <row r="186" spans="1:34" x14ac:dyDescent="0.2">
      <c r="A186" s="133"/>
      <c r="B186" s="133"/>
      <c r="AH186" s="134"/>
    </row>
    <row r="187" spans="1:34" x14ac:dyDescent="0.2">
      <c r="A187" s="133"/>
      <c r="B187" s="133"/>
      <c r="AH187" s="134"/>
    </row>
    <row r="188" spans="1:34" x14ac:dyDescent="0.2">
      <c r="A188" s="133"/>
      <c r="B188" s="133"/>
      <c r="AH188" s="134"/>
    </row>
    <row r="189" spans="1:34" x14ac:dyDescent="0.2">
      <c r="A189" s="133"/>
      <c r="B189" s="133"/>
      <c r="AH189" s="134"/>
    </row>
    <row r="190" spans="1:34" x14ac:dyDescent="0.2">
      <c r="A190" s="133"/>
      <c r="B190" s="133"/>
      <c r="AH190" s="134"/>
    </row>
    <row r="191" spans="1:34" x14ac:dyDescent="0.2">
      <c r="A191" s="133"/>
      <c r="B191" s="133"/>
      <c r="AH191" s="134"/>
    </row>
    <row r="192" spans="1:34" x14ac:dyDescent="0.2">
      <c r="A192" s="133"/>
      <c r="B192" s="133"/>
      <c r="AH192" s="134"/>
    </row>
    <row r="193" spans="1:34" x14ac:dyDescent="0.2">
      <c r="A193" s="133"/>
      <c r="B193" s="133"/>
      <c r="AH193" s="134"/>
    </row>
    <row r="194" spans="1:34" x14ac:dyDescent="0.2">
      <c r="A194" s="133"/>
      <c r="B194" s="133"/>
      <c r="AH194" s="134"/>
    </row>
    <row r="195" spans="1:34" x14ac:dyDescent="0.2">
      <c r="A195" s="133"/>
      <c r="B195" s="133"/>
      <c r="AH195" s="134"/>
    </row>
    <row r="196" spans="1:34" x14ac:dyDescent="0.2">
      <c r="A196" s="133"/>
      <c r="B196" s="133"/>
      <c r="AH196" s="134"/>
    </row>
    <row r="197" spans="1:34" x14ac:dyDescent="0.2">
      <c r="A197" s="133"/>
      <c r="B197" s="133"/>
      <c r="AH197" s="134"/>
    </row>
    <row r="198" spans="1:34" x14ac:dyDescent="0.2">
      <c r="A198" s="133"/>
      <c r="B198" s="133"/>
      <c r="AH198" s="134"/>
    </row>
    <row r="199" spans="1:34" x14ac:dyDescent="0.2">
      <c r="A199" s="133"/>
      <c r="B199" s="133"/>
      <c r="AH199" s="134"/>
    </row>
    <row r="200" spans="1:34" x14ac:dyDescent="0.2">
      <c r="A200" s="133"/>
      <c r="B200" s="133"/>
      <c r="AH200" s="134"/>
    </row>
    <row r="201" spans="1:34" x14ac:dyDescent="0.2">
      <c r="A201" s="133"/>
      <c r="B201" s="133"/>
      <c r="AH201" s="134"/>
    </row>
    <row r="202" spans="1:34" x14ac:dyDescent="0.2">
      <c r="A202" s="133"/>
      <c r="B202" s="133"/>
      <c r="AH202" s="134"/>
    </row>
    <row r="203" spans="1:34" x14ac:dyDescent="0.2">
      <c r="A203" s="133"/>
      <c r="B203" s="133"/>
      <c r="AH203" s="134"/>
    </row>
    <row r="204" spans="1:34" x14ac:dyDescent="0.2">
      <c r="A204" s="133"/>
      <c r="B204" s="133"/>
      <c r="AH204" s="134"/>
    </row>
    <row r="205" spans="1:34" x14ac:dyDescent="0.2">
      <c r="A205" s="133"/>
      <c r="B205" s="133"/>
      <c r="AH205" s="134"/>
    </row>
    <row r="206" spans="1:34" x14ac:dyDescent="0.2">
      <c r="A206" s="133"/>
      <c r="B206" s="133"/>
      <c r="AH206" s="134"/>
    </row>
    <row r="207" spans="1:34" x14ac:dyDescent="0.2">
      <c r="A207" s="133"/>
      <c r="B207" s="133"/>
      <c r="AH207" s="134"/>
    </row>
    <row r="208" spans="1:34" x14ac:dyDescent="0.2">
      <c r="A208" s="133"/>
      <c r="B208" s="133"/>
      <c r="AH208" s="134"/>
    </row>
    <row r="209" spans="1:34" x14ac:dyDescent="0.2">
      <c r="A209" s="133"/>
      <c r="B209" s="133"/>
      <c r="AH209" s="134"/>
    </row>
    <row r="210" spans="1:34" x14ac:dyDescent="0.2">
      <c r="A210" s="133"/>
      <c r="B210" s="133"/>
      <c r="AH210" s="134"/>
    </row>
    <row r="211" spans="1:34" x14ac:dyDescent="0.2">
      <c r="A211" s="133"/>
      <c r="B211" s="133"/>
      <c r="AH211" s="134"/>
    </row>
    <row r="212" spans="1:34" x14ac:dyDescent="0.2">
      <c r="A212" s="133"/>
      <c r="B212" s="133"/>
      <c r="AH212" s="134"/>
    </row>
    <row r="213" spans="1:34" x14ac:dyDescent="0.2">
      <c r="A213" s="133"/>
      <c r="B213" s="133"/>
      <c r="AH213" s="134"/>
    </row>
    <row r="214" spans="1:34" x14ac:dyDescent="0.2">
      <c r="A214" s="133"/>
      <c r="B214" s="133"/>
      <c r="AH214" s="134"/>
    </row>
    <row r="215" spans="1:34" x14ac:dyDescent="0.2">
      <c r="A215" s="133"/>
      <c r="B215" s="133"/>
      <c r="AH215" s="134"/>
    </row>
    <row r="216" spans="1:34" x14ac:dyDescent="0.2">
      <c r="A216" s="133"/>
      <c r="B216" s="133"/>
      <c r="AH216" s="134"/>
    </row>
    <row r="217" spans="1:34" x14ac:dyDescent="0.2">
      <c r="A217" s="133"/>
      <c r="B217" s="133"/>
      <c r="AH217" s="134"/>
    </row>
    <row r="218" spans="1:34" x14ac:dyDescent="0.2">
      <c r="A218" s="133"/>
      <c r="B218" s="133"/>
      <c r="AH218" s="134"/>
    </row>
    <row r="219" spans="1:34" x14ac:dyDescent="0.2">
      <c r="A219" s="133"/>
      <c r="B219" s="133"/>
      <c r="AH219" s="134"/>
    </row>
    <row r="220" spans="1:34" x14ac:dyDescent="0.2">
      <c r="A220" s="133"/>
      <c r="B220" s="133"/>
      <c r="AH220" s="134"/>
    </row>
    <row r="221" spans="1:34" x14ac:dyDescent="0.2">
      <c r="A221" s="133"/>
      <c r="B221" s="133"/>
      <c r="AH221" s="134"/>
    </row>
    <row r="222" spans="1:34" x14ac:dyDescent="0.2">
      <c r="A222" s="133"/>
      <c r="B222" s="133"/>
      <c r="AH222" s="134"/>
    </row>
    <row r="223" spans="1:34" x14ac:dyDescent="0.2">
      <c r="A223" s="133"/>
      <c r="B223" s="133"/>
      <c r="AH223" s="134"/>
    </row>
    <row r="224" spans="1:34" x14ac:dyDescent="0.2">
      <c r="A224" s="133"/>
      <c r="B224" s="133"/>
      <c r="AH224" s="134"/>
    </row>
    <row r="225" spans="1:34" x14ac:dyDescent="0.2">
      <c r="A225" s="133"/>
      <c r="B225" s="133"/>
      <c r="AH225" s="134"/>
    </row>
    <row r="226" spans="1:34" x14ac:dyDescent="0.2">
      <c r="A226" s="133"/>
      <c r="B226" s="133"/>
      <c r="AH226" s="134"/>
    </row>
    <row r="227" spans="1:34" x14ac:dyDescent="0.2">
      <c r="A227" s="133"/>
      <c r="B227" s="133"/>
      <c r="AH227" s="134"/>
    </row>
    <row r="228" spans="1:34" x14ac:dyDescent="0.2">
      <c r="A228" s="133"/>
      <c r="B228" s="133"/>
      <c r="AH228" s="134"/>
    </row>
    <row r="229" spans="1:34" x14ac:dyDescent="0.2">
      <c r="A229" s="133"/>
      <c r="B229" s="133"/>
      <c r="AH229" s="134"/>
    </row>
    <row r="230" spans="1:34" x14ac:dyDescent="0.2">
      <c r="A230" s="133"/>
      <c r="B230" s="133"/>
      <c r="AH230" s="134"/>
    </row>
    <row r="231" spans="1:34" x14ac:dyDescent="0.2">
      <c r="A231" s="133"/>
      <c r="B231" s="133"/>
      <c r="AH231" s="134"/>
    </row>
    <row r="232" spans="1:34" x14ac:dyDescent="0.2">
      <c r="A232" s="133"/>
      <c r="B232" s="133"/>
      <c r="AH232" s="134"/>
    </row>
    <row r="233" spans="1:34" x14ac:dyDescent="0.2">
      <c r="A233" s="133"/>
      <c r="B233" s="133"/>
      <c r="AH233" s="134"/>
    </row>
    <row r="234" spans="1:34" x14ac:dyDescent="0.2">
      <c r="A234" s="133"/>
      <c r="B234" s="133"/>
      <c r="AH234" s="134"/>
    </row>
    <row r="235" spans="1:34" x14ac:dyDescent="0.2">
      <c r="A235" s="133"/>
      <c r="B235" s="133"/>
      <c r="AH235" s="134"/>
    </row>
    <row r="236" spans="1:34" x14ac:dyDescent="0.2">
      <c r="A236" s="133"/>
      <c r="B236" s="133"/>
      <c r="AH236" s="134"/>
    </row>
    <row r="237" spans="1:34" x14ac:dyDescent="0.2">
      <c r="A237" s="133"/>
      <c r="B237" s="133"/>
      <c r="AH237" s="134"/>
    </row>
    <row r="238" spans="1:34" x14ac:dyDescent="0.2">
      <c r="A238" s="133"/>
      <c r="B238" s="133"/>
      <c r="AH238" s="134"/>
    </row>
    <row r="239" spans="1:34" x14ac:dyDescent="0.2">
      <c r="A239" s="133"/>
      <c r="B239" s="133"/>
      <c r="AH239" s="134"/>
    </row>
    <row r="240" spans="1:34" x14ac:dyDescent="0.2">
      <c r="A240" s="133"/>
      <c r="B240" s="133"/>
      <c r="AH240" s="134"/>
    </row>
    <row r="241" spans="1:34" x14ac:dyDescent="0.2">
      <c r="A241" s="133"/>
      <c r="B241" s="133"/>
      <c r="AH241" s="134"/>
    </row>
    <row r="242" spans="1:34" x14ac:dyDescent="0.2">
      <c r="A242" s="133"/>
      <c r="B242" s="133"/>
      <c r="AH242" s="134"/>
    </row>
    <row r="243" spans="1:34" x14ac:dyDescent="0.2">
      <c r="A243" s="133"/>
      <c r="B243" s="133"/>
      <c r="AH243" s="134"/>
    </row>
    <row r="244" spans="1:34" x14ac:dyDescent="0.2">
      <c r="A244" s="133"/>
      <c r="B244" s="133"/>
      <c r="AH244" s="134"/>
    </row>
    <row r="245" spans="1:34" x14ac:dyDescent="0.2">
      <c r="A245" s="133"/>
      <c r="B245" s="133"/>
      <c r="AH245" s="134"/>
    </row>
    <row r="246" spans="1:34" x14ac:dyDescent="0.2">
      <c r="A246" s="133"/>
      <c r="B246" s="133"/>
      <c r="AH246" s="134"/>
    </row>
    <row r="247" spans="1:34" x14ac:dyDescent="0.2">
      <c r="A247" s="133"/>
      <c r="B247" s="133"/>
      <c r="AH247" s="134"/>
    </row>
    <row r="248" spans="1:34" x14ac:dyDescent="0.2">
      <c r="A248" s="133"/>
      <c r="B248" s="133"/>
      <c r="AH248" s="134"/>
    </row>
    <row r="249" spans="1:34" x14ac:dyDescent="0.2">
      <c r="A249" s="133"/>
      <c r="B249" s="133"/>
      <c r="AH249" s="134"/>
    </row>
    <row r="250" spans="1:34" x14ac:dyDescent="0.2">
      <c r="A250" s="133"/>
      <c r="B250" s="133"/>
      <c r="AH250" s="134"/>
    </row>
    <row r="251" spans="1:34" x14ac:dyDescent="0.2">
      <c r="A251" s="133"/>
      <c r="B251" s="133"/>
      <c r="AH251" s="134"/>
    </row>
    <row r="252" spans="1:34" x14ac:dyDescent="0.2">
      <c r="A252" s="133"/>
      <c r="B252" s="133"/>
      <c r="AH252" s="134"/>
    </row>
    <row r="253" spans="1:34" x14ac:dyDescent="0.2">
      <c r="A253" s="133"/>
      <c r="B253" s="133"/>
      <c r="AH253" s="134"/>
    </row>
    <row r="254" spans="1:34" x14ac:dyDescent="0.2">
      <c r="A254" s="133"/>
      <c r="B254" s="133"/>
      <c r="AH254" s="134"/>
    </row>
    <row r="255" spans="1:34" x14ac:dyDescent="0.2">
      <c r="A255" s="133"/>
      <c r="B255" s="133"/>
      <c r="AH255" s="134"/>
    </row>
    <row r="256" spans="1:34" x14ac:dyDescent="0.2">
      <c r="A256" s="133"/>
      <c r="B256" s="133"/>
      <c r="AH256" s="134"/>
    </row>
    <row r="257" spans="1:34" x14ac:dyDescent="0.2">
      <c r="A257" s="133"/>
      <c r="B257" s="133"/>
      <c r="AH257" s="134"/>
    </row>
    <row r="258" spans="1:34" x14ac:dyDescent="0.2">
      <c r="AH258" s="134"/>
    </row>
    <row r="259" spans="1:34" x14ac:dyDescent="0.2">
      <c r="AH259" s="134"/>
    </row>
    <row r="260" spans="1:34" x14ac:dyDescent="0.2">
      <c r="AH260" s="134"/>
    </row>
    <row r="261" spans="1:34" x14ac:dyDescent="0.2">
      <c r="AH261" s="134"/>
    </row>
    <row r="262" spans="1:34" x14ac:dyDescent="0.2">
      <c r="AH262" s="134"/>
    </row>
    <row r="263" spans="1:34" x14ac:dyDescent="0.2">
      <c r="AH263" s="134"/>
    </row>
    <row r="264" spans="1:34" x14ac:dyDescent="0.2">
      <c r="AH264" s="134"/>
    </row>
    <row r="265" spans="1:34" x14ac:dyDescent="0.2">
      <c r="AH265" s="134"/>
    </row>
    <row r="266" spans="1:34" x14ac:dyDescent="0.2">
      <c r="AH266" s="134"/>
    </row>
    <row r="267" spans="1:34" x14ac:dyDescent="0.2">
      <c r="AH267" s="134"/>
    </row>
    <row r="268" spans="1:34" x14ac:dyDescent="0.2">
      <c r="AH268" s="134"/>
    </row>
    <row r="269" spans="1:34" x14ac:dyDescent="0.2">
      <c r="AH269" s="134"/>
    </row>
    <row r="270" spans="1:34" x14ac:dyDescent="0.2">
      <c r="AH270" s="134"/>
    </row>
    <row r="271" spans="1:34" x14ac:dyDescent="0.2">
      <c r="AH271" s="134"/>
    </row>
    <row r="272" spans="1:34" x14ac:dyDescent="0.2">
      <c r="AH272" s="134"/>
    </row>
    <row r="273" spans="34:34" x14ac:dyDescent="0.2">
      <c r="AH273" s="134"/>
    </row>
    <row r="274" spans="34:34" x14ac:dyDescent="0.2">
      <c r="AH274" s="134"/>
    </row>
    <row r="275" spans="34:34" x14ac:dyDescent="0.2">
      <c r="AH275" s="134"/>
    </row>
    <row r="276" spans="34:34" x14ac:dyDescent="0.2">
      <c r="AH276" s="134"/>
    </row>
    <row r="277" spans="34:34" x14ac:dyDescent="0.2">
      <c r="AH277" s="134"/>
    </row>
    <row r="278" spans="34:34" x14ac:dyDescent="0.2">
      <c r="AH278" s="134"/>
    </row>
    <row r="279" spans="34:34" x14ac:dyDescent="0.2">
      <c r="AH279" s="134"/>
    </row>
    <row r="280" spans="34:34" x14ac:dyDescent="0.2">
      <c r="AH280" s="134"/>
    </row>
    <row r="281" spans="34:34" x14ac:dyDescent="0.2">
      <c r="AH281" s="134"/>
    </row>
    <row r="282" spans="34:34" x14ac:dyDescent="0.2">
      <c r="AH282" s="134"/>
    </row>
    <row r="283" spans="34:34" x14ac:dyDescent="0.2">
      <c r="AH283" s="134"/>
    </row>
    <row r="284" spans="34:34" x14ac:dyDescent="0.2">
      <c r="AH284" s="134"/>
    </row>
    <row r="285" spans="34:34" x14ac:dyDescent="0.2">
      <c r="AH285" s="134"/>
    </row>
    <row r="286" spans="34:34" x14ac:dyDescent="0.2">
      <c r="AH286" s="134"/>
    </row>
    <row r="287" spans="34:34" x14ac:dyDescent="0.2">
      <c r="AH287" s="134"/>
    </row>
    <row r="288" spans="34:34" x14ac:dyDescent="0.2">
      <c r="AH288" s="134"/>
    </row>
    <row r="289" spans="34:34" x14ac:dyDescent="0.2">
      <c r="AH289" s="134"/>
    </row>
    <row r="290" spans="34:34" x14ac:dyDescent="0.2">
      <c r="AH290" s="134"/>
    </row>
    <row r="291" spans="34:34" x14ac:dyDescent="0.2">
      <c r="AH291" s="134"/>
    </row>
    <row r="292" spans="34:34" x14ac:dyDescent="0.2">
      <c r="AH292" s="134"/>
    </row>
    <row r="293" spans="34:34" x14ac:dyDescent="0.2">
      <c r="AH293" s="134"/>
    </row>
    <row r="294" spans="34:34" x14ac:dyDescent="0.2">
      <c r="AH294" s="134"/>
    </row>
    <row r="295" spans="34:34" x14ac:dyDescent="0.2">
      <c r="AH295" s="134"/>
    </row>
    <row r="296" spans="34:34" x14ac:dyDescent="0.2">
      <c r="AH296" s="134"/>
    </row>
    <row r="297" spans="34:34" x14ac:dyDescent="0.2">
      <c r="AH297" s="134"/>
    </row>
    <row r="298" spans="34:34" x14ac:dyDescent="0.2">
      <c r="AH298" s="134"/>
    </row>
    <row r="299" spans="34:34" x14ac:dyDescent="0.2">
      <c r="AH299" s="134"/>
    </row>
    <row r="300" spans="34:34" x14ac:dyDescent="0.2">
      <c r="AH300" s="134"/>
    </row>
    <row r="301" spans="34:34" x14ac:dyDescent="0.2">
      <c r="AH301" s="134"/>
    </row>
    <row r="302" spans="34:34" x14ac:dyDescent="0.2">
      <c r="AH302" s="134"/>
    </row>
    <row r="303" spans="34:34" x14ac:dyDescent="0.2">
      <c r="AH303" s="134"/>
    </row>
    <row r="304" spans="34:34" x14ac:dyDescent="0.2">
      <c r="AH304" s="134"/>
    </row>
    <row r="305" spans="34:34" x14ac:dyDescent="0.2">
      <c r="AH305" s="134"/>
    </row>
    <row r="306" spans="34:34" x14ac:dyDescent="0.2">
      <c r="AH306" s="134"/>
    </row>
    <row r="307" spans="34:34" x14ac:dyDescent="0.2">
      <c r="AH307" s="134"/>
    </row>
    <row r="308" spans="34:34" x14ac:dyDescent="0.2">
      <c r="AH308" s="134"/>
    </row>
    <row r="309" spans="34:34" x14ac:dyDescent="0.2">
      <c r="AH309" s="134"/>
    </row>
    <row r="310" spans="34:34" x14ac:dyDescent="0.2">
      <c r="AH310" s="134"/>
    </row>
    <row r="311" spans="34:34" x14ac:dyDescent="0.2">
      <c r="AH311" s="134"/>
    </row>
    <row r="312" spans="34:34" x14ac:dyDescent="0.2">
      <c r="AH312" s="134"/>
    </row>
    <row r="313" spans="34:34" x14ac:dyDescent="0.2">
      <c r="AH313" s="134"/>
    </row>
    <row r="314" spans="34:34" x14ac:dyDescent="0.2">
      <c r="AH314" s="134"/>
    </row>
    <row r="315" spans="34:34" x14ac:dyDescent="0.2">
      <c r="AH315" s="134"/>
    </row>
    <row r="316" spans="34:34" x14ac:dyDescent="0.2">
      <c r="AH316" s="134"/>
    </row>
    <row r="317" spans="34:34" x14ac:dyDescent="0.2">
      <c r="AH317" s="134"/>
    </row>
    <row r="318" spans="34:34" x14ac:dyDescent="0.2">
      <c r="AH318" s="134"/>
    </row>
    <row r="319" spans="34:34" x14ac:dyDescent="0.2">
      <c r="AH319" s="134"/>
    </row>
    <row r="320" spans="34:34" x14ac:dyDescent="0.2">
      <c r="AH320" s="134"/>
    </row>
    <row r="321" spans="34:34" x14ac:dyDescent="0.2">
      <c r="AH321" s="134"/>
    </row>
    <row r="322" spans="34:34" x14ac:dyDescent="0.2">
      <c r="AH322" s="134"/>
    </row>
    <row r="323" spans="34:34" x14ac:dyDescent="0.2">
      <c r="AH323" s="134"/>
    </row>
    <row r="324" spans="34:34" x14ac:dyDescent="0.2">
      <c r="AH324" s="134"/>
    </row>
    <row r="325" spans="34:34" x14ac:dyDescent="0.2">
      <c r="AH325" s="134"/>
    </row>
    <row r="326" spans="34:34" x14ac:dyDescent="0.2">
      <c r="AH326" s="134"/>
    </row>
    <row r="327" spans="34:34" x14ac:dyDescent="0.2">
      <c r="AH327" s="134"/>
    </row>
    <row r="328" spans="34:34" x14ac:dyDescent="0.2">
      <c r="AH328" s="134"/>
    </row>
    <row r="329" spans="34:34" x14ac:dyDescent="0.2">
      <c r="AH329" s="134"/>
    </row>
    <row r="330" spans="34:34" x14ac:dyDescent="0.2">
      <c r="AH330" s="134"/>
    </row>
    <row r="331" spans="34:34" x14ac:dyDescent="0.2">
      <c r="AH331" s="134"/>
    </row>
    <row r="332" spans="34:34" x14ac:dyDescent="0.2">
      <c r="AH332" s="134"/>
    </row>
    <row r="333" spans="34:34" x14ac:dyDescent="0.2">
      <c r="AH333" s="134"/>
    </row>
    <row r="334" spans="34:34" x14ac:dyDescent="0.2">
      <c r="AH334" s="134"/>
    </row>
    <row r="335" spans="34:34" x14ac:dyDescent="0.2">
      <c r="AH335" s="134"/>
    </row>
    <row r="336" spans="34:34" x14ac:dyDescent="0.2">
      <c r="AH336" s="134"/>
    </row>
    <row r="337" spans="34:34" x14ac:dyDescent="0.2">
      <c r="AH337" s="134"/>
    </row>
    <row r="338" spans="34:34" x14ac:dyDescent="0.2">
      <c r="AH338" s="134"/>
    </row>
    <row r="339" spans="34:34" x14ac:dyDescent="0.2">
      <c r="AH339" s="134"/>
    </row>
    <row r="340" spans="34:34" x14ac:dyDescent="0.2">
      <c r="AH340" s="134"/>
    </row>
    <row r="341" spans="34:34" x14ac:dyDescent="0.2">
      <c r="AH341" s="134"/>
    </row>
    <row r="342" spans="34:34" x14ac:dyDescent="0.2">
      <c r="AH342" s="134"/>
    </row>
    <row r="343" spans="34:34" x14ac:dyDescent="0.2">
      <c r="AH343" s="134"/>
    </row>
    <row r="344" spans="34:34" x14ac:dyDescent="0.2">
      <c r="AH344" s="134"/>
    </row>
    <row r="345" spans="34:34" x14ac:dyDescent="0.2">
      <c r="AH345" s="134"/>
    </row>
    <row r="346" spans="34:34" x14ac:dyDescent="0.2">
      <c r="AH346" s="134"/>
    </row>
    <row r="347" spans="34:34" x14ac:dyDescent="0.2">
      <c r="AH347" s="134"/>
    </row>
    <row r="348" spans="34:34" x14ac:dyDescent="0.2">
      <c r="AH348" s="134"/>
    </row>
    <row r="349" spans="34:34" x14ac:dyDescent="0.2">
      <c r="AH349" s="134"/>
    </row>
    <row r="350" spans="34:34" x14ac:dyDescent="0.2">
      <c r="AH350" s="134"/>
    </row>
    <row r="351" spans="34:34" x14ac:dyDescent="0.2">
      <c r="AH351" s="134"/>
    </row>
    <row r="352" spans="34:34" x14ac:dyDescent="0.2">
      <c r="AH352" s="134"/>
    </row>
    <row r="353" spans="34:34" x14ac:dyDescent="0.2">
      <c r="AH353" s="134"/>
    </row>
    <row r="354" spans="34:34" x14ac:dyDescent="0.2">
      <c r="AH354" s="134"/>
    </row>
    <row r="355" spans="34:34" x14ac:dyDescent="0.2">
      <c r="AH355" s="134"/>
    </row>
    <row r="356" spans="34:34" x14ac:dyDescent="0.2">
      <c r="AH356" s="134"/>
    </row>
    <row r="357" spans="34:34" x14ac:dyDescent="0.2">
      <c r="AH357" s="134"/>
    </row>
    <row r="358" spans="34:34" x14ac:dyDescent="0.2">
      <c r="AH358" s="134"/>
    </row>
    <row r="359" spans="34:34" x14ac:dyDescent="0.2">
      <c r="AH359" s="134"/>
    </row>
    <row r="360" spans="34:34" x14ac:dyDescent="0.2">
      <c r="AH360" s="134"/>
    </row>
    <row r="361" spans="34:34" x14ac:dyDescent="0.2">
      <c r="AH361" s="134"/>
    </row>
    <row r="362" spans="34:34" x14ac:dyDescent="0.2">
      <c r="AH362" s="134"/>
    </row>
    <row r="363" spans="34:34" x14ac:dyDescent="0.2">
      <c r="AH363" s="134"/>
    </row>
    <row r="364" spans="34:34" x14ac:dyDescent="0.2">
      <c r="AH364" s="134"/>
    </row>
    <row r="365" spans="34:34" x14ac:dyDescent="0.2">
      <c r="AH365" s="134"/>
    </row>
    <row r="366" spans="34:34" x14ac:dyDescent="0.2">
      <c r="AH366" s="134"/>
    </row>
    <row r="367" spans="34:34" x14ac:dyDescent="0.2">
      <c r="AH367" s="134"/>
    </row>
    <row r="368" spans="34:34" x14ac:dyDescent="0.2">
      <c r="AH368" s="134"/>
    </row>
    <row r="369" spans="34:34" x14ac:dyDescent="0.2">
      <c r="AH369" s="134"/>
    </row>
    <row r="370" spans="34:34" x14ac:dyDescent="0.2">
      <c r="AH370" s="134"/>
    </row>
    <row r="371" spans="34:34" x14ac:dyDescent="0.2">
      <c r="AH371" s="134"/>
    </row>
    <row r="372" spans="34:34" x14ac:dyDescent="0.2">
      <c r="AH372" s="134"/>
    </row>
    <row r="373" spans="34:34" x14ac:dyDescent="0.2">
      <c r="AH373" s="134"/>
    </row>
    <row r="374" spans="34:34" x14ac:dyDescent="0.2">
      <c r="AH374" s="134"/>
    </row>
    <row r="375" spans="34:34" x14ac:dyDescent="0.2">
      <c r="AH375" s="134"/>
    </row>
    <row r="376" spans="34:34" x14ac:dyDescent="0.2">
      <c r="AH376" s="134"/>
    </row>
    <row r="377" spans="34:34" x14ac:dyDescent="0.2">
      <c r="AH377" s="134"/>
    </row>
    <row r="378" spans="34:34" x14ac:dyDescent="0.2">
      <c r="AH378" s="134"/>
    </row>
    <row r="379" spans="34:34" x14ac:dyDescent="0.2">
      <c r="AH379" s="134"/>
    </row>
    <row r="380" spans="34:34" x14ac:dyDescent="0.2">
      <c r="AH380" s="134"/>
    </row>
    <row r="381" spans="34:34" x14ac:dyDescent="0.2">
      <c r="AH381" s="134"/>
    </row>
    <row r="382" spans="34:34" x14ac:dyDescent="0.2">
      <c r="AH382" s="134"/>
    </row>
    <row r="383" spans="34:34" x14ac:dyDescent="0.2">
      <c r="AH383" s="134"/>
    </row>
    <row r="384" spans="34:34" x14ac:dyDescent="0.2">
      <c r="AH384" s="134"/>
    </row>
    <row r="385" spans="34:34" x14ac:dyDescent="0.2">
      <c r="AH385" s="134"/>
    </row>
    <row r="386" spans="34:34" x14ac:dyDescent="0.2">
      <c r="AH386" s="134"/>
    </row>
    <row r="387" spans="34:34" x14ac:dyDescent="0.2">
      <c r="AH387" s="134"/>
    </row>
    <row r="388" spans="34:34" x14ac:dyDescent="0.2">
      <c r="AH388" s="134"/>
    </row>
    <row r="389" spans="34:34" x14ac:dyDescent="0.2">
      <c r="AH389" s="134"/>
    </row>
    <row r="390" spans="34:34" x14ac:dyDescent="0.2">
      <c r="AH390" s="134"/>
    </row>
    <row r="391" spans="34:34" x14ac:dyDescent="0.2">
      <c r="AH391" s="134"/>
    </row>
    <row r="392" spans="34:34" x14ac:dyDescent="0.2">
      <c r="AH392" s="134"/>
    </row>
    <row r="393" spans="34:34" x14ac:dyDescent="0.2">
      <c r="AH393" s="134"/>
    </row>
    <row r="394" spans="34:34" x14ac:dyDescent="0.2">
      <c r="AH394" s="134"/>
    </row>
    <row r="395" spans="34:34" x14ac:dyDescent="0.2">
      <c r="AH395" s="134"/>
    </row>
    <row r="396" spans="34:34" x14ac:dyDescent="0.2">
      <c r="AH396" s="134"/>
    </row>
    <row r="397" spans="34:34" x14ac:dyDescent="0.2">
      <c r="AH397" s="134"/>
    </row>
    <row r="398" spans="34:34" x14ac:dyDescent="0.2">
      <c r="AH398" s="134"/>
    </row>
    <row r="399" spans="34:34" x14ac:dyDescent="0.2">
      <c r="AH399" s="134"/>
    </row>
    <row r="400" spans="34:34" x14ac:dyDescent="0.2">
      <c r="AH400" s="134"/>
    </row>
    <row r="401" spans="34:34" x14ac:dyDescent="0.2">
      <c r="AH401" s="134"/>
    </row>
    <row r="402" spans="34:34" x14ac:dyDescent="0.2">
      <c r="AH402" s="134"/>
    </row>
    <row r="403" spans="34:34" x14ac:dyDescent="0.2">
      <c r="AH403" s="134"/>
    </row>
    <row r="404" spans="34:34" x14ac:dyDescent="0.2">
      <c r="AH404" s="134"/>
    </row>
    <row r="405" spans="34:34" x14ac:dyDescent="0.2">
      <c r="AH405" s="134"/>
    </row>
    <row r="406" spans="34:34" x14ac:dyDescent="0.2">
      <c r="AH406" s="134"/>
    </row>
    <row r="407" spans="34:34" x14ac:dyDescent="0.2">
      <c r="AH407" s="134"/>
    </row>
    <row r="408" spans="34:34" x14ac:dyDescent="0.2">
      <c r="AH408" s="134"/>
    </row>
    <row r="409" spans="34:34" x14ac:dyDescent="0.2">
      <c r="AH409" s="134"/>
    </row>
    <row r="410" spans="34:34" x14ac:dyDescent="0.2">
      <c r="AH410" s="134"/>
    </row>
    <row r="411" spans="34:34" x14ac:dyDescent="0.2">
      <c r="AH411" s="134"/>
    </row>
    <row r="412" spans="34:34" x14ac:dyDescent="0.2">
      <c r="AH412" s="134"/>
    </row>
    <row r="413" spans="34:34" x14ac:dyDescent="0.2">
      <c r="AH413" s="134"/>
    </row>
    <row r="414" spans="34:34" x14ac:dyDescent="0.2">
      <c r="AH414" s="134"/>
    </row>
    <row r="415" spans="34:34" x14ac:dyDescent="0.2">
      <c r="AH415" s="134"/>
    </row>
    <row r="416" spans="34:34" x14ac:dyDescent="0.2">
      <c r="AH416" s="134"/>
    </row>
    <row r="417" spans="34:34" x14ac:dyDescent="0.2">
      <c r="AH417" s="134"/>
    </row>
    <row r="418" spans="34:34" x14ac:dyDescent="0.2">
      <c r="AH418" s="134"/>
    </row>
    <row r="419" spans="34:34" x14ac:dyDescent="0.2">
      <c r="AH419" s="134"/>
    </row>
    <row r="420" spans="34:34" x14ac:dyDescent="0.2">
      <c r="AH420" s="134"/>
    </row>
    <row r="421" spans="34:34" x14ac:dyDescent="0.2">
      <c r="AH421" s="134"/>
    </row>
    <row r="422" spans="34:34" x14ac:dyDescent="0.2">
      <c r="AH422" s="134"/>
    </row>
    <row r="423" spans="34:34" x14ac:dyDescent="0.2">
      <c r="AH423" s="134"/>
    </row>
    <row r="424" spans="34:34" x14ac:dyDescent="0.2">
      <c r="AH424" s="134"/>
    </row>
    <row r="425" spans="34:34" x14ac:dyDescent="0.2">
      <c r="AH425" s="134"/>
    </row>
    <row r="426" spans="34:34" x14ac:dyDescent="0.2">
      <c r="AH426" s="134"/>
    </row>
    <row r="427" spans="34:34" x14ac:dyDescent="0.2">
      <c r="AH427" s="134"/>
    </row>
    <row r="428" spans="34:34" x14ac:dyDescent="0.2">
      <c r="AH428" s="134"/>
    </row>
    <row r="429" spans="34:34" x14ac:dyDescent="0.2">
      <c r="AH429" s="134"/>
    </row>
    <row r="430" spans="34:34" x14ac:dyDescent="0.2">
      <c r="AH430" s="134"/>
    </row>
    <row r="431" spans="34:34" x14ac:dyDescent="0.2">
      <c r="AH431" s="134"/>
    </row>
    <row r="432" spans="34:34" x14ac:dyDescent="0.2">
      <c r="AH432" s="134"/>
    </row>
    <row r="433" spans="34:34" x14ac:dyDescent="0.2">
      <c r="AH433" s="134"/>
    </row>
    <row r="434" spans="34:34" x14ac:dyDescent="0.2">
      <c r="AH434" s="134"/>
    </row>
    <row r="435" spans="34:34" x14ac:dyDescent="0.2">
      <c r="AH435" s="134"/>
    </row>
    <row r="436" spans="34:34" x14ac:dyDescent="0.2">
      <c r="AH436" s="134"/>
    </row>
    <row r="437" spans="34:34" x14ac:dyDescent="0.2">
      <c r="AH437" s="134"/>
    </row>
    <row r="438" spans="34:34" x14ac:dyDescent="0.2">
      <c r="AH438" s="134"/>
    </row>
    <row r="439" spans="34:34" x14ac:dyDescent="0.2">
      <c r="AH439" s="134"/>
    </row>
    <row r="440" spans="34:34" x14ac:dyDescent="0.2">
      <c r="AH440" s="134"/>
    </row>
    <row r="441" spans="34:34" x14ac:dyDescent="0.2">
      <c r="AH441" s="134"/>
    </row>
    <row r="442" spans="34:34" x14ac:dyDescent="0.2">
      <c r="AH442" s="134"/>
    </row>
    <row r="443" spans="34:34" x14ac:dyDescent="0.2">
      <c r="AH443" s="134"/>
    </row>
    <row r="444" spans="34:34" x14ac:dyDescent="0.2">
      <c r="AH444" s="134"/>
    </row>
    <row r="445" spans="34:34" x14ac:dyDescent="0.2">
      <c r="AH445" s="134"/>
    </row>
    <row r="446" spans="34:34" x14ac:dyDescent="0.2">
      <c r="AH446" s="134"/>
    </row>
    <row r="447" spans="34:34" x14ac:dyDescent="0.2">
      <c r="AH447" s="134"/>
    </row>
    <row r="448" spans="34:34" x14ac:dyDescent="0.2">
      <c r="AH448" s="134"/>
    </row>
    <row r="449" spans="34:34" x14ac:dyDescent="0.2">
      <c r="AH449" s="134"/>
    </row>
    <row r="450" spans="34:34" x14ac:dyDescent="0.2">
      <c r="AH450" s="134"/>
    </row>
    <row r="451" spans="34:34" x14ac:dyDescent="0.2">
      <c r="AH451" s="134"/>
    </row>
    <row r="452" spans="34:34" x14ac:dyDescent="0.2">
      <c r="AH452" s="134"/>
    </row>
    <row r="453" spans="34:34" x14ac:dyDescent="0.2">
      <c r="AH453" s="134"/>
    </row>
    <row r="454" spans="34:34" x14ac:dyDescent="0.2">
      <c r="AH454" s="134"/>
    </row>
    <row r="455" spans="34:34" x14ac:dyDescent="0.2">
      <c r="AH455" s="134"/>
    </row>
    <row r="456" spans="34:34" x14ac:dyDescent="0.2">
      <c r="AH456" s="134"/>
    </row>
    <row r="457" spans="34:34" x14ac:dyDescent="0.2">
      <c r="AH457" s="134"/>
    </row>
    <row r="458" spans="34:34" x14ac:dyDescent="0.2">
      <c r="AH458" s="134"/>
    </row>
    <row r="459" spans="34:34" x14ac:dyDescent="0.2">
      <c r="AH459" s="134"/>
    </row>
    <row r="460" spans="34:34" x14ac:dyDescent="0.2">
      <c r="AH460" s="134"/>
    </row>
    <row r="461" spans="34:34" x14ac:dyDescent="0.2">
      <c r="AH461" s="134"/>
    </row>
    <row r="462" spans="34:34" x14ac:dyDescent="0.2">
      <c r="AH462" s="134"/>
    </row>
    <row r="463" spans="34:34" x14ac:dyDescent="0.2">
      <c r="AH463" s="134"/>
    </row>
    <row r="464" spans="34:34" x14ac:dyDescent="0.2">
      <c r="AH464" s="134"/>
    </row>
    <row r="465" spans="34:34" x14ac:dyDescent="0.2">
      <c r="AH465" s="134"/>
    </row>
    <row r="466" spans="34:34" x14ac:dyDescent="0.2">
      <c r="AH466" s="134"/>
    </row>
    <row r="467" spans="34:34" x14ac:dyDescent="0.2">
      <c r="AH467" s="134"/>
    </row>
    <row r="468" spans="34:34" x14ac:dyDescent="0.2">
      <c r="AH468" s="134"/>
    </row>
    <row r="469" spans="34:34" x14ac:dyDescent="0.2">
      <c r="AH469" s="134"/>
    </row>
    <row r="470" spans="34:34" x14ac:dyDescent="0.2">
      <c r="AH470" s="134"/>
    </row>
    <row r="471" spans="34:34" x14ac:dyDescent="0.2">
      <c r="AH471" s="134"/>
    </row>
    <row r="472" spans="34:34" x14ac:dyDescent="0.2">
      <c r="AH472" s="134"/>
    </row>
    <row r="473" spans="34:34" x14ac:dyDescent="0.2">
      <c r="AH473" s="134"/>
    </row>
    <row r="474" spans="34:34" x14ac:dyDescent="0.2">
      <c r="AH474" s="134"/>
    </row>
    <row r="475" spans="34:34" x14ac:dyDescent="0.2">
      <c r="AH475" s="134"/>
    </row>
    <row r="476" spans="34:34" x14ac:dyDescent="0.2">
      <c r="AH476" s="134"/>
    </row>
    <row r="477" spans="34:34" x14ac:dyDescent="0.2">
      <c r="AH477" s="134"/>
    </row>
    <row r="478" spans="34:34" x14ac:dyDescent="0.2">
      <c r="AH478" s="134"/>
    </row>
    <row r="479" spans="34:34" x14ac:dyDescent="0.2">
      <c r="AH479" s="134"/>
    </row>
    <row r="480" spans="34:34" x14ac:dyDescent="0.2">
      <c r="AH480" s="134"/>
    </row>
    <row r="481" spans="34:34" x14ac:dyDescent="0.2">
      <c r="AH481" s="134"/>
    </row>
    <row r="482" spans="34:34" x14ac:dyDescent="0.2">
      <c r="AH482" s="134"/>
    </row>
    <row r="483" spans="34:34" x14ac:dyDescent="0.2">
      <c r="AH483" s="134"/>
    </row>
    <row r="484" spans="34:34" x14ac:dyDescent="0.2">
      <c r="AH484" s="134"/>
    </row>
    <row r="485" spans="34:34" x14ac:dyDescent="0.2">
      <c r="AH485" s="134"/>
    </row>
    <row r="486" spans="34:34" x14ac:dyDescent="0.2">
      <c r="AH486" s="134"/>
    </row>
    <row r="487" spans="34:34" x14ac:dyDescent="0.2">
      <c r="AH487" s="134"/>
    </row>
    <row r="488" spans="34:34" x14ac:dyDescent="0.2">
      <c r="AH488" s="134"/>
    </row>
    <row r="489" spans="34:34" x14ac:dyDescent="0.2">
      <c r="AH489" s="134"/>
    </row>
    <row r="490" spans="34:34" x14ac:dyDescent="0.2">
      <c r="AH490" s="134"/>
    </row>
    <row r="491" spans="34:34" x14ac:dyDescent="0.2">
      <c r="AH491" s="134"/>
    </row>
    <row r="492" spans="34:34" x14ac:dyDescent="0.2">
      <c r="AH492" s="134"/>
    </row>
    <row r="493" spans="34:34" x14ac:dyDescent="0.2">
      <c r="AH493" s="134"/>
    </row>
    <row r="494" spans="34:34" x14ac:dyDescent="0.2">
      <c r="AH494" s="134"/>
    </row>
    <row r="495" spans="34:34" x14ac:dyDescent="0.2">
      <c r="AH495" s="134"/>
    </row>
    <row r="496" spans="34:34" x14ac:dyDescent="0.2">
      <c r="AH496" s="134"/>
    </row>
    <row r="497" spans="34:34" x14ac:dyDescent="0.2">
      <c r="AH497" s="134"/>
    </row>
    <row r="498" spans="34:34" x14ac:dyDescent="0.2">
      <c r="AH498" s="134"/>
    </row>
    <row r="499" spans="34:34" x14ac:dyDescent="0.2">
      <c r="AH499" s="134"/>
    </row>
    <row r="500" spans="34:34" x14ac:dyDescent="0.2">
      <c r="AH500" s="134"/>
    </row>
    <row r="501" spans="34:34" x14ac:dyDescent="0.2">
      <c r="AH501" s="134"/>
    </row>
    <row r="502" spans="34:34" x14ac:dyDescent="0.2">
      <c r="AH502" s="134"/>
    </row>
    <row r="503" spans="34:34" x14ac:dyDescent="0.2">
      <c r="AH503" s="134"/>
    </row>
    <row r="504" spans="34:34" x14ac:dyDescent="0.2">
      <c r="AH504" s="134"/>
    </row>
    <row r="505" spans="34:34" x14ac:dyDescent="0.2">
      <c r="AH505" s="134"/>
    </row>
    <row r="506" spans="34:34" x14ac:dyDescent="0.2">
      <c r="AH506" s="134"/>
    </row>
    <row r="507" spans="34:34" x14ac:dyDescent="0.2">
      <c r="AH507" s="134"/>
    </row>
    <row r="508" spans="34:34" x14ac:dyDescent="0.2">
      <c r="AH508" s="134"/>
    </row>
    <row r="509" spans="34:34" x14ac:dyDescent="0.2">
      <c r="AH509" s="134"/>
    </row>
    <row r="510" spans="34:34" x14ac:dyDescent="0.2">
      <c r="AH510" s="134"/>
    </row>
    <row r="511" spans="34:34" x14ac:dyDescent="0.2">
      <c r="AH511" s="134"/>
    </row>
    <row r="512" spans="34:34" x14ac:dyDescent="0.2">
      <c r="AH512" s="134"/>
    </row>
    <row r="513" spans="34:34" x14ac:dyDescent="0.2">
      <c r="AH513" s="134"/>
    </row>
    <row r="514" spans="34:34" x14ac:dyDescent="0.2">
      <c r="AH514" s="134"/>
    </row>
    <row r="515" spans="34:34" x14ac:dyDescent="0.2">
      <c r="AH515" s="134"/>
    </row>
    <row r="516" spans="34:34" x14ac:dyDescent="0.2">
      <c r="AH516" s="134"/>
    </row>
    <row r="517" spans="34:34" x14ac:dyDescent="0.2">
      <c r="AH517" s="134"/>
    </row>
    <row r="518" spans="34:34" x14ac:dyDescent="0.2">
      <c r="AH518" s="134"/>
    </row>
    <row r="519" spans="34:34" x14ac:dyDescent="0.2">
      <c r="AH519" s="134"/>
    </row>
    <row r="520" spans="34:34" x14ac:dyDescent="0.2">
      <c r="AH520" s="134"/>
    </row>
    <row r="521" spans="34:34" x14ac:dyDescent="0.2">
      <c r="AH521" s="134"/>
    </row>
    <row r="522" spans="34:34" x14ac:dyDescent="0.2">
      <c r="AH522" s="134"/>
    </row>
    <row r="523" spans="34:34" x14ac:dyDescent="0.2">
      <c r="AH523" s="134"/>
    </row>
    <row r="524" spans="34:34" x14ac:dyDescent="0.2">
      <c r="AH524" s="134"/>
    </row>
    <row r="525" spans="34:34" x14ac:dyDescent="0.2">
      <c r="AH525" s="134"/>
    </row>
    <row r="526" spans="34:34" x14ac:dyDescent="0.2">
      <c r="AH526" s="134"/>
    </row>
    <row r="527" spans="34:34" x14ac:dyDescent="0.2">
      <c r="AH527" s="134"/>
    </row>
    <row r="528" spans="34:34" x14ac:dyDescent="0.2">
      <c r="AH528" s="134"/>
    </row>
    <row r="529" spans="34:34" x14ac:dyDescent="0.2">
      <c r="AH529" s="134"/>
    </row>
    <row r="530" spans="34:34" x14ac:dyDescent="0.2">
      <c r="AH530" s="134"/>
    </row>
    <row r="531" spans="34:34" x14ac:dyDescent="0.2">
      <c r="AH531" s="134"/>
    </row>
    <row r="532" spans="34:34" x14ac:dyDescent="0.2">
      <c r="AH532" s="134"/>
    </row>
    <row r="533" spans="34:34" x14ac:dyDescent="0.2">
      <c r="AH533" s="134"/>
    </row>
    <row r="534" spans="34:34" x14ac:dyDescent="0.2">
      <c r="AH534" s="134"/>
    </row>
    <row r="535" spans="34:34" x14ac:dyDescent="0.2">
      <c r="AH535" s="134"/>
    </row>
    <row r="536" spans="34:34" x14ac:dyDescent="0.2">
      <c r="AH536" s="134"/>
    </row>
    <row r="537" spans="34:34" x14ac:dyDescent="0.2">
      <c r="AH537" s="134"/>
    </row>
    <row r="538" spans="34:34" x14ac:dyDescent="0.2">
      <c r="AH538" s="134"/>
    </row>
    <row r="539" spans="34:34" x14ac:dyDescent="0.2">
      <c r="AH539" s="134"/>
    </row>
    <row r="540" spans="34:34" x14ac:dyDescent="0.2">
      <c r="AH540" s="134"/>
    </row>
    <row r="541" spans="34:34" x14ac:dyDescent="0.2">
      <c r="AH541" s="134"/>
    </row>
    <row r="542" spans="34:34" x14ac:dyDescent="0.2">
      <c r="AH542" s="134"/>
    </row>
    <row r="543" spans="34:34" x14ac:dyDescent="0.2">
      <c r="AH543" s="134"/>
    </row>
    <row r="544" spans="34:34" x14ac:dyDescent="0.2">
      <c r="AH544" s="134"/>
    </row>
    <row r="545" spans="34:34" x14ac:dyDescent="0.2">
      <c r="AH545" s="134"/>
    </row>
    <row r="546" spans="34:34" x14ac:dyDescent="0.2">
      <c r="AH546" s="134"/>
    </row>
    <row r="547" spans="34:34" x14ac:dyDescent="0.2">
      <c r="AH547" s="134"/>
    </row>
    <row r="548" spans="34:34" x14ac:dyDescent="0.2">
      <c r="AH548" s="134"/>
    </row>
    <row r="549" spans="34:34" x14ac:dyDescent="0.2">
      <c r="AH549" s="134"/>
    </row>
    <row r="550" spans="34:34" x14ac:dyDescent="0.2">
      <c r="AH550" s="134"/>
    </row>
    <row r="551" spans="34:34" x14ac:dyDescent="0.2">
      <c r="AH551" s="134"/>
    </row>
    <row r="552" spans="34:34" x14ac:dyDescent="0.2">
      <c r="AH552" s="134"/>
    </row>
    <row r="553" spans="34:34" x14ac:dyDescent="0.2">
      <c r="AH553" s="134"/>
    </row>
    <row r="554" spans="34:34" x14ac:dyDescent="0.2">
      <c r="AH554" s="134"/>
    </row>
    <row r="555" spans="34:34" x14ac:dyDescent="0.2">
      <c r="AH555" s="134"/>
    </row>
    <row r="556" spans="34:34" x14ac:dyDescent="0.2">
      <c r="AH556" s="134"/>
    </row>
    <row r="557" spans="34:34" x14ac:dyDescent="0.2">
      <c r="AH557" s="134"/>
    </row>
    <row r="558" spans="34:34" x14ac:dyDescent="0.2">
      <c r="AH558" s="134"/>
    </row>
    <row r="559" spans="34:34" x14ac:dyDescent="0.2">
      <c r="AH559" s="134"/>
    </row>
    <row r="560" spans="34:34" x14ac:dyDescent="0.2">
      <c r="AH560" s="134"/>
    </row>
    <row r="561" spans="34:34" x14ac:dyDescent="0.2">
      <c r="AH561" s="134"/>
    </row>
    <row r="562" spans="34:34" x14ac:dyDescent="0.2">
      <c r="AH562" s="134"/>
    </row>
    <row r="563" spans="34:34" x14ac:dyDescent="0.2">
      <c r="AH563" s="134"/>
    </row>
    <row r="564" spans="34:34" x14ac:dyDescent="0.2">
      <c r="AH564" s="134"/>
    </row>
    <row r="565" spans="34:34" x14ac:dyDescent="0.2">
      <c r="AH565" s="134"/>
    </row>
    <row r="566" spans="34:34" x14ac:dyDescent="0.2">
      <c r="AH566" s="134"/>
    </row>
    <row r="567" spans="34:34" x14ac:dyDescent="0.2">
      <c r="AH567" s="134"/>
    </row>
    <row r="568" spans="34:34" x14ac:dyDescent="0.2">
      <c r="AH568" s="134"/>
    </row>
    <row r="569" spans="34:34" x14ac:dyDescent="0.2">
      <c r="AH569" s="134"/>
    </row>
    <row r="570" spans="34:34" x14ac:dyDescent="0.2">
      <c r="AH570" s="134"/>
    </row>
    <row r="571" spans="34:34" x14ac:dyDescent="0.2">
      <c r="AH571" s="134"/>
    </row>
    <row r="572" spans="34:34" x14ac:dyDescent="0.2">
      <c r="AH572" s="134"/>
    </row>
    <row r="573" spans="34:34" x14ac:dyDescent="0.2">
      <c r="AH573" s="134"/>
    </row>
    <row r="574" spans="34:34" x14ac:dyDescent="0.2">
      <c r="AH574" s="134"/>
    </row>
    <row r="575" spans="34:34" x14ac:dyDescent="0.2">
      <c r="AH575" s="134"/>
    </row>
    <row r="576" spans="34:34" x14ac:dyDescent="0.2">
      <c r="AH576" s="134"/>
    </row>
    <row r="577" spans="34:34" x14ac:dyDescent="0.2">
      <c r="AH577" s="134"/>
    </row>
    <row r="578" spans="34:34" x14ac:dyDescent="0.2">
      <c r="AH578" s="134"/>
    </row>
    <row r="579" spans="34:34" x14ac:dyDescent="0.2">
      <c r="AH579" s="134"/>
    </row>
    <row r="580" spans="34:34" x14ac:dyDescent="0.2">
      <c r="AH580" s="134"/>
    </row>
    <row r="581" spans="34:34" x14ac:dyDescent="0.2">
      <c r="AH581" s="134"/>
    </row>
    <row r="582" spans="34:34" x14ac:dyDescent="0.2">
      <c r="AH582" s="134"/>
    </row>
    <row r="583" spans="34:34" x14ac:dyDescent="0.2">
      <c r="AH583" s="134"/>
    </row>
    <row r="584" spans="34:34" x14ac:dyDescent="0.2">
      <c r="AH584" s="134"/>
    </row>
    <row r="585" spans="34:34" x14ac:dyDescent="0.2">
      <c r="AH585" s="134"/>
    </row>
    <row r="586" spans="34:34" x14ac:dyDescent="0.2">
      <c r="AH586" s="134"/>
    </row>
    <row r="587" spans="34:34" x14ac:dyDescent="0.2">
      <c r="AH587" s="134"/>
    </row>
    <row r="588" spans="34:34" x14ac:dyDescent="0.2">
      <c r="AH588" s="134"/>
    </row>
    <row r="589" spans="34:34" x14ac:dyDescent="0.2">
      <c r="AH589" s="134"/>
    </row>
    <row r="590" spans="34:34" x14ac:dyDescent="0.2">
      <c r="AH590" s="134"/>
    </row>
    <row r="591" spans="34:34" x14ac:dyDescent="0.2">
      <c r="AH591" s="134"/>
    </row>
    <row r="592" spans="34:34" x14ac:dyDescent="0.2">
      <c r="AH592" s="134"/>
    </row>
    <row r="593" spans="34:34" x14ac:dyDescent="0.2">
      <c r="AH593" s="134"/>
    </row>
    <row r="594" spans="34:34" x14ac:dyDescent="0.2">
      <c r="AH594" s="134"/>
    </row>
    <row r="595" spans="34:34" x14ac:dyDescent="0.2">
      <c r="AH595" s="134"/>
    </row>
    <row r="596" spans="34:34" x14ac:dyDescent="0.2">
      <c r="AH596" s="134"/>
    </row>
    <row r="597" spans="34:34" x14ac:dyDescent="0.2">
      <c r="AH597" s="134"/>
    </row>
    <row r="598" spans="34:34" x14ac:dyDescent="0.2">
      <c r="AH598" s="134"/>
    </row>
    <row r="599" spans="34:34" x14ac:dyDescent="0.2">
      <c r="AH599" s="134"/>
    </row>
    <row r="600" spans="34:34" x14ac:dyDescent="0.2">
      <c r="AH600" s="134"/>
    </row>
    <row r="601" spans="34:34" x14ac:dyDescent="0.2">
      <c r="AH601" s="134"/>
    </row>
    <row r="602" spans="34:34" x14ac:dyDescent="0.2">
      <c r="AH602" s="134"/>
    </row>
    <row r="603" spans="34:34" x14ac:dyDescent="0.2">
      <c r="AH603" s="134"/>
    </row>
    <row r="604" spans="34:34" x14ac:dyDescent="0.2">
      <c r="AH604" s="134"/>
    </row>
    <row r="605" spans="34:34" x14ac:dyDescent="0.2">
      <c r="AH605" s="134"/>
    </row>
    <row r="606" spans="34:34" x14ac:dyDescent="0.2">
      <c r="AH606" s="134"/>
    </row>
    <row r="607" spans="34:34" x14ac:dyDescent="0.2">
      <c r="AH607" s="134"/>
    </row>
    <row r="608" spans="34:34" x14ac:dyDescent="0.2">
      <c r="AH608" s="134"/>
    </row>
    <row r="609" spans="34:34" x14ac:dyDescent="0.2">
      <c r="AH609" s="134"/>
    </row>
    <row r="610" spans="34:34" x14ac:dyDescent="0.2">
      <c r="AH610" s="134"/>
    </row>
    <row r="611" spans="34:34" x14ac:dyDescent="0.2">
      <c r="AH611" s="134"/>
    </row>
    <row r="612" spans="34:34" x14ac:dyDescent="0.2">
      <c r="AH612" s="134"/>
    </row>
    <row r="613" spans="34:34" x14ac:dyDescent="0.2">
      <c r="AH613" s="134"/>
    </row>
    <row r="614" spans="34:34" x14ac:dyDescent="0.2">
      <c r="AH614" s="134"/>
    </row>
    <row r="615" spans="34:34" x14ac:dyDescent="0.2">
      <c r="AH615" s="134"/>
    </row>
    <row r="616" spans="34:34" x14ac:dyDescent="0.2">
      <c r="AH616" s="134"/>
    </row>
    <row r="617" spans="34:34" x14ac:dyDescent="0.2">
      <c r="AH617" s="134"/>
    </row>
    <row r="618" spans="34:34" x14ac:dyDescent="0.2">
      <c r="AH618" s="134"/>
    </row>
    <row r="619" spans="34:34" x14ac:dyDescent="0.2">
      <c r="AH619" s="134"/>
    </row>
    <row r="620" spans="34:34" x14ac:dyDescent="0.2">
      <c r="AH620" s="134"/>
    </row>
    <row r="621" spans="34:34" x14ac:dyDescent="0.2">
      <c r="AH621" s="134"/>
    </row>
    <row r="622" spans="34:34" x14ac:dyDescent="0.2">
      <c r="AH622" s="134"/>
    </row>
    <row r="623" spans="34:34" x14ac:dyDescent="0.2">
      <c r="AH623" s="134"/>
    </row>
    <row r="624" spans="34:34" x14ac:dyDescent="0.2">
      <c r="AH624" s="134"/>
    </row>
    <row r="625" spans="34:34" x14ac:dyDescent="0.2">
      <c r="AH625" s="134"/>
    </row>
    <row r="626" spans="34:34" x14ac:dyDescent="0.2">
      <c r="AH626" s="134"/>
    </row>
    <row r="627" spans="34:34" x14ac:dyDescent="0.2">
      <c r="AH627" s="134"/>
    </row>
    <row r="628" spans="34:34" x14ac:dyDescent="0.2">
      <c r="AH628" s="134"/>
    </row>
    <row r="629" spans="34:34" x14ac:dyDescent="0.2">
      <c r="AH629" s="134"/>
    </row>
    <row r="630" spans="34:34" x14ac:dyDescent="0.2">
      <c r="AH630" s="134"/>
    </row>
    <row r="631" spans="34:34" x14ac:dyDescent="0.2">
      <c r="AH631" s="134"/>
    </row>
    <row r="632" spans="34:34" x14ac:dyDescent="0.2">
      <c r="AH632" s="134"/>
    </row>
    <row r="633" spans="34:34" x14ac:dyDescent="0.2">
      <c r="AH633" s="134"/>
    </row>
    <row r="634" spans="34:34" x14ac:dyDescent="0.2">
      <c r="AH634" s="134"/>
    </row>
    <row r="635" spans="34:34" x14ac:dyDescent="0.2">
      <c r="AH635" s="134"/>
    </row>
    <row r="636" spans="34:34" x14ac:dyDescent="0.2">
      <c r="AH636" s="134"/>
    </row>
    <row r="637" spans="34:34" x14ac:dyDescent="0.2">
      <c r="AH637" s="134"/>
    </row>
    <row r="638" spans="34:34" x14ac:dyDescent="0.2">
      <c r="AH638" s="134"/>
    </row>
    <row r="639" spans="34:34" x14ac:dyDescent="0.2">
      <c r="AH639" s="134"/>
    </row>
    <row r="640" spans="34:34" x14ac:dyDescent="0.2">
      <c r="AH640" s="134"/>
    </row>
    <row r="641" spans="34:34" x14ac:dyDescent="0.2">
      <c r="AH641" s="134"/>
    </row>
    <row r="642" spans="34:34" x14ac:dyDescent="0.2">
      <c r="AH642" s="134"/>
    </row>
    <row r="643" spans="34:34" x14ac:dyDescent="0.2">
      <c r="AH643" s="134"/>
    </row>
    <row r="644" spans="34:34" x14ac:dyDescent="0.2">
      <c r="AH644" s="134"/>
    </row>
    <row r="645" spans="34:34" x14ac:dyDescent="0.2">
      <c r="AH645" s="134"/>
    </row>
    <row r="646" spans="34:34" x14ac:dyDescent="0.2">
      <c r="AH646" s="134"/>
    </row>
    <row r="647" spans="34:34" x14ac:dyDescent="0.2">
      <c r="AH647" s="134"/>
    </row>
    <row r="648" spans="34:34" x14ac:dyDescent="0.2">
      <c r="AH648" s="134"/>
    </row>
    <row r="649" spans="34:34" x14ac:dyDescent="0.2">
      <c r="AH649" s="134"/>
    </row>
    <row r="650" spans="34:34" x14ac:dyDescent="0.2">
      <c r="AH650" s="134"/>
    </row>
    <row r="651" spans="34:34" x14ac:dyDescent="0.2">
      <c r="AH651" s="134"/>
    </row>
    <row r="652" spans="34:34" x14ac:dyDescent="0.2">
      <c r="AH652" s="134"/>
    </row>
    <row r="653" spans="34:34" x14ac:dyDescent="0.2">
      <c r="AH653" s="134"/>
    </row>
    <row r="654" spans="34:34" x14ac:dyDescent="0.2">
      <c r="AH654" s="134"/>
    </row>
    <row r="655" spans="34:34" x14ac:dyDescent="0.2">
      <c r="AH655" s="134"/>
    </row>
    <row r="656" spans="34:34" x14ac:dyDescent="0.2">
      <c r="AH656" s="134"/>
    </row>
    <row r="657" spans="34:34" x14ac:dyDescent="0.2">
      <c r="AH657" s="134"/>
    </row>
    <row r="658" spans="34:34" x14ac:dyDescent="0.2">
      <c r="AH658" s="134"/>
    </row>
    <row r="659" spans="34:34" x14ac:dyDescent="0.2">
      <c r="AH659" s="134"/>
    </row>
    <row r="660" spans="34:34" x14ac:dyDescent="0.2">
      <c r="AH660" s="134"/>
    </row>
    <row r="661" spans="34:34" x14ac:dyDescent="0.2">
      <c r="AH661" s="134"/>
    </row>
    <row r="662" spans="34:34" x14ac:dyDescent="0.2">
      <c r="AH662" s="134"/>
    </row>
    <row r="663" spans="34:34" x14ac:dyDescent="0.2">
      <c r="AH663" s="134"/>
    </row>
    <row r="664" spans="34:34" x14ac:dyDescent="0.2">
      <c r="AH664" s="134"/>
    </row>
    <row r="665" spans="34:34" x14ac:dyDescent="0.2">
      <c r="AH665" s="134"/>
    </row>
    <row r="666" spans="34:34" x14ac:dyDescent="0.2">
      <c r="AH666" s="134"/>
    </row>
    <row r="667" spans="34:34" x14ac:dyDescent="0.2">
      <c r="AH667" s="134"/>
    </row>
    <row r="668" spans="34:34" x14ac:dyDescent="0.2">
      <c r="AH668" s="134"/>
    </row>
    <row r="669" spans="34:34" x14ac:dyDescent="0.2">
      <c r="AH669" s="134"/>
    </row>
    <row r="670" spans="34:34" x14ac:dyDescent="0.2">
      <c r="AH670" s="134"/>
    </row>
    <row r="671" spans="34:34" x14ac:dyDescent="0.2">
      <c r="AH671" s="134"/>
    </row>
    <row r="672" spans="34:34" x14ac:dyDescent="0.2">
      <c r="AH672" s="134"/>
    </row>
    <row r="673" spans="34:34" x14ac:dyDescent="0.2">
      <c r="AH673" s="134"/>
    </row>
    <row r="674" spans="34:34" x14ac:dyDescent="0.2">
      <c r="AH674" s="134"/>
    </row>
    <row r="675" spans="34:34" x14ac:dyDescent="0.2">
      <c r="AH675" s="134"/>
    </row>
    <row r="676" spans="34:34" x14ac:dyDescent="0.2">
      <c r="AH676" s="134"/>
    </row>
    <row r="677" spans="34:34" x14ac:dyDescent="0.2">
      <c r="AH677" s="134"/>
    </row>
    <row r="678" spans="34:34" x14ac:dyDescent="0.2">
      <c r="AH678" s="134"/>
    </row>
    <row r="679" spans="34:34" x14ac:dyDescent="0.2">
      <c r="AH679" s="134"/>
    </row>
    <row r="680" spans="34:34" x14ac:dyDescent="0.2">
      <c r="AH680" s="134"/>
    </row>
    <row r="681" spans="34:34" x14ac:dyDescent="0.2">
      <c r="AH681" s="134"/>
    </row>
    <row r="682" spans="34:34" x14ac:dyDescent="0.2">
      <c r="AH682" s="134"/>
    </row>
    <row r="683" spans="34:34" x14ac:dyDescent="0.2">
      <c r="AH683" s="134"/>
    </row>
    <row r="684" spans="34:34" x14ac:dyDescent="0.2">
      <c r="AH684" s="134"/>
    </row>
    <row r="685" spans="34:34" x14ac:dyDescent="0.2">
      <c r="AH685" s="134"/>
    </row>
    <row r="686" spans="34:34" x14ac:dyDescent="0.2">
      <c r="AH686" s="134"/>
    </row>
    <row r="687" spans="34:34" x14ac:dyDescent="0.2">
      <c r="AH687" s="134"/>
    </row>
    <row r="688" spans="34:34" x14ac:dyDescent="0.2">
      <c r="AH688" s="134"/>
    </row>
    <row r="689" spans="34:34" x14ac:dyDescent="0.2">
      <c r="AH689" s="134"/>
    </row>
    <row r="690" spans="34:34" x14ac:dyDescent="0.2">
      <c r="AH690" s="134"/>
    </row>
    <row r="691" spans="34:34" x14ac:dyDescent="0.2">
      <c r="AH691" s="134"/>
    </row>
    <row r="692" spans="34:34" x14ac:dyDescent="0.2">
      <c r="AH692" s="134"/>
    </row>
    <row r="693" spans="34:34" x14ac:dyDescent="0.2">
      <c r="AH693" s="134"/>
    </row>
    <row r="694" spans="34:34" x14ac:dyDescent="0.2">
      <c r="AH694" s="134"/>
    </row>
    <row r="695" spans="34:34" x14ac:dyDescent="0.2">
      <c r="AH695" s="134"/>
    </row>
    <row r="696" spans="34:34" x14ac:dyDescent="0.2">
      <c r="AH696" s="134"/>
    </row>
    <row r="697" spans="34:34" x14ac:dyDescent="0.2">
      <c r="AH697" s="134"/>
    </row>
    <row r="698" spans="34:34" x14ac:dyDescent="0.2">
      <c r="AH698" s="134"/>
    </row>
    <row r="699" spans="34:34" x14ac:dyDescent="0.2">
      <c r="AH699" s="134"/>
    </row>
    <row r="700" spans="34:34" x14ac:dyDescent="0.2">
      <c r="AH700" s="134"/>
    </row>
    <row r="701" spans="34:34" x14ac:dyDescent="0.2">
      <c r="AH701" s="134"/>
    </row>
    <row r="702" spans="34:34" x14ac:dyDescent="0.2">
      <c r="AH702" s="134"/>
    </row>
    <row r="703" spans="34:34" x14ac:dyDescent="0.2">
      <c r="AH703" s="134"/>
    </row>
    <row r="704" spans="34:34" x14ac:dyDescent="0.2">
      <c r="AH704" s="134"/>
    </row>
    <row r="705" spans="34:34" x14ac:dyDescent="0.2">
      <c r="AH705" s="134"/>
    </row>
    <row r="706" spans="34:34" x14ac:dyDescent="0.2">
      <c r="AH706" s="134"/>
    </row>
    <row r="707" spans="34:34" x14ac:dyDescent="0.2">
      <c r="AH707" s="134"/>
    </row>
    <row r="708" spans="34:34" x14ac:dyDescent="0.2">
      <c r="AH708" s="134"/>
    </row>
    <row r="709" spans="34:34" x14ac:dyDescent="0.2">
      <c r="AH709" s="134"/>
    </row>
    <row r="710" spans="34:34" x14ac:dyDescent="0.2">
      <c r="AH710" s="134"/>
    </row>
    <row r="711" spans="34:34" x14ac:dyDescent="0.2">
      <c r="AH711" s="134"/>
    </row>
    <row r="712" spans="34:34" x14ac:dyDescent="0.2">
      <c r="AH712" s="134"/>
    </row>
    <row r="713" spans="34:34" x14ac:dyDescent="0.2">
      <c r="AH713" s="134"/>
    </row>
    <row r="714" spans="34:34" x14ac:dyDescent="0.2">
      <c r="AH714" s="134"/>
    </row>
    <row r="715" spans="34:34" x14ac:dyDescent="0.2">
      <c r="AH715" s="134"/>
    </row>
    <row r="716" spans="34:34" x14ac:dyDescent="0.2">
      <c r="AH716" s="134"/>
    </row>
    <row r="717" spans="34:34" x14ac:dyDescent="0.2">
      <c r="AH717" s="134"/>
    </row>
    <row r="718" spans="34:34" x14ac:dyDescent="0.2">
      <c r="AH718" s="134"/>
    </row>
    <row r="719" spans="34:34" x14ac:dyDescent="0.2">
      <c r="AH719" s="134"/>
    </row>
    <row r="720" spans="34:34" x14ac:dyDescent="0.2">
      <c r="AH720" s="134"/>
    </row>
    <row r="721" spans="34:34" x14ac:dyDescent="0.2">
      <c r="AH721" s="134"/>
    </row>
    <row r="722" spans="34:34" x14ac:dyDescent="0.2">
      <c r="AH722" s="134"/>
    </row>
    <row r="723" spans="34:34" x14ac:dyDescent="0.2">
      <c r="AH723" s="134"/>
    </row>
    <row r="724" spans="34:34" x14ac:dyDescent="0.2">
      <c r="AH724" s="134"/>
    </row>
    <row r="725" spans="34:34" x14ac:dyDescent="0.2">
      <c r="AH725" s="134"/>
    </row>
    <row r="726" spans="34:34" x14ac:dyDescent="0.2">
      <c r="AH726" s="134"/>
    </row>
    <row r="727" spans="34:34" x14ac:dyDescent="0.2">
      <c r="AH727" s="134"/>
    </row>
    <row r="728" spans="34:34" x14ac:dyDescent="0.2">
      <c r="AH728" s="134"/>
    </row>
    <row r="729" spans="34:34" x14ac:dyDescent="0.2">
      <c r="AH729" s="134"/>
    </row>
    <row r="730" spans="34:34" x14ac:dyDescent="0.2">
      <c r="AH730" s="134"/>
    </row>
    <row r="731" spans="34:34" x14ac:dyDescent="0.2">
      <c r="AH731" s="134"/>
    </row>
    <row r="732" spans="34:34" x14ac:dyDescent="0.2">
      <c r="AH732" s="134"/>
    </row>
    <row r="733" spans="34:34" x14ac:dyDescent="0.2">
      <c r="AH733" s="134"/>
    </row>
    <row r="734" spans="34:34" x14ac:dyDescent="0.2">
      <c r="AH734" s="134"/>
    </row>
    <row r="735" spans="34:34" x14ac:dyDescent="0.2">
      <c r="AH735" s="134"/>
    </row>
    <row r="736" spans="34:34" x14ac:dyDescent="0.2">
      <c r="AH736" s="134"/>
    </row>
    <row r="737" spans="34:34" x14ac:dyDescent="0.2">
      <c r="AH737" s="134"/>
    </row>
  </sheetData>
  <phoneticPr fontId="0" type="noConversion"/>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7</vt:i4>
      </vt:variant>
    </vt:vector>
  </HeadingPairs>
  <TitlesOfParts>
    <vt:vector size="45" baseType="lpstr">
      <vt:lpstr>Directory</vt:lpstr>
      <vt:lpstr>General_inputs</vt:lpstr>
      <vt:lpstr>Energy_weights</vt:lpstr>
      <vt:lpstr>Report_Tables</vt:lpstr>
      <vt:lpstr>Total_Transportation </vt:lpstr>
      <vt:lpstr>Passenger_Total</vt:lpstr>
      <vt:lpstr>Passenger-Highway</vt:lpstr>
      <vt:lpstr>Personal_vehicles</vt:lpstr>
      <vt:lpstr>Buses</vt:lpstr>
      <vt:lpstr>Passenger-Air</vt:lpstr>
      <vt:lpstr>Passenger-Rail</vt:lpstr>
      <vt:lpstr>Urban_Rail</vt:lpstr>
      <vt:lpstr>water_freight_regression</vt:lpstr>
      <vt:lpstr>Freight_Total</vt:lpstr>
      <vt:lpstr>Freight-Trucks</vt:lpstr>
      <vt:lpstr>Pipelines</vt:lpstr>
      <vt:lpstr>Table6.5 (AER2008)</vt:lpstr>
      <vt:lpstr>Table6.5 (AER2010)</vt:lpstr>
      <vt:lpstr>AER10_Table2.1e</vt:lpstr>
      <vt:lpstr>AER11_Table2.1e</vt:lpstr>
      <vt:lpstr>Alternative Buses_Not Used</vt:lpstr>
      <vt:lpstr>Passenger_vehicles</vt:lpstr>
      <vt:lpstr>MPG_check</vt:lpstr>
      <vt:lpstr>Compare Aggregates</vt:lpstr>
      <vt:lpstr>Passenger-based Activity</vt:lpstr>
      <vt:lpstr>Passenger-based Energy Use</vt:lpstr>
      <vt:lpstr>Freight-based Activity</vt:lpstr>
      <vt:lpstr>Freight-based Energy Use</vt:lpstr>
      <vt:lpstr>Adjust_Truck_Freight</vt:lpstr>
      <vt:lpstr>FuelConsump</vt:lpstr>
      <vt:lpstr>Fuel Heat Content</vt:lpstr>
      <vt:lpstr>Detailed data_Intercity buses</vt:lpstr>
      <vt:lpstr>Detailed data_School buses</vt:lpstr>
      <vt:lpstr>TEDB_Ed30_Table 9.10</vt:lpstr>
      <vt:lpstr>TEDB_Ed31_Table 9.10</vt:lpstr>
      <vt:lpstr>BTS Tran Indexes (TSI_TO 1) </vt:lpstr>
      <vt:lpstr>CompareTEDB&amp;MER</vt:lpstr>
      <vt:lpstr>Charts (web)</vt:lpstr>
      <vt:lpstr>Base_row</vt:lpstr>
      <vt:lpstr>Base_row2</vt:lpstr>
      <vt:lpstr>Base_year</vt:lpstr>
      <vt:lpstr>Base_year2</vt:lpstr>
      <vt:lpstr>Begin_year_chart1</vt:lpstr>
      <vt:lpstr>End_year_chart1</vt:lpstr>
      <vt:lpstr>Fuel_type</vt:lpstr>
    </vt:vector>
  </TitlesOfParts>
  <Company>ORNL/UT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C. Gibson</dc:creator>
  <cp:lastModifiedBy>test</cp:lastModifiedBy>
  <cp:lastPrinted>2002-07-12T19:42:28Z</cp:lastPrinted>
  <dcterms:created xsi:type="dcterms:W3CDTF">2002-03-07T20:53:19Z</dcterms:created>
  <dcterms:modified xsi:type="dcterms:W3CDTF">2015-03-09T18:32:33Z</dcterms:modified>
</cp:coreProperties>
</file>