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autoCompressPictures="0"/>
  <bookViews>
    <workbookView xWindow="1125" yWindow="0" windowWidth="20730" windowHeight="9045" tabRatio="935" firstSheet="1" activeTab="2"/>
  </bookViews>
  <sheets>
    <sheet name="g's vs RPM" sheetId="8" state="hidden" r:id="rId1"/>
    <sheet name="Correlation Raw Data" sheetId="12" r:id="rId2"/>
    <sheet name="Correction" sheetId="14" r:id="rId3"/>
    <sheet name="Analysis" sheetId="15" r:id="rId4"/>
    <sheet name="Interaction Plot" sheetId="16" r:id="rId5"/>
    <sheet name="Least Squares Plot" sheetId="17" r:id="rId6"/>
  </sheets>
  <definedNames>
    <definedName name="edit">#REF!,#REF!,#REF!,#REF!,#REF!,#REF!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5" l="1"/>
  <c r="C37" i="15"/>
  <c r="C38" i="15"/>
  <c r="C39" i="15"/>
  <c r="C40" i="15"/>
  <c r="H10" i="14"/>
  <c r="E5" i="15"/>
  <c r="G15" i="15"/>
  <c r="U38" i="15"/>
  <c r="U39" i="15"/>
  <c r="U37" i="15"/>
  <c r="U18" i="15"/>
  <c r="U19" i="15"/>
  <c r="U17" i="15"/>
  <c r="M38" i="15"/>
  <c r="M39" i="15"/>
  <c r="M37" i="15"/>
  <c r="M28" i="15"/>
  <c r="M29" i="15"/>
  <c r="M27" i="15"/>
  <c r="M18" i="15"/>
  <c r="M19" i="15"/>
  <c r="M17" i="15"/>
  <c r="O35" i="15"/>
  <c r="G35" i="15"/>
  <c r="J1" i="15"/>
  <c r="A2" i="15"/>
  <c r="Q30" i="15"/>
  <c r="U28" i="15"/>
  <c r="D35" i="15"/>
  <c r="B55" i="15"/>
  <c r="F5" i="14"/>
  <c r="Q6" i="14"/>
  <c r="Q7" i="14"/>
  <c r="Q8" i="14"/>
  <c r="Q9" i="14"/>
  <c r="B10" i="14"/>
  <c r="D10" i="14"/>
  <c r="F10" i="14"/>
  <c r="Q10" i="14"/>
  <c r="B11" i="14"/>
  <c r="D11" i="14"/>
  <c r="F11" i="14"/>
  <c r="H11" i="14"/>
  <c r="Q11" i="14"/>
  <c r="B12" i="14"/>
  <c r="D12" i="14"/>
  <c r="F12" i="14"/>
  <c r="H12" i="14"/>
  <c r="Q12" i="14"/>
  <c r="B13" i="14"/>
  <c r="D13" i="14"/>
  <c r="F13" i="14"/>
  <c r="H13" i="14"/>
  <c r="Q13" i="14"/>
  <c r="B14" i="14"/>
  <c r="D14" i="14"/>
  <c r="F14" i="14"/>
  <c r="H14" i="14"/>
  <c r="Q14" i="14"/>
  <c r="B15" i="14"/>
  <c r="D15" i="14"/>
  <c r="F15" i="14"/>
  <c r="H15" i="14"/>
  <c r="Q15" i="14"/>
  <c r="B16" i="14"/>
  <c r="D16" i="14"/>
  <c r="F16" i="14"/>
  <c r="H16" i="14"/>
  <c r="Q16" i="14"/>
  <c r="B17" i="14"/>
  <c r="D17" i="14"/>
  <c r="F17" i="14"/>
  <c r="F18" i="14"/>
  <c r="G18" i="14"/>
  <c r="H17" i="14"/>
  <c r="Q17" i="14"/>
  <c r="B18" i="14"/>
  <c r="D18" i="14"/>
  <c r="H18" i="14"/>
  <c r="Q18" i="14"/>
  <c r="B19" i="14"/>
  <c r="D19" i="14"/>
  <c r="F19" i="14"/>
  <c r="H19" i="14"/>
  <c r="Q19" i="14"/>
  <c r="B20" i="14"/>
  <c r="D20" i="14"/>
  <c r="F20" i="14"/>
  <c r="H20" i="14"/>
  <c r="Q20" i="14"/>
  <c r="B21" i="14"/>
  <c r="D21" i="14"/>
  <c r="F21" i="14"/>
  <c r="H21" i="14"/>
  <c r="I19" i="14"/>
  <c r="Q21" i="14"/>
  <c r="B22" i="14"/>
  <c r="D22" i="14"/>
  <c r="F22" i="14"/>
  <c r="H22" i="14"/>
  <c r="Q22" i="14"/>
  <c r="B23" i="14"/>
  <c r="D23" i="14"/>
  <c r="F23" i="14"/>
  <c r="H23" i="14"/>
  <c r="Q23" i="14"/>
  <c r="B24" i="14"/>
  <c r="D24" i="14"/>
  <c r="F24" i="14"/>
  <c r="H24" i="14"/>
  <c r="Q24" i="14"/>
  <c r="Q25" i="14"/>
  <c r="U29" i="15"/>
  <c r="U27" i="15"/>
  <c r="E10" i="14"/>
  <c r="J29" i="14"/>
  <c r="O16" i="14"/>
  <c r="C21" i="14"/>
  <c r="E22" i="14"/>
  <c r="O20" i="14"/>
  <c r="E12" i="14"/>
  <c r="G16" i="14"/>
  <c r="E15" i="15"/>
  <c r="G15" i="14"/>
  <c r="E18" i="14"/>
  <c r="G12" i="14"/>
  <c r="C12" i="14"/>
  <c r="C19" i="14"/>
  <c r="K32" i="14"/>
  <c r="C16" i="14"/>
  <c r="E14" i="15"/>
  <c r="I13" i="14"/>
  <c r="E13" i="15"/>
  <c r="G19" i="14"/>
  <c r="I32" i="14"/>
  <c r="C22" i="14"/>
  <c r="O25" i="14"/>
  <c r="E18" i="15"/>
  <c r="G10" i="14"/>
  <c r="E7" i="15"/>
  <c r="E8" i="15"/>
  <c r="E16" i="14"/>
  <c r="J31" i="14"/>
  <c r="C18" i="14"/>
  <c r="C24" i="14"/>
  <c r="I10" i="14"/>
  <c r="H29" i="14"/>
  <c r="I18" i="14"/>
  <c r="C13" i="14"/>
  <c r="K30" i="14"/>
  <c r="I12" i="14"/>
  <c r="E13" i="14"/>
  <c r="J30" i="14"/>
  <c r="I16" i="14"/>
  <c r="H31" i="14"/>
  <c r="I15" i="14"/>
  <c r="E15" i="14"/>
  <c r="C15" i="14"/>
  <c r="I22" i="14"/>
  <c r="H33" i="14"/>
  <c r="E19" i="14"/>
  <c r="J32" i="14"/>
  <c r="I24" i="14"/>
  <c r="O19" i="14"/>
  <c r="E21" i="14"/>
  <c r="E10" i="15"/>
  <c r="G25" i="15"/>
  <c r="O15" i="15"/>
  <c r="O25" i="15"/>
  <c r="O24" i="14"/>
  <c r="E12" i="15"/>
  <c r="E21" i="15"/>
  <c r="O9" i="14"/>
  <c r="I21" i="14"/>
  <c r="E25" i="15"/>
  <c r="H32" i="14"/>
  <c r="O8" i="14"/>
  <c r="H30" i="14"/>
  <c r="O7" i="14"/>
  <c r="O17" i="14"/>
  <c r="E17" i="15"/>
  <c r="G24" i="14"/>
  <c r="G21" i="14"/>
  <c r="G22" i="14"/>
  <c r="O14" i="14"/>
  <c r="E19" i="15"/>
  <c r="O13" i="14"/>
  <c r="G13" i="14"/>
  <c r="O12" i="14"/>
  <c r="I29" i="14"/>
  <c r="O11" i="14"/>
  <c r="E22" i="15"/>
  <c r="K33" i="14"/>
  <c r="O23" i="14"/>
  <c r="K31" i="14"/>
  <c r="O22" i="14"/>
  <c r="C10" i="14"/>
  <c r="E6" i="15"/>
  <c r="E24" i="14"/>
  <c r="E20" i="15"/>
  <c r="D39" i="15"/>
  <c r="E16" i="15"/>
  <c r="E9" i="15"/>
  <c r="I31" i="14"/>
  <c r="O10" i="14"/>
  <c r="O6" i="14"/>
  <c r="O18" i="14"/>
  <c r="J33" i="14"/>
  <c r="E24" i="15"/>
  <c r="D38" i="15"/>
  <c r="I33" i="14"/>
  <c r="E23" i="15"/>
  <c r="O15" i="14"/>
  <c r="I30" i="14"/>
  <c r="E11" i="15"/>
  <c r="D37" i="15"/>
  <c r="H37" i="15"/>
  <c r="J37" i="15"/>
  <c r="H17" i="15"/>
  <c r="J17" i="15"/>
  <c r="K29" i="14"/>
  <c r="O21" i="14"/>
  <c r="H27" i="15"/>
  <c r="J27" i="15"/>
  <c r="H22" i="15"/>
  <c r="H18" i="15"/>
  <c r="J18" i="15"/>
  <c r="H32" i="15"/>
  <c r="H28" i="15"/>
  <c r="J28" i="15"/>
  <c r="H38" i="15"/>
  <c r="J38" i="15"/>
  <c r="H42" i="15"/>
  <c r="D36" i="15"/>
  <c r="P17" i="15"/>
  <c r="R17" i="15"/>
  <c r="P27" i="15"/>
  <c r="R27" i="15"/>
  <c r="P42" i="15"/>
  <c r="D29" i="15"/>
  <c r="B54" i="15"/>
  <c r="C54" i="15"/>
  <c r="D30" i="15"/>
  <c r="P32" i="15"/>
  <c r="D40" i="15"/>
  <c r="P18" i="15"/>
  <c r="R18" i="15"/>
  <c r="D31" i="15"/>
  <c r="C55" i="15"/>
  <c r="D55" i="15"/>
  <c r="P37" i="15"/>
  <c r="R37" i="15"/>
  <c r="D28" i="15"/>
  <c r="B53" i="15"/>
  <c r="C53" i="15"/>
  <c r="P22" i="15"/>
  <c r="P28" i="15"/>
  <c r="R28" i="15"/>
  <c r="P38" i="15"/>
  <c r="R38" i="15"/>
  <c r="P39" i="15"/>
  <c r="R39" i="15"/>
  <c r="P30" i="14"/>
  <c r="P31" i="14"/>
  <c r="P25" i="14"/>
  <c r="R25" i="14"/>
  <c r="P24" i="14"/>
  <c r="R24" i="14"/>
  <c r="P23" i="14"/>
  <c r="R23" i="14"/>
  <c r="P22" i="14"/>
  <c r="R22" i="14"/>
  <c r="P20" i="14"/>
  <c r="R20" i="14"/>
  <c r="P19" i="14"/>
  <c r="R19" i="14"/>
  <c r="P18" i="14"/>
  <c r="R18" i="14"/>
  <c r="P29" i="15"/>
  <c r="R29" i="15"/>
  <c r="P19" i="15"/>
  <c r="R19" i="15"/>
  <c r="D53" i="15"/>
  <c r="P17" i="14"/>
  <c r="R17" i="14"/>
  <c r="P16" i="14"/>
  <c r="R16" i="14"/>
  <c r="P21" i="14"/>
  <c r="R21" i="14"/>
  <c r="H19" i="15"/>
  <c r="J19" i="15"/>
  <c r="H29" i="15"/>
  <c r="J29" i="15"/>
  <c r="H39" i="15"/>
  <c r="J39" i="15"/>
  <c r="N7" i="15"/>
  <c r="O7" i="15"/>
  <c r="P40" i="15"/>
  <c r="R40" i="15"/>
  <c r="S39" i="15"/>
  <c r="T39" i="15"/>
  <c r="H13" i="15"/>
  <c r="P8" i="14"/>
  <c r="R8" i="14"/>
  <c r="P7" i="14"/>
  <c r="R7" i="14"/>
  <c r="P14" i="14"/>
  <c r="R14" i="14"/>
  <c r="P12" i="14"/>
  <c r="R12" i="14"/>
  <c r="P6" i="14"/>
  <c r="R6" i="14"/>
  <c r="P11" i="14"/>
  <c r="R11" i="14"/>
  <c r="P10" i="14"/>
  <c r="R10" i="14"/>
  <c r="P9" i="14"/>
  <c r="R9" i="14"/>
  <c r="P13" i="14"/>
  <c r="R13" i="14"/>
  <c r="P15" i="14"/>
  <c r="R15" i="14"/>
  <c r="P30" i="15"/>
  <c r="R30" i="15"/>
  <c r="S28" i="15"/>
  <c r="T28" i="15"/>
  <c r="H20" i="15"/>
  <c r="J20" i="15"/>
  <c r="H30" i="15"/>
  <c r="J30" i="15"/>
  <c r="P20" i="15"/>
  <c r="R20" i="15"/>
  <c r="S19" i="15"/>
  <c r="T19" i="15"/>
  <c r="H10" i="15"/>
  <c r="S37" i="15"/>
  <c r="T37" i="15"/>
  <c r="S38" i="15"/>
  <c r="T38" i="15"/>
  <c r="K27" i="15"/>
  <c r="L27" i="15"/>
  <c r="K29" i="15"/>
  <c r="L29" i="15"/>
  <c r="H9" i="15"/>
  <c r="K28" i="15"/>
  <c r="L28" i="15"/>
  <c r="H40" i="15"/>
  <c r="J40" i="15"/>
  <c r="K39" i="15"/>
  <c r="L39" i="15"/>
  <c r="H11" i="15"/>
  <c r="K18" i="15"/>
  <c r="L18" i="15"/>
  <c r="K19" i="15"/>
  <c r="L19" i="15"/>
  <c r="H8" i="15"/>
  <c r="K17" i="15"/>
  <c r="L17" i="15"/>
  <c r="R26" i="14"/>
  <c r="S29" i="15"/>
  <c r="T29" i="15"/>
  <c r="H12" i="15"/>
  <c r="S27" i="15"/>
  <c r="T27" i="15"/>
  <c r="S17" i="15"/>
  <c r="T17" i="15"/>
  <c r="S18" i="15"/>
  <c r="T18" i="15"/>
  <c r="N8" i="15"/>
  <c r="O8" i="15"/>
  <c r="O9" i="15"/>
  <c r="J2" i="15"/>
  <c r="K37" i="15"/>
  <c r="L37" i="15"/>
  <c r="K38" i="15"/>
  <c r="L38" i="15"/>
</calcChain>
</file>

<file path=xl/sharedStrings.xml><?xml version="1.0" encoding="utf-8"?>
<sst xmlns="http://schemas.openxmlformats.org/spreadsheetml/2006/main" count="216" uniqueCount="120">
  <si>
    <t>15 minute spin</t>
  </si>
  <si>
    <t>4 minute spin</t>
  </si>
  <si>
    <t>"g" force</t>
  </si>
  <si>
    <t>Table 2.6.5  Matrix of Extractor RMC test conditions</t>
  </si>
  <si>
    <t>warm soak</t>
  </si>
  <si>
    <t>cold soak</t>
  </si>
  <si>
    <t>best fit</t>
  </si>
  <si>
    <t>A=</t>
  </si>
  <si>
    <t>B=</t>
  </si>
  <si>
    <r>
      <t>Δ</t>
    </r>
    <r>
      <rPr>
        <vertAlign val="superscript"/>
        <sz val="10"/>
        <rFont val="Arial"/>
        <family val="2"/>
      </rPr>
      <t>2</t>
    </r>
  </si>
  <si>
    <t>RPM for g's</t>
  </si>
  <si>
    <t>basket diameter</t>
  </si>
  <si>
    <t>g force</t>
  </si>
  <si>
    <t>Table 2.6.6.1 - Standard RMC Values (lot #3)</t>
  </si>
  <si>
    <t>Lot number</t>
  </si>
  <si>
    <t>Test</t>
  </si>
  <si>
    <t>C - 4-100</t>
  </si>
  <si>
    <t>W- 4-100</t>
  </si>
  <si>
    <t>C-15-100</t>
  </si>
  <si>
    <t>W-15-100</t>
  </si>
  <si>
    <t>C - 4-200</t>
  </si>
  <si>
    <t>W- 4-200</t>
  </si>
  <si>
    <t>C-15-200</t>
  </si>
  <si>
    <t>W-15-200</t>
  </si>
  <si>
    <t>C - 4-350</t>
  </si>
  <si>
    <t>W - 4-350</t>
  </si>
  <si>
    <t>C-15-350</t>
  </si>
  <si>
    <t>W-15-350</t>
  </si>
  <si>
    <t>SS</t>
  </si>
  <si>
    <t>df</t>
  </si>
  <si>
    <t>MS</t>
  </si>
  <si>
    <t>F</t>
  </si>
  <si>
    <t>P-value</t>
  </si>
  <si>
    <t>F crit</t>
  </si>
  <si>
    <t>Interaction</t>
  </si>
  <si>
    <t>Total</t>
  </si>
  <si>
    <t>Source of Variation</t>
  </si>
  <si>
    <t>speed</t>
  </si>
  <si>
    <t>lot</t>
  </si>
  <si>
    <t>Within (error)</t>
  </si>
  <si>
    <t>Test with 8.4 +/- 0.1 lb preconditioned test cloth.</t>
  </si>
  <si>
    <t>100 F</t>
  </si>
  <si>
    <t>60 F</t>
  </si>
  <si>
    <r>
      <t>RMS error=√( sum (Δ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 / ( n-2 )) =</t>
    </r>
  </si>
  <si>
    <t>Spreadsheet calculates least squares fit to standard RMC table, and RMS error of corrected data to standard.</t>
  </si>
  <si>
    <t>C - 4-500</t>
  </si>
  <si>
    <t>W - 4-500</t>
  </si>
  <si>
    <t>C-15-500</t>
  </si>
  <si>
    <t>W-15-500</t>
  </si>
  <si>
    <t>C - 4-650</t>
  </si>
  <si>
    <t>W - 4-650</t>
  </si>
  <si>
    <t>C-15-650</t>
  </si>
  <si>
    <t>W-15-650</t>
  </si>
  <si>
    <t>Slope</t>
  </si>
  <si>
    <t>Intercept</t>
  </si>
  <si>
    <t>RMS Error</t>
  </si>
  <si>
    <t>100 to 350 g</t>
  </si>
  <si>
    <t>This is with 100 through 650 G data</t>
  </si>
  <si>
    <t>100 to 500 g</t>
  </si>
  <si>
    <t>Speed</t>
  </si>
  <si>
    <t>Within</t>
  </si>
  <si>
    <t xml:space="preserve">Speed </t>
  </si>
  <si>
    <t>Lot</t>
  </si>
  <si>
    <t>R square</t>
  </si>
  <si>
    <t>100 through 650 G</t>
  </si>
  <si>
    <t>200 thorugh 650 G</t>
  </si>
  <si>
    <t>Speed Ranges</t>
  </si>
  <si>
    <t>100 through 350</t>
  </si>
  <si>
    <t>100 through 500</t>
  </si>
  <si>
    <t>100 through 650</t>
  </si>
  <si>
    <t>200 through 650</t>
  </si>
  <si>
    <t>lot*speed</t>
  </si>
  <si>
    <t>P values</t>
  </si>
  <si>
    <t>Note: Please do not alter any cells in this worksheet.</t>
  </si>
  <si>
    <t xml:space="preserve">Speed*Lot interaction </t>
  </si>
  <si>
    <t xml:space="preserve">RMS Error </t>
  </si>
  <si>
    <t>Location</t>
  </si>
  <si>
    <t>Tested by:</t>
  </si>
  <si>
    <t>Date:</t>
  </si>
  <si>
    <t>Note - - If  P-value &gt; 0.10; interaction is NOT significant.</t>
  </si>
  <si>
    <t>Criteria for approving lot based on correction coefficient data with 100 through 650 G spin speeds</t>
  </si>
  <si>
    <t>Lot 3</t>
  </si>
  <si>
    <t>Accpetance criteria</t>
  </si>
  <si>
    <t>2.6.6.2</t>
  </si>
  <si>
    <t>J1  reference</t>
  </si>
  <si>
    <t>P value &gt; 0.10</t>
  </si>
  <si>
    <t>RMS Error &lt; 2%</t>
  </si>
  <si>
    <t>Data</t>
  </si>
  <si>
    <t>Result</t>
  </si>
  <si>
    <t>Dry Wt</t>
  </si>
  <si>
    <t>Wet Wt</t>
  </si>
  <si>
    <t>4 min</t>
  </si>
  <si>
    <t>15 min</t>
  </si>
  <si>
    <t>Batch #</t>
  </si>
  <si>
    <t>100 G</t>
  </si>
  <si>
    <t>200 G</t>
  </si>
  <si>
    <t>350 G</t>
  </si>
  <si>
    <t>500 G</t>
  </si>
  <si>
    <t>650 G</t>
  </si>
  <si>
    <t>% RMC</t>
  </si>
  <si>
    <r>
      <t>60</t>
    </r>
    <r>
      <rPr>
        <sz val="10"/>
        <color indexed="8"/>
        <rFont val="Arial"/>
        <family val="2"/>
      </rPr>
      <t>⁰F - Cold Bath</t>
    </r>
  </si>
  <si>
    <r>
      <t>100</t>
    </r>
    <r>
      <rPr>
        <sz val="10"/>
        <color indexed="8"/>
        <rFont val="Arial"/>
        <family val="2"/>
      </rPr>
      <t>⁰F - Warm Bath</t>
    </r>
  </si>
  <si>
    <t>Condition Point</t>
  </si>
  <si>
    <t>RMC averages by speed</t>
  </si>
  <si>
    <t>Ave RMC STDV</t>
  </si>
  <si>
    <t>200 to 500 g</t>
  </si>
  <si>
    <t>350 to 650 g</t>
  </si>
  <si>
    <t>350 through 650</t>
  </si>
  <si>
    <t>200 through 500</t>
  </si>
  <si>
    <t>"g" force"</t>
  </si>
  <si>
    <t>Ave RMC measured</t>
  </si>
  <si>
    <t>Ave RMC corrected</t>
  </si>
  <si>
    <t>Coeffiecents of the Least Squares Fit</t>
  </si>
  <si>
    <t>Lot 3 RMC standard</t>
  </si>
  <si>
    <t>*interaction is reported as the smallest p-value found.</t>
  </si>
  <si>
    <t>Standard Lot 3</t>
  </si>
  <si>
    <t>Table 2.6.5 - Ave RMC Values (lot #18)</t>
  </si>
  <si>
    <t>Ami Huff</t>
  </si>
  <si>
    <t>Whirlpool SJTC</t>
  </si>
  <si>
    <t>8-2-11 to 8-17-11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</si>
</sst>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%"/>
    <numFmt numFmtId="167" formatCode="0.00000"/>
    <numFmt numFmtId="168" formatCode="0.000%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8" fillId="0" borderId="0" xfId="0" applyFont="1" applyAlignment="1">
      <alignment horizontal="center"/>
    </xf>
    <xf numFmtId="0" fontId="0" fillId="0" borderId="0" xfId="0" applyFill="1" applyBorder="1" applyAlignment="1"/>
    <xf numFmtId="0" fontId="0" fillId="0" borderId="11" xfId="0" applyFill="1" applyBorder="1" applyAlignment="1"/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166" fontId="0" fillId="0" borderId="1" xfId="1" applyNumberFormat="1" applyFont="1" applyBorder="1" applyProtection="1"/>
    <xf numFmtId="0" fontId="0" fillId="0" borderId="1" xfId="0" applyBorder="1" applyAlignment="1" applyProtection="1">
      <alignment wrapText="1"/>
    </xf>
    <xf numFmtId="168" fontId="0" fillId="0" borderId="0" xfId="1" applyNumberFormat="1" applyFont="1" applyProtection="1"/>
    <xf numFmtId="0" fontId="6" fillId="2" borderId="12" xfId="0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right"/>
    </xf>
    <xf numFmtId="165" fontId="6" fillId="2" borderId="15" xfId="0" applyNumberFormat="1" applyFont="1" applyFill="1" applyBorder="1" applyAlignment="1" applyProtection="1">
      <alignment horizontal="left"/>
    </xf>
    <xf numFmtId="0" fontId="6" fillId="2" borderId="16" xfId="0" applyFont="1" applyFill="1" applyBorder="1" applyAlignment="1" applyProtection="1">
      <alignment horizontal="right"/>
    </xf>
    <xf numFmtId="165" fontId="6" fillId="2" borderId="17" xfId="0" applyNumberFormat="1" applyFont="1" applyFill="1" applyBorder="1" applyAlignment="1" applyProtection="1">
      <alignment horizontal="left"/>
    </xf>
    <xf numFmtId="2" fontId="0" fillId="0" borderId="0" xfId="0" applyNumberFormat="1" applyProtection="1"/>
    <xf numFmtId="2" fontId="0" fillId="0" borderId="0" xfId="0" applyNumberFormat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Protection="1"/>
    <xf numFmtId="10" fontId="0" fillId="0" borderId="1" xfId="0" applyNumberFormat="1" applyBorder="1" applyProtection="1"/>
    <xf numFmtId="1" fontId="0" fillId="0" borderId="0" xfId="0" applyNumberForma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10" fillId="0" borderId="0" xfId="0" applyFont="1" applyProtection="1"/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0" xfId="0" applyFont="1"/>
    <xf numFmtId="10" fontId="2" fillId="0" borderId="7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7" xfId="0" applyBorder="1" applyProtection="1"/>
    <xf numFmtId="0" fontId="0" fillId="0" borderId="2" xfId="0" applyBorder="1" applyProtection="1"/>
    <xf numFmtId="0" fontId="0" fillId="0" borderId="28" xfId="0" applyBorder="1" applyProtection="1"/>
    <xf numFmtId="166" fontId="0" fillId="0" borderId="29" xfId="0" applyNumberFormat="1" applyBorder="1" applyProtection="1"/>
    <xf numFmtId="166" fontId="0" fillId="0" borderId="30" xfId="0" applyNumberFormat="1" applyBorder="1" applyProtection="1"/>
    <xf numFmtId="166" fontId="0" fillId="0" borderId="31" xfId="0" applyNumberFormat="1" applyBorder="1" applyProtection="1"/>
    <xf numFmtId="166" fontId="4" fillId="0" borderId="30" xfId="0" applyNumberFormat="1" applyFont="1" applyBorder="1" applyProtection="1"/>
    <xf numFmtId="0" fontId="0" fillId="0" borderId="32" xfId="0" applyBorder="1" applyProtection="1"/>
    <xf numFmtId="166" fontId="0" fillId="0" borderId="33" xfId="0" applyNumberFormat="1" applyBorder="1" applyProtection="1"/>
    <xf numFmtId="0" fontId="4" fillId="0" borderId="18" xfId="0" applyFont="1" applyBorder="1" applyAlignment="1" applyProtection="1">
      <alignment wrapText="1"/>
    </xf>
    <xf numFmtId="0" fontId="0" fillId="0" borderId="34" xfId="0" applyBorder="1" applyAlignment="1" applyProtection="1">
      <alignment horizontal="center" wrapText="1"/>
    </xf>
    <xf numFmtId="166" fontId="0" fillId="0" borderId="21" xfId="1" applyNumberFormat="1" applyFont="1" applyBorder="1" applyProtection="1"/>
    <xf numFmtId="166" fontId="0" fillId="0" borderId="22" xfId="1" applyNumberFormat="1" applyFont="1" applyBorder="1" applyProtection="1"/>
    <xf numFmtId="166" fontId="0" fillId="0" borderId="23" xfId="1" applyNumberFormat="1" applyFont="1" applyBorder="1" applyProtection="1"/>
    <xf numFmtId="166" fontId="0" fillId="0" borderId="35" xfId="1" applyNumberFormat="1" applyFont="1" applyBorder="1" applyProtection="1"/>
    <xf numFmtId="166" fontId="0" fillId="0" borderId="36" xfId="1" applyNumberFormat="1" applyFont="1" applyBorder="1" applyProtection="1"/>
    <xf numFmtId="166" fontId="0" fillId="0" borderId="37" xfId="1" applyNumberFormat="1" applyFont="1" applyBorder="1" applyProtection="1"/>
    <xf numFmtId="166" fontId="0" fillId="0" borderId="38" xfId="1" applyNumberFormat="1" applyFont="1" applyBorder="1" applyProtection="1"/>
    <xf numFmtId="166" fontId="0" fillId="0" borderId="39" xfId="1" applyNumberFormat="1" applyFont="1" applyBorder="1" applyProtection="1"/>
    <xf numFmtId="166" fontId="0" fillId="0" borderId="40" xfId="1" applyNumberFormat="1" applyFont="1" applyBorder="1" applyProtection="1"/>
    <xf numFmtId="168" fontId="0" fillId="0" borderId="21" xfId="1" applyNumberFormat="1" applyFont="1" applyBorder="1" applyProtection="1"/>
    <xf numFmtId="168" fontId="0" fillId="0" borderId="22" xfId="1" applyNumberFormat="1" applyFont="1" applyBorder="1" applyProtection="1"/>
    <xf numFmtId="168" fontId="0" fillId="0" borderId="23" xfId="1" applyNumberFormat="1" applyFont="1" applyBorder="1" applyProtection="1"/>
    <xf numFmtId="168" fontId="0" fillId="0" borderId="36" xfId="1" applyNumberFormat="1" applyFont="1" applyBorder="1" applyProtection="1"/>
    <xf numFmtId="168" fontId="0" fillId="0" borderId="35" xfId="1" applyNumberFormat="1" applyFont="1" applyBorder="1" applyProtection="1"/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3" fillId="0" borderId="0" xfId="0" applyFont="1"/>
    <xf numFmtId="0" fontId="14" fillId="0" borderId="37" xfId="0" applyFont="1" applyFill="1" applyBorder="1" applyAlignment="1">
      <alignment horizontal="right"/>
    </xf>
    <xf numFmtId="0" fontId="14" fillId="0" borderId="37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8" fillId="0" borderId="0" xfId="0" applyFont="1"/>
    <xf numFmtId="0" fontId="13" fillId="4" borderId="0" xfId="0" applyFont="1" applyFill="1"/>
    <xf numFmtId="0" fontId="13" fillId="4" borderId="0" xfId="0" applyFont="1" applyFill="1" applyBorder="1" applyAlignment="1"/>
    <xf numFmtId="0" fontId="0" fillId="4" borderId="0" xfId="0" applyFill="1"/>
    <xf numFmtId="0" fontId="19" fillId="4" borderId="0" xfId="0" applyFont="1" applyFill="1" applyBorder="1" applyAlignment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165" fontId="0" fillId="0" borderId="0" xfId="0" applyNumberFormat="1"/>
    <xf numFmtId="10" fontId="0" fillId="0" borderId="0" xfId="0" applyNumberFormat="1"/>
    <xf numFmtId="166" fontId="17" fillId="0" borderId="42" xfId="0" applyNumberFormat="1" applyFont="1" applyBorder="1" applyAlignment="1">
      <alignment horizontal="center"/>
    </xf>
    <xf numFmtId="166" fontId="17" fillId="0" borderId="4" xfId="0" applyNumberFormat="1" applyFont="1" applyBorder="1" applyAlignment="1">
      <alignment horizontal="center"/>
    </xf>
    <xf numFmtId="166" fontId="17" fillId="0" borderId="6" xfId="0" applyNumberFormat="1" applyFont="1" applyBorder="1" applyAlignment="1">
      <alignment horizontal="center"/>
    </xf>
    <xf numFmtId="166" fontId="17" fillId="0" borderId="8" xfId="0" applyNumberFormat="1" applyFont="1" applyBorder="1" applyAlignment="1">
      <alignment horizontal="center"/>
    </xf>
    <xf numFmtId="166" fontId="17" fillId="0" borderId="9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11" xfId="0" applyFont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0" fillId="0" borderId="43" xfId="0" applyFill="1" applyBorder="1" applyAlignment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164" fontId="17" fillId="0" borderId="37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0" borderId="38" xfId="0" applyNumberFormat="1" applyFont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44" xfId="0" applyNumberFormat="1" applyFont="1" applyBorder="1" applyAlignment="1">
      <alignment horizontal="center"/>
    </xf>
    <xf numFmtId="164" fontId="17" fillId="0" borderId="45" xfId="0" applyNumberFormat="1" applyFont="1" applyFill="1" applyBorder="1" applyAlignment="1">
      <alignment horizontal="center"/>
    </xf>
    <xf numFmtId="164" fontId="17" fillId="0" borderId="5" xfId="0" applyNumberFormat="1" applyFont="1" applyFill="1" applyBorder="1" applyAlignment="1">
      <alignment horizontal="center"/>
    </xf>
    <xf numFmtId="164" fontId="17" fillId="0" borderId="39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164" fontId="17" fillId="0" borderId="45" xfId="0" applyNumberFormat="1" applyFont="1" applyBorder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164" fontId="17" fillId="0" borderId="38" xfId="0" applyNumberFormat="1" applyFont="1" applyFill="1" applyBorder="1" applyAlignment="1">
      <alignment horizontal="center"/>
    </xf>
    <xf numFmtId="164" fontId="17" fillId="0" borderId="44" xfId="0" applyNumberFormat="1" applyFont="1" applyFill="1" applyBorder="1" applyAlignment="1">
      <alignment horizontal="center"/>
    </xf>
    <xf numFmtId="164" fontId="17" fillId="0" borderId="37" xfId="0" applyNumberFormat="1" applyFont="1" applyFill="1" applyBorder="1" applyAlignment="1">
      <alignment horizontal="center"/>
    </xf>
    <xf numFmtId="164" fontId="17" fillId="0" borderId="39" xfId="0" applyNumberFormat="1" applyFont="1" applyFill="1" applyBorder="1" applyAlignment="1">
      <alignment horizontal="center"/>
    </xf>
    <xf numFmtId="164" fontId="17" fillId="0" borderId="9" xfId="0" applyNumberFormat="1" applyFont="1" applyFill="1" applyBorder="1" applyAlignment="1">
      <alignment horizontal="center"/>
    </xf>
    <xf numFmtId="0" fontId="4" fillId="0" borderId="43" xfId="0" applyFont="1" applyBorder="1"/>
    <xf numFmtId="0" fontId="4" fillId="0" borderId="46" xfId="0" applyFont="1" applyBorder="1" applyAlignment="1" applyProtection="1">
      <alignment wrapText="1"/>
    </xf>
    <xf numFmtId="166" fontId="9" fillId="0" borderId="34" xfId="0" applyNumberFormat="1" applyFont="1" applyFill="1" applyBorder="1" applyAlignment="1">
      <alignment horizontal="center"/>
    </xf>
    <xf numFmtId="166" fontId="9" fillId="0" borderId="46" xfId="0" applyNumberFormat="1" applyFont="1" applyBorder="1" applyAlignment="1">
      <alignment horizontal="center"/>
    </xf>
    <xf numFmtId="166" fontId="9" fillId="0" borderId="47" xfId="0" quotePrefix="1" applyNumberFormat="1" applyFont="1" applyFill="1" applyBorder="1" applyAlignment="1">
      <alignment horizontal="center"/>
    </xf>
    <xf numFmtId="166" fontId="9" fillId="0" borderId="48" xfId="0" applyNumberFormat="1" applyFont="1" applyBorder="1" applyAlignment="1">
      <alignment horizontal="center"/>
    </xf>
    <xf numFmtId="166" fontId="9" fillId="0" borderId="47" xfId="0" applyNumberFormat="1" applyFont="1" applyBorder="1" applyAlignment="1">
      <alignment horizontal="center"/>
    </xf>
    <xf numFmtId="166" fontId="9" fillId="0" borderId="49" xfId="0" applyNumberFormat="1" applyFont="1" applyBorder="1" applyAlignment="1">
      <alignment horizontal="center"/>
    </xf>
    <xf numFmtId="166" fontId="9" fillId="0" borderId="34" xfId="0" applyNumberFormat="1" applyFont="1" applyBorder="1" applyAlignment="1">
      <alignment horizontal="center"/>
    </xf>
    <xf numFmtId="166" fontId="9" fillId="0" borderId="50" xfId="0" applyNumberFormat="1" applyFont="1" applyBorder="1" applyAlignment="1">
      <alignment horizontal="center"/>
    </xf>
    <xf numFmtId="166" fontId="9" fillId="0" borderId="51" xfId="0" applyNumberFormat="1" applyFont="1" applyBorder="1" applyAlignment="1">
      <alignment horizontal="center" vertical="center"/>
    </xf>
    <xf numFmtId="166" fontId="9" fillId="0" borderId="46" xfId="0" applyNumberFormat="1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  <xf numFmtId="166" fontId="9" fillId="0" borderId="48" xfId="0" applyNumberFormat="1" applyFont="1" applyBorder="1" applyAlignment="1">
      <alignment horizontal="center" vertical="center"/>
    </xf>
    <xf numFmtId="166" fontId="9" fillId="0" borderId="11" xfId="0" applyNumberFormat="1" applyFont="1" applyBorder="1" applyAlignment="1">
      <alignment horizontal="center" vertical="center"/>
    </xf>
    <xf numFmtId="166" fontId="9" fillId="0" borderId="49" xfId="0" applyNumberFormat="1" applyFont="1" applyBorder="1" applyAlignment="1">
      <alignment horizontal="center" vertical="center"/>
    </xf>
    <xf numFmtId="166" fontId="9" fillId="0" borderId="51" xfId="0" applyNumberFormat="1" applyFont="1" applyBorder="1" applyAlignment="1">
      <alignment horizontal="center"/>
    </xf>
    <xf numFmtId="166" fontId="9" fillId="0" borderId="1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Fill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ont="1" applyFill="1" applyBorder="1"/>
    <xf numFmtId="0" fontId="8" fillId="0" borderId="0" xfId="0" applyFont="1" applyAlignment="1">
      <alignment horizontal="center" wrapText="1"/>
    </xf>
    <xf numFmtId="164" fontId="0" fillId="0" borderId="0" xfId="0" applyNumberFormat="1"/>
    <xf numFmtId="0" fontId="4" fillId="0" borderId="0" xfId="0" applyFont="1" applyFill="1"/>
    <xf numFmtId="164" fontId="4" fillId="0" borderId="0" xfId="0" applyNumberFormat="1" applyFont="1"/>
    <xf numFmtId="2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164" fontId="4" fillId="0" borderId="0" xfId="0" applyNumberFormat="1" applyFont="1" applyBorder="1"/>
    <xf numFmtId="164" fontId="0" fillId="0" borderId="0" xfId="0" applyNumberFormat="1" applyBorder="1"/>
    <xf numFmtId="0" fontId="17" fillId="0" borderId="4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52" xfId="0" applyFont="1" applyBorder="1" applyAlignment="1">
      <alignment horizontal="center" vertical="center" textRotation="90"/>
    </xf>
    <xf numFmtId="14" fontId="4" fillId="3" borderId="38" xfId="0" applyNumberFormat="1" applyFont="1" applyFill="1" applyBorder="1" applyAlignment="1" applyProtection="1">
      <alignment horizontal="left" shrinkToFit="1"/>
      <protection locked="0"/>
    </xf>
    <xf numFmtId="0" fontId="4" fillId="3" borderId="38" xfId="0" applyFont="1" applyFill="1" applyBorder="1" applyAlignment="1" applyProtection="1">
      <alignment horizontal="left" shrinkToFit="1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3" borderId="40" xfId="0" applyFont="1" applyFill="1" applyBorder="1" applyAlignment="1" applyProtection="1">
      <alignment horizontal="left"/>
      <protection locked="0"/>
    </xf>
    <xf numFmtId="0" fontId="4" fillId="0" borderId="24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59" xfId="0" applyBorder="1" applyAlignment="1" applyProtection="1">
      <alignment horizontal="center" wrapText="1"/>
    </xf>
    <xf numFmtId="0" fontId="4" fillId="0" borderId="18" xfId="0" applyFont="1" applyBorder="1" applyAlignment="1" applyProtection="1">
      <alignment horizontal="center" wrapText="1"/>
    </xf>
    <xf numFmtId="0" fontId="0" fillId="0" borderId="51" xfId="0" applyBorder="1" applyAlignment="1" applyProtection="1">
      <alignment horizontal="center" wrapText="1"/>
    </xf>
    <xf numFmtId="0" fontId="0" fillId="0" borderId="46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7" xfId="0" applyFont="1" applyBorder="1" applyAlignment="1">
      <alignment horizontal="center" wrapText="1"/>
    </xf>
    <xf numFmtId="0" fontId="4" fillId="0" borderId="62" xfId="0" applyFont="1" applyBorder="1" applyAlignment="1">
      <alignment horizontal="center" wrapText="1"/>
    </xf>
    <xf numFmtId="0" fontId="4" fillId="0" borderId="6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6" fontId="17" fillId="0" borderId="57" xfId="0" applyNumberFormat="1" applyFont="1" applyBorder="1" applyAlignment="1">
      <alignment horizontal="center" vertical="center"/>
    </xf>
    <xf numFmtId="166" fontId="17" fillId="0" borderId="65" xfId="0" applyNumberFormat="1" applyFont="1" applyBorder="1" applyAlignment="1">
      <alignment horizontal="center" vertical="center"/>
    </xf>
    <xf numFmtId="166" fontId="17" fillId="0" borderId="66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4" fillId="3" borderId="40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1">
    <dxf>
      <fill>
        <patternFill>
          <bgColor indexed="5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Interaction Plot - Lot  </a:t>
            </a:r>
          </a:p>
        </c:rich>
      </c:tx>
      <c:layout>
        <c:manualLayout>
          <c:xMode val="edge"/>
          <c:yMode val="edge"/>
          <c:x val="0.17685102783098"/>
          <c:y val="6.8563718723681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737920937042"/>
          <c:y val="0.22112282488534199"/>
          <c:w val="0.67935578330893098"/>
          <c:h val="0.551156891878390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Analysis!$D$5</c:f>
              <c:strCache>
                <c:ptCount val="1"/>
                <c:pt idx="0">
                  <c:v>Standard Lot 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Analysis!$B$36:$B$40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350</c:v>
                </c:pt>
                <c:pt idx="3">
                  <c:v>500</c:v>
                </c:pt>
                <c:pt idx="4">
                  <c:v>650</c:v>
                </c:pt>
              </c:numCache>
            </c:numRef>
          </c:xVal>
          <c:yVal>
            <c:numRef>
              <c:f>Analysis!$C$36:$C$40</c:f>
              <c:numCache>
                <c:formatCode>0.000</c:formatCode>
                <c:ptCount val="5"/>
                <c:pt idx="0">
                  <c:v>0.49575000000000002</c:v>
                </c:pt>
                <c:pt idx="1">
                  <c:v>0.39274999999999999</c:v>
                </c:pt>
                <c:pt idx="2">
                  <c:v>0.32300000000000001</c:v>
                </c:pt>
                <c:pt idx="3">
                  <c:v>0.27100000000000002</c:v>
                </c:pt>
                <c:pt idx="4">
                  <c:v>0.25375000000000003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Analysis!$E$5</c:f>
              <c:strCache>
                <c:ptCount val="1"/>
                <c:pt idx="0">
                  <c:v>Uncorrected Lot 20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Analysis!$B$36:$B$40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350</c:v>
                </c:pt>
                <c:pt idx="3">
                  <c:v>500</c:v>
                </c:pt>
                <c:pt idx="4">
                  <c:v>650</c:v>
                </c:pt>
              </c:numCache>
            </c:numRef>
          </c:xVal>
          <c:yVal>
            <c:numRef>
              <c:f>Analysis!$D$36:$D$40</c:f>
              <c:numCache>
                <c:formatCode>0.000</c:formatCode>
                <c:ptCount val="5"/>
                <c:pt idx="0">
                  <c:v>0.5775918101089027</c:v>
                </c:pt>
                <c:pt idx="1">
                  <c:v>0.44228508436668362</c:v>
                </c:pt>
                <c:pt idx="2">
                  <c:v>0.35266783685333025</c:v>
                </c:pt>
                <c:pt idx="3">
                  <c:v>0.31073050553951265</c:v>
                </c:pt>
                <c:pt idx="4">
                  <c:v>0.28597114876469809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304064"/>
        <c:axId val="151310720"/>
      </c:scatterChart>
      <c:valAx>
        <c:axId val="151304064"/>
        <c:scaling>
          <c:orientation val="minMax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spin speed</a:t>
                </a:r>
              </a:p>
            </c:rich>
          </c:tx>
          <c:layout>
            <c:manualLayout>
              <c:xMode val="edge"/>
              <c:yMode val="edge"/>
              <c:x val="0.39549179015248198"/>
              <c:y val="0.874590214117350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310720"/>
        <c:crosses val="autoZero"/>
        <c:crossBetween val="midCat"/>
      </c:valAx>
      <c:valAx>
        <c:axId val="151310720"/>
        <c:scaling>
          <c:orientation val="minMax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RMC</a:t>
                </a:r>
              </a:p>
            </c:rich>
          </c:tx>
          <c:layout>
            <c:manualLayout>
              <c:xMode val="edge"/>
              <c:yMode val="edge"/>
              <c:x val="3.2786951099410697E-2"/>
              <c:y val="0.4422455518877019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3040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558818340437902"/>
          <c:y val="0.39592755590707501"/>
          <c:w val="0.97647053586657295"/>
          <c:h val="0.55656095229077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RMC Least Squares Fit for Lot 	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Analysis!$E$6:$E$25</c:f>
              <c:numCache>
                <c:formatCode>0.0%</c:formatCode>
                <c:ptCount val="20"/>
                <c:pt idx="0">
                  <c:v>0.63010564709435091</c:v>
                </c:pt>
                <c:pt idx="1">
                  <c:v>0.58984532774663556</c:v>
                </c:pt>
                <c:pt idx="2">
                  <c:v>0.56146145933601332</c:v>
                </c:pt>
                <c:pt idx="3">
                  <c:v>0.52895480625861124</c:v>
                </c:pt>
                <c:pt idx="4">
                  <c:v>0.49008479134816824</c:v>
                </c:pt>
                <c:pt idx="5">
                  <c:v>0.45378847932355654</c:v>
                </c:pt>
                <c:pt idx="6">
                  <c:v>0.42086447539776906</c:v>
                </c:pt>
                <c:pt idx="7">
                  <c:v>0.40440259139724066</c:v>
                </c:pt>
                <c:pt idx="8">
                  <c:v>0.39527914614121507</c:v>
                </c:pt>
                <c:pt idx="9">
                  <c:v>0.3657821848517448</c:v>
                </c:pt>
                <c:pt idx="10">
                  <c:v>0.33009385085782228</c:v>
                </c:pt>
                <c:pt idx="11">
                  <c:v>0.31951616556253892</c:v>
                </c:pt>
                <c:pt idx="12">
                  <c:v>0.34867197969159913</c:v>
                </c:pt>
                <c:pt idx="13">
                  <c:v>0.31859723873695334</c:v>
                </c:pt>
                <c:pt idx="14">
                  <c:v>0.29452701810014537</c:v>
                </c:pt>
                <c:pt idx="15">
                  <c:v>0.28112578562935281</c:v>
                </c:pt>
                <c:pt idx="16">
                  <c:v>0.31832616122152385</c:v>
                </c:pt>
                <c:pt idx="17">
                  <c:v>0.29829402827321966</c:v>
                </c:pt>
                <c:pt idx="18">
                  <c:v>0.26823957684540317</c:v>
                </c:pt>
                <c:pt idx="19">
                  <c:v>0.25902482871864557</c:v>
                </c:pt>
              </c:numCache>
            </c:numRef>
          </c:xVal>
          <c:yVal>
            <c:numRef>
              <c:f>Analysis!$D$6:$D$25</c:f>
              <c:numCache>
                <c:formatCode>0.0%</c:formatCode>
                <c:ptCount val="20"/>
                <c:pt idx="0">
                  <c:v>0.52800000000000002</c:v>
                </c:pt>
                <c:pt idx="1">
                  <c:v>0.499</c:v>
                </c:pt>
                <c:pt idx="2">
                  <c:v>0.497</c:v>
                </c:pt>
                <c:pt idx="3">
                  <c:v>0.45900000000000002</c:v>
                </c:pt>
                <c:pt idx="4">
                  <c:v>0.43099999999999999</c:v>
                </c:pt>
                <c:pt idx="5">
                  <c:v>0.40400000000000003</c:v>
                </c:pt>
                <c:pt idx="6">
                  <c:v>0.379</c:v>
                </c:pt>
                <c:pt idx="7">
                  <c:v>0.35699999999999998</c:v>
                </c:pt>
                <c:pt idx="8">
                  <c:v>0.35799999999999998</c:v>
                </c:pt>
                <c:pt idx="9">
                  <c:v>0.33100000000000002</c:v>
                </c:pt>
                <c:pt idx="10">
                  <c:v>0.307</c:v>
                </c:pt>
                <c:pt idx="11">
                  <c:v>0.29599999999999999</c:v>
                </c:pt>
                <c:pt idx="12">
                  <c:v>0.3</c:v>
                </c:pt>
                <c:pt idx="13">
                  <c:v>0.28699999999999998</c:v>
                </c:pt>
                <c:pt idx="14">
                  <c:v>0.255</c:v>
                </c:pt>
                <c:pt idx="15">
                  <c:v>0.24199999999999999</c:v>
                </c:pt>
                <c:pt idx="16">
                  <c:v>0.28000000000000003</c:v>
                </c:pt>
                <c:pt idx="17">
                  <c:v>0.26400000000000001</c:v>
                </c:pt>
                <c:pt idx="18">
                  <c:v>0.24099999999999999</c:v>
                </c:pt>
                <c:pt idx="19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443520"/>
        <c:axId val="152482560"/>
      </c:scatterChart>
      <c:valAx>
        <c:axId val="152443520"/>
        <c:scaling>
          <c:orientation val="minMax"/>
          <c:min val="0.25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Measured RMC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482560"/>
        <c:crosses val="autoZero"/>
        <c:crossBetween val="midCat"/>
      </c:valAx>
      <c:valAx>
        <c:axId val="152482560"/>
        <c:scaling>
          <c:orientation val="minMax"/>
          <c:max val="0.6"/>
          <c:min val="0.2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RMC Standard Lot 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4435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0.58002</cdr:x>
      <cdr:y>0.04893</cdr:y>
    </cdr:from>
    <cdr:to>
      <cdr:x>0.6381</cdr:x>
      <cdr:y>0.13517</cdr:y>
    </cdr:to>
    <cdr:sp macro="" textlink="'Correlation Raw Data'!$B$20">
      <cdr:nvSpPr>
        <cdr:cNvPr id="1740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5953" y="347548"/>
          <a:ext cx="504216" cy="612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F6A89AD-3D9D-4FBD-8CBD-D2C8519E5CBD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</a:t>
          </a:fld>
          <a:endParaRPr lang="en-US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0.60067</cdr:x>
      <cdr:y>0.00762</cdr:y>
    </cdr:from>
    <cdr:to>
      <cdr:x>0.65851</cdr:x>
      <cdr:y>0.0564</cdr:y>
    </cdr:to>
    <cdr:sp macro="" textlink="'Correlation Raw Data'!$B$20">
      <cdr:nvSpPr>
        <cdr:cNvPr id="2" name="TextBox 1"/>
        <cdr:cNvSpPr txBox="1"/>
      </cdr:nvSpPr>
      <cdr:spPr>
        <a:xfrm xmlns:a="http://schemas.openxmlformats.org/drawingml/2006/main">
          <a:off x="5194976" y="48047"/>
          <a:ext cx="500241" cy="307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A2040DC-BEFB-40A8-B286-0F5FC61FB307}" type="TxLink">
            <a:rPr lang="en-US" sz="1800" b="0" i="0" u="none" strike="noStrike">
              <a:solidFill>
                <a:srgbClr val="000000"/>
              </a:solidFill>
              <a:latin typeface="+mn-lt"/>
              <a:cs typeface="Arial" pitchFamily="34" charset="0"/>
            </a:rPr>
            <a:pPr/>
            <a:t>20</a:t>
          </a:fld>
          <a:endParaRPr lang="en-US" sz="1800"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0.78568</cdr:x>
      <cdr:y>0.08639</cdr:y>
    </cdr:from>
    <cdr:to>
      <cdr:x>0.85748</cdr:x>
      <cdr:y>0.14764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802197" y="548409"/>
          <a:ext cx="625379" cy="394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/>
            <a:t>R</a:t>
          </a:r>
          <a:r>
            <a:rPr lang="en-US" sz="1800" baseline="30000"/>
            <a:t>2</a:t>
          </a:r>
          <a:r>
            <a:rPr lang="en-US" sz="1800"/>
            <a:t>=</a:t>
          </a:r>
        </a:p>
      </cdr:txBody>
    </cdr:sp>
  </cdr:relSizeAnchor>
  <cdr:relSizeAnchor xmlns:cdr="http://schemas.openxmlformats.org/drawingml/2006/chartDrawing">
    <cdr:from>
      <cdr:x>0.74119</cdr:x>
      <cdr:y>0.03988</cdr:y>
    </cdr:from>
    <cdr:to>
      <cdr:x>0.9718</cdr:x>
      <cdr:y>0.11358</cdr:y>
    </cdr:to>
    <cdr:sp macro="" textlink="Analysis!$D$53">
      <cdr:nvSpPr>
        <cdr:cNvPr id="5" name="TextBox 4"/>
        <cdr:cNvSpPr txBox="1"/>
      </cdr:nvSpPr>
      <cdr:spPr>
        <a:xfrm xmlns:a="http://schemas.openxmlformats.org/drawingml/2006/main">
          <a:off x="6417349" y="250151"/>
          <a:ext cx="2001212" cy="471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1886EEF-A1E8-4D5B-BCB5-11A1263E02C7}" type="TxLink">
            <a:rPr lang="en-US" sz="1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y=0.828x+0.0211</a:t>
          </a:fld>
          <a:endParaRPr lang="en-US" sz="1800"/>
        </a:p>
      </cdr:txBody>
    </cdr:sp>
  </cdr:relSizeAnchor>
  <cdr:relSizeAnchor xmlns:cdr="http://schemas.openxmlformats.org/drawingml/2006/chartDrawing">
    <cdr:from>
      <cdr:x>0.83882</cdr:x>
      <cdr:y>0.08639</cdr:y>
    </cdr:from>
    <cdr:to>
      <cdr:x>0.95289</cdr:x>
      <cdr:y>0.14764</cdr:y>
    </cdr:to>
    <cdr:sp macro="" textlink="Analysis!$C$55">
      <cdr:nvSpPr>
        <cdr:cNvPr id="6" name="TextBox 1"/>
        <cdr:cNvSpPr txBox="1"/>
      </cdr:nvSpPr>
      <cdr:spPr>
        <a:xfrm xmlns:a="http://schemas.openxmlformats.org/drawingml/2006/main">
          <a:off x="7264015" y="548409"/>
          <a:ext cx="990985" cy="394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E6B95C01-1C87-45B0-BDC6-59B2260D748E}" type="TxLink">
            <a:rPr lang="en-US" sz="1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99.15%</a:t>
          </a:fld>
          <a:endParaRPr lang="en-US" sz="1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C4:F21"/>
  <sheetViews>
    <sheetView workbookViewId="0">
      <selection activeCell="C4" sqref="C4"/>
    </sheetView>
  </sheetViews>
  <sheetFormatPr defaultColWidth="8.85546875" defaultRowHeight="12.75" x14ac:dyDescent="0.2"/>
  <cols>
    <col min="2" max="2" width="4" bestFit="1" customWidth="1"/>
    <col min="4" max="4" width="4" bestFit="1" customWidth="1"/>
  </cols>
  <sheetData>
    <row r="4" spans="3:6" x14ac:dyDescent="0.2">
      <c r="C4" s="1"/>
      <c r="D4" s="184" t="s">
        <v>10</v>
      </c>
      <c r="E4" s="184"/>
      <c r="F4" s="184"/>
    </row>
    <row r="5" spans="3:6" x14ac:dyDescent="0.2">
      <c r="C5" s="1"/>
      <c r="D5" s="1"/>
      <c r="E5" s="184" t="s">
        <v>11</v>
      </c>
      <c r="F5" s="184"/>
    </row>
    <row r="6" spans="3:6" ht="13.5" thickBot="1" x14ac:dyDescent="0.25">
      <c r="C6" s="1"/>
      <c r="D6" s="1"/>
      <c r="E6" s="4">
        <v>19.5</v>
      </c>
      <c r="F6" s="4">
        <v>20</v>
      </c>
    </row>
    <row r="7" spans="3:6" ht="12.75" customHeight="1" x14ac:dyDescent="0.2">
      <c r="C7" s="185" t="s">
        <v>12</v>
      </c>
      <c r="D7" s="3">
        <v>99</v>
      </c>
      <c r="E7" s="5">
        <v>598</v>
      </c>
      <c r="F7" s="6">
        <v>590</v>
      </c>
    </row>
    <row r="8" spans="3:6" x14ac:dyDescent="0.2">
      <c r="C8" s="186"/>
      <c r="D8" s="3">
        <v>100</v>
      </c>
      <c r="E8" s="7">
        <v>601</v>
      </c>
      <c r="F8" s="8">
        <v>593</v>
      </c>
    </row>
    <row r="9" spans="3:6" ht="13.5" thickBot="1" x14ac:dyDescent="0.25">
      <c r="C9" s="186"/>
      <c r="D9" s="3">
        <v>101</v>
      </c>
      <c r="E9" s="9">
        <v>604</v>
      </c>
      <c r="F9" s="10">
        <v>596</v>
      </c>
    </row>
    <row r="10" spans="3:6" ht="13.5" thickBot="1" x14ac:dyDescent="0.25">
      <c r="C10" s="186"/>
      <c r="D10" s="1"/>
      <c r="E10" s="11"/>
      <c r="F10" s="11"/>
    </row>
    <row r="11" spans="3:6" x14ac:dyDescent="0.2">
      <c r="C11" s="186"/>
      <c r="D11" s="3">
        <v>199</v>
      </c>
      <c r="E11" s="5">
        <v>848</v>
      </c>
      <c r="F11" s="6">
        <v>837</v>
      </c>
    </row>
    <row r="12" spans="3:6" x14ac:dyDescent="0.2">
      <c r="C12" s="186"/>
      <c r="D12" s="3">
        <v>200</v>
      </c>
      <c r="E12" s="7">
        <v>850</v>
      </c>
      <c r="F12" s="8">
        <v>839</v>
      </c>
    </row>
    <row r="13" spans="3:6" ht="13.5" thickBot="1" x14ac:dyDescent="0.25">
      <c r="C13" s="186"/>
      <c r="D13" s="3">
        <v>201</v>
      </c>
      <c r="E13" s="9">
        <v>852</v>
      </c>
      <c r="F13" s="10">
        <v>841</v>
      </c>
    </row>
    <row r="14" spans="3:6" ht="13.5" thickBot="1" x14ac:dyDescent="0.25">
      <c r="C14" s="186"/>
      <c r="D14" s="1"/>
      <c r="E14" s="11"/>
      <c r="F14" s="11"/>
    </row>
    <row r="15" spans="3:6" x14ac:dyDescent="0.2">
      <c r="C15" s="186"/>
      <c r="D15" s="3">
        <v>349</v>
      </c>
      <c r="E15" s="5">
        <v>1123</v>
      </c>
      <c r="F15" s="6">
        <v>1108</v>
      </c>
    </row>
    <row r="16" spans="3:6" x14ac:dyDescent="0.2">
      <c r="C16" s="186"/>
      <c r="D16" s="3">
        <v>350</v>
      </c>
      <c r="E16" s="7">
        <v>1124</v>
      </c>
      <c r="F16" s="8">
        <v>1110</v>
      </c>
    </row>
    <row r="17" spans="3:6" ht="13.5" thickBot="1" x14ac:dyDescent="0.25">
      <c r="C17" s="186"/>
      <c r="D17" s="3">
        <v>351</v>
      </c>
      <c r="E17" s="9">
        <v>1126</v>
      </c>
      <c r="F17" s="10">
        <v>1112</v>
      </c>
    </row>
    <row r="18" spans="3:6" ht="13.5" thickBot="1" x14ac:dyDescent="0.25">
      <c r="C18" s="186"/>
      <c r="D18" s="1"/>
      <c r="E18" s="11"/>
      <c r="F18" s="11"/>
    </row>
    <row r="19" spans="3:6" x14ac:dyDescent="0.2">
      <c r="C19" s="186"/>
      <c r="D19" s="3">
        <v>499</v>
      </c>
      <c r="E19" s="5">
        <v>1342</v>
      </c>
      <c r="F19" s="6">
        <v>1325</v>
      </c>
    </row>
    <row r="20" spans="3:6" x14ac:dyDescent="0.2">
      <c r="C20" s="186"/>
      <c r="D20" s="3">
        <v>500</v>
      </c>
      <c r="E20" s="7">
        <v>1344</v>
      </c>
      <c r="F20" s="8">
        <v>1326</v>
      </c>
    </row>
    <row r="21" spans="3:6" ht="13.5" thickBot="1" x14ac:dyDescent="0.25">
      <c r="C21" s="187"/>
      <c r="D21" s="3">
        <v>501</v>
      </c>
      <c r="E21" s="9">
        <v>1345</v>
      </c>
      <c r="F21" s="10">
        <v>1328</v>
      </c>
    </row>
  </sheetData>
  <mergeCells count="3">
    <mergeCell ref="D4:F4"/>
    <mergeCell ref="E5:F5"/>
    <mergeCell ref="C7:C21"/>
  </mergeCells>
  <phoneticPr fontId="7" type="noConversion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90" zoomScaleNormal="90" zoomScalePageLayoutView="90" workbookViewId="0">
      <selection activeCell="B24" sqref="B24"/>
    </sheetView>
  </sheetViews>
  <sheetFormatPr defaultColWidth="9.140625" defaultRowHeight="12.75" x14ac:dyDescent="0.2"/>
  <cols>
    <col min="1" max="1" width="11.140625" style="59" bestFit="1" customWidth="1"/>
    <col min="2" max="2" width="7.42578125" style="59" bestFit="1" customWidth="1"/>
    <col min="3" max="3" width="6.85546875" style="59" bestFit="1" customWidth="1"/>
    <col min="4" max="4" width="7.42578125" style="59" bestFit="1" customWidth="1"/>
    <col min="5" max="5" width="7.85546875" style="59" bestFit="1" customWidth="1"/>
    <col min="6" max="6" width="8.28515625" style="59" bestFit="1" customWidth="1"/>
    <col min="7" max="7" width="7.85546875" style="59" bestFit="1" customWidth="1"/>
    <col min="8" max="8" width="8.28515625" style="59" bestFit="1" customWidth="1"/>
    <col min="9" max="9" width="7.42578125" style="59" bestFit="1" customWidth="1"/>
    <col min="10" max="10" width="8.28515625" style="59" bestFit="1" customWidth="1"/>
    <col min="11" max="11" width="7.42578125" style="59" bestFit="1" customWidth="1"/>
    <col min="12" max="12" width="7" style="59" bestFit="1" customWidth="1"/>
    <col min="13" max="13" width="7.7109375" style="59" bestFit="1" customWidth="1"/>
    <col min="14" max="14" width="6" style="59" bestFit="1" customWidth="1"/>
    <col min="15" max="15" width="9.28515625" bestFit="1" customWidth="1"/>
    <col min="16" max="23" width="8.85546875" customWidth="1"/>
    <col min="24" max="24" width="4.28515625" style="59" customWidth="1"/>
    <col min="25" max="16384" width="9.140625" style="59"/>
  </cols>
  <sheetData>
    <row r="1" spans="1:13" ht="13.5" thickBot="1" x14ac:dyDescent="0.25">
      <c r="A1" s="58"/>
      <c r="B1" s="194" t="s">
        <v>100</v>
      </c>
      <c r="C1" s="195"/>
      <c r="D1" s="196"/>
      <c r="E1" s="196"/>
      <c r="F1" s="197"/>
      <c r="G1" s="197"/>
      <c r="H1" s="194" t="s">
        <v>101</v>
      </c>
      <c r="I1" s="195"/>
      <c r="J1" s="196"/>
      <c r="K1" s="196"/>
      <c r="L1" s="197"/>
      <c r="M1" s="198"/>
    </row>
    <row r="2" spans="1:13" ht="13.5" customHeight="1" thickBot="1" x14ac:dyDescent="0.25">
      <c r="A2" s="58"/>
      <c r="B2" s="199" t="s">
        <v>91</v>
      </c>
      <c r="C2" s="200"/>
      <c r="D2" s="201"/>
      <c r="E2" s="199" t="s">
        <v>92</v>
      </c>
      <c r="F2" s="200"/>
      <c r="G2" s="201"/>
      <c r="H2" s="199" t="s">
        <v>91</v>
      </c>
      <c r="I2" s="200"/>
      <c r="J2" s="201"/>
      <c r="K2" s="202" t="s">
        <v>92</v>
      </c>
      <c r="L2" s="200"/>
      <c r="M2" s="201"/>
    </row>
    <row r="3" spans="1:13" ht="13.5" thickBot="1" x14ac:dyDescent="0.25">
      <c r="A3" s="58"/>
      <c r="B3" s="60" t="s">
        <v>93</v>
      </c>
      <c r="C3" s="61" t="s">
        <v>89</v>
      </c>
      <c r="D3" s="62" t="s">
        <v>90</v>
      </c>
      <c r="E3" s="60" t="s">
        <v>93</v>
      </c>
      <c r="F3" s="61" t="s">
        <v>89</v>
      </c>
      <c r="G3" s="62" t="s">
        <v>90</v>
      </c>
      <c r="H3" s="60" t="s">
        <v>93</v>
      </c>
      <c r="I3" s="61" t="s">
        <v>89</v>
      </c>
      <c r="J3" s="62" t="s">
        <v>90</v>
      </c>
      <c r="K3" s="60" t="s">
        <v>93</v>
      </c>
      <c r="L3" s="61" t="s">
        <v>89</v>
      </c>
      <c r="M3" s="62" t="s">
        <v>90</v>
      </c>
    </row>
    <row r="4" spans="1:13" x14ac:dyDescent="0.2">
      <c r="A4" s="190" t="s">
        <v>94</v>
      </c>
      <c r="B4" s="93">
        <v>1</v>
      </c>
      <c r="C4" s="134">
        <v>8.4</v>
      </c>
      <c r="D4" s="135">
        <v>13.7</v>
      </c>
      <c r="E4" s="93">
        <v>2</v>
      </c>
      <c r="F4" s="134">
        <v>8.41</v>
      </c>
      <c r="G4" s="135">
        <v>13.105</v>
      </c>
      <c r="H4" s="128">
        <v>1</v>
      </c>
      <c r="I4" s="147">
        <v>8.4</v>
      </c>
      <c r="J4" s="135">
        <v>13.38</v>
      </c>
      <c r="K4" s="93">
        <v>1</v>
      </c>
      <c r="L4" s="134">
        <v>8.4</v>
      </c>
      <c r="M4" s="135">
        <v>12.805</v>
      </c>
    </row>
    <row r="5" spans="1:13" x14ac:dyDescent="0.2">
      <c r="A5" s="191"/>
      <c r="B5" s="94">
        <v>1</v>
      </c>
      <c r="C5" s="136">
        <v>8.4</v>
      </c>
      <c r="D5" s="137">
        <v>13.654999999999999</v>
      </c>
      <c r="E5" s="94">
        <v>1</v>
      </c>
      <c r="F5" s="136">
        <v>8.4</v>
      </c>
      <c r="G5" s="137">
        <v>13.164999999999999</v>
      </c>
      <c r="H5" s="126">
        <v>1</v>
      </c>
      <c r="I5" s="145">
        <v>8.4</v>
      </c>
      <c r="J5" s="137">
        <v>13.33</v>
      </c>
      <c r="K5" s="126">
        <v>2</v>
      </c>
      <c r="L5" s="145">
        <v>8.41</v>
      </c>
      <c r="M5" s="142">
        <v>12.9</v>
      </c>
    </row>
    <row r="6" spans="1:13" ht="13.5" thickBot="1" x14ac:dyDescent="0.25">
      <c r="A6" s="192"/>
      <c r="B6" s="95">
        <v>2</v>
      </c>
      <c r="C6" s="138">
        <v>8.41</v>
      </c>
      <c r="D6" s="139">
        <v>13.74</v>
      </c>
      <c r="E6" s="95">
        <v>2</v>
      </c>
      <c r="F6" s="138">
        <v>8.41</v>
      </c>
      <c r="G6" s="139">
        <v>13.11</v>
      </c>
      <c r="H6" s="127">
        <v>2</v>
      </c>
      <c r="I6" s="146">
        <v>8.41</v>
      </c>
      <c r="J6" s="139">
        <v>13.37</v>
      </c>
      <c r="K6" s="127">
        <v>1</v>
      </c>
      <c r="L6" s="146">
        <v>8.4</v>
      </c>
      <c r="M6" s="143">
        <v>12.84</v>
      </c>
    </row>
    <row r="7" spans="1:13" x14ac:dyDescent="0.2">
      <c r="A7" s="190" t="s">
        <v>95</v>
      </c>
      <c r="B7" s="128">
        <v>1</v>
      </c>
      <c r="C7" s="147">
        <v>8.4</v>
      </c>
      <c r="D7" s="140">
        <v>12.53</v>
      </c>
      <c r="E7" s="128">
        <v>1</v>
      </c>
      <c r="F7" s="147">
        <v>8.4</v>
      </c>
      <c r="G7" s="140">
        <v>11.955</v>
      </c>
      <c r="H7" s="128">
        <v>2</v>
      </c>
      <c r="I7" s="147">
        <v>8.41</v>
      </c>
      <c r="J7" s="140">
        <v>12.22</v>
      </c>
      <c r="K7" s="93">
        <v>1</v>
      </c>
      <c r="L7" s="134">
        <v>8.4</v>
      </c>
      <c r="M7" s="140">
        <v>11.785</v>
      </c>
    </row>
    <row r="8" spans="1:13" x14ac:dyDescent="0.2">
      <c r="A8" s="191"/>
      <c r="B8" s="126">
        <v>1</v>
      </c>
      <c r="C8" s="145">
        <v>8.4</v>
      </c>
      <c r="D8" s="137">
        <v>12.535</v>
      </c>
      <c r="E8" s="126">
        <v>2</v>
      </c>
      <c r="F8" s="145">
        <v>8.41</v>
      </c>
      <c r="G8" s="137">
        <v>11.955</v>
      </c>
      <c r="H8" s="126">
        <v>1</v>
      </c>
      <c r="I8" s="145">
        <v>8.4</v>
      </c>
      <c r="J8" s="137">
        <v>12.215</v>
      </c>
      <c r="K8" s="126">
        <v>2</v>
      </c>
      <c r="L8" s="145">
        <v>8.41</v>
      </c>
      <c r="M8" s="137">
        <v>11.82</v>
      </c>
    </row>
    <row r="9" spans="1:13" ht="13.5" thickBot="1" x14ac:dyDescent="0.25">
      <c r="A9" s="192"/>
      <c r="B9" s="129">
        <v>2</v>
      </c>
      <c r="C9" s="148">
        <v>8.41</v>
      </c>
      <c r="D9" s="139">
        <v>12.5</v>
      </c>
      <c r="E9" s="129">
        <v>1</v>
      </c>
      <c r="F9" s="148">
        <v>8.4</v>
      </c>
      <c r="G9" s="149">
        <v>11.91</v>
      </c>
      <c r="H9" s="127">
        <v>1</v>
      </c>
      <c r="I9" s="146">
        <v>8.4</v>
      </c>
      <c r="J9" s="149">
        <v>12.215</v>
      </c>
      <c r="K9" s="127">
        <v>1</v>
      </c>
      <c r="L9" s="146">
        <v>8.4</v>
      </c>
      <c r="M9" s="139">
        <v>11.8</v>
      </c>
    </row>
    <row r="10" spans="1:13" x14ac:dyDescent="0.2">
      <c r="A10" s="190" t="s">
        <v>96</v>
      </c>
      <c r="B10" s="128">
        <v>1</v>
      </c>
      <c r="C10" s="147">
        <v>8.4</v>
      </c>
      <c r="D10" s="140">
        <v>11.715</v>
      </c>
      <c r="E10" s="128">
        <v>2</v>
      </c>
      <c r="F10" s="147">
        <v>8.41</v>
      </c>
      <c r="G10" s="140">
        <v>11.17</v>
      </c>
      <c r="H10" s="128">
        <v>1</v>
      </c>
      <c r="I10" s="147">
        <v>8.4</v>
      </c>
      <c r="J10" s="140">
        <v>11.494999999999999</v>
      </c>
      <c r="K10" s="128">
        <v>2</v>
      </c>
      <c r="L10" s="147">
        <v>8.41</v>
      </c>
      <c r="M10" s="140">
        <v>11.095000000000001</v>
      </c>
    </row>
    <row r="11" spans="1:13" x14ac:dyDescent="0.2">
      <c r="A11" s="191"/>
      <c r="B11" s="126">
        <v>1</v>
      </c>
      <c r="C11" s="145">
        <v>8.4</v>
      </c>
      <c r="D11" s="137">
        <v>11.715</v>
      </c>
      <c r="E11" s="126">
        <v>1</v>
      </c>
      <c r="F11" s="145">
        <v>8.4</v>
      </c>
      <c r="G11" s="137">
        <v>11.145</v>
      </c>
      <c r="H11" s="126">
        <v>2</v>
      </c>
      <c r="I11" s="145">
        <v>8.41</v>
      </c>
      <c r="J11" s="137">
        <v>11.465</v>
      </c>
      <c r="K11" s="126">
        <v>1</v>
      </c>
      <c r="L11" s="145">
        <v>8.4</v>
      </c>
      <c r="M11" s="142">
        <v>11.08</v>
      </c>
    </row>
    <row r="12" spans="1:13" ht="13.5" thickBot="1" x14ac:dyDescent="0.25">
      <c r="A12" s="192"/>
      <c r="B12" s="127">
        <v>2</v>
      </c>
      <c r="C12" s="146">
        <v>8.41</v>
      </c>
      <c r="D12" s="139">
        <v>11.744999999999999</v>
      </c>
      <c r="E12" s="127">
        <v>2</v>
      </c>
      <c r="F12" s="146">
        <v>8.41</v>
      </c>
      <c r="G12" s="139">
        <v>11.23</v>
      </c>
      <c r="H12" s="127">
        <v>2</v>
      </c>
      <c r="I12" s="146">
        <v>8.41</v>
      </c>
      <c r="J12" s="139">
        <v>11.484999999999999</v>
      </c>
      <c r="K12" s="129">
        <v>1</v>
      </c>
      <c r="L12" s="148">
        <v>8.4</v>
      </c>
      <c r="M12" s="144">
        <v>11.09</v>
      </c>
    </row>
    <row r="13" spans="1:13" x14ac:dyDescent="0.2">
      <c r="A13" s="190" t="s">
        <v>97</v>
      </c>
      <c r="B13" s="93">
        <v>1</v>
      </c>
      <c r="C13" s="134">
        <v>8.4</v>
      </c>
      <c r="D13" s="140">
        <v>11.32</v>
      </c>
      <c r="E13" s="128">
        <v>1</v>
      </c>
      <c r="F13" s="147">
        <v>8.4</v>
      </c>
      <c r="G13" s="140">
        <v>10.88</v>
      </c>
      <c r="H13" s="128">
        <v>2</v>
      </c>
      <c r="I13" s="147">
        <v>8.41</v>
      </c>
      <c r="J13" s="140">
        <v>11.085000000000001</v>
      </c>
      <c r="K13" s="128">
        <v>2</v>
      </c>
      <c r="L13" s="147">
        <v>8.41</v>
      </c>
      <c r="M13" s="135">
        <v>10.765000000000001</v>
      </c>
    </row>
    <row r="14" spans="1:13" x14ac:dyDescent="0.2">
      <c r="A14" s="191"/>
      <c r="B14" s="94">
        <v>1</v>
      </c>
      <c r="C14" s="136">
        <v>8.4</v>
      </c>
      <c r="D14" s="142">
        <v>11.355</v>
      </c>
      <c r="E14" s="94">
        <v>2</v>
      </c>
      <c r="F14" s="136">
        <v>8.41</v>
      </c>
      <c r="G14" s="142">
        <v>10.865</v>
      </c>
      <c r="H14" s="126">
        <v>1</v>
      </c>
      <c r="I14" s="145">
        <v>8.4</v>
      </c>
      <c r="J14" s="142">
        <v>11.095000000000001</v>
      </c>
      <c r="K14" s="94">
        <v>1</v>
      </c>
      <c r="L14" s="136">
        <v>8.4</v>
      </c>
      <c r="M14" s="142">
        <v>10.755000000000001</v>
      </c>
    </row>
    <row r="15" spans="1:13" ht="13.5" thickBot="1" x14ac:dyDescent="0.25">
      <c r="A15" s="192"/>
      <c r="B15" s="95">
        <v>2</v>
      </c>
      <c r="C15" s="138">
        <v>8.41</v>
      </c>
      <c r="D15" s="143">
        <v>11.324999999999999</v>
      </c>
      <c r="E15" s="96">
        <v>1</v>
      </c>
      <c r="F15" s="141">
        <v>8.4</v>
      </c>
      <c r="G15" s="144">
        <v>10.89</v>
      </c>
      <c r="H15" s="129">
        <v>2</v>
      </c>
      <c r="I15" s="148">
        <v>8.41</v>
      </c>
      <c r="J15" s="143">
        <v>11.074999999999999</v>
      </c>
      <c r="K15" s="96">
        <v>2</v>
      </c>
      <c r="L15" s="141">
        <v>8.41</v>
      </c>
      <c r="M15" s="144">
        <v>10.79</v>
      </c>
    </row>
    <row r="16" spans="1:13" x14ac:dyDescent="0.2">
      <c r="A16" s="190" t="s">
        <v>98</v>
      </c>
      <c r="B16" s="93">
        <v>1</v>
      </c>
      <c r="C16" s="134">
        <v>8.4</v>
      </c>
      <c r="D16" s="135">
        <v>11.07</v>
      </c>
      <c r="E16" s="128">
        <v>2</v>
      </c>
      <c r="F16" s="147">
        <v>8.41</v>
      </c>
      <c r="G16" s="135">
        <v>10.67</v>
      </c>
      <c r="H16" s="128">
        <v>1</v>
      </c>
      <c r="I16" s="147">
        <v>8.4</v>
      </c>
      <c r="J16" s="135">
        <v>10.904999999999999</v>
      </c>
      <c r="K16" s="128">
        <v>1</v>
      </c>
      <c r="L16" s="147">
        <v>8.4</v>
      </c>
      <c r="M16" s="135">
        <v>10.58</v>
      </c>
    </row>
    <row r="17" spans="1:17" x14ac:dyDescent="0.2">
      <c r="A17" s="191"/>
      <c r="B17" s="126">
        <v>1</v>
      </c>
      <c r="C17" s="145">
        <v>8.4</v>
      </c>
      <c r="D17" s="142">
        <v>11.08</v>
      </c>
      <c r="E17" s="126">
        <v>1</v>
      </c>
      <c r="F17" s="145">
        <v>8.4</v>
      </c>
      <c r="G17" s="142">
        <v>10.654999999999999</v>
      </c>
      <c r="H17" s="94">
        <v>2</v>
      </c>
      <c r="I17" s="136">
        <v>8.41</v>
      </c>
      <c r="J17" s="142">
        <v>10.925000000000001</v>
      </c>
      <c r="K17" s="126">
        <v>2</v>
      </c>
      <c r="L17" s="145">
        <v>8.41</v>
      </c>
      <c r="M17" s="142">
        <v>10.574999999999999</v>
      </c>
    </row>
    <row r="18" spans="1:17" ht="13.5" thickBot="1" x14ac:dyDescent="0.25">
      <c r="A18" s="192"/>
      <c r="B18" s="183">
        <v>2</v>
      </c>
      <c r="C18" s="148">
        <v>8.41</v>
      </c>
      <c r="D18" s="144">
        <v>11.085000000000001</v>
      </c>
      <c r="E18" s="129">
        <v>2</v>
      </c>
      <c r="F18" s="148">
        <v>8.41</v>
      </c>
      <c r="G18" s="144">
        <v>10.66</v>
      </c>
      <c r="H18" s="96">
        <v>1</v>
      </c>
      <c r="I18" s="141">
        <v>8.4</v>
      </c>
      <c r="J18" s="144">
        <v>10.9</v>
      </c>
      <c r="K18" s="129">
        <v>1</v>
      </c>
      <c r="L18" s="148">
        <v>8.4</v>
      </c>
      <c r="M18" s="144">
        <v>10.585000000000001</v>
      </c>
    </row>
    <row r="20" spans="1:17" x14ac:dyDescent="0.2">
      <c r="A20" s="59" t="s">
        <v>14</v>
      </c>
      <c r="B20" s="63">
        <v>20</v>
      </c>
      <c r="C20" s="64"/>
      <c r="D20" s="64"/>
    </row>
    <row r="21" spans="1:17" x14ac:dyDescent="0.2">
      <c r="A21" s="59" t="s">
        <v>77</v>
      </c>
      <c r="B21" s="193" t="s">
        <v>117</v>
      </c>
      <c r="C21" s="193"/>
      <c r="D21" s="193"/>
      <c r="O21" s="59"/>
      <c r="P21" s="59"/>
      <c r="Q21" s="59"/>
    </row>
    <row r="22" spans="1:17" x14ac:dyDescent="0.2">
      <c r="A22" s="59" t="s">
        <v>78</v>
      </c>
      <c r="B22" s="188" t="s">
        <v>119</v>
      </c>
      <c r="C22" s="189"/>
      <c r="D22" s="189"/>
      <c r="L22" s="177"/>
      <c r="M22" s="177"/>
      <c r="N22" s="177"/>
      <c r="O22" s="177"/>
      <c r="P22" s="177"/>
      <c r="Q22" s="177"/>
    </row>
    <row r="23" spans="1:17" x14ac:dyDescent="0.2">
      <c r="A23" s="59" t="s">
        <v>76</v>
      </c>
      <c r="B23" s="63" t="s">
        <v>118</v>
      </c>
      <c r="C23" s="63"/>
      <c r="D23" s="63"/>
      <c r="L23" s="177"/>
      <c r="M23" s="177"/>
      <c r="N23" s="177"/>
      <c r="O23" s="177"/>
      <c r="P23" s="177"/>
      <c r="Q23" s="177"/>
    </row>
    <row r="24" spans="1:17" x14ac:dyDescent="0.2">
      <c r="B24" s="64"/>
      <c r="C24" s="64"/>
      <c r="D24" s="64"/>
      <c r="L24" s="177"/>
      <c r="M24" s="177"/>
      <c r="N24" s="177"/>
      <c r="O24" s="177"/>
      <c r="P24" s="177"/>
      <c r="Q24" s="177"/>
    </row>
    <row r="25" spans="1:17" x14ac:dyDescent="0.2">
      <c r="E25" s="177"/>
      <c r="F25" s="177"/>
      <c r="G25" s="177"/>
      <c r="H25" s="177"/>
      <c r="I25" s="177"/>
      <c r="J25" s="177"/>
      <c r="L25" s="177"/>
      <c r="M25" s="177"/>
      <c r="N25" s="177"/>
      <c r="O25" s="177"/>
      <c r="P25" s="177"/>
      <c r="Q25" s="177"/>
    </row>
    <row r="26" spans="1:17" x14ac:dyDescent="0.2">
      <c r="E26" s="177"/>
      <c r="F26" s="177"/>
      <c r="G26" s="177"/>
      <c r="H26" s="177"/>
      <c r="I26" s="177"/>
      <c r="J26" s="177"/>
      <c r="L26" s="177"/>
      <c r="M26" s="177"/>
      <c r="N26" s="177"/>
      <c r="O26" s="177"/>
      <c r="P26" s="177"/>
      <c r="Q26" s="177"/>
    </row>
    <row r="27" spans="1:17" x14ac:dyDescent="0.2">
      <c r="E27" s="177"/>
      <c r="F27" s="177"/>
      <c r="G27" s="177"/>
      <c r="H27" s="177"/>
      <c r="I27" s="177"/>
      <c r="J27" s="181"/>
      <c r="K27" s="181"/>
      <c r="L27" s="181"/>
      <c r="M27" s="181"/>
      <c r="N27" s="181"/>
      <c r="O27" s="182"/>
      <c r="P27" s="175"/>
    </row>
    <row r="28" spans="1:17" x14ac:dyDescent="0.2">
      <c r="E28" s="177"/>
      <c r="F28" s="177"/>
      <c r="G28" s="177"/>
      <c r="H28" s="177"/>
      <c r="I28" s="177"/>
      <c r="J28" s="181"/>
      <c r="K28" s="181"/>
      <c r="L28" s="181"/>
      <c r="M28" s="181"/>
      <c r="N28" s="181"/>
      <c r="O28" s="182"/>
      <c r="P28" s="175"/>
    </row>
    <row r="29" spans="1:17" x14ac:dyDescent="0.2">
      <c r="E29" s="177"/>
      <c r="F29" s="177"/>
      <c r="G29" s="177"/>
      <c r="H29" s="177"/>
      <c r="I29" s="177"/>
      <c r="J29" s="181"/>
      <c r="K29" s="181"/>
      <c r="L29" s="181"/>
      <c r="M29" s="181"/>
      <c r="N29" s="181"/>
      <c r="O29" s="182"/>
      <c r="P29" s="175"/>
    </row>
    <row r="30" spans="1:17" x14ac:dyDescent="0.2">
      <c r="J30" s="181"/>
      <c r="K30" s="181"/>
      <c r="L30" s="181"/>
      <c r="M30" s="181"/>
      <c r="N30" s="181"/>
      <c r="O30" s="182"/>
      <c r="P30" s="175"/>
    </row>
    <row r="31" spans="1:17" x14ac:dyDescent="0.2">
      <c r="J31" s="181"/>
      <c r="K31" s="181"/>
      <c r="L31" s="181"/>
      <c r="M31" s="181"/>
      <c r="N31" s="181"/>
      <c r="O31" s="182"/>
      <c r="P31" s="175"/>
    </row>
    <row r="33" spans="3:15" x14ac:dyDescent="0.2">
      <c r="C33" s="176"/>
      <c r="D33" s="176"/>
      <c r="E33" s="176"/>
      <c r="F33" s="176"/>
      <c r="G33" s="176"/>
      <c r="H33" s="176"/>
      <c r="I33" s="176"/>
    </row>
    <row r="34" spans="3:15" x14ac:dyDescent="0.2"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69"/>
    </row>
    <row r="35" spans="3:15" x14ac:dyDescent="0.2"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69"/>
    </row>
    <row r="36" spans="3:15" x14ac:dyDescent="0.2"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69"/>
    </row>
    <row r="37" spans="3:15" x14ac:dyDescent="0.2">
      <c r="C37" s="176"/>
      <c r="D37" s="176"/>
      <c r="E37" s="176"/>
      <c r="F37" s="176"/>
      <c r="G37" s="176"/>
      <c r="H37" s="176"/>
      <c r="I37" s="176"/>
      <c r="J37" s="178"/>
      <c r="K37" s="179"/>
      <c r="L37" s="178"/>
      <c r="M37" s="179"/>
      <c r="N37" s="178"/>
      <c r="O37" s="180"/>
    </row>
    <row r="38" spans="3:15" x14ac:dyDescent="0.2">
      <c r="C38" s="176"/>
      <c r="D38" s="176"/>
      <c r="E38" s="176"/>
      <c r="F38" s="176"/>
      <c r="G38" s="176"/>
      <c r="H38" s="176"/>
      <c r="I38" s="176"/>
      <c r="J38" s="178"/>
      <c r="K38" s="179"/>
      <c r="L38" s="178"/>
      <c r="M38" s="179"/>
      <c r="N38" s="178"/>
      <c r="O38" s="180"/>
    </row>
    <row r="39" spans="3:15" x14ac:dyDescent="0.2">
      <c r="C39" s="176"/>
      <c r="D39" s="176"/>
      <c r="E39" s="176"/>
      <c r="F39" s="176"/>
      <c r="G39" s="176"/>
      <c r="H39" s="176"/>
      <c r="I39" s="176"/>
      <c r="J39" s="178"/>
      <c r="K39" s="179"/>
      <c r="L39" s="178"/>
      <c r="M39" s="179"/>
      <c r="N39" s="178"/>
      <c r="O39" s="180"/>
    </row>
    <row r="40" spans="3:15" x14ac:dyDescent="0.2">
      <c r="C40" s="176"/>
      <c r="D40" s="176"/>
      <c r="E40" s="176"/>
      <c r="F40" s="176"/>
      <c r="G40" s="176"/>
      <c r="H40" s="176"/>
      <c r="I40" s="176"/>
      <c r="J40" s="178"/>
      <c r="K40" s="179"/>
      <c r="L40" s="178"/>
      <c r="M40" s="179"/>
      <c r="N40" s="178"/>
      <c r="O40" s="180"/>
    </row>
    <row r="41" spans="3:15" x14ac:dyDescent="0.2">
      <c r="C41" s="176"/>
      <c r="D41" s="176"/>
      <c r="E41" s="176"/>
      <c r="F41" s="176"/>
      <c r="G41" s="176"/>
      <c r="H41" s="176"/>
      <c r="I41" s="176"/>
      <c r="J41" s="178"/>
      <c r="K41" s="179"/>
      <c r="L41" s="178"/>
      <c r="M41" s="179"/>
      <c r="N41" s="178"/>
      <c r="O41" s="180"/>
    </row>
    <row r="42" spans="3:15" x14ac:dyDescent="0.2">
      <c r="C42" s="176"/>
      <c r="D42" s="176"/>
      <c r="E42" s="176"/>
      <c r="F42" s="176"/>
      <c r="G42" s="176"/>
      <c r="H42" s="176"/>
      <c r="I42" s="176"/>
      <c r="O42" s="175"/>
    </row>
  </sheetData>
  <mergeCells count="13">
    <mergeCell ref="B1:G1"/>
    <mergeCell ref="H1:M1"/>
    <mergeCell ref="B2:D2"/>
    <mergeCell ref="E2:G2"/>
    <mergeCell ref="H2:J2"/>
    <mergeCell ref="K2:M2"/>
    <mergeCell ref="B22:D22"/>
    <mergeCell ref="A4:A6"/>
    <mergeCell ref="A7:A9"/>
    <mergeCell ref="A10:A12"/>
    <mergeCell ref="A13:A15"/>
    <mergeCell ref="A16:A18"/>
    <mergeCell ref="B21:D2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topLeftCell="A6" zoomScale="90" zoomScaleNormal="90" zoomScalePageLayoutView="90" workbookViewId="0"/>
  </sheetViews>
  <sheetFormatPr defaultColWidth="9.140625" defaultRowHeight="12.75" x14ac:dyDescent="0.2"/>
  <cols>
    <col min="1" max="4" width="9.140625" style="59"/>
    <col min="5" max="5" width="9.42578125" style="59" customWidth="1"/>
    <col min="6" max="10" width="9.140625" style="59"/>
    <col min="11" max="11" width="8.85546875" customWidth="1"/>
    <col min="12" max="12" width="5.7109375" style="59" bestFit="1" customWidth="1"/>
    <col min="13" max="13" width="3" style="59" bestFit="1" customWidth="1"/>
    <col min="14" max="14" width="4.42578125" style="59" bestFit="1" customWidth="1"/>
    <col min="15" max="16" width="9.140625" style="59"/>
    <col min="17" max="17" width="10.140625" style="59" customWidth="1"/>
    <col min="18" max="18" width="9.140625" style="59"/>
    <col min="19" max="25" width="8.85546875" customWidth="1"/>
    <col min="26" max="16384" width="9.140625" style="59"/>
  </cols>
  <sheetData>
    <row r="1" spans="1:18" ht="18" x14ac:dyDescent="0.25">
      <c r="A1" s="37" t="s">
        <v>73</v>
      </c>
    </row>
    <row r="2" spans="1:18" x14ac:dyDescent="0.2">
      <c r="A2" s="15" t="s">
        <v>44</v>
      </c>
    </row>
    <row r="3" spans="1:18" x14ac:dyDescent="0.2">
      <c r="A3" s="15" t="s">
        <v>40</v>
      </c>
    </row>
    <row r="4" spans="1:18" ht="13.5" thickBot="1" x14ac:dyDescent="0.25"/>
    <row r="5" spans="1:18" ht="27" customHeight="1" thickBot="1" x14ac:dyDescent="0.25">
      <c r="A5" s="15" t="s">
        <v>3</v>
      </c>
      <c r="F5" s="97" t="str">
        <f>"Lot "&amp;'Correlation Raw Data'!B20</f>
        <v>Lot 20</v>
      </c>
      <c r="G5" s="98"/>
      <c r="L5" s="205" t="s">
        <v>102</v>
      </c>
      <c r="M5" s="206"/>
      <c r="N5" s="206"/>
      <c r="O5" s="77" t="s">
        <v>110</v>
      </c>
      <c r="P5" s="77" t="s">
        <v>111</v>
      </c>
      <c r="Q5" s="151" t="s">
        <v>113</v>
      </c>
      <c r="R5" s="78" t="s">
        <v>9</v>
      </c>
    </row>
    <row r="6" spans="1:18" ht="13.5" thickBot="1" x14ac:dyDescent="0.25">
      <c r="A6" s="58"/>
      <c r="B6" s="217" t="s">
        <v>100</v>
      </c>
      <c r="C6" s="218"/>
      <c r="D6" s="218"/>
      <c r="E6" s="219"/>
      <c r="F6" s="217" t="s">
        <v>101</v>
      </c>
      <c r="G6" s="218"/>
      <c r="H6" s="218"/>
      <c r="I6" s="219"/>
      <c r="L6" s="207" t="s">
        <v>41</v>
      </c>
      <c r="M6" s="210">
        <v>15</v>
      </c>
      <c r="N6" s="68">
        <v>100</v>
      </c>
      <c r="O6" s="71">
        <f>I10</f>
        <v>0.52895480625861124</v>
      </c>
      <c r="P6" s="79">
        <f t="shared" ref="P6:P25" si="0">IF(O6="","",O6*$P$30+$P$31)</f>
        <v>0.45911541915654847</v>
      </c>
      <c r="Q6" s="84">
        <f>B29</f>
        <v>0.45900000000000002</v>
      </c>
      <c r="R6" s="88">
        <f>IF(O6="","",(Q6-P6)^2)</f>
        <v>1.332158169835477E-8</v>
      </c>
    </row>
    <row r="7" spans="1:18" ht="13.5" thickBot="1" x14ac:dyDescent="0.25">
      <c r="A7" s="58"/>
      <c r="B7" s="220" t="s">
        <v>91</v>
      </c>
      <c r="C7" s="221"/>
      <c r="D7" s="217" t="s">
        <v>92</v>
      </c>
      <c r="E7" s="219"/>
      <c r="F7" s="217" t="s">
        <v>91</v>
      </c>
      <c r="G7" s="219"/>
      <c r="H7" s="217" t="s">
        <v>92</v>
      </c>
      <c r="I7" s="219"/>
      <c r="L7" s="208"/>
      <c r="M7" s="211"/>
      <c r="N7" s="69">
        <v>200</v>
      </c>
      <c r="O7" s="72">
        <f>I13</f>
        <v>0.40440259139724066</v>
      </c>
      <c r="P7" s="80">
        <f t="shared" si="0"/>
        <v>0.35598799119812374</v>
      </c>
      <c r="Q7" s="85">
        <f>B30</f>
        <v>0.35699999999999998</v>
      </c>
      <c r="R7" s="89">
        <f t="shared" ref="R7:R25" si="1">IF(O7="","",(Q7-P7)^2)</f>
        <v>1.0241618150749844E-6</v>
      </c>
    </row>
    <row r="8" spans="1:18" ht="13.5" customHeight="1" thickBot="1" x14ac:dyDescent="0.25">
      <c r="A8" s="58"/>
      <c r="B8" s="213" t="s">
        <v>99</v>
      </c>
      <c r="C8" s="215" t="s">
        <v>104</v>
      </c>
      <c r="D8" s="213" t="s">
        <v>99</v>
      </c>
      <c r="E8" s="215" t="s">
        <v>104</v>
      </c>
      <c r="F8" s="213" t="s">
        <v>99</v>
      </c>
      <c r="G8" s="215" t="s">
        <v>104</v>
      </c>
      <c r="H8" s="213" t="s">
        <v>99</v>
      </c>
      <c r="I8" s="215" t="s">
        <v>104</v>
      </c>
      <c r="L8" s="208"/>
      <c r="M8" s="211"/>
      <c r="N8" s="69">
        <v>350</v>
      </c>
      <c r="O8" s="72">
        <f>I16</f>
        <v>0.31951616556253892</v>
      </c>
      <c r="P8" s="80">
        <f t="shared" si="0"/>
        <v>0.28570326141905156</v>
      </c>
      <c r="Q8" s="85">
        <f>B31</f>
        <v>0.29599999999999999</v>
      </c>
      <c r="R8" s="89">
        <f t="shared" si="1"/>
        <v>1.0602282540439184E-4</v>
      </c>
    </row>
    <row r="9" spans="1:18" ht="13.5" thickBot="1" x14ac:dyDescent="0.25">
      <c r="A9" s="150" t="s">
        <v>109</v>
      </c>
      <c r="B9" s="214"/>
      <c r="C9" s="216"/>
      <c r="D9" s="214"/>
      <c r="E9" s="216"/>
      <c r="F9" s="214"/>
      <c r="G9" s="216"/>
      <c r="H9" s="214"/>
      <c r="I9" s="216"/>
      <c r="L9" s="208"/>
      <c r="M9" s="211"/>
      <c r="N9" s="69">
        <v>500</v>
      </c>
      <c r="O9" s="72">
        <f>I19</f>
        <v>0.28112578562935281</v>
      </c>
      <c r="P9" s="80">
        <f t="shared" si="0"/>
        <v>0.25391658347628854</v>
      </c>
      <c r="Q9" s="85">
        <f>B32</f>
        <v>0.24199999999999999</v>
      </c>
      <c r="R9" s="89">
        <f t="shared" si="1"/>
        <v>1.4200496174735319E-4</v>
      </c>
    </row>
    <row r="10" spans="1:18" ht="13.5" thickBot="1" x14ac:dyDescent="0.25">
      <c r="A10" s="65" t="s">
        <v>94</v>
      </c>
      <c r="B10" s="114">
        <f>IF('Correlation Raw Data'!D4="","",('Correlation Raw Data'!D4-'Correlation Raw Data'!C4)/'Correlation Raw Data'!C4)</f>
        <v>0.63095238095238082</v>
      </c>
      <c r="C10" s="222">
        <f>IF(B10="","",AVERAGE(B10:B12))</f>
        <v>0.63010564709435091</v>
      </c>
      <c r="D10" s="115">
        <f>IF('Correlation Raw Data'!G4="","",('Correlation Raw Data'!G4-'Correlation Raw Data'!F4)/'Correlation Raw Data'!F4)</f>
        <v>0.55826397146254458</v>
      </c>
      <c r="E10" s="222">
        <f>IF(D10="","",AVERAGE(D10:D12))</f>
        <v>0.56146145933601332</v>
      </c>
      <c r="F10" s="115">
        <f>IF('Correlation Raw Data'!J4="","",('Correlation Raw Data'!J4-'Correlation Raw Data'!I4)/'Correlation Raw Data'!I4)</f>
        <v>0.59285714285714286</v>
      </c>
      <c r="G10" s="222">
        <f>IF(F10="","",AVERAGE(F10:F12))</f>
        <v>0.58984532774663556</v>
      </c>
      <c r="H10" s="115">
        <f>IF('Correlation Raw Data'!M4="","",('Correlation Raw Data'!M4-'Correlation Raw Data'!L4)/'Correlation Raw Data'!L4)</f>
        <v>0.52440476190476182</v>
      </c>
      <c r="I10" s="222">
        <f>IF(H10="","",AVERAGE(H10:H12))</f>
        <v>0.52895480625861124</v>
      </c>
      <c r="L10" s="208"/>
      <c r="M10" s="212"/>
      <c r="N10" s="70">
        <v>650</v>
      </c>
      <c r="O10" s="73">
        <f>I22</f>
        <v>0.25902482871864557</v>
      </c>
      <c r="P10" s="83">
        <f t="shared" si="0"/>
        <v>0.23561731160739385</v>
      </c>
      <c r="Q10" s="86">
        <f>B33</f>
        <v>0.23</v>
      </c>
      <c r="R10" s="91">
        <f t="shared" si="1"/>
        <v>3.1554189694561603E-5</v>
      </c>
    </row>
    <row r="11" spans="1:18" x14ac:dyDescent="0.2">
      <c r="A11" s="66"/>
      <c r="B11" s="116">
        <f>IF('Correlation Raw Data'!D5="","",('Correlation Raw Data'!D5-'Correlation Raw Data'!C5)/'Correlation Raw Data'!C5)</f>
        <v>0.62559523809523798</v>
      </c>
      <c r="C11" s="223"/>
      <c r="D11" s="116">
        <f>IF('Correlation Raw Data'!G5="","",('Correlation Raw Data'!G5-'Correlation Raw Data'!F5)/'Correlation Raw Data'!F5)</f>
        <v>0.56726190476190463</v>
      </c>
      <c r="E11" s="223"/>
      <c r="F11" s="116">
        <f>IF('Correlation Raw Data'!J5="","",('Correlation Raw Data'!J5-'Correlation Raw Data'!I5)/'Correlation Raw Data'!I5)</f>
        <v>0.58690476190476182</v>
      </c>
      <c r="G11" s="223"/>
      <c r="H11" s="116">
        <f>IF('Correlation Raw Data'!M5="","",('Correlation Raw Data'!M5-'Correlation Raw Data'!L5)/'Correlation Raw Data'!L5)</f>
        <v>0.53388822829964333</v>
      </c>
      <c r="I11" s="223"/>
      <c r="L11" s="208"/>
      <c r="M11" s="210">
        <v>4</v>
      </c>
      <c r="N11" s="68">
        <v>100</v>
      </c>
      <c r="O11" s="71">
        <f>G10</f>
        <v>0.58984532774663556</v>
      </c>
      <c r="P11" s="79">
        <f t="shared" si="0"/>
        <v>0.5095318880655626</v>
      </c>
      <c r="Q11" s="84">
        <f>C29</f>
        <v>0.499</v>
      </c>
      <c r="R11" s="88">
        <f t="shared" si="1"/>
        <v>1.1092066622553993E-4</v>
      </c>
    </row>
    <row r="12" spans="1:18" ht="13.5" thickBot="1" x14ac:dyDescent="0.25">
      <c r="A12" s="67"/>
      <c r="B12" s="117">
        <f>IF('Correlation Raw Data'!D6="","",('Correlation Raw Data'!D6-'Correlation Raw Data'!C6)/'Correlation Raw Data'!C6)</f>
        <v>0.63376932223543403</v>
      </c>
      <c r="C12" s="118">
        <f>IF(B10="","",STDEV(B10:B12))</f>
        <v>4.1523043665538002E-3</v>
      </c>
      <c r="D12" s="117">
        <f>IF('Correlation Raw Data'!G6="","",('Correlation Raw Data'!G6-'Correlation Raw Data'!F6)/'Correlation Raw Data'!F6)</f>
        <v>0.55885850178359087</v>
      </c>
      <c r="E12" s="118">
        <f>IF(D10="","",STDEV(D10:D12))</f>
        <v>5.0321210169985073E-3</v>
      </c>
      <c r="F12" s="117">
        <f>IF('Correlation Raw Data'!J6="","",('Correlation Raw Data'!J6-'Correlation Raw Data'!I6)/'Correlation Raw Data'!I6)</f>
        <v>0.58977407847800223</v>
      </c>
      <c r="G12" s="118">
        <f>IF(F10="","",STDEV(F10:F12))</f>
        <v>2.9768300412146066E-3</v>
      </c>
      <c r="H12" s="117">
        <f>IF('Correlation Raw Data'!M6="","",('Correlation Raw Data'!M6-'Correlation Raw Data'!L6)/'Correlation Raw Data'!L6)</f>
        <v>0.52857142857142847</v>
      </c>
      <c r="I12" s="118">
        <f>IF(H10="","",STDEV(H10:H12))</f>
        <v>4.7533427768238984E-3</v>
      </c>
      <c r="L12" s="208"/>
      <c r="M12" s="211"/>
      <c r="N12" s="69">
        <v>200</v>
      </c>
      <c r="O12" s="72">
        <f>G13</f>
        <v>0.45378847932355654</v>
      </c>
      <c r="P12" s="80">
        <f t="shared" si="0"/>
        <v>0.39687879032965784</v>
      </c>
      <c r="Q12" s="85">
        <f>C30</f>
        <v>0.40400000000000003</v>
      </c>
      <c r="R12" s="89">
        <f t="shared" si="1"/>
        <v>5.0711627168975095E-5</v>
      </c>
    </row>
    <row r="13" spans="1:18" x14ac:dyDescent="0.2">
      <c r="A13" s="65" t="s">
        <v>95</v>
      </c>
      <c r="B13" s="115">
        <f>IF('Correlation Raw Data'!D7="","",('Correlation Raw Data'!D7-'Correlation Raw Data'!C7)/'Correlation Raw Data'!C7)</f>
        <v>0.49166666666666653</v>
      </c>
      <c r="C13" s="222">
        <f>IF(B13="","",AVERAGE(B13:B15))</f>
        <v>0.49008479134816824</v>
      </c>
      <c r="D13" s="115">
        <f>IF('Correlation Raw Data'!G7="","",('Correlation Raw Data'!G7-'Correlation Raw Data'!F7)/'Correlation Raw Data'!F7)</f>
        <v>0.42321428571428565</v>
      </c>
      <c r="E13" s="222">
        <f>IF(D13="","",AVERAGE(D13:D15))</f>
        <v>0.42086447539776906</v>
      </c>
      <c r="F13" s="115">
        <f>IF('Correlation Raw Data'!J7="","",('Correlation Raw Data'!J7-'Correlation Raw Data'!I7)/'Correlation Raw Data'!I7)</f>
        <v>0.45303210463733656</v>
      </c>
      <c r="G13" s="222">
        <f>IF(F13="","",AVERAGE(F13:F15))</f>
        <v>0.45378847932355654</v>
      </c>
      <c r="H13" s="115">
        <f>IF('Correlation Raw Data'!M7="","",('Correlation Raw Data'!M7-'Correlation Raw Data'!L7)/'Correlation Raw Data'!L7)</f>
        <v>0.40297619047619043</v>
      </c>
      <c r="I13" s="222">
        <f>IF(H13="","",AVERAGE(H13:H15))</f>
        <v>0.40440259139724066</v>
      </c>
      <c r="L13" s="208"/>
      <c r="M13" s="211"/>
      <c r="N13" s="69">
        <v>350</v>
      </c>
      <c r="O13" s="72">
        <f>G16</f>
        <v>0.3657821848517448</v>
      </c>
      <c r="P13" s="80">
        <f t="shared" si="0"/>
        <v>0.32401085455564271</v>
      </c>
      <c r="Q13" s="85">
        <f>C31</f>
        <v>0.33100000000000002</v>
      </c>
      <c r="R13" s="89">
        <f t="shared" si="1"/>
        <v>4.8848154042380445E-5</v>
      </c>
    </row>
    <row r="14" spans="1:18" x14ac:dyDescent="0.2">
      <c r="A14" s="66"/>
      <c r="B14" s="116">
        <f>IF('Correlation Raw Data'!D8="","",('Correlation Raw Data'!D8-'Correlation Raw Data'!C8)/'Correlation Raw Data'!C8)</f>
        <v>0.49226190476190473</v>
      </c>
      <c r="C14" s="223"/>
      <c r="D14" s="116">
        <f>IF('Correlation Raw Data'!G8="","",('Correlation Raw Data'!G8-'Correlation Raw Data'!F8)/'Correlation Raw Data'!F8)</f>
        <v>0.4215219976218787</v>
      </c>
      <c r="E14" s="223"/>
      <c r="F14" s="116">
        <f>IF('Correlation Raw Data'!J8="","",('Correlation Raw Data'!J8-'Correlation Raw Data'!I8)/'Correlation Raw Data'!I8)</f>
        <v>0.45416666666666661</v>
      </c>
      <c r="G14" s="223"/>
      <c r="H14" s="116">
        <f>IF('Correlation Raw Data'!M8="","",('Correlation Raw Data'!M8-'Correlation Raw Data'!L8)/'Correlation Raw Data'!L8)</f>
        <v>0.40546967895362662</v>
      </c>
      <c r="I14" s="223"/>
      <c r="L14" s="208"/>
      <c r="M14" s="211"/>
      <c r="N14" s="69">
        <v>500</v>
      </c>
      <c r="O14" s="72">
        <f>G19</f>
        <v>0.31859723873695334</v>
      </c>
      <c r="P14" s="80">
        <f t="shared" si="0"/>
        <v>0.28494240333146059</v>
      </c>
      <c r="Q14" s="85">
        <f>C32</f>
        <v>0.28699999999999998</v>
      </c>
      <c r="R14" s="89">
        <f t="shared" si="1"/>
        <v>4.2337040503843775E-6</v>
      </c>
    </row>
    <row r="15" spans="1:18" ht="13.5" thickBot="1" x14ac:dyDescent="0.25">
      <c r="A15" s="67"/>
      <c r="B15" s="117">
        <f>IF('Correlation Raw Data'!D9="","",('Correlation Raw Data'!D9-'Correlation Raw Data'!C9)/'Correlation Raw Data'!C9)</f>
        <v>0.48632580261593339</v>
      </c>
      <c r="C15" s="118">
        <f>IF(B13="","",STDEV(B13:B15))</f>
        <v>3.2689561505635104E-3</v>
      </c>
      <c r="D15" s="117">
        <f>IF('Correlation Raw Data'!G9="","",('Correlation Raw Data'!G9-'Correlation Raw Data'!F9)/'Correlation Raw Data'!F9)</f>
        <v>0.41785714285714282</v>
      </c>
      <c r="E15" s="118">
        <f>IF(D13="","",STDEV(D13:D15))</f>
        <v>2.7384295689971104E-3</v>
      </c>
      <c r="F15" s="117">
        <f>IF('Correlation Raw Data'!J9="","",('Correlation Raw Data'!J9-'Correlation Raw Data'!I9)/'Correlation Raw Data'!I9)</f>
        <v>0.45416666666666661</v>
      </c>
      <c r="G15" s="118">
        <f>IF(F13="","",STDEV(F13:F15))</f>
        <v>6.5503969304602893E-4</v>
      </c>
      <c r="H15" s="117">
        <f>IF('Correlation Raw Data'!M9="","",('Correlation Raw Data'!M9-'Correlation Raw Data'!L9)/'Correlation Raw Data'!L9)</f>
        <v>0.40476190476190477</v>
      </c>
      <c r="I15" s="118">
        <f>IF(H13="","",STDEV(H13:H15))</f>
        <v>1.2849905708978849E-3</v>
      </c>
      <c r="L15" s="209"/>
      <c r="M15" s="212"/>
      <c r="N15" s="70">
        <v>650</v>
      </c>
      <c r="O15" s="73">
        <f>G22</f>
        <v>0.29829402827321966</v>
      </c>
      <c r="P15" s="81">
        <f t="shared" si="0"/>
        <v>0.26813163945420726</v>
      </c>
      <c r="Q15" s="86">
        <f>C33</f>
        <v>0.26400000000000001</v>
      </c>
      <c r="R15" s="90">
        <f t="shared" si="1"/>
        <v>1.7070444579561964E-5</v>
      </c>
    </row>
    <row r="16" spans="1:18" x14ac:dyDescent="0.2">
      <c r="A16" s="65" t="s">
        <v>96</v>
      </c>
      <c r="B16" s="115">
        <f>IF('Correlation Raw Data'!D10="","",('Correlation Raw Data'!D10-'Correlation Raw Data'!C10)/'Correlation Raw Data'!C10)</f>
        <v>0.39464285714285707</v>
      </c>
      <c r="C16" s="222">
        <f>IF(B16="","",AVERAGE(B16:B18))</f>
        <v>0.39527914614121507</v>
      </c>
      <c r="D16" s="115">
        <f>IF('Correlation Raw Data'!G10="","",('Correlation Raw Data'!G10-'Correlation Raw Data'!F10)/'Correlation Raw Data'!F10)</f>
        <v>0.32818073721759805</v>
      </c>
      <c r="E16" s="222">
        <f>IF(D16="","",AVERAGE(D16:D18))</f>
        <v>0.33009385085782228</v>
      </c>
      <c r="F16" s="115">
        <f>IF('Correlation Raw Data'!J10="","",('Correlation Raw Data'!J10-'Correlation Raw Data'!I10)/'Correlation Raw Data'!I10)</f>
        <v>0.36845238095238081</v>
      </c>
      <c r="G16" s="222">
        <f>IF(F16="","",AVERAGE(F16:F18))</f>
        <v>0.3657821848517448</v>
      </c>
      <c r="H16" s="115">
        <f>IF('Correlation Raw Data'!M10="","",('Correlation Raw Data'!M10-'Correlation Raw Data'!L10)/'Correlation Raw Data'!L10)</f>
        <v>0.31926278240190253</v>
      </c>
      <c r="I16" s="222">
        <f>IF(H16="","",AVERAGE(H16:H18))</f>
        <v>0.31951616556253892</v>
      </c>
      <c r="L16" s="207" t="s">
        <v>42</v>
      </c>
      <c r="M16" s="210">
        <v>15</v>
      </c>
      <c r="N16" s="68">
        <v>100</v>
      </c>
      <c r="O16" s="71">
        <f>E10</f>
        <v>0.56146145933601332</v>
      </c>
      <c r="P16" s="79">
        <f t="shared" si="0"/>
        <v>0.48603045657391197</v>
      </c>
      <c r="Q16" s="84">
        <f>D29</f>
        <v>0.497</v>
      </c>
      <c r="R16" s="88">
        <f t="shared" si="1"/>
        <v>1.2033088297683098E-4</v>
      </c>
    </row>
    <row r="17" spans="1:18" x14ac:dyDescent="0.2">
      <c r="A17" s="66"/>
      <c r="B17" s="116">
        <f>IF('Correlation Raw Data'!D11="","",('Correlation Raw Data'!D11-'Correlation Raw Data'!C11)/'Correlation Raw Data'!C11)</f>
        <v>0.39464285714285707</v>
      </c>
      <c r="C17" s="223"/>
      <c r="D17" s="116">
        <f>IF('Correlation Raw Data'!G11="","",('Correlation Raw Data'!G11-'Correlation Raw Data'!F11)/'Correlation Raw Data'!F11)</f>
        <v>0.32678571428571418</v>
      </c>
      <c r="E17" s="223"/>
      <c r="F17" s="116">
        <f>IF('Correlation Raw Data'!J11="","",('Correlation Raw Data'!J11-'Correlation Raw Data'!I11)/'Correlation Raw Data'!I11)</f>
        <v>0.36325802615933411</v>
      </c>
      <c r="G17" s="223"/>
      <c r="H17" s="116">
        <f>IF('Correlation Raw Data'!M11="","",('Correlation Raw Data'!M11-'Correlation Raw Data'!L11)/'Correlation Raw Data'!L11)</f>
        <v>0.31904761904761902</v>
      </c>
      <c r="I17" s="223"/>
      <c r="L17" s="208"/>
      <c r="M17" s="211"/>
      <c r="N17" s="69">
        <v>200</v>
      </c>
      <c r="O17" s="72">
        <f>E13</f>
        <v>0.42086447539776906</v>
      </c>
      <c r="P17" s="80">
        <f t="shared" si="0"/>
        <v>0.36961819246121635</v>
      </c>
      <c r="Q17" s="85">
        <f>D30</f>
        <v>0.379</v>
      </c>
      <c r="R17" s="89">
        <f t="shared" si="1"/>
        <v>8.8018312694777701E-5</v>
      </c>
    </row>
    <row r="18" spans="1:18" ht="13.5" customHeight="1" thickBot="1" x14ac:dyDescent="0.25">
      <c r="A18" s="67"/>
      <c r="B18" s="117">
        <f>IF('Correlation Raw Data'!D12="","",('Correlation Raw Data'!D12-'Correlation Raw Data'!C12)/'Correlation Raw Data'!C12)</f>
        <v>0.39655172413793094</v>
      </c>
      <c r="C18" s="118">
        <f>IF(B16="","",STDEV(B16:B18))</f>
        <v>1.1020848734530884E-3</v>
      </c>
      <c r="D18" s="117">
        <f>IF('Correlation Raw Data'!G12="","",('Correlation Raw Data'!G12-'Correlation Raw Data'!F12)/'Correlation Raw Data'!F12)</f>
        <v>0.33531510107015461</v>
      </c>
      <c r="E18" s="118">
        <f>IF(D16="","",STDEV(D16:D18))</f>
        <v>4.5752172166964667E-3</v>
      </c>
      <c r="F18" s="117">
        <f>IF('Correlation Raw Data'!J12="","",('Correlation Raw Data'!J12-'Correlation Raw Data'!I12)/'Correlation Raw Data'!I12)</f>
        <v>0.36563614744351952</v>
      </c>
      <c r="G18" s="118">
        <f>IF(F16="","",STDEV(F16:F18))</f>
        <v>2.600254914900204E-3</v>
      </c>
      <c r="H18" s="117">
        <f>IF('Correlation Raw Data'!M12="","",('Correlation Raw Data'!M12-'Correlation Raw Data'!L12)/'Correlation Raw Data'!L12)</f>
        <v>0.32023809523809516</v>
      </c>
      <c r="I18" s="118">
        <f>IF(H16="","",STDEV(H16:H18))</f>
        <v>6.3439787168085432E-4</v>
      </c>
      <c r="L18" s="208"/>
      <c r="M18" s="211"/>
      <c r="N18" s="69">
        <v>350</v>
      </c>
      <c r="O18" s="72">
        <f>E16</f>
        <v>0.33009385085782228</v>
      </c>
      <c r="P18" s="80">
        <f t="shared" si="0"/>
        <v>0.29446143147223258</v>
      </c>
      <c r="Q18" s="85">
        <f>D31</f>
        <v>0.307</v>
      </c>
      <c r="R18" s="89">
        <f t="shared" si="1"/>
        <v>1.5721570072551948E-4</v>
      </c>
    </row>
    <row r="19" spans="1:18" x14ac:dyDescent="0.2">
      <c r="A19" s="65" t="s">
        <v>97</v>
      </c>
      <c r="B19" s="115">
        <f>IF('Correlation Raw Data'!D13="","",('Correlation Raw Data'!D13-'Correlation Raw Data'!C13)/'Correlation Raw Data'!C13)</f>
        <v>0.34761904761904761</v>
      </c>
      <c r="C19" s="222">
        <f>IF(B19="","",AVERAGE(B19:B21))</f>
        <v>0.34867197969159913</v>
      </c>
      <c r="D19" s="115">
        <f>IF('Correlation Raw Data'!G13="","",('Correlation Raw Data'!G13-'Correlation Raw Data'!F13)/'Correlation Raw Data'!F13)</f>
        <v>0.2952380952380953</v>
      </c>
      <c r="E19" s="222">
        <f>IF(D19="","",AVERAGE(D19:D21))</f>
        <v>0.29452701810014537</v>
      </c>
      <c r="F19" s="115">
        <f>IF('Correlation Raw Data'!J13="","",('Correlation Raw Data'!J13-'Correlation Raw Data'!I13)/'Correlation Raw Data'!I13)</f>
        <v>0.3180737217598098</v>
      </c>
      <c r="G19" s="222">
        <f>IF(F19="","",AVERAGE(F19:F21))</f>
        <v>0.31859723873695334</v>
      </c>
      <c r="H19" s="115">
        <f>IF('Correlation Raw Data'!M13="","",('Correlation Raw Data'!M13-'Correlation Raw Data'!L13)/'Correlation Raw Data'!L13)</f>
        <v>0.28002378121284188</v>
      </c>
      <c r="I19" s="222">
        <f>IF(H19="","",AVERAGE(H19:H21))</f>
        <v>0.28112578562935281</v>
      </c>
      <c r="L19" s="208"/>
      <c r="M19" s="211"/>
      <c r="N19" s="69">
        <v>500</v>
      </c>
      <c r="O19" s="74">
        <f>E19</f>
        <v>0.29452701810014537</v>
      </c>
      <c r="P19" s="80">
        <f t="shared" si="0"/>
        <v>0.26501260965072471</v>
      </c>
      <c r="Q19" s="85">
        <f>D32</f>
        <v>0.255</v>
      </c>
      <c r="R19" s="89">
        <f t="shared" si="1"/>
        <v>1.0025235201778543E-4</v>
      </c>
    </row>
    <row r="20" spans="1:18" ht="13.5" thickBot="1" x14ac:dyDescent="0.25">
      <c r="A20" s="66"/>
      <c r="B20" s="116">
        <f>IF('Correlation Raw Data'!D14="","",('Correlation Raw Data'!D14-'Correlation Raw Data'!C14)/'Correlation Raw Data'!C14)</f>
        <v>0.35178571428571426</v>
      </c>
      <c r="C20" s="223"/>
      <c r="D20" s="116">
        <f>IF('Correlation Raw Data'!G14="","",('Correlation Raw Data'!G14-'Correlation Raw Data'!F14)/'Correlation Raw Data'!F14)</f>
        <v>0.29191438763376931</v>
      </c>
      <c r="E20" s="223"/>
      <c r="F20" s="116">
        <f>IF('Correlation Raw Data'!J14="","",('Correlation Raw Data'!J14-'Correlation Raw Data'!I14)/'Correlation Raw Data'!I14)</f>
        <v>0.32083333333333336</v>
      </c>
      <c r="G20" s="223"/>
      <c r="H20" s="116">
        <f>IF('Correlation Raw Data'!M14="","",('Correlation Raw Data'!M14-'Correlation Raw Data'!L14)/'Correlation Raw Data'!L14)</f>
        <v>0.28035714285714292</v>
      </c>
      <c r="I20" s="223"/>
      <c r="L20" s="208"/>
      <c r="M20" s="212"/>
      <c r="N20" s="70">
        <v>650</v>
      </c>
      <c r="O20" s="73">
        <f>E22</f>
        <v>0.26823957684540317</v>
      </c>
      <c r="P20" s="81">
        <f t="shared" si="0"/>
        <v>0.24324698944696438</v>
      </c>
      <c r="Q20" s="86">
        <f>D33</f>
        <v>0.24099999999999999</v>
      </c>
      <c r="R20" s="90">
        <f t="shared" si="1"/>
        <v>5.0489615747693219E-6</v>
      </c>
    </row>
    <row r="21" spans="1:18" ht="13.5" thickBot="1" x14ac:dyDescent="0.25">
      <c r="A21" s="67"/>
      <c r="B21" s="117">
        <f>IF('Correlation Raw Data'!D15="","",('Correlation Raw Data'!D15-'Correlation Raw Data'!C15)/'Correlation Raw Data'!C15)</f>
        <v>0.34661117717003559</v>
      </c>
      <c r="C21" s="118">
        <f>IF(B19="","",STDEV(B19:B21))</f>
        <v>2.7432568331163957E-3</v>
      </c>
      <c r="D21" s="117">
        <f>IF('Correlation Raw Data'!G15="","",('Correlation Raw Data'!G15-'Correlation Raw Data'!F15)/'Correlation Raw Data'!F15)</f>
        <v>0.29642857142857143</v>
      </c>
      <c r="E21" s="118">
        <f>IF(D19="","",STDEV(D19:D21))</f>
        <v>2.3395911727051447E-3</v>
      </c>
      <c r="F21" s="117">
        <f>IF('Correlation Raw Data'!J15="","",('Correlation Raw Data'!J15-'Correlation Raw Data'!I15)/'Correlation Raw Data'!I15)</f>
        <v>0.3168846611177169</v>
      </c>
      <c r="G21" s="118">
        <f>IF(F19="","",STDEV(F19:F21))</f>
        <v>2.0257234721485274E-3</v>
      </c>
      <c r="H21" s="117">
        <f>IF('Correlation Raw Data'!M15="","",('Correlation Raw Data'!M15-'Correlation Raw Data'!L15)/'Correlation Raw Data'!L15)</f>
        <v>0.28299643281807357</v>
      </c>
      <c r="I21" s="118">
        <f>IF(H19="","",STDEV(H19:H21))</f>
        <v>1.6285801100880785E-3</v>
      </c>
      <c r="L21" s="208"/>
      <c r="M21" s="210">
        <v>4</v>
      </c>
      <c r="N21" s="75">
        <v>100</v>
      </c>
      <c r="O21" s="76">
        <f>C10</f>
        <v>0.63010564709435091</v>
      </c>
      <c r="P21" s="82">
        <f t="shared" si="0"/>
        <v>0.54286684873034008</v>
      </c>
      <c r="Q21" s="87">
        <f>E29</f>
        <v>0.52800000000000002</v>
      </c>
      <c r="R21" s="92">
        <f t="shared" si="1"/>
        <v>2.2102319117081368E-4</v>
      </c>
    </row>
    <row r="22" spans="1:18" x14ac:dyDescent="0.2">
      <c r="A22" s="65" t="s">
        <v>98</v>
      </c>
      <c r="B22" s="115">
        <f>IF('Correlation Raw Data'!D16="","",('Correlation Raw Data'!D16-'Correlation Raw Data'!C16)/'Correlation Raw Data'!C16)</f>
        <v>0.31785714285714284</v>
      </c>
      <c r="C22" s="222">
        <f>IF(B22="","",AVERAGE(B22:B24))</f>
        <v>0.31832616122152385</v>
      </c>
      <c r="D22" s="115">
        <f>IF('Correlation Raw Data'!G16="","",('Correlation Raw Data'!G16-'Correlation Raw Data'!F16)/'Correlation Raw Data'!F16)</f>
        <v>0.26872770511296074</v>
      </c>
      <c r="E22" s="222">
        <f>IF(D22="","",AVERAGE(D22:D24))</f>
        <v>0.26823957684540317</v>
      </c>
      <c r="F22" s="115">
        <f>IF('Correlation Raw Data'!J16="","",('Correlation Raw Data'!J16-'Correlation Raw Data'!I16)/'Correlation Raw Data'!I16)</f>
        <v>0.2982142857142856</v>
      </c>
      <c r="G22" s="222">
        <f>IF(F22="","",AVERAGE(F22:F24))</f>
        <v>0.29829402827321966</v>
      </c>
      <c r="H22" s="115">
        <f>IF('Correlation Raw Data'!M16="","",('Correlation Raw Data'!M16-'Correlation Raw Data'!L16)/'Correlation Raw Data'!L16)</f>
        <v>0.25952380952380949</v>
      </c>
      <c r="I22" s="222">
        <f>IF(H22="","",AVERAGE(H22:H24))</f>
        <v>0.25902482871864557</v>
      </c>
      <c r="L22" s="208"/>
      <c r="M22" s="211"/>
      <c r="N22" s="69">
        <v>200</v>
      </c>
      <c r="O22" s="72">
        <f>C13</f>
        <v>0.49008479134816824</v>
      </c>
      <c r="P22" s="80">
        <f t="shared" si="0"/>
        <v>0.42693161040709166</v>
      </c>
      <c r="Q22" s="85">
        <f>E30</f>
        <v>0.43099999999999999</v>
      </c>
      <c r="R22" s="89">
        <f t="shared" si="1"/>
        <v>1.6551793879684882E-5</v>
      </c>
    </row>
    <row r="23" spans="1:18" x14ac:dyDescent="0.2">
      <c r="A23" s="66"/>
      <c r="B23" s="116">
        <f>IF('Correlation Raw Data'!D17="","",('Correlation Raw Data'!D17-'Correlation Raw Data'!C17)/'Correlation Raw Data'!C17)</f>
        <v>0.31904761904761902</v>
      </c>
      <c r="C23" s="223"/>
      <c r="D23" s="116">
        <f>IF('Correlation Raw Data'!G17="","",('Correlation Raw Data'!G17-'Correlation Raw Data'!F17)/'Correlation Raw Data'!F17)</f>
        <v>0.26845238095238083</v>
      </c>
      <c r="E23" s="224"/>
      <c r="F23" s="116">
        <f>IF('Correlation Raw Data'!J17="","",('Correlation Raw Data'!J17-'Correlation Raw Data'!I17)/'Correlation Raw Data'!I17)</f>
        <v>0.29904875148632587</v>
      </c>
      <c r="G23" s="224"/>
      <c r="H23" s="116">
        <f>IF('Correlation Raw Data'!M17="","",('Correlation Raw Data'!M17-'Correlation Raw Data'!L17)/'Correlation Raw Data'!L17)</f>
        <v>0.25743162901307959</v>
      </c>
      <c r="I23" s="224"/>
      <c r="L23" s="208"/>
      <c r="M23" s="211"/>
      <c r="N23" s="69">
        <v>350</v>
      </c>
      <c r="O23" s="72">
        <f>C16</f>
        <v>0.39527914614121507</v>
      </c>
      <c r="P23" s="80">
        <f t="shared" si="0"/>
        <v>0.34843391081167191</v>
      </c>
      <c r="Q23" s="85">
        <f>E31</f>
        <v>0.35799999999999998</v>
      </c>
      <c r="R23" s="89">
        <f t="shared" si="1"/>
        <v>9.1510062359047298E-5</v>
      </c>
    </row>
    <row r="24" spans="1:18" ht="13.5" thickBot="1" x14ac:dyDescent="0.25">
      <c r="A24" s="67"/>
      <c r="B24" s="117">
        <f>IF('Correlation Raw Data'!D18="","",('Correlation Raw Data'!D18-'Correlation Raw Data'!C18)/'Correlation Raw Data'!C18)</f>
        <v>0.3180737217598098</v>
      </c>
      <c r="C24" s="118">
        <f>IF(B22="","",STDEV(B22:B24))</f>
        <v>6.3411564512756377E-4</v>
      </c>
      <c r="D24" s="117">
        <f>IF('Correlation Raw Data'!G18="","",('Correlation Raw Data'!G18-'Correlation Raw Data'!F18)/'Correlation Raw Data'!F18)</f>
        <v>0.267538644470868</v>
      </c>
      <c r="E24" s="118">
        <f>IF(D22="","",STDEV(D22:D24))</f>
        <v>6.2243914851446203E-4</v>
      </c>
      <c r="F24" s="117">
        <f>IF('Correlation Raw Data'!J18="","",('Correlation Raw Data'!J18-'Correlation Raw Data'!I18)/'Correlation Raw Data'!I18)</f>
        <v>0.29761904761904762</v>
      </c>
      <c r="G24" s="118">
        <f>IF(F22="","",STDEV(F22:F24))</f>
        <v>7.1817995224499054E-4</v>
      </c>
      <c r="H24" s="117">
        <f>IF('Correlation Raw Data'!M18="","",('Correlation Raw Data'!M18-'Correlation Raw Data'!L18)/'Correlation Raw Data'!L18)</f>
        <v>0.26011904761904769</v>
      </c>
      <c r="I24" s="118">
        <f>IF(H22="","",STDEV(H22:H24))</f>
        <v>1.4114854139761414E-3</v>
      </c>
      <c r="L24" s="208"/>
      <c r="M24" s="211"/>
      <c r="N24" s="69">
        <v>500</v>
      </c>
      <c r="O24" s="72">
        <f>C19</f>
        <v>0.34867197969159913</v>
      </c>
      <c r="P24" s="80">
        <f t="shared" si="0"/>
        <v>0.3098438527727298</v>
      </c>
      <c r="Q24" s="85">
        <f>E32</f>
        <v>0.3</v>
      </c>
      <c r="R24" s="89">
        <f t="shared" si="1"/>
        <v>9.6901437411180382E-5</v>
      </c>
    </row>
    <row r="25" spans="1:18" ht="13.5" thickBot="1" x14ac:dyDescent="0.25">
      <c r="L25" s="209"/>
      <c r="M25" s="212"/>
      <c r="N25" s="70">
        <v>650</v>
      </c>
      <c r="O25" s="73">
        <f>C22</f>
        <v>0.31832616122152385</v>
      </c>
      <c r="P25" s="81">
        <f t="shared" si="0"/>
        <v>0.28471795507917769</v>
      </c>
      <c r="Q25" s="86">
        <f>E33</f>
        <v>0.28000000000000003</v>
      </c>
      <c r="R25" s="90">
        <f t="shared" si="1"/>
        <v>2.2259100129138282E-5</v>
      </c>
    </row>
    <row r="26" spans="1:18" ht="14.25" x14ac:dyDescent="0.2">
      <c r="A26" s="15" t="s">
        <v>13</v>
      </c>
      <c r="B26" s="15"/>
      <c r="C26" s="15"/>
      <c r="D26" s="15"/>
      <c r="E26" s="15"/>
      <c r="G26" s="15" t="s">
        <v>116</v>
      </c>
      <c r="H26" s="15"/>
      <c r="I26" s="15"/>
      <c r="J26" s="15"/>
      <c r="K26" s="15"/>
      <c r="N26" s="15"/>
      <c r="O26" s="15"/>
      <c r="P26" s="27"/>
      <c r="Q26" s="28" t="s">
        <v>43</v>
      </c>
      <c r="R26" s="20">
        <f>SQRT(SUM(R6:R25)/(COUNT(R6:R25)-2))</f>
        <v>8.9178841886822183E-3</v>
      </c>
    </row>
    <row r="27" spans="1:18" ht="13.5" customHeight="1" x14ac:dyDescent="0.2">
      <c r="A27" s="19"/>
      <c r="B27" s="203" t="s">
        <v>4</v>
      </c>
      <c r="C27" s="204"/>
      <c r="D27" s="203" t="s">
        <v>5</v>
      </c>
      <c r="E27" s="204"/>
      <c r="G27" s="19"/>
      <c r="H27" s="203" t="s">
        <v>4</v>
      </c>
      <c r="I27" s="204"/>
      <c r="J27" s="203" t="s">
        <v>5</v>
      </c>
      <c r="K27" s="204"/>
    </row>
    <row r="28" spans="1:18" ht="26.25" thickBot="1" x14ac:dyDescent="0.25">
      <c r="A28" s="17" t="s">
        <v>2</v>
      </c>
      <c r="B28" s="19" t="s">
        <v>0</v>
      </c>
      <c r="C28" s="19" t="s">
        <v>1</v>
      </c>
      <c r="D28" s="19" t="s">
        <v>0</v>
      </c>
      <c r="E28" s="19" t="s">
        <v>1</v>
      </c>
      <c r="G28" s="17" t="s">
        <v>2</v>
      </c>
      <c r="H28" s="19" t="s">
        <v>0</v>
      </c>
      <c r="I28" s="19" t="s">
        <v>1</v>
      </c>
      <c r="J28" s="19" t="s">
        <v>0</v>
      </c>
      <c r="K28" s="19" t="s">
        <v>1</v>
      </c>
      <c r="O28" s="59" t="s">
        <v>112</v>
      </c>
    </row>
    <row r="29" spans="1:18" ht="15" x14ac:dyDescent="0.25">
      <c r="A29" s="17">
        <v>100</v>
      </c>
      <c r="B29" s="18">
        <v>0.45900000000000002</v>
      </c>
      <c r="C29" s="18">
        <v>0.499</v>
      </c>
      <c r="D29" s="18">
        <v>0.497</v>
      </c>
      <c r="E29" s="18">
        <v>0.52800000000000002</v>
      </c>
      <c r="G29" s="17">
        <v>100</v>
      </c>
      <c r="H29" s="18">
        <f>I10</f>
        <v>0.52895480625861124</v>
      </c>
      <c r="I29" s="18">
        <f>G10</f>
        <v>0.58984532774663556</v>
      </c>
      <c r="J29" s="18">
        <f>E10</f>
        <v>0.56146145933601332</v>
      </c>
      <c r="K29" s="18">
        <f>C10</f>
        <v>0.63010564709435091</v>
      </c>
      <c r="O29" s="21" t="s">
        <v>6</v>
      </c>
      <c r="P29" s="22"/>
    </row>
    <row r="30" spans="1:18" ht="15" x14ac:dyDescent="0.25">
      <c r="A30" s="17">
        <v>200</v>
      </c>
      <c r="B30" s="18">
        <v>0.35699999999999998</v>
      </c>
      <c r="C30" s="18">
        <v>0.40400000000000003</v>
      </c>
      <c r="D30" s="18">
        <v>0.379</v>
      </c>
      <c r="E30" s="18">
        <v>0.43099999999999999</v>
      </c>
      <c r="G30" s="17">
        <v>200</v>
      </c>
      <c r="H30" s="18">
        <f>I13</f>
        <v>0.40440259139724066</v>
      </c>
      <c r="I30" s="18">
        <f>G13</f>
        <v>0.45378847932355654</v>
      </c>
      <c r="J30" s="18">
        <f>E13</f>
        <v>0.42086447539776906</v>
      </c>
      <c r="K30" s="18">
        <f>C13</f>
        <v>0.49008479134816824</v>
      </c>
      <c r="O30" s="23" t="s">
        <v>7</v>
      </c>
      <c r="P30" s="24">
        <f>IF(O6="","",SLOPE(Q6:Q25,O6:O25))</f>
        <v>0.82798550048433806</v>
      </c>
    </row>
    <row r="31" spans="1:18" ht="15.75" thickBot="1" x14ac:dyDescent="0.3">
      <c r="A31" s="17">
        <v>350</v>
      </c>
      <c r="B31" s="18">
        <v>0.29599999999999999</v>
      </c>
      <c r="C31" s="18">
        <v>0.33100000000000002</v>
      </c>
      <c r="D31" s="18">
        <v>0.307</v>
      </c>
      <c r="E31" s="18">
        <v>0.35799999999999998</v>
      </c>
      <c r="G31" s="17">
        <v>350</v>
      </c>
      <c r="H31" s="18">
        <f>I16</f>
        <v>0.31951616556253892</v>
      </c>
      <c r="I31" s="18">
        <f>G16</f>
        <v>0.3657821848517448</v>
      </c>
      <c r="J31" s="18">
        <f>E16</f>
        <v>0.33009385085782228</v>
      </c>
      <c r="K31" s="18">
        <f>C16</f>
        <v>0.39527914614121507</v>
      </c>
      <c r="O31" s="25" t="s">
        <v>8</v>
      </c>
      <c r="P31" s="26">
        <f>IF(O6="","",INTERCEPT(Q6:Q25,O6:O25))</f>
        <v>2.1148509162916163E-2</v>
      </c>
    </row>
    <row r="32" spans="1:18" x14ac:dyDescent="0.2">
      <c r="A32" s="17">
        <v>500</v>
      </c>
      <c r="B32" s="18">
        <v>0.24199999999999999</v>
      </c>
      <c r="C32" s="18">
        <v>0.28699999999999998</v>
      </c>
      <c r="D32" s="18">
        <v>0.255</v>
      </c>
      <c r="E32" s="18">
        <v>0.3</v>
      </c>
      <c r="G32" s="17">
        <v>500</v>
      </c>
      <c r="H32" s="18">
        <f>I19</f>
        <v>0.28112578562935281</v>
      </c>
      <c r="I32" s="18">
        <f>G19</f>
        <v>0.31859723873695334</v>
      </c>
      <c r="J32" s="18">
        <f>E19</f>
        <v>0.29452701810014537</v>
      </c>
      <c r="K32" s="18">
        <f>C19</f>
        <v>0.34867197969159913</v>
      </c>
    </row>
    <row r="33" spans="1:11" x14ac:dyDescent="0.2">
      <c r="A33" s="31">
        <v>650</v>
      </c>
      <c r="B33" s="32">
        <v>0.23</v>
      </c>
      <c r="C33" s="32">
        <v>0.26400000000000001</v>
      </c>
      <c r="D33" s="32">
        <v>0.24099999999999999</v>
      </c>
      <c r="E33" s="32">
        <v>0.28000000000000003</v>
      </c>
      <c r="G33" s="31">
        <v>650</v>
      </c>
      <c r="H33" s="32">
        <f>I22</f>
        <v>0.25902482871864557</v>
      </c>
      <c r="I33" s="32">
        <f>G22</f>
        <v>0.29829402827321966</v>
      </c>
      <c r="J33" s="32">
        <f>E22</f>
        <v>0.26823957684540317</v>
      </c>
      <c r="K33" s="32">
        <f>C22</f>
        <v>0.31832616122152385</v>
      </c>
    </row>
    <row r="34" spans="1:11" x14ac:dyDescent="0.2">
      <c r="A34" s="16" t="s">
        <v>57</v>
      </c>
      <c r="B34" s="16"/>
      <c r="D34" s="16"/>
      <c r="E34" s="16"/>
      <c r="G34" s="16" t="s">
        <v>57</v>
      </c>
      <c r="H34" s="16"/>
      <c r="J34" s="16"/>
      <c r="K34" s="16"/>
    </row>
  </sheetData>
  <mergeCells count="45">
    <mergeCell ref="I8:I9"/>
    <mergeCell ref="H8:H9"/>
    <mergeCell ref="E8:E9"/>
    <mergeCell ref="G13:G14"/>
    <mergeCell ref="I13:I14"/>
    <mergeCell ref="B6:E6"/>
    <mergeCell ref="F6:I6"/>
    <mergeCell ref="B7:C7"/>
    <mergeCell ref="D7:E7"/>
    <mergeCell ref="F7:G7"/>
    <mergeCell ref="H7:I7"/>
    <mergeCell ref="B8:B9"/>
    <mergeCell ref="C8:C9"/>
    <mergeCell ref="D8:D9"/>
    <mergeCell ref="F8:F9"/>
    <mergeCell ref="H27:I27"/>
    <mergeCell ref="C16:C17"/>
    <mergeCell ref="C10:C11"/>
    <mergeCell ref="E10:E11"/>
    <mergeCell ref="G10:G11"/>
    <mergeCell ref="I10:I11"/>
    <mergeCell ref="C13:C14"/>
    <mergeCell ref="E13:E14"/>
    <mergeCell ref="G8:G9"/>
    <mergeCell ref="C22:C23"/>
    <mergeCell ref="E22:E23"/>
    <mergeCell ref="G22:G23"/>
    <mergeCell ref="B27:C27"/>
    <mergeCell ref="D27:E27"/>
    <mergeCell ref="L16:L25"/>
    <mergeCell ref="M16:M20"/>
    <mergeCell ref="M21:M25"/>
    <mergeCell ref="I22:I23"/>
    <mergeCell ref="G16:G17"/>
    <mergeCell ref="E16:E17"/>
    <mergeCell ref="I16:I17"/>
    <mergeCell ref="C19:C20"/>
    <mergeCell ref="E19:E20"/>
    <mergeCell ref="G19:G20"/>
    <mergeCell ref="I19:I20"/>
    <mergeCell ref="J27:K27"/>
    <mergeCell ref="L5:N5"/>
    <mergeCell ref="L6:L15"/>
    <mergeCell ref="M6:M10"/>
    <mergeCell ref="M11:M15"/>
  </mergeCells>
  <pageMargins left="0.7" right="0.7" top="0.75" bottom="0.75" header="0.3" footer="0.3"/>
  <ignoredErrors>
    <ignoredError sqref="D11:H24 D10 F10:H10" formula="1"/>
    <ignoredError sqref="P11:R26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zoomScale="80" zoomScaleNormal="80" zoomScalePageLayoutView="80" workbookViewId="0"/>
  </sheetViews>
  <sheetFormatPr defaultColWidth="8.85546875" defaultRowHeight="12.75" x14ac:dyDescent="0.2"/>
  <cols>
    <col min="1" max="1" width="2.85546875" customWidth="1"/>
    <col min="2" max="2" width="11.28515625" bestFit="1" customWidth="1"/>
    <col min="3" max="3" width="10.140625" bestFit="1" customWidth="1"/>
    <col min="4" max="4" width="11.28515625" customWidth="1"/>
    <col min="5" max="5" width="16.28515625" customWidth="1"/>
    <col min="6" max="6" width="9.140625" customWidth="1"/>
    <col min="7" max="7" width="16.140625" customWidth="1"/>
    <col min="8" max="8" width="12.42578125" bestFit="1" customWidth="1"/>
    <col min="9" max="9" width="7" customWidth="1"/>
    <col min="10" max="10" width="16.42578125" bestFit="1" customWidth="1"/>
    <col min="11" max="11" width="12" bestFit="1" customWidth="1"/>
    <col min="12" max="12" width="19.42578125" bestFit="1" customWidth="1"/>
    <col min="13" max="13" width="15.42578125" customWidth="1"/>
    <col min="14" max="14" width="6.7109375" bestFit="1" customWidth="1"/>
    <col min="15" max="15" width="21.140625" customWidth="1"/>
    <col min="16" max="16" width="12.42578125" bestFit="1" customWidth="1"/>
    <col min="17" max="17" width="6.85546875" customWidth="1"/>
    <col min="20" max="20" width="12.42578125" bestFit="1" customWidth="1"/>
  </cols>
  <sheetData>
    <row r="1" spans="1:21" ht="18" x14ac:dyDescent="0.25">
      <c r="A1" s="37" t="s">
        <v>73</v>
      </c>
      <c r="J1" s="106" t="str">
        <f>"Final conclusions on the acceptance of energy cloth" &amp;'Correlation Raw Data'!B20</f>
        <v>Final conclusions on the acceptance of energy cloth20</v>
      </c>
      <c r="K1" s="106"/>
      <c r="L1" s="107"/>
      <c r="M1" s="108"/>
      <c r="N1" s="108"/>
      <c r="O1" s="108"/>
    </row>
    <row r="2" spans="1:21" ht="18" x14ac:dyDescent="0.25">
      <c r="A2" s="99" t="str">
        <f>"Statistical Test for Lot x Spin Speed Interaction - - - Lot #" &amp;'Correlation Raw Data'!B20</f>
        <v>Statistical Test for Lot x Spin Speed Interaction - - - Lot #20</v>
      </c>
      <c r="J2" s="109" t="str">
        <f>IF(O9=TRUE,"This lot is acceptable","Do not accept the lot, investigate the reasons")</f>
        <v>This lot is acceptable</v>
      </c>
      <c r="K2" s="108"/>
      <c r="L2" s="108"/>
      <c r="M2" s="108"/>
      <c r="N2" s="108"/>
      <c r="O2" s="108"/>
    </row>
    <row r="3" spans="1:21" ht="18" x14ac:dyDescent="0.25">
      <c r="A3" s="99"/>
    </row>
    <row r="4" spans="1:21" ht="15" x14ac:dyDescent="0.25">
      <c r="D4" s="168"/>
      <c r="E4" s="168"/>
      <c r="G4" s="227" t="s">
        <v>79</v>
      </c>
      <c r="H4" s="227"/>
      <c r="K4" s="49" t="s">
        <v>80</v>
      </c>
    </row>
    <row r="5" spans="1:21" ht="32.25" thickBot="1" x14ac:dyDescent="0.3">
      <c r="B5" s="12" t="s">
        <v>15</v>
      </c>
      <c r="C5" s="12" t="s">
        <v>59</v>
      </c>
      <c r="D5" s="174" t="s">
        <v>115</v>
      </c>
      <c r="E5" s="174" t="str">
        <f>"Uncorrected Lot "&amp;'Correlation Raw Data'!B20</f>
        <v>Uncorrected Lot 20</v>
      </c>
      <c r="G5" s="228"/>
      <c r="H5" s="228"/>
      <c r="K5" s="184" t="s">
        <v>84</v>
      </c>
      <c r="L5" s="184"/>
      <c r="M5" s="229" t="s">
        <v>82</v>
      </c>
      <c r="N5" s="225" t="s">
        <v>87</v>
      </c>
      <c r="O5" s="225" t="s">
        <v>88</v>
      </c>
      <c r="P5" s="225"/>
    </row>
    <row r="6" spans="1:21" ht="15" x14ac:dyDescent="0.2">
      <c r="B6" s="38" t="s">
        <v>16</v>
      </c>
      <c r="C6" s="41">
        <v>100</v>
      </c>
      <c r="D6" s="152">
        <v>0.52800000000000002</v>
      </c>
      <c r="E6" s="153">
        <f>Correction!C10</f>
        <v>0.63010564709435091</v>
      </c>
      <c r="G6" s="1"/>
      <c r="H6" s="36" t="s">
        <v>71</v>
      </c>
      <c r="K6" s="184"/>
      <c r="L6" s="184"/>
      <c r="M6" s="229"/>
      <c r="N6" s="225"/>
      <c r="O6" s="225"/>
      <c r="P6" s="225"/>
    </row>
    <row r="7" spans="1:21" ht="15" x14ac:dyDescent="0.2">
      <c r="B7" s="39" t="s">
        <v>17</v>
      </c>
      <c r="C7" s="42">
        <v>100</v>
      </c>
      <c r="D7" s="154">
        <v>0.499</v>
      </c>
      <c r="E7" s="155">
        <f>Correction!G10</f>
        <v>0.58984532774663556</v>
      </c>
      <c r="G7" s="1" t="s">
        <v>66</v>
      </c>
      <c r="H7" s="36" t="s">
        <v>72</v>
      </c>
      <c r="K7" s="36"/>
      <c r="L7" s="1" t="s">
        <v>75</v>
      </c>
      <c r="M7" s="1" t="s">
        <v>86</v>
      </c>
      <c r="N7" s="57">
        <f>D30</f>
        <v>8.9178841886821715E-3</v>
      </c>
      <c r="O7" s="225" t="str">
        <f>IF(D30&lt;2%,"Acceptance criteria met", "Does not meet acceptance criteria")</f>
        <v>Acceptance criteria met</v>
      </c>
      <c r="P7" s="225"/>
    </row>
    <row r="8" spans="1:21" ht="15" x14ac:dyDescent="0.2">
      <c r="B8" s="39" t="s">
        <v>18</v>
      </c>
      <c r="C8" s="42">
        <v>100</v>
      </c>
      <c r="D8" s="156">
        <v>0.497</v>
      </c>
      <c r="E8" s="155">
        <f>Correction!E10</f>
        <v>0.56146145933601332</v>
      </c>
      <c r="G8" s="1" t="s">
        <v>67</v>
      </c>
      <c r="H8" s="44">
        <f>L19</f>
        <v>0.33026443834321906</v>
      </c>
      <c r="K8" s="36" t="s">
        <v>83</v>
      </c>
      <c r="L8" s="1" t="s">
        <v>74</v>
      </c>
      <c r="M8" s="1" t="s">
        <v>85</v>
      </c>
      <c r="N8" s="44">
        <f>MIN(H8:H13)</f>
        <v>0.33026443834321906</v>
      </c>
      <c r="O8" s="226" t="str">
        <f>IF(N8&gt;0.1,"Acceptance criteria met", "Does not meet acceptance criteria")</f>
        <v>Acceptance criteria met</v>
      </c>
      <c r="P8" s="226"/>
    </row>
    <row r="9" spans="1:21" ht="15.75" thickBot="1" x14ac:dyDescent="0.25">
      <c r="B9" s="40" t="s">
        <v>19</v>
      </c>
      <c r="C9" s="43">
        <v>100</v>
      </c>
      <c r="D9" s="156">
        <v>0.45900000000000002</v>
      </c>
      <c r="E9" s="157">
        <f>Correction!I10</f>
        <v>0.52895480625861124</v>
      </c>
      <c r="F9" s="169"/>
      <c r="G9" s="170" t="s">
        <v>68</v>
      </c>
      <c r="H9" s="171">
        <f>L29</f>
        <v>0.4354168453149998</v>
      </c>
      <c r="K9" s="59" t="s">
        <v>114</v>
      </c>
      <c r="O9" s="105" t="b">
        <f>AND(O7="Acceptance criteria met",O8="Acceptance criteria met")</f>
        <v>1</v>
      </c>
      <c r="P9" s="13"/>
    </row>
    <row r="10" spans="1:21" ht="15" x14ac:dyDescent="0.2">
      <c r="B10" s="38" t="s">
        <v>20</v>
      </c>
      <c r="C10" s="41">
        <v>200</v>
      </c>
      <c r="D10" s="158">
        <v>0.43099999999999999</v>
      </c>
      <c r="E10" s="153">
        <f>Correction!C13</f>
        <v>0.49008479134816824</v>
      </c>
      <c r="F10" s="169"/>
      <c r="G10" s="170" t="s">
        <v>69</v>
      </c>
      <c r="H10" s="171">
        <f>T19</f>
        <v>0.47487801217529735</v>
      </c>
      <c r="O10" s="13"/>
      <c r="P10" s="102"/>
    </row>
    <row r="11" spans="1:21" ht="15" x14ac:dyDescent="0.2">
      <c r="B11" s="39" t="s">
        <v>21</v>
      </c>
      <c r="C11" s="42">
        <v>200</v>
      </c>
      <c r="D11" s="156">
        <v>0.40400000000000003</v>
      </c>
      <c r="E11" s="155">
        <f>Correction!G13</f>
        <v>0.45378847932355654</v>
      </c>
      <c r="F11" s="169"/>
      <c r="G11" s="172" t="s">
        <v>108</v>
      </c>
      <c r="H11" s="171">
        <f>L39</f>
        <v>0.82328213628973967</v>
      </c>
    </row>
    <row r="12" spans="1:21" ht="15" x14ac:dyDescent="0.2">
      <c r="B12" s="39" t="s">
        <v>22</v>
      </c>
      <c r="C12" s="42">
        <v>200</v>
      </c>
      <c r="D12" s="156">
        <v>0.379</v>
      </c>
      <c r="E12" s="155">
        <f>Correction!E13</f>
        <v>0.42086447539776906</v>
      </c>
      <c r="F12" s="169"/>
      <c r="G12" s="170" t="s">
        <v>70</v>
      </c>
      <c r="H12" s="171">
        <f>T29</f>
        <v>0.91231106392909911</v>
      </c>
      <c r="N12" s="104"/>
      <c r="O12" s="13"/>
      <c r="P12" s="13"/>
    </row>
    <row r="13" spans="1:21" ht="15.75" thickBot="1" x14ac:dyDescent="0.25">
      <c r="B13" s="40" t="s">
        <v>23</v>
      </c>
      <c r="C13" s="43">
        <v>200</v>
      </c>
      <c r="D13" s="159">
        <v>0.35699999999999998</v>
      </c>
      <c r="E13" s="157">
        <f>Correction!I13</f>
        <v>0.40440259139724066</v>
      </c>
      <c r="F13" s="169"/>
      <c r="G13" s="173" t="s">
        <v>107</v>
      </c>
      <c r="H13" s="171">
        <f>T39</f>
        <v>0.93440943631087792</v>
      </c>
      <c r="N13" s="13"/>
      <c r="P13" s="13"/>
    </row>
    <row r="14" spans="1:21" ht="15" x14ac:dyDescent="0.2">
      <c r="B14" s="39" t="s">
        <v>24</v>
      </c>
      <c r="C14" s="41">
        <v>350</v>
      </c>
      <c r="D14" s="156">
        <v>0.35799999999999998</v>
      </c>
      <c r="E14" s="153">
        <f>Correction!C16</f>
        <v>0.39527914614121507</v>
      </c>
    </row>
    <row r="15" spans="1:21" ht="15.75" thickBot="1" x14ac:dyDescent="0.25">
      <c r="B15" s="39" t="s">
        <v>25</v>
      </c>
      <c r="C15" s="42">
        <v>350</v>
      </c>
      <c r="D15" s="156">
        <v>0.33100000000000002</v>
      </c>
      <c r="E15" s="155">
        <f>Correction!G16</f>
        <v>0.3657821848517448</v>
      </c>
      <c r="G15" t="str">
        <f>"ANOVA calculated from lot "&amp;E5&amp;" data"</f>
        <v>ANOVA calculated from lot Uncorrected Lot 20 data</v>
      </c>
      <c r="J15" t="s">
        <v>56</v>
      </c>
      <c r="O15" t="str">
        <f>G15</f>
        <v>ANOVA calculated from lot Uncorrected Lot 20 data</v>
      </c>
      <c r="Q15" s="30"/>
      <c r="R15" t="s">
        <v>64</v>
      </c>
    </row>
    <row r="16" spans="1:21" ht="15" x14ac:dyDescent="0.2">
      <c r="B16" s="39" t="s">
        <v>26</v>
      </c>
      <c r="C16" s="42">
        <v>350</v>
      </c>
      <c r="D16" s="156">
        <v>0.307</v>
      </c>
      <c r="E16" s="155">
        <f>Correction!E16</f>
        <v>0.33009385085782228</v>
      </c>
      <c r="G16" s="100" t="s">
        <v>36</v>
      </c>
      <c r="H16" s="101" t="s">
        <v>28</v>
      </c>
      <c r="I16" s="101" t="s">
        <v>29</v>
      </c>
      <c r="J16" s="101" t="s">
        <v>30</v>
      </c>
      <c r="K16" s="101" t="s">
        <v>31</v>
      </c>
      <c r="L16" s="101" t="s">
        <v>32</v>
      </c>
      <c r="M16" s="101" t="s">
        <v>33</v>
      </c>
      <c r="O16" s="100" t="s">
        <v>36</v>
      </c>
      <c r="P16" s="101" t="s">
        <v>28</v>
      </c>
      <c r="Q16" s="101" t="s">
        <v>29</v>
      </c>
      <c r="R16" s="101" t="s">
        <v>30</v>
      </c>
      <c r="S16" s="101" t="s">
        <v>31</v>
      </c>
      <c r="T16" s="101" t="s">
        <v>32</v>
      </c>
      <c r="U16" s="101" t="s">
        <v>33</v>
      </c>
    </row>
    <row r="17" spans="2:21" ht="15.75" thickBot="1" x14ac:dyDescent="0.25">
      <c r="B17" s="40" t="s">
        <v>27</v>
      </c>
      <c r="C17" s="43">
        <v>350</v>
      </c>
      <c r="D17" s="159">
        <v>0.29599999999999999</v>
      </c>
      <c r="E17" s="157">
        <f>Correction!I16</f>
        <v>0.31951616556253892</v>
      </c>
      <c r="G17" s="13" t="s">
        <v>37</v>
      </c>
      <c r="H17" s="13">
        <f>SUMSQ(SUM(D6:E9),SUM(D10:E13),SUM(D14:E17))/COUNT(D6:E9)-SUM(D6:E17)^2/COUNT(D6:E17)</f>
        <v>0.1602217360792233</v>
      </c>
      <c r="I17" s="54">
        <v>2</v>
      </c>
      <c r="J17" s="13">
        <f>H17/I17</f>
        <v>8.0110868039611649E-2</v>
      </c>
      <c r="K17" s="13">
        <f>J17/$J$20</f>
        <v>68.10060092492634</v>
      </c>
      <c r="L17" s="13">
        <f>FDIST(K17,I17,$I$20)</f>
        <v>4.0240439763077971E-9</v>
      </c>
      <c r="M17" s="13">
        <f>FINV(0.1,I17,$I$20)</f>
        <v>2.6239469851339554</v>
      </c>
      <c r="O17" s="13" t="s">
        <v>37</v>
      </c>
      <c r="P17" s="34">
        <f>SUMSQ(SUM(D6:E9),SUM(D10:E13),SUM(D14:E17),SUM(D18:E21),SUM(D22:E25))/COUNT(D6:E9)-SUM(D6:E25)^2/COUNT(D6:E25)</f>
        <v>0.37888373184059176</v>
      </c>
      <c r="Q17" s="33">
        <v>4</v>
      </c>
      <c r="R17" s="13">
        <f>P17/Q17</f>
        <v>9.4720932960147941E-2</v>
      </c>
      <c r="S17" s="13">
        <f>R17/$R$20</f>
        <v>95.456301818945775</v>
      </c>
      <c r="T17" s="13">
        <f>FDIST(S17,Q17,$Q$20)</f>
        <v>1.2868384422538415E-16</v>
      </c>
      <c r="U17" s="13">
        <f>FINV(0.1,Q17,$Q$20)</f>
        <v>2.1422348562884994</v>
      </c>
    </row>
    <row r="18" spans="2:21" ht="15.75" thickBot="1" x14ac:dyDescent="0.25">
      <c r="B18" s="39" t="s">
        <v>45</v>
      </c>
      <c r="C18" s="41">
        <v>500</v>
      </c>
      <c r="D18" s="160">
        <v>0.3</v>
      </c>
      <c r="E18" s="161">
        <f>Correction!C19</f>
        <v>0.34867197969159913</v>
      </c>
      <c r="G18" s="13" t="s">
        <v>38</v>
      </c>
      <c r="H18" s="13">
        <f>SUMSQ(SUM(D6:D17),SUM(E6:E17))/COUNT(D6:D17)-SUM(D6:E17)^2/COUNT(D6:E17)</f>
        <v>1.7290270325871937E-2</v>
      </c>
      <c r="I18" s="54">
        <v>1</v>
      </c>
      <c r="J18" s="13">
        <f>H18/I18</f>
        <v>1.7290270325871937E-2</v>
      </c>
      <c r="K18" s="13">
        <f>J18/$J$20</f>
        <v>14.698103118344502</v>
      </c>
      <c r="L18" s="13">
        <f>FDIST(K18,I18,$I$20)</f>
        <v>1.2162112824476439E-3</v>
      </c>
      <c r="M18" s="13">
        <f>FINV(0.1,I18,$I$20)</f>
        <v>3.0069765917954268</v>
      </c>
      <c r="O18" s="13" t="s">
        <v>38</v>
      </c>
      <c r="P18" s="34">
        <f>SUMSQ(SUM(D6:D25),SUM(E6:E25))/COUNT(D6:D25)-SUM(D6:E25)^2/COUNT(D6:E25)</f>
        <v>2.1714926287240921E-2</v>
      </c>
      <c r="Q18" s="33">
        <v>1</v>
      </c>
      <c r="R18" s="13">
        <f>P18/Q18</f>
        <v>2.1714926287240921E-2</v>
      </c>
      <c r="S18" s="13">
        <f>R18/$R$20</f>
        <v>21.883510781329949</v>
      </c>
      <c r="T18" s="13">
        <f>FDIST(S18,Q18,$Q$20)</f>
        <v>5.7751885980421565E-5</v>
      </c>
      <c r="U18" s="13">
        <f>FINV(0.1,Q18,$Q$20)</f>
        <v>2.8806945171617104</v>
      </c>
    </row>
    <row r="19" spans="2:21" ht="15.75" thickBot="1" x14ac:dyDescent="0.25">
      <c r="B19" s="39" t="s">
        <v>46</v>
      </c>
      <c r="C19" s="42">
        <v>500</v>
      </c>
      <c r="D19" s="162">
        <v>0.28699999999999998</v>
      </c>
      <c r="E19" s="163">
        <f>Correction!G19</f>
        <v>0.31859723873695334</v>
      </c>
      <c r="G19" s="13" t="s">
        <v>34</v>
      </c>
      <c r="H19" s="13">
        <f>SUMSQ(SUM(D6:D9),SUM(E6:E9),SUM(D10:D13),SUM(E10:E13),SUM(D14:D17),SUM(E14:E17))/COUNT(D6:D9)-SUM(D6:E17)^2/COUNT(D6:E17)-H17-H18</f>
        <v>2.7737036914716739E-3</v>
      </c>
      <c r="I19" s="54">
        <v>2</v>
      </c>
      <c r="J19" s="13">
        <f>H19/I19</f>
        <v>1.386851845735837E-3</v>
      </c>
      <c r="K19" s="13">
        <f>J19/$J$20</f>
        <v>1.178934224526867</v>
      </c>
      <c r="L19" s="131">
        <f>FDIST(K19,I19,$I$20)</f>
        <v>0.33026443834321906</v>
      </c>
      <c r="M19" s="13">
        <f>FINV(0.1,I19,$I$20)</f>
        <v>2.6239469851339554</v>
      </c>
      <c r="O19" s="13" t="s">
        <v>34</v>
      </c>
      <c r="P19" s="34">
        <f>SUMSQ(SUM(D6:D9),SUM(E6:E9),SUM(D10:D13),SUM(E10:E13),SUM(D14:D17),SUM(E14:E17),SUM(D18:D21),SUM(E18:E21),SUM(D22:D25),SUM(E22:E25))/COUNT(D6:D9)-SUM(D6:E25)^2/COUNT(D6:E25)-P17-P18</f>
        <v>3.5824787263880609E-3</v>
      </c>
      <c r="Q19" s="33">
        <v>4</v>
      </c>
      <c r="R19" s="13">
        <f>P19/Q19</f>
        <v>8.9561968159701522E-4</v>
      </c>
      <c r="S19" s="13">
        <f>R19/$R$20</f>
        <v>0.90257285237553753</v>
      </c>
      <c r="T19" s="131">
        <f>FDIST(S19,Q19,$Q$20)</f>
        <v>0.47487801217529735</v>
      </c>
      <c r="U19" s="13">
        <f>FINV(0.1,Q19,$Q$20)</f>
        <v>2.1422348562884994</v>
      </c>
    </row>
    <row r="20" spans="2:21" ht="15" x14ac:dyDescent="0.2">
      <c r="B20" s="39" t="s">
        <v>47</v>
      </c>
      <c r="C20" s="42">
        <v>500</v>
      </c>
      <c r="D20" s="162">
        <v>0.255</v>
      </c>
      <c r="E20" s="163">
        <f>Correction!E19</f>
        <v>0.29452701810014537</v>
      </c>
      <c r="G20" s="13" t="s">
        <v>39</v>
      </c>
      <c r="H20" s="13">
        <f>H22-H17-H18-H19</f>
        <v>2.1174491930000094E-2</v>
      </c>
      <c r="I20" s="54">
        <v>18</v>
      </c>
      <c r="J20" s="13">
        <f>H20/I20</f>
        <v>1.176360662777783E-3</v>
      </c>
      <c r="K20" s="13"/>
      <c r="L20" s="13"/>
      <c r="M20" s="13"/>
      <c r="O20" s="13" t="s">
        <v>39</v>
      </c>
      <c r="P20" s="34">
        <f>P22-P17-P18-P19</f>
        <v>2.9768888325405918E-2</v>
      </c>
      <c r="Q20" s="33">
        <v>30</v>
      </c>
      <c r="R20" s="13">
        <f>P20/Q20</f>
        <v>9.9229627751353053E-4</v>
      </c>
      <c r="S20" s="13"/>
      <c r="T20" s="13"/>
      <c r="U20" s="13"/>
    </row>
    <row r="21" spans="2:21" ht="15.75" thickBot="1" x14ac:dyDescent="0.25">
      <c r="B21" s="40" t="s">
        <v>48</v>
      </c>
      <c r="C21" s="43">
        <v>500</v>
      </c>
      <c r="D21" s="164">
        <v>0.24199999999999999</v>
      </c>
      <c r="E21" s="165">
        <f>Correction!I19</f>
        <v>0.28112578562935281</v>
      </c>
      <c r="I21" s="30"/>
      <c r="Q21" s="30"/>
    </row>
    <row r="22" spans="2:21" ht="15.75" thickBot="1" x14ac:dyDescent="0.25">
      <c r="B22" s="39" t="s">
        <v>49</v>
      </c>
      <c r="C22" s="41">
        <v>650</v>
      </c>
      <c r="D22" s="166">
        <v>0.28000000000000003</v>
      </c>
      <c r="E22" s="153">
        <f>Correction!C22</f>
        <v>0.31832616122152385</v>
      </c>
      <c r="G22" s="14" t="s">
        <v>35</v>
      </c>
      <c r="H22" s="35">
        <f>SUMSQ(D6:E17)-SUM(D6:E17)^2/COUNT(D6:E17)</f>
        <v>0.201460202026567</v>
      </c>
      <c r="I22" s="55">
        <v>23</v>
      </c>
      <c r="J22" s="14"/>
      <c r="K22" s="14"/>
      <c r="L22" s="14"/>
      <c r="M22" s="14"/>
      <c r="O22" s="14" t="s">
        <v>35</v>
      </c>
      <c r="P22" s="14">
        <f>SUMSQ(D6:E25)-SUM(D6:E25)^2/COUNT(D6:E25)</f>
        <v>0.43395002517962666</v>
      </c>
      <c r="Q22" s="55">
        <v>39</v>
      </c>
      <c r="R22" s="14"/>
      <c r="S22" s="14"/>
      <c r="T22" s="14"/>
      <c r="U22" s="14"/>
    </row>
    <row r="23" spans="2:21" ht="15" x14ac:dyDescent="0.2">
      <c r="B23" s="39" t="s">
        <v>50</v>
      </c>
      <c r="C23" s="42">
        <v>650</v>
      </c>
      <c r="D23" s="130">
        <v>0.26400000000000001</v>
      </c>
      <c r="E23" s="155">
        <f>Correction!G22</f>
        <v>0.29829402827321966</v>
      </c>
      <c r="I23" s="30"/>
      <c r="Q23" s="30"/>
    </row>
    <row r="24" spans="2:21" ht="15" x14ac:dyDescent="0.2">
      <c r="B24" s="39" t="s">
        <v>51</v>
      </c>
      <c r="C24" s="42">
        <v>650</v>
      </c>
      <c r="D24" s="130">
        <v>0.24099999999999999</v>
      </c>
      <c r="E24" s="155">
        <f>Correction!E22</f>
        <v>0.26823957684540317</v>
      </c>
      <c r="I24" s="30"/>
      <c r="Q24" s="30"/>
    </row>
    <row r="25" spans="2:21" ht="15.75" thickBot="1" x14ac:dyDescent="0.25">
      <c r="B25" s="40" t="s">
        <v>52</v>
      </c>
      <c r="C25" s="43">
        <v>650</v>
      </c>
      <c r="D25" s="167">
        <v>0.23</v>
      </c>
      <c r="E25" s="157">
        <f>Correction!I22</f>
        <v>0.25902482871864557</v>
      </c>
      <c r="G25" t="str">
        <f>G15</f>
        <v>ANOVA calculated from lot Uncorrected Lot 20 data</v>
      </c>
      <c r="I25" s="30"/>
      <c r="J25" t="s">
        <v>58</v>
      </c>
      <c r="K25" s="2"/>
      <c r="L25" s="2"/>
      <c r="M25" s="2"/>
      <c r="O25" t="str">
        <f>G15</f>
        <v>ANOVA calculated from lot Uncorrected Lot 20 data</v>
      </c>
      <c r="Q25" s="30"/>
      <c r="R25" s="13" t="s">
        <v>65</v>
      </c>
    </row>
    <row r="26" spans="2:21" x14ac:dyDescent="0.2">
      <c r="G26" s="100" t="s">
        <v>36</v>
      </c>
      <c r="H26" s="101" t="s">
        <v>28</v>
      </c>
      <c r="I26" s="101" t="s">
        <v>29</v>
      </c>
      <c r="J26" s="101" t="s">
        <v>30</v>
      </c>
      <c r="K26" s="101" t="s">
        <v>31</v>
      </c>
      <c r="L26" s="101" t="s">
        <v>32</v>
      </c>
      <c r="M26" s="101" t="s">
        <v>33</v>
      </c>
      <c r="O26" s="101" t="s">
        <v>36</v>
      </c>
      <c r="P26" s="101" t="s">
        <v>28</v>
      </c>
      <c r="Q26" s="101" t="s">
        <v>29</v>
      </c>
      <c r="R26" s="101" t="s">
        <v>30</v>
      </c>
      <c r="S26" s="101" t="s">
        <v>31</v>
      </c>
      <c r="T26" s="101" t="s">
        <v>32</v>
      </c>
      <c r="U26" s="101" t="s">
        <v>33</v>
      </c>
    </row>
    <row r="27" spans="2:21" ht="13.5" thickBot="1" x14ac:dyDescent="0.25">
      <c r="G27" s="121" t="s">
        <v>37</v>
      </c>
      <c r="H27" s="58">
        <f>SUMSQ(SUM(D6:E9),SUM(D10:E13),SUM(D14:E17),SUM(D18:E21))/COUNT(D6:E9)-SUM(D6:E21)^2/COUNT(D6:E21)</f>
        <v>0.27750085538420866</v>
      </c>
      <c r="I27" s="122">
        <v>3</v>
      </c>
      <c r="J27" s="13">
        <f>H27/I27</f>
        <v>9.2500285128069556E-2</v>
      </c>
      <c r="K27" s="13">
        <f>J27/$J$30</f>
        <v>85.355577558888484</v>
      </c>
      <c r="L27" s="13">
        <f>FDIST(K27,I27,$I$30)</f>
        <v>6.0638973915560892E-13</v>
      </c>
      <c r="M27" s="13">
        <f>FINV(0.1,I27,$I$30)</f>
        <v>2.3273897012119842</v>
      </c>
      <c r="O27" s="13" t="s">
        <v>61</v>
      </c>
      <c r="P27" s="13">
        <f>SUMSQ(SUM(D10:E13),SUM(D14:E17),SUM(D18:E21),SUM(D22:E25))/COUNT(D10:E13)-SUM(D10:E25)^2/COUNT(D10:E25)</f>
        <v>0.10292098003439332</v>
      </c>
      <c r="Q27" s="29">
        <v>3</v>
      </c>
      <c r="R27" s="13">
        <f>P27/Q27</f>
        <v>3.4306993344797775E-2</v>
      </c>
      <c r="S27" s="13">
        <f>R27/$R$30</f>
        <v>37.712874125911497</v>
      </c>
      <c r="T27" s="13">
        <f>FDIST(S27,Q27,$Q$30)</f>
        <v>3.0450735561333925E-9</v>
      </c>
      <c r="U27" s="13">
        <f>FINV(0.1,Q27,$Q$30)</f>
        <v>2.3273897012119842</v>
      </c>
    </row>
    <row r="28" spans="2:21" ht="13.5" thickBot="1" x14ac:dyDescent="0.25">
      <c r="C28" s="45" t="s">
        <v>53</v>
      </c>
      <c r="D28" s="51">
        <f>SLOPE(D6:D25,E6:E25)</f>
        <v>0.82798550048433828</v>
      </c>
      <c r="G28" s="121" t="s">
        <v>38</v>
      </c>
      <c r="H28" s="58">
        <f>SUMSQ(SUM(D6:D21),SUM(E6:E21))/COUNT(D6:D21)-SUM(D6:E21)^2/COUNT(D6:E21)</f>
        <v>2.0155347869785345E-2</v>
      </c>
      <c r="I28" s="122">
        <v>1</v>
      </c>
      <c r="J28" s="13">
        <f>H28/I28</f>
        <v>2.0155347869785345E-2</v>
      </c>
      <c r="K28" s="13">
        <f>J28/$J$30</f>
        <v>18.598551949801372</v>
      </c>
      <c r="L28" s="13">
        <f>FDIST(K28,I28,$I$30)</f>
        <v>2.3853681097102896E-4</v>
      </c>
      <c r="M28" s="13">
        <f>FINV(0.1,I28,$I$30)</f>
        <v>2.9271174913552134</v>
      </c>
      <c r="O28" s="13" t="s">
        <v>62</v>
      </c>
      <c r="P28" s="13">
        <f>SUMSQ(SUM(D10:D25),SUM(E10:E25))/COUNT(D10:D25)-SUM(D10:E25)^2/COUNT(D10:E25)</f>
        <v>1.1423852850953597E-2</v>
      </c>
      <c r="Q28" s="29">
        <v>1</v>
      </c>
      <c r="R28" s="13">
        <f>P28/Q28</f>
        <v>1.1423852850953597E-2</v>
      </c>
      <c r="S28" s="13">
        <f>R28/$R$30</f>
        <v>12.557973829737476</v>
      </c>
      <c r="T28" s="13">
        <f>FDIST(S28,Q28,$Q$30)</f>
        <v>1.6532721186433787E-3</v>
      </c>
      <c r="U28" s="13">
        <f>FINV(0.1,Q28,$Q$30)</f>
        <v>2.9271174913552134</v>
      </c>
    </row>
    <row r="29" spans="2:21" ht="13.5" thickBot="1" x14ac:dyDescent="0.25">
      <c r="C29" s="46" t="s">
        <v>54</v>
      </c>
      <c r="D29" s="52">
        <f>INTERCEPT(D6:D25,E6:E25)</f>
        <v>2.1148509162916218E-2</v>
      </c>
      <c r="G29" s="121" t="s">
        <v>34</v>
      </c>
      <c r="H29" s="120">
        <f>SUMSQ(SUM(D6:D9),SUM(E6:E9),SUM(D10:D13),SUM(E10:E13),SUM(D14:D17),SUM(E14:E17),SUM(D18:D21),SUM(E18:E21))/COUNT(D6:D9)-SUM(D6:E21)^2/COUNT(D6:E21)-H28-H27</f>
        <v>3.0656522884093818E-3</v>
      </c>
      <c r="I29" s="123">
        <v>3</v>
      </c>
      <c r="J29" s="13">
        <f>H29/I29</f>
        <v>1.0218840961364606E-3</v>
      </c>
      <c r="K29" s="13">
        <f>J29/$J$30</f>
        <v>0.94295392823067115</v>
      </c>
      <c r="L29" s="131">
        <f>FDIST(K29,I29,$I$30)</f>
        <v>0.4354168453149998</v>
      </c>
      <c r="M29" s="13">
        <f>FINV(0.1,I29,$I$30)</f>
        <v>2.3273897012119842</v>
      </c>
      <c r="O29" s="13" t="s">
        <v>34</v>
      </c>
      <c r="P29" s="13">
        <f>SUMSQ(SUM(D10:D13),SUM(E10:E13),SUM(D14:D17),SUM(E14:E17),SUM(D18:D21),SUM(E18:E21),SUM(D22:D25),SUM(E22:E25))/COUNT(D10:D13)-SUM(D10:E25)^2/COUNT(D10:E25)-P27-P28</f>
        <v>4.7738839887134787E-4</v>
      </c>
      <c r="Q29" s="103">
        <v>3</v>
      </c>
      <c r="R29" s="13">
        <f>P29/Q29</f>
        <v>1.591294662904493E-4</v>
      </c>
      <c r="S29" s="13">
        <f>R29/$R$30</f>
        <v>0.17492729460785586</v>
      </c>
      <c r="T29" s="131">
        <f>FDIST(S29,Q29,$Q$30)</f>
        <v>0.91231106392909911</v>
      </c>
      <c r="U29" s="13">
        <f>FINV(0.1,Q29,$Q$30)</f>
        <v>2.3273897012119842</v>
      </c>
    </row>
    <row r="30" spans="2:21" x14ac:dyDescent="0.2">
      <c r="C30" s="47" t="s">
        <v>55</v>
      </c>
      <c r="D30" s="50">
        <f>STEYX(D6:D25,E6:E25)</f>
        <v>8.9178841886821715E-3</v>
      </c>
      <c r="G30" s="121" t="s">
        <v>39</v>
      </c>
      <c r="H30" s="121">
        <f>H32-H27-H28-H29</f>
        <v>2.6008925328190102E-2</v>
      </c>
      <c r="I30" s="123">
        <v>24</v>
      </c>
      <c r="J30" s="13">
        <f>H30/I30</f>
        <v>1.0837052220079209E-3</v>
      </c>
      <c r="K30" s="13"/>
      <c r="L30" s="13"/>
      <c r="M30" s="13"/>
      <c r="O30" s="13" t="s">
        <v>60</v>
      </c>
      <c r="P30" s="13">
        <f>P32-P27-P28-P29</f>
        <v>2.1832540196384365E-2</v>
      </c>
      <c r="Q30" s="54">
        <f>Q32-Q27-Q28-Q29</f>
        <v>24</v>
      </c>
      <c r="R30" s="13">
        <f>P30/Q30</f>
        <v>9.0968917484934853E-4</v>
      </c>
      <c r="S30" s="13"/>
      <c r="T30" s="13"/>
      <c r="U30" s="13"/>
    </row>
    <row r="31" spans="2:21" ht="13.5" thickBot="1" x14ac:dyDescent="0.25">
      <c r="C31" s="48" t="s">
        <v>63</v>
      </c>
      <c r="D31" s="53">
        <f>RSQ(D6:D25,E6:E25)</f>
        <v>0.99150515099479164</v>
      </c>
      <c r="G31" s="59"/>
      <c r="H31" s="121"/>
      <c r="I31" s="123"/>
      <c r="O31" s="13"/>
      <c r="P31" s="13"/>
      <c r="Q31" s="54"/>
    </row>
    <row r="32" spans="2:21" ht="13.5" thickBot="1" x14ac:dyDescent="0.25">
      <c r="G32" s="124" t="s">
        <v>35</v>
      </c>
      <c r="H32" s="119">
        <f>SUMSQ(D6:E21)-SUM(D6:E21)^2/COUNT(D6:E21)</f>
        <v>0.32673078087059348</v>
      </c>
      <c r="I32" s="125">
        <v>31</v>
      </c>
      <c r="J32" s="14"/>
      <c r="K32" s="14"/>
      <c r="L32" s="14"/>
      <c r="M32" s="14"/>
      <c r="O32" s="14" t="s">
        <v>35</v>
      </c>
      <c r="P32" s="14">
        <f>SUMSQ(D10:E25)-SUM(D10:E25)^2/COUNT(D10:E25)</f>
        <v>0.13665476148060263</v>
      </c>
      <c r="Q32" s="56">
        <v>31</v>
      </c>
      <c r="R32" s="14"/>
      <c r="S32" s="14"/>
      <c r="T32" s="14"/>
      <c r="U32" s="14"/>
    </row>
    <row r="33" spans="2:22" x14ac:dyDescent="0.2">
      <c r="F33" s="102"/>
      <c r="I33" s="30"/>
    </row>
    <row r="34" spans="2:22" x14ac:dyDescent="0.2">
      <c r="B34" t="s">
        <v>103</v>
      </c>
      <c r="F34" s="13"/>
      <c r="I34" s="30"/>
    </row>
    <row r="35" spans="2:22" ht="13.5" thickBot="1" x14ac:dyDescent="0.25">
      <c r="B35" s="1"/>
      <c r="C35" s="110" t="s">
        <v>81</v>
      </c>
      <c r="D35" s="110" t="str">
        <f>"Lot "&amp;'Correlation Raw Data'!B20</f>
        <v>Lot 20</v>
      </c>
      <c r="F35" s="13"/>
      <c r="G35" t="str">
        <f>"ANOVA calculated from lot "&amp;'Correlation Raw Data'!B20&amp;" data"</f>
        <v>ANOVA calculated from lot 20 data</v>
      </c>
      <c r="J35" s="59" t="s">
        <v>105</v>
      </c>
      <c r="O35" t="str">
        <f>"ANOVA calculated from lot "&amp;'Correlation Raw Data'!B29&amp;" data"</f>
        <v>ANOVA calculated from lot  data</v>
      </c>
      <c r="R35" s="59" t="s">
        <v>106</v>
      </c>
    </row>
    <row r="36" spans="2:22" x14ac:dyDescent="0.2">
      <c r="B36" s="1">
        <v>100</v>
      </c>
      <c r="C36" s="111">
        <f>AVERAGE(D6:D9)</f>
        <v>0.49575000000000002</v>
      </c>
      <c r="D36" s="111">
        <f>AVERAGE(E6:E9)</f>
        <v>0.5775918101089027</v>
      </c>
      <c r="E36" s="13"/>
      <c r="F36" s="13"/>
      <c r="G36" s="100" t="s">
        <v>36</v>
      </c>
      <c r="H36" s="101" t="s">
        <v>28</v>
      </c>
      <c r="I36" s="101" t="s">
        <v>29</v>
      </c>
      <c r="J36" s="101" t="s">
        <v>30</v>
      </c>
      <c r="K36" s="101" t="s">
        <v>31</v>
      </c>
      <c r="L36" s="101" t="s">
        <v>32</v>
      </c>
      <c r="M36" s="101" t="s">
        <v>33</v>
      </c>
      <c r="O36" s="100" t="s">
        <v>36</v>
      </c>
      <c r="P36" s="101" t="s">
        <v>28</v>
      </c>
      <c r="Q36" s="101" t="s">
        <v>29</v>
      </c>
      <c r="R36" s="101" t="s">
        <v>30</v>
      </c>
      <c r="S36" s="101" t="s">
        <v>31</v>
      </c>
      <c r="T36" s="101" t="s">
        <v>32</v>
      </c>
      <c r="U36" s="101" t="s">
        <v>33</v>
      </c>
    </row>
    <row r="37" spans="2:22" x14ac:dyDescent="0.2">
      <c r="B37" s="1">
        <v>200</v>
      </c>
      <c r="C37" s="111">
        <f>AVERAGE(D10:D13)</f>
        <v>0.39274999999999999</v>
      </c>
      <c r="D37" s="111">
        <f>AVERAGE(E10:E13)</f>
        <v>0.44228508436668362</v>
      </c>
      <c r="E37" s="13"/>
      <c r="F37" s="13"/>
      <c r="G37" s="13" t="s">
        <v>37</v>
      </c>
      <c r="H37" s="13">
        <f>SUMSQ(SUM(D10:E13),SUM(D14:E17),SUM(D18:E21))/COUNT(D10:E13)-SUM(D10:E21)^2/COUNT(D10:E21)</f>
        <v>6.559023429943478E-2</v>
      </c>
      <c r="I37" s="54">
        <v>2</v>
      </c>
      <c r="J37" s="13">
        <f>H37/I37</f>
        <v>3.279511714971739E-2</v>
      </c>
      <c r="K37" s="13">
        <f>J37/$J$40</f>
        <v>32.663416080032022</v>
      </c>
      <c r="L37" s="13">
        <f>FDIST(K37,I37,$I$40)</f>
        <v>1.0242092693987439E-6</v>
      </c>
      <c r="M37" s="13">
        <f>FINV(0.1,I37,$I$40)</f>
        <v>2.6239469851339554</v>
      </c>
      <c r="O37" s="13" t="s">
        <v>37</v>
      </c>
      <c r="P37" s="13">
        <f>SUMSQ(SUM(D14:E17),SUM(D18:E21),SUM(D22:E25))/COUNT(D14:E17)-SUM(D14:E25)^2/COUNT(D14:E25)</f>
        <v>1.9380340182174827E-2</v>
      </c>
      <c r="Q37" s="54">
        <v>2</v>
      </c>
      <c r="R37" s="13">
        <f>P37/Q37</f>
        <v>9.6901700910874133E-3</v>
      </c>
      <c r="S37" s="13">
        <f>R37/$R$40</f>
        <v>12.058512655004822</v>
      </c>
      <c r="T37" s="13">
        <f>FDIST(S37,Q37,$Q$40)</f>
        <v>4.7570020462948232E-4</v>
      </c>
      <c r="U37" s="13">
        <f>FINV(0.1,Q37,$Q$40)</f>
        <v>2.6239469851339554</v>
      </c>
    </row>
    <row r="38" spans="2:22" ht="13.5" thickBot="1" x14ac:dyDescent="0.25">
      <c r="B38" s="1">
        <v>350</v>
      </c>
      <c r="C38" s="111">
        <f>AVERAGE(D14:D17)</f>
        <v>0.32300000000000001</v>
      </c>
      <c r="D38" s="111">
        <f>AVERAGE(E14:E17)</f>
        <v>0.35266783685333025</v>
      </c>
      <c r="E38" s="13"/>
      <c r="F38" s="13"/>
      <c r="G38" s="13" t="s">
        <v>38</v>
      </c>
      <c r="H38" s="13">
        <f>SUMSQ(SUM(D10:D21),SUM(E10:E21))/COUNT(D10:D21)-SUM(D10:E21)^2/COUNT(D10:E21)</f>
        <v>9.430106667174698E-3</v>
      </c>
      <c r="I38" s="54">
        <v>1</v>
      </c>
      <c r="J38" s="13">
        <f>H38/I38</f>
        <v>9.430106667174698E-3</v>
      </c>
      <c r="K38" s="13">
        <f>J38/$J$40</f>
        <v>9.3922365437156419</v>
      </c>
      <c r="L38" s="13">
        <f>FDIST(K38,I38,$I$40)</f>
        <v>6.6752153283736867E-3</v>
      </c>
      <c r="M38" s="13">
        <f>FINV(0.1,I38,$I$40)</f>
        <v>3.0069765917954268</v>
      </c>
      <c r="O38" s="13" t="s">
        <v>38</v>
      </c>
      <c r="P38" s="13">
        <f>SUMSQ(SUM(D14:D25),SUM(E14:E25))/COUNT(D14:D25)-SUM(D14:E25)^2/COUNT(D14:E25)</f>
        <v>6.8843473220780993E-3</v>
      </c>
      <c r="Q38" s="54">
        <v>1</v>
      </c>
      <c r="R38" s="13">
        <f>P38/Q38</f>
        <v>6.8843473220780993E-3</v>
      </c>
      <c r="S38" s="13">
        <f>R38/$R$40</f>
        <v>8.5669279821084672</v>
      </c>
      <c r="T38" s="13">
        <f>FDIST(S38,Q38,$Q$40)</f>
        <v>9.0055070329560904E-3</v>
      </c>
      <c r="U38" s="13">
        <f>FINV(0.1,Q38,$Q$40)</f>
        <v>3.0069765917954268</v>
      </c>
    </row>
    <row r="39" spans="2:22" ht="13.5" thickBot="1" x14ac:dyDescent="0.25">
      <c r="B39" s="1">
        <v>500</v>
      </c>
      <c r="C39" s="111">
        <f>AVERAGE(D18:D21)</f>
        <v>0.27100000000000002</v>
      </c>
      <c r="D39" s="111">
        <f>AVERAGE(E18:E21)</f>
        <v>0.31073050553951265</v>
      </c>
      <c r="E39" s="102"/>
      <c r="F39" s="102"/>
      <c r="G39" s="13" t="s">
        <v>34</v>
      </c>
      <c r="H39" s="13">
        <f>SUMSQ(SUM(D10:D13),SUM(E10:E13),SUM(D14:D17),SUM(E14:E17),SUM(D18:D21),SUM(E18:E21))/COUNT(D10:D13)-SUM(D10:E21)^2/COUNT(D10:E21)-H37-H38</f>
        <v>3.9472972721643629E-4</v>
      </c>
      <c r="I39" s="54">
        <v>2</v>
      </c>
      <c r="J39" s="13">
        <f>H39/I39</f>
        <v>1.9736486360821814E-4</v>
      </c>
      <c r="K39" s="13">
        <f>J39/$J$40</f>
        <v>0.19657227111535269</v>
      </c>
      <c r="L39" s="131">
        <f>FDIST(K39,I39,$I$40)</f>
        <v>0.82328213628973967</v>
      </c>
      <c r="M39" s="13">
        <f>FINV(0.1,I39,$I$40)</f>
        <v>2.6239469851339554</v>
      </c>
      <c r="O39" s="13" t="s">
        <v>34</v>
      </c>
      <c r="P39" s="13">
        <f>SUMSQ(SUM(D14:D17),SUM(E14:E17),SUM(D18:D21),SUM(E18:E21),SUM(D22:D25),SUM(E22:E25))/COUNT(D14:D17)-SUM(D14:E25)^2/COUNT(D14:E25)-P37-P38</f>
        <v>1.0944476131768965E-4</v>
      </c>
      <c r="Q39" s="54">
        <v>2</v>
      </c>
      <c r="R39" s="13">
        <f>P39/Q39</f>
        <v>5.4722380658844827E-5</v>
      </c>
      <c r="S39" s="13">
        <f>R39/$R$40</f>
        <v>6.8096897524388245E-2</v>
      </c>
      <c r="T39" s="131">
        <f>FDIST(S39,Q39,$Q$40)</f>
        <v>0.93440943631087792</v>
      </c>
      <c r="U39" s="13">
        <f>FINV(0.1,Q39,$Q$40)</f>
        <v>2.6239469851339554</v>
      </c>
    </row>
    <row r="40" spans="2:22" x14ac:dyDescent="0.2">
      <c r="B40" s="1">
        <v>650</v>
      </c>
      <c r="C40" s="111">
        <f>AVERAGE(D22:D25)</f>
        <v>0.25375000000000003</v>
      </c>
      <c r="D40" s="111">
        <f>AVERAGE(E22:E25)</f>
        <v>0.28597114876469809</v>
      </c>
      <c r="G40" s="13" t="s">
        <v>39</v>
      </c>
      <c r="H40" s="13">
        <f>H42-H37-H38-H39</f>
        <v>1.8072577199167661E-2</v>
      </c>
      <c r="I40" s="54">
        <v>18</v>
      </c>
      <c r="J40" s="13">
        <f>H40/I40</f>
        <v>1.0040320666204255E-3</v>
      </c>
      <c r="K40" s="13"/>
      <c r="L40" s="13"/>
      <c r="M40" s="13"/>
      <c r="O40" s="13" t="s">
        <v>39</v>
      </c>
      <c r="P40" s="13">
        <f>P42-P37-P38-P39</f>
        <v>1.44647243511562E-2</v>
      </c>
      <c r="Q40" s="54">
        <v>18</v>
      </c>
      <c r="R40" s="13">
        <f>P40/Q40</f>
        <v>8.0359579728645554E-4</v>
      </c>
      <c r="S40" s="13"/>
      <c r="T40" s="13"/>
      <c r="U40" s="13"/>
    </row>
    <row r="41" spans="2:22" x14ac:dyDescent="0.2">
      <c r="D41" s="13"/>
      <c r="I41" s="30"/>
      <c r="Q41" s="30"/>
    </row>
    <row r="42" spans="2:22" ht="13.5" thickBot="1" x14ac:dyDescent="0.25">
      <c r="D42" s="175"/>
      <c r="G42" s="14" t="s">
        <v>35</v>
      </c>
      <c r="H42" s="35">
        <f>SUMSQ(D10:E21)-SUM(D10:E21)^2/COUNT(D10:E21)</f>
        <v>9.3487647892993575E-2</v>
      </c>
      <c r="I42" s="55">
        <v>23</v>
      </c>
      <c r="J42" s="14"/>
      <c r="K42" s="14"/>
      <c r="L42" s="14"/>
      <c r="M42" s="14"/>
      <c r="O42" s="14" t="s">
        <v>35</v>
      </c>
      <c r="P42" s="35">
        <f>SUMSQ(D14:E25)-SUM(D14:E25)^2/COUNT(D14:E25)</f>
        <v>4.0838856616726815E-2</v>
      </c>
      <c r="Q42" s="55">
        <v>23</v>
      </c>
      <c r="R42" s="14"/>
      <c r="S42" s="14"/>
      <c r="T42" s="14"/>
      <c r="U42" s="14"/>
    </row>
    <row r="43" spans="2:22" x14ac:dyDescent="0.2">
      <c r="D43" s="175">
        <v>6.7000000000000004E-2</v>
      </c>
    </row>
    <row r="44" spans="2:22" x14ac:dyDescent="0.2">
      <c r="F44" s="2"/>
      <c r="G44" s="2"/>
      <c r="H44" s="2"/>
      <c r="I44" s="2"/>
      <c r="J44" s="58"/>
      <c r="K44" s="2"/>
      <c r="L44" s="2"/>
      <c r="M44" s="2"/>
      <c r="N44" s="2"/>
      <c r="O44" s="2"/>
      <c r="P44" s="2"/>
      <c r="Q44" s="2"/>
      <c r="R44" s="58"/>
      <c r="S44" s="2"/>
      <c r="T44" s="2"/>
      <c r="U44" s="2"/>
      <c r="V44" s="2"/>
    </row>
    <row r="45" spans="2:22" x14ac:dyDescent="0.2">
      <c r="F45" s="2"/>
      <c r="G45" s="132"/>
      <c r="H45" s="133"/>
      <c r="I45" s="133"/>
      <c r="J45" s="133"/>
      <c r="K45" s="133"/>
      <c r="L45" s="133"/>
      <c r="M45" s="133"/>
      <c r="N45" s="2"/>
      <c r="O45" s="132"/>
      <c r="P45" s="133"/>
      <c r="Q45" s="133"/>
      <c r="R45" s="133"/>
      <c r="S45" s="133"/>
      <c r="T45" s="133"/>
      <c r="U45" s="133"/>
      <c r="V45" s="2"/>
    </row>
    <row r="46" spans="2:22" x14ac:dyDescent="0.2">
      <c r="F46" s="2"/>
      <c r="G46" s="13"/>
      <c r="H46" s="13"/>
      <c r="I46" s="54"/>
      <c r="J46" s="13"/>
      <c r="K46" s="13"/>
      <c r="L46" s="13"/>
      <c r="M46" s="13"/>
      <c r="N46" s="2"/>
      <c r="O46" s="13"/>
      <c r="P46" s="13"/>
      <c r="Q46" s="54"/>
      <c r="R46" s="13"/>
      <c r="S46" s="13"/>
      <c r="T46" s="13"/>
      <c r="U46" s="13"/>
      <c r="V46" s="2"/>
    </row>
    <row r="47" spans="2:22" x14ac:dyDescent="0.2">
      <c r="F47" s="2"/>
      <c r="G47" s="13"/>
      <c r="H47" s="13"/>
      <c r="I47" s="54"/>
      <c r="J47" s="13"/>
      <c r="K47" s="13"/>
      <c r="L47" s="13"/>
      <c r="M47" s="13"/>
      <c r="N47" s="2"/>
      <c r="O47" s="13"/>
      <c r="P47" s="13"/>
      <c r="Q47" s="54"/>
      <c r="R47" s="13"/>
      <c r="S47" s="13"/>
      <c r="T47" s="13"/>
      <c r="U47" s="13"/>
      <c r="V47" s="2"/>
    </row>
    <row r="48" spans="2:22" x14ac:dyDescent="0.2">
      <c r="F48" s="2"/>
      <c r="G48" s="13"/>
      <c r="H48" s="13"/>
      <c r="I48" s="54"/>
      <c r="J48" s="13"/>
      <c r="K48" s="13"/>
      <c r="L48" s="13"/>
      <c r="M48" s="13"/>
      <c r="N48" s="2"/>
      <c r="O48" s="13"/>
      <c r="P48" s="13"/>
      <c r="Q48" s="54"/>
      <c r="R48" s="13"/>
      <c r="S48" s="13"/>
      <c r="T48" s="13"/>
      <c r="U48" s="13"/>
      <c r="V48" s="2"/>
    </row>
    <row r="49" spans="1:22" x14ac:dyDescent="0.2">
      <c r="F49" s="2"/>
      <c r="G49" s="13"/>
      <c r="H49" s="13"/>
      <c r="I49" s="54"/>
      <c r="J49" s="13"/>
      <c r="K49" s="13"/>
      <c r="L49" s="13"/>
      <c r="M49" s="13"/>
      <c r="N49" s="2"/>
      <c r="O49" s="13"/>
      <c r="P49" s="13"/>
      <c r="Q49" s="54"/>
      <c r="R49" s="13"/>
      <c r="S49" s="13"/>
      <c r="T49" s="13"/>
      <c r="U49" s="13"/>
      <c r="V49" s="2"/>
    </row>
    <row r="50" spans="1:22" x14ac:dyDescent="0.2">
      <c r="F50" s="2"/>
      <c r="G50" s="2"/>
      <c r="H50" s="2"/>
      <c r="I50" s="29"/>
      <c r="J50" s="2"/>
      <c r="K50" s="2"/>
      <c r="L50" s="2"/>
      <c r="M50" s="2"/>
      <c r="N50" s="2"/>
      <c r="O50" s="2"/>
      <c r="P50" s="2"/>
      <c r="Q50" s="29"/>
      <c r="R50" s="2"/>
      <c r="S50" s="2"/>
      <c r="T50" s="2"/>
      <c r="U50" s="2"/>
      <c r="V50" s="2"/>
    </row>
    <row r="51" spans="1:22" x14ac:dyDescent="0.2">
      <c r="F51" s="2"/>
      <c r="G51" s="13"/>
      <c r="H51" s="2"/>
      <c r="I51" s="54"/>
      <c r="J51" s="13"/>
      <c r="K51" s="13"/>
      <c r="L51" s="13"/>
      <c r="M51" s="13"/>
      <c r="N51" s="2"/>
      <c r="O51" s="13"/>
      <c r="P51" s="2"/>
      <c r="Q51" s="54"/>
      <c r="R51" s="13"/>
      <c r="S51" s="13"/>
      <c r="T51" s="13"/>
      <c r="U51" s="13"/>
      <c r="V51" s="2"/>
    </row>
    <row r="52" spans="1:22" x14ac:dyDescent="0.2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x14ac:dyDescent="0.2">
      <c r="A53" s="112"/>
      <c r="B53" s="112">
        <f>ROUND(D28,4)</f>
        <v>0.82799999999999996</v>
      </c>
      <c r="C53" t="str">
        <f>"y="&amp;B53</f>
        <v>y=0.828</v>
      </c>
      <c r="D53" t="str">
        <f>C53&amp;C54</f>
        <v>y=0.828x+0.0211</v>
      </c>
      <c r="F53" s="2"/>
      <c r="G53" s="2"/>
      <c r="H53" s="2"/>
      <c r="I53" s="2"/>
      <c r="J53" s="58"/>
      <c r="K53" s="2"/>
      <c r="L53" s="2"/>
      <c r="M53" s="2"/>
      <c r="N53" s="2"/>
      <c r="O53" s="2"/>
      <c r="P53" s="2"/>
      <c r="Q53" s="2"/>
      <c r="R53" s="58"/>
      <c r="S53" s="2"/>
      <c r="T53" s="2"/>
      <c r="U53" s="2"/>
      <c r="V53" s="2"/>
    </row>
    <row r="54" spans="1:22" x14ac:dyDescent="0.2">
      <c r="A54" s="112"/>
      <c r="B54" s="112">
        <f>ROUND(D29,4)</f>
        <v>2.1100000000000001E-2</v>
      </c>
      <c r="C54" t="str">
        <f>"x+"&amp;B54</f>
        <v>x+0.0211</v>
      </c>
      <c r="F54" s="2"/>
      <c r="G54" s="132"/>
      <c r="H54" s="133"/>
      <c r="I54" s="133"/>
      <c r="J54" s="133"/>
      <c r="K54" s="133"/>
      <c r="L54" s="133"/>
      <c r="M54" s="133"/>
      <c r="N54" s="2"/>
      <c r="O54" s="132"/>
      <c r="P54" s="133"/>
      <c r="Q54" s="133"/>
      <c r="R54" s="133"/>
      <c r="S54" s="133"/>
      <c r="T54" s="133"/>
      <c r="U54" s="133"/>
      <c r="V54" s="2"/>
    </row>
    <row r="55" spans="1:22" x14ac:dyDescent="0.2">
      <c r="B55" t="str">
        <f>"R^2="</f>
        <v>R^2=</v>
      </c>
      <c r="C55" s="113">
        <f>ROUND(D31,4)</f>
        <v>0.99150000000000005</v>
      </c>
      <c r="D55" t="str">
        <f>B55&amp;C55</f>
        <v>R^2=0.9915</v>
      </c>
      <c r="F55" s="2"/>
      <c r="G55" s="13"/>
      <c r="H55" s="13"/>
      <c r="I55" s="54"/>
      <c r="J55" s="13"/>
      <c r="K55" s="13"/>
      <c r="L55" s="13"/>
      <c r="M55" s="13"/>
      <c r="N55" s="2"/>
      <c r="O55" s="13"/>
      <c r="P55" s="13"/>
      <c r="Q55" s="54"/>
      <c r="R55" s="13"/>
      <c r="S55" s="13"/>
      <c r="T55" s="13"/>
      <c r="U55" s="13"/>
      <c r="V55" s="2"/>
    </row>
    <row r="56" spans="1:22" x14ac:dyDescent="0.2">
      <c r="F56" s="2"/>
      <c r="G56" s="13"/>
      <c r="H56" s="13"/>
      <c r="I56" s="54"/>
      <c r="J56" s="13"/>
      <c r="K56" s="13"/>
      <c r="L56" s="13"/>
      <c r="M56" s="13"/>
      <c r="N56" s="2"/>
      <c r="O56" s="13"/>
      <c r="P56" s="13"/>
      <c r="Q56" s="54"/>
      <c r="R56" s="13"/>
      <c r="S56" s="13"/>
      <c r="T56" s="13"/>
      <c r="U56" s="13"/>
      <c r="V56" s="2"/>
    </row>
    <row r="57" spans="1:22" x14ac:dyDescent="0.2">
      <c r="F57" s="2"/>
      <c r="G57" s="13"/>
      <c r="H57" s="13"/>
      <c r="I57" s="54"/>
      <c r="J57" s="13"/>
      <c r="K57" s="13"/>
      <c r="L57" s="13"/>
      <c r="M57" s="13"/>
      <c r="N57" s="2"/>
      <c r="O57" s="13"/>
      <c r="P57" s="13"/>
      <c r="Q57" s="54"/>
      <c r="R57" s="13"/>
      <c r="S57" s="13"/>
      <c r="T57" s="13"/>
      <c r="U57" s="13"/>
      <c r="V57" s="2"/>
    </row>
    <row r="58" spans="1:22" x14ac:dyDescent="0.2">
      <c r="F58" s="2"/>
      <c r="G58" s="13"/>
      <c r="H58" s="13"/>
      <c r="I58" s="54"/>
      <c r="J58" s="13"/>
      <c r="K58" s="13"/>
      <c r="L58" s="13"/>
      <c r="M58" s="13"/>
      <c r="N58" s="2"/>
      <c r="O58" s="13"/>
      <c r="P58" s="13"/>
      <c r="Q58" s="54"/>
      <c r="R58" s="13"/>
      <c r="S58" s="13"/>
      <c r="T58" s="13"/>
      <c r="U58" s="13"/>
      <c r="V58" s="2"/>
    </row>
    <row r="59" spans="1:22" x14ac:dyDescent="0.2">
      <c r="F59" s="2"/>
      <c r="G59" s="2"/>
      <c r="H59" s="2"/>
      <c r="I59" s="29"/>
      <c r="J59" s="2"/>
      <c r="K59" s="2"/>
      <c r="L59" s="2"/>
      <c r="M59" s="2"/>
      <c r="N59" s="2"/>
      <c r="O59" s="2"/>
      <c r="P59" s="2"/>
      <c r="Q59" s="29"/>
      <c r="R59" s="2"/>
      <c r="S59" s="2"/>
      <c r="T59" s="2"/>
      <c r="U59" s="2"/>
      <c r="V59" s="2"/>
    </row>
    <row r="60" spans="1:22" x14ac:dyDescent="0.2">
      <c r="F60" s="2"/>
      <c r="G60" s="13"/>
      <c r="H60" s="2"/>
      <c r="I60" s="54"/>
      <c r="J60" s="13"/>
      <c r="K60" s="13"/>
      <c r="L60" s="13"/>
      <c r="M60" s="13"/>
      <c r="N60" s="2"/>
      <c r="O60" s="13"/>
      <c r="P60" s="2"/>
      <c r="Q60" s="54"/>
      <c r="R60" s="13"/>
      <c r="S60" s="13"/>
      <c r="T60" s="13"/>
      <c r="U60" s="13"/>
      <c r="V60" s="2"/>
    </row>
    <row r="61" spans="1:22" x14ac:dyDescent="0.2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x14ac:dyDescent="0.2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x14ac:dyDescent="0.2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x14ac:dyDescent="0.2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6:22" x14ac:dyDescent="0.2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</sheetData>
  <mergeCells count="8">
    <mergeCell ref="O7:P7"/>
    <mergeCell ref="O8:P8"/>
    <mergeCell ref="G4:H5"/>
    <mergeCell ref="K5:K6"/>
    <mergeCell ref="L5:L6"/>
    <mergeCell ref="M5:M6"/>
    <mergeCell ref="N5:N6"/>
    <mergeCell ref="O5:P6"/>
  </mergeCells>
  <conditionalFormatting sqref="P13 J2 O10">
    <cfRule type="cellIs" dxfId="0" priority="2" stopIfTrue="1" operator="equal">
      <formula>"""Accept the lot"""</formula>
    </cfRule>
  </conditionalFormatting>
  <pageMargins left="0.7" right="0.7" top="0.75" bottom="0.75" header="0.3" footer="0.3"/>
  <ignoredErrors>
    <ignoredError sqref="P38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g's vs RPM</vt:lpstr>
      <vt:lpstr>Correlation Raw Data</vt:lpstr>
      <vt:lpstr>Correction</vt:lpstr>
      <vt:lpstr>Analysis</vt:lpstr>
      <vt:lpstr>Interaction Plot</vt:lpstr>
      <vt:lpstr>Least Squares Plot</vt:lpstr>
    </vt:vector>
  </TitlesOfParts>
  <Company>Whirlpool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Sutherland</dc:creator>
  <cp:lastModifiedBy>Timothy Sutherland</cp:lastModifiedBy>
  <cp:lastPrinted>2010-01-19T20:20:38Z</cp:lastPrinted>
  <dcterms:created xsi:type="dcterms:W3CDTF">2003-09-16T13:33:14Z</dcterms:created>
  <dcterms:modified xsi:type="dcterms:W3CDTF">2012-03-27T20:26:28Z</dcterms:modified>
</cp:coreProperties>
</file>