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38F7A972-0896-4C81-BB45-A60466482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00-2025 Federal Chart" sheetId="10" r:id="rId1"/>
    <sheet name="FY 2000-2025 Performance Data" sheetId="1" r:id="rId2"/>
    <sheet name="FY 2025 Agency Chart" sheetId="9" r:id="rId3"/>
    <sheet name="FY 2025 Agency Details" sheetId="8" r:id="rId4"/>
  </sheets>
  <definedNames>
    <definedName name="_xlnm._FilterDatabase" localSheetId="3" hidden="1">'FY 2025 Agency Details'!$A$3:$U$36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21" i="1" l="1"/>
  <c r="CA21" i="1"/>
  <c r="CA22" i="1"/>
  <c r="CB22" i="1"/>
  <c r="CB25" i="1"/>
  <c r="CA25" i="1"/>
  <c r="D5" i="8"/>
  <c r="BZ21" i="1" s="1"/>
  <c r="D29" i="8"/>
  <c r="BZ25" i="1" s="1"/>
  <c r="CB13" i="1"/>
  <c r="CA13" i="1"/>
  <c r="H18" i="8"/>
  <c r="I18" i="8" s="1"/>
  <c r="D18" i="8"/>
  <c r="BZ13" i="1" s="1"/>
  <c r="BH33" i="1"/>
  <c r="CA31" i="1" l="1"/>
  <c r="CA30" i="1"/>
  <c r="CA23" i="1"/>
  <c r="CA28" i="1"/>
  <c r="CA24" i="1"/>
  <c r="CA19" i="1"/>
  <c r="CA16" i="1"/>
  <c r="CA12" i="1"/>
  <c r="CA18" i="1"/>
  <c r="CA14" i="1"/>
  <c r="CA15" i="1"/>
  <c r="CA5" i="1"/>
  <c r="CA17" i="1"/>
  <c r="CA7" i="1"/>
  <c r="CA6" i="1"/>
  <c r="CA20" i="1"/>
  <c r="CA10" i="1"/>
  <c r="CA11" i="1"/>
  <c r="CA29" i="1"/>
  <c r="BX33" i="1"/>
  <c r="BW33" i="1"/>
  <c r="CB28" i="1" l="1"/>
  <c r="CB19" i="1"/>
  <c r="CB29" i="1"/>
  <c r="CB10" i="1" l="1"/>
  <c r="CB15" i="1"/>
  <c r="CB11" i="1"/>
  <c r="CB5" i="1"/>
  <c r="CB7" i="1"/>
  <c r="CB16" i="1"/>
  <c r="CB20" i="1"/>
  <c r="CB6" i="1"/>
  <c r="CB12" i="1"/>
  <c r="CB30" i="1"/>
  <c r="H35" i="8"/>
  <c r="CB31" i="1"/>
  <c r="H34" i="8"/>
  <c r="CB24" i="1"/>
  <c r="CB17" i="1"/>
  <c r="C36" i="8"/>
  <c r="D4" i="8"/>
  <c r="BZ7" i="1" s="1"/>
  <c r="CB23" i="1"/>
  <c r="CB14" i="1"/>
  <c r="H10" i="8"/>
  <c r="CB18" i="1"/>
  <c r="D7" i="8"/>
  <c r="D35" i="8"/>
  <c r="BZ30" i="1" s="1"/>
  <c r="D34" i="8"/>
  <c r="BZ31" i="1" s="1"/>
  <c r="D33" i="8"/>
  <c r="BZ29" i="1" s="1"/>
  <c r="D32" i="8"/>
  <c r="BZ28" i="1" s="1"/>
  <c r="D16" i="8"/>
  <c r="BZ11" i="1" s="1"/>
  <c r="D15" i="8"/>
  <c r="BZ10" i="1" s="1"/>
  <c r="D13" i="8"/>
  <c r="BZ6" i="1" s="1"/>
  <c r="D12" i="8"/>
  <c r="BZ5" i="1" s="1"/>
  <c r="D11" i="8"/>
  <c r="D10" i="8"/>
  <c r="D9" i="8"/>
  <c r="D8" i="8"/>
  <c r="D28" i="8"/>
  <c r="BZ24" i="1" s="1"/>
  <c r="D27" i="8"/>
  <c r="BZ23" i="1" s="1"/>
  <c r="D26" i="8"/>
  <c r="BZ22" i="1" s="1"/>
  <c r="D25" i="8"/>
  <c r="BZ20" i="1" s="1"/>
  <c r="D24" i="8"/>
  <c r="BZ18" i="1" s="1"/>
  <c r="D23" i="8"/>
  <c r="BZ19" i="1" s="1"/>
  <c r="D22" i="8"/>
  <c r="BZ14" i="1" s="1"/>
  <c r="D21" i="8"/>
  <c r="BZ17" i="1" s="1"/>
  <c r="D20" i="8"/>
  <c r="BZ16" i="1" s="1"/>
  <c r="D19" i="8"/>
  <c r="BZ15" i="1" s="1"/>
  <c r="D17" i="8"/>
  <c r="BZ12" i="1" s="1"/>
  <c r="BY33" i="1"/>
  <c r="BV33" i="1"/>
  <c r="BU33" i="1"/>
  <c r="BT33" i="1"/>
  <c r="D6" i="8" l="1"/>
  <c r="BZ8" i="1" s="1"/>
  <c r="BZ33" i="1" s="1"/>
  <c r="C29" i="10" s="1"/>
  <c r="H15" i="8"/>
  <c r="H19" i="8"/>
  <c r="H16" i="8"/>
  <c r="H12" i="8"/>
  <c r="H20" i="8"/>
  <c r="H25" i="8"/>
  <c r="H13" i="8"/>
  <c r="H11" i="8"/>
  <c r="H28" i="8"/>
  <c r="H26" i="8"/>
  <c r="H21" i="8"/>
  <c r="H9" i="8"/>
  <c r="H27" i="8"/>
  <c r="H22" i="8"/>
  <c r="H24" i="8"/>
  <c r="E36" i="8"/>
  <c r="CA8" i="1"/>
  <c r="CA33" i="1" s="1"/>
  <c r="D29" i="10" s="1"/>
  <c r="CB8" i="1"/>
  <c r="CB33" i="1" s="1"/>
  <c r="E29" i="10" s="1"/>
  <c r="H8" i="8"/>
  <c r="H23" i="8"/>
  <c r="H32" i="8"/>
  <c r="H17" i="8"/>
  <c r="H33" i="8"/>
  <c r="H7" i="8" l="1"/>
  <c r="H6" i="8"/>
  <c r="BS33" i="1"/>
  <c r="BR33" i="1"/>
  <c r="BQ33" i="1"/>
  <c r="BP33" i="1" l="1"/>
  <c r="I35" i="8"/>
  <c r="I34" i="8"/>
  <c r="I33" i="8"/>
  <c r="I32" i="8"/>
  <c r="I28" i="8"/>
  <c r="I27" i="8"/>
  <c r="I26" i="8"/>
  <c r="I25" i="8"/>
  <c r="I24" i="8"/>
  <c r="I23" i="8"/>
  <c r="I22" i="8"/>
  <c r="I21" i="8"/>
  <c r="I20" i="8"/>
  <c r="I19" i="8"/>
  <c r="I17" i="8"/>
  <c r="I16" i="8"/>
  <c r="I15" i="8"/>
  <c r="I13" i="8"/>
  <c r="I11" i="8"/>
  <c r="I9" i="8"/>
  <c r="I8" i="8"/>
  <c r="I7" i="8"/>
  <c r="H4" i="8" l="1"/>
  <c r="I4" i="8" s="1"/>
  <c r="F36" i="8"/>
  <c r="BO33" i="1" l="1"/>
  <c r="BN33" i="1"/>
  <c r="I10" i="8"/>
  <c r="I12" i="8"/>
  <c r="I6" i="8" l="1"/>
  <c r="G36" i="8"/>
  <c r="BM33" i="1"/>
  <c r="BL33" i="1"/>
  <c r="BK33" i="1"/>
  <c r="H36" i="8" l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L33" i="1"/>
  <c r="AK33" i="1"/>
  <c r="AI33" i="1"/>
  <c r="AH33" i="1"/>
  <c r="AF33" i="1"/>
  <c r="AE33" i="1"/>
  <c r="AC33" i="1"/>
  <c r="AB33" i="1"/>
  <c r="Z33" i="1"/>
  <c r="Y33" i="1"/>
  <c r="W33" i="1"/>
  <c r="V33" i="1"/>
  <c r="T33" i="1"/>
  <c r="S33" i="1"/>
  <c r="Q33" i="1"/>
  <c r="P33" i="1"/>
  <c r="N33" i="1"/>
  <c r="M33" i="1"/>
  <c r="K33" i="1"/>
  <c r="J33" i="1"/>
  <c r="H33" i="1"/>
  <c r="G33" i="1"/>
  <c r="E33" i="1"/>
  <c r="D33" i="1"/>
  <c r="O32" i="1"/>
  <c r="L32" i="1"/>
  <c r="I32" i="1"/>
  <c r="F32" i="1"/>
  <c r="C32" i="1"/>
  <c r="AM31" i="1"/>
  <c r="AJ31" i="1"/>
  <c r="AG31" i="1"/>
  <c r="AD31" i="1"/>
  <c r="AA31" i="1"/>
  <c r="X31" i="1"/>
  <c r="U31" i="1"/>
  <c r="R31" i="1"/>
  <c r="O31" i="1"/>
  <c r="L31" i="1"/>
  <c r="I31" i="1"/>
  <c r="F31" i="1"/>
  <c r="C31" i="1"/>
  <c r="AM30" i="1"/>
  <c r="AJ30" i="1"/>
  <c r="AG30" i="1"/>
  <c r="AD30" i="1"/>
  <c r="AA30" i="1"/>
  <c r="X30" i="1"/>
  <c r="U30" i="1"/>
  <c r="R30" i="1"/>
  <c r="AM29" i="1"/>
  <c r="AJ29" i="1"/>
  <c r="AG29" i="1"/>
  <c r="AD29" i="1"/>
  <c r="AA29" i="1"/>
  <c r="X29" i="1"/>
  <c r="U29" i="1"/>
  <c r="R29" i="1"/>
  <c r="AM28" i="1"/>
  <c r="AJ28" i="1"/>
  <c r="AG28" i="1"/>
  <c r="AD28" i="1"/>
  <c r="AA28" i="1"/>
  <c r="X28" i="1"/>
  <c r="U28" i="1"/>
  <c r="R28" i="1"/>
  <c r="AM27" i="1"/>
  <c r="AJ27" i="1"/>
  <c r="AG27" i="1"/>
  <c r="AD27" i="1"/>
  <c r="AA27" i="1"/>
  <c r="X27" i="1"/>
  <c r="U27" i="1"/>
  <c r="R27" i="1"/>
  <c r="AM26" i="1"/>
  <c r="AJ26" i="1"/>
  <c r="AG26" i="1"/>
  <c r="AD26" i="1"/>
  <c r="AA26" i="1"/>
  <c r="X26" i="1"/>
  <c r="U26" i="1"/>
  <c r="AM25" i="1"/>
  <c r="AJ25" i="1"/>
  <c r="AG25" i="1"/>
  <c r="AD25" i="1"/>
  <c r="AA25" i="1"/>
  <c r="X25" i="1"/>
  <c r="U25" i="1"/>
  <c r="R25" i="1"/>
  <c r="AM24" i="1"/>
  <c r="AJ24" i="1"/>
  <c r="AG24" i="1"/>
  <c r="AD24" i="1"/>
  <c r="AA24" i="1"/>
  <c r="X24" i="1"/>
  <c r="U24" i="1"/>
  <c r="R24" i="1"/>
  <c r="O24" i="1"/>
  <c r="L24" i="1"/>
  <c r="I24" i="1"/>
  <c r="F24" i="1"/>
  <c r="C24" i="1"/>
  <c r="AM23" i="1"/>
  <c r="AJ23" i="1"/>
  <c r="AG23" i="1"/>
  <c r="AD23" i="1"/>
  <c r="AA23" i="1"/>
  <c r="X23" i="1"/>
  <c r="U23" i="1"/>
  <c r="R23" i="1"/>
  <c r="O23" i="1"/>
  <c r="L23" i="1"/>
  <c r="I23" i="1"/>
  <c r="F23" i="1"/>
  <c r="C23" i="1"/>
  <c r="AM22" i="1"/>
  <c r="AJ22" i="1"/>
  <c r="AG22" i="1"/>
  <c r="AD22" i="1"/>
  <c r="AA22" i="1"/>
  <c r="X22" i="1"/>
  <c r="U22" i="1"/>
  <c r="R22" i="1"/>
  <c r="O22" i="1"/>
  <c r="L22" i="1"/>
  <c r="I22" i="1"/>
  <c r="F22" i="1"/>
  <c r="C22" i="1"/>
  <c r="AM21" i="1"/>
  <c r="AJ21" i="1"/>
  <c r="AG21" i="1"/>
  <c r="AD21" i="1"/>
  <c r="AA21" i="1"/>
  <c r="X21" i="1"/>
  <c r="U21" i="1"/>
  <c r="R21" i="1"/>
  <c r="AM20" i="1"/>
  <c r="AJ20" i="1"/>
  <c r="AG20" i="1"/>
  <c r="AD20" i="1"/>
  <c r="AA20" i="1"/>
  <c r="X20" i="1"/>
  <c r="U20" i="1"/>
  <c r="R20" i="1"/>
  <c r="O20" i="1"/>
  <c r="L20" i="1"/>
  <c r="I20" i="1"/>
  <c r="F20" i="1"/>
  <c r="C20" i="1"/>
  <c r="AM19" i="1"/>
  <c r="AJ19" i="1"/>
  <c r="AG19" i="1"/>
  <c r="AD19" i="1"/>
  <c r="AA19" i="1"/>
  <c r="X19" i="1"/>
  <c r="U19" i="1"/>
  <c r="R19" i="1"/>
  <c r="O19" i="1"/>
  <c r="L19" i="1"/>
  <c r="I19" i="1"/>
  <c r="F19" i="1"/>
  <c r="C19" i="1"/>
  <c r="AM18" i="1"/>
  <c r="AJ18" i="1"/>
  <c r="AG18" i="1"/>
  <c r="AD18" i="1"/>
  <c r="AA18" i="1"/>
  <c r="X18" i="1"/>
  <c r="U18" i="1"/>
  <c r="R18" i="1"/>
  <c r="O18" i="1"/>
  <c r="L18" i="1"/>
  <c r="I18" i="1"/>
  <c r="F18" i="1"/>
  <c r="C18" i="1"/>
  <c r="AM17" i="1"/>
  <c r="AJ17" i="1"/>
  <c r="AG17" i="1"/>
  <c r="AD17" i="1"/>
  <c r="AA17" i="1"/>
  <c r="X17" i="1"/>
  <c r="U17" i="1"/>
  <c r="R17" i="1"/>
  <c r="O17" i="1"/>
  <c r="L17" i="1"/>
  <c r="I17" i="1"/>
  <c r="F17" i="1"/>
  <c r="C17" i="1"/>
  <c r="AM16" i="1"/>
  <c r="AJ16" i="1"/>
  <c r="AG16" i="1"/>
  <c r="AD16" i="1"/>
  <c r="AA16" i="1"/>
  <c r="X16" i="1"/>
  <c r="U16" i="1"/>
  <c r="R16" i="1"/>
  <c r="O16" i="1"/>
  <c r="L16" i="1"/>
  <c r="I16" i="1"/>
  <c r="F16" i="1"/>
  <c r="C16" i="1"/>
  <c r="AM15" i="1"/>
  <c r="AJ15" i="1"/>
  <c r="AG15" i="1"/>
  <c r="AD15" i="1"/>
  <c r="AA15" i="1"/>
  <c r="X15" i="1"/>
  <c r="U15" i="1"/>
  <c r="R15" i="1"/>
  <c r="O15" i="1"/>
  <c r="L15" i="1"/>
  <c r="I15" i="1"/>
  <c r="F15" i="1"/>
  <c r="C15" i="1"/>
  <c r="AM14" i="1"/>
  <c r="AJ14" i="1"/>
  <c r="AG14" i="1"/>
  <c r="AD14" i="1"/>
  <c r="AA14" i="1"/>
  <c r="X14" i="1"/>
  <c r="U14" i="1"/>
  <c r="R14" i="1"/>
  <c r="O14" i="1"/>
  <c r="L14" i="1"/>
  <c r="I14" i="1"/>
  <c r="F14" i="1"/>
  <c r="C14" i="1"/>
  <c r="AM13" i="1"/>
  <c r="AJ13" i="1"/>
  <c r="AG13" i="1"/>
  <c r="AD13" i="1"/>
  <c r="AA13" i="1"/>
  <c r="X13" i="1"/>
  <c r="U13" i="1"/>
  <c r="R13" i="1"/>
  <c r="O13" i="1"/>
  <c r="L13" i="1"/>
  <c r="I13" i="1"/>
  <c r="F13" i="1"/>
  <c r="C13" i="1"/>
  <c r="AM12" i="1"/>
  <c r="AJ12" i="1"/>
  <c r="AG12" i="1"/>
  <c r="AD12" i="1"/>
  <c r="AA12" i="1"/>
  <c r="X12" i="1"/>
  <c r="U12" i="1"/>
  <c r="R12" i="1"/>
  <c r="O12" i="1"/>
  <c r="AM11" i="1"/>
  <c r="AJ11" i="1"/>
  <c r="AG11" i="1"/>
  <c r="AD11" i="1"/>
  <c r="AA11" i="1"/>
  <c r="X11" i="1"/>
  <c r="U11" i="1"/>
  <c r="R11" i="1"/>
  <c r="O11" i="1"/>
  <c r="L11" i="1"/>
  <c r="I11" i="1"/>
  <c r="F11" i="1"/>
  <c r="C11" i="1"/>
  <c r="AM10" i="1"/>
  <c r="AJ10" i="1"/>
  <c r="AG10" i="1"/>
  <c r="AD10" i="1"/>
  <c r="AA10" i="1"/>
  <c r="X10" i="1"/>
  <c r="U10" i="1"/>
  <c r="R10" i="1"/>
  <c r="O10" i="1"/>
  <c r="L10" i="1"/>
  <c r="I10" i="1"/>
  <c r="F10" i="1"/>
  <c r="C10" i="1"/>
  <c r="AM9" i="1"/>
  <c r="AJ9" i="1"/>
  <c r="AM8" i="1"/>
  <c r="AJ8" i="1"/>
  <c r="AG8" i="1"/>
  <c r="AD8" i="1"/>
  <c r="AA8" i="1"/>
  <c r="X8" i="1"/>
  <c r="U8" i="1"/>
  <c r="R8" i="1"/>
  <c r="O8" i="1"/>
  <c r="L8" i="1"/>
  <c r="I8" i="1"/>
  <c r="F8" i="1"/>
  <c r="C8" i="1"/>
  <c r="AM7" i="1"/>
  <c r="AJ7" i="1"/>
  <c r="AG7" i="1"/>
  <c r="AD7" i="1"/>
  <c r="AA7" i="1"/>
  <c r="X7" i="1"/>
  <c r="U7" i="1"/>
  <c r="R7" i="1"/>
  <c r="O7" i="1"/>
  <c r="L7" i="1"/>
  <c r="I7" i="1"/>
  <c r="F7" i="1"/>
  <c r="C7" i="1"/>
  <c r="AM6" i="1"/>
  <c r="AJ6" i="1"/>
  <c r="AG6" i="1"/>
  <c r="AD6" i="1"/>
  <c r="AA6" i="1"/>
  <c r="X6" i="1"/>
  <c r="U6" i="1"/>
  <c r="R6" i="1"/>
  <c r="O6" i="1"/>
  <c r="L6" i="1"/>
  <c r="I6" i="1"/>
  <c r="F6" i="1"/>
  <c r="C6" i="1"/>
  <c r="AM5" i="1"/>
  <c r="AJ5" i="1"/>
  <c r="AG5" i="1"/>
  <c r="AD5" i="1"/>
  <c r="AA5" i="1"/>
  <c r="X5" i="1"/>
  <c r="U5" i="1"/>
  <c r="R5" i="1"/>
  <c r="O5" i="1"/>
  <c r="L5" i="1"/>
  <c r="I5" i="1"/>
  <c r="F5" i="1"/>
  <c r="C5" i="1"/>
  <c r="I36" i="8" l="1"/>
  <c r="D36" i="8"/>
  <c r="O33" i="1"/>
  <c r="R33" i="1"/>
  <c r="U33" i="1"/>
  <c r="AA33" i="1"/>
  <c r="AD33" i="1"/>
  <c r="X33" i="1"/>
  <c r="L33" i="1"/>
  <c r="AJ33" i="1"/>
  <c r="AG33" i="1"/>
  <c r="AM33" i="1"/>
  <c r="I33" i="1"/>
  <c r="C33" i="1"/>
  <c r="F33" i="1"/>
  <c r="BJ33" i="1" l="1"/>
  <c r="BI33" i="1"/>
</calcChain>
</file>

<file path=xl/sharedStrings.xml><?xml version="1.0" encoding="utf-8"?>
<sst xmlns="http://schemas.openxmlformats.org/spreadsheetml/2006/main" count="203" uniqueCount="93">
  <si>
    <t>Agency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</si>
  <si>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</si>
  <si>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</si>
  <si>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</si>
  <si>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</si>
  <si>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</si>
  <si>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</si>
  <si>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</si>
  <si>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</si>
  <si>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</si>
  <si>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</si>
  <si>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</si>
  <si>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</si>
  <si>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AFV Requirements</t>
  </si>
  <si>
    <t>AFV Acquisitions</t>
  </si>
  <si>
    <t>Additional Credits</t>
  </si>
  <si>
    <t>Environmental Protection Agency</t>
  </si>
  <si>
    <t>General Services Administration</t>
  </si>
  <si>
    <t>National Aeronautics and Space Administration</t>
  </si>
  <si>
    <t>U.S. Postal Service</t>
  </si>
  <si>
    <t>Executive Office of the President</t>
  </si>
  <si>
    <t>FY2012</t>
  </si>
  <si>
    <t>National Science Foundation</t>
  </si>
  <si>
    <t>Nuclear Regulatory Commission</t>
  </si>
  <si>
    <t>FY2013</t>
  </si>
  <si>
    <t>FY2014</t>
  </si>
  <si>
    <t>FY2015</t>
  </si>
  <si>
    <t>FY2016</t>
  </si>
  <si>
    <t>FY2017</t>
  </si>
  <si>
    <t>FY2018</t>
  </si>
  <si>
    <t>Corps of Engineers, Civil Works</t>
  </si>
  <si>
    <t>Court Services and Offender Supervision Agency</t>
  </si>
  <si>
    <t>Defense Agencies</t>
  </si>
  <si>
    <t>Department of Agriculture</t>
  </si>
  <si>
    <t>Department of Commerce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</si>
  <si>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</si>
  <si>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</si>
  <si>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</si>
  <si>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</si>
  <si>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</si>
  <si>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Justice</t>
  </si>
  <si>
    <t>Department of Labor</t>
  </si>
  <si>
    <t>Department of State</t>
  </si>
  <si>
    <t>Department of the Air Force</t>
  </si>
  <si>
    <t>Department of the Army</t>
  </si>
  <si>
    <t>Department of the Interior</t>
  </si>
  <si>
    <t>Department of the Navy</t>
  </si>
  <si>
    <t>Department of the Treasury</t>
  </si>
  <si>
    <t>Department of Transportation</t>
  </si>
  <si>
    <t>Department of Veterans Affairs</t>
  </si>
  <si>
    <t>Office of Personnel Management</t>
  </si>
  <si>
    <t>Smithsonian Institution</t>
  </si>
  <si>
    <t>Social Security Administration</t>
  </si>
  <si>
    <t>U.S. Marine Corps</t>
  </si>
  <si>
    <t>Tennessee Valley Authority</t>
  </si>
  <si>
    <t>FY2019</t>
  </si>
  <si>
    <t>Department of Defense</t>
  </si>
  <si>
    <t>Covered Acquisitions</t>
  </si>
  <si>
    <t>Bonus Biodiesel Credits</t>
  </si>
  <si>
    <t>AFV Acquisition Credits</t>
  </si>
  <si>
    <t>Agency Name</t>
  </si>
  <si>
    <t>All EPAct-Covered Agencies</t>
  </si>
  <si>
    <t>Total EPAct Credits</t>
  </si>
  <si>
    <t>EPAct Compliance Percentage</t>
  </si>
  <si>
    <t>Compliant?</t>
  </si>
  <si>
    <t>Federal Government</t>
  </si>
  <si>
    <t>AFV Requirements, Acquisitions, and Credits for Federal Agencies</t>
  </si>
  <si>
    <t>For more info on Federal Fleets see federalfleets.energy.gov/</t>
  </si>
  <si>
    <t>Notes:</t>
  </si>
  <si>
    <t>AFV Requirements: The number of AFVs federal fleets are mandated to acquire.</t>
  </si>
  <si>
    <t>AFV Acquisitions: The number of AFVs federal fleets actually acquired.</t>
  </si>
  <si>
    <t>Additional Credits: The number of credits achieved for every 450 gallons of pure biodiesel (B100) used, including the pure biodiesel component of blends exceeding B20.</t>
  </si>
  <si>
    <t>Acronyms:</t>
  </si>
  <si>
    <t>AFV: Alternative Fuel Vehicle</t>
  </si>
  <si>
    <t>EPAct: Energy Policy Act of 1992</t>
  </si>
  <si>
    <t>FY: Fiscal Year</t>
  </si>
  <si>
    <t>FY2020</t>
  </si>
  <si>
    <t>FY2021</t>
  </si>
  <si>
    <t>Additional Biodiesel Credits</t>
  </si>
  <si>
    <t>Actual Biodiesel Credits</t>
  </si>
  <si>
    <t>Year</t>
  </si>
  <si>
    <r>
      <t>Source:</t>
    </r>
    <r>
      <rPr>
        <sz val="11"/>
        <rFont val="Calibri"/>
        <family val="2"/>
        <scheme val="minor"/>
      </rPr>
      <t xml:space="preserve"> </t>
    </r>
  </si>
  <si>
    <t>Federal Automotive Statistical Tool</t>
  </si>
  <si>
    <t>FY2022</t>
  </si>
  <si>
    <t>FY2023</t>
  </si>
  <si>
    <t>FY2024</t>
  </si>
  <si>
    <t>Note:</t>
  </si>
  <si>
    <t>Highlighted data are for fleets that are not EPAct-covered for a given fiscal year.</t>
  </si>
  <si>
    <t>YES</t>
  </si>
  <si>
    <t>FY2025</t>
  </si>
  <si>
    <t>Fiscal Year 2025 Details</t>
  </si>
  <si>
    <t>AFV Requirements, Acquisitions, and Credits by Agency (2000-2025)</t>
  </si>
  <si>
    <t>Last updated 6/9/2026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</si>
</sst>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color indexed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8B4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/>
  </cellStyleXfs>
  <cellXfs count="229">
    <xf numFmtId="0" fontId="0" fillId="0" borderId="0" xfId="0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0" fontId="0" fillId="0" borderId="10" xfId="0" applyBorder="1"/>
    <xf numFmtId="37" fontId="0" fillId="0" borderId="0" xfId="1" applyNumberFormat="1" applyFont="1" applyBorder="1"/>
    <xf numFmtId="37" fontId="3" fillId="0" borderId="3" xfId="1" applyNumberFormat="1" applyFont="1" applyBorder="1"/>
    <xf numFmtId="3" fontId="0" fillId="0" borderId="0" xfId="0" applyNumberFormat="1"/>
    <xf numFmtId="37" fontId="3" fillId="0" borderId="2" xfId="1" applyNumberFormat="1" applyFont="1" applyFill="1" applyBorder="1"/>
    <xf numFmtId="37" fontId="3" fillId="0" borderId="3" xfId="1" applyNumberFormat="1" applyFont="1" applyFill="1" applyBorder="1"/>
    <xf numFmtId="37" fontId="3" fillId="0" borderId="4" xfId="1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3" fontId="0" fillId="0" borderId="10" xfId="0" applyNumberFormat="1" applyBorder="1"/>
    <xf numFmtId="3" fontId="0" fillId="0" borderId="11" xfId="0" applyNumberFormat="1" applyBorder="1"/>
    <xf numFmtId="37" fontId="0" fillId="0" borderId="11" xfId="1" applyNumberFormat="1" applyFont="1" applyBorder="1"/>
    <xf numFmtId="3" fontId="0" fillId="9" borderId="10" xfId="0" applyNumberFormat="1" applyFill="1" applyBorder="1"/>
    <xf numFmtId="3" fontId="0" fillId="9" borderId="0" xfId="0" applyNumberFormat="1" applyFill="1"/>
    <xf numFmtId="3" fontId="0" fillId="9" borderId="11" xfId="0" applyNumberFormat="1" applyFill="1" applyBorder="1"/>
    <xf numFmtId="3" fontId="6" fillId="10" borderId="0" xfId="0" applyNumberFormat="1" applyFont="1" applyFill="1"/>
    <xf numFmtId="3" fontId="6" fillId="10" borderId="11" xfId="0" applyNumberFormat="1" applyFont="1" applyFill="1" applyBorder="1"/>
    <xf numFmtId="37" fontId="0" fillId="9" borderId="10" xfId="1" applyNumberFormat="1" applyFont="1" applyFill="1" applyBorder="1"/>
    <xf numFmtId="37" fontId="0" fillId="9" borderId="0" xfId="1" applyNumberFormat="1" applyFont="1" applyFill="1" applyBorder="1"/>
    <xf numFmtId="37" fontId="0" fillId="9" borderId="11" xfId="1" applyNumberFormat="1" applyFont="1" applyFill="1" applyBorder="1"/>
    <xf numFmtId="0" fontId="0" fillId="10" borderId="10" xfId="0" applyFill="1" applyBorder="1"/>
    <xf numFmtId="0" fontId="0" fillId="10" borderId="0" xfId="0" applyFill="1"/>
    <xf numFmtId="0" fontId="0" fillId="10" borderId="11" xfId="0" applyFill="1" applyBorder="1"/>
    <xf numFmtId="1" fontId="0" fillId="0" borderId="12" xfId="0" applyNumberFormat="1" applyBorder="1"/>
    <xf numFmtId="1" fontId="0" fillId="0" borderId="13" xfId="0" applyNumberFormat="1" applyBorder="1"/>
    <xf numFmtId="1" fontId="0" fillId="0" borderId="10" xfId="0" applyNumberFormat="1" applyBorder="1"/>
    <xf numFmtId="1" fontId="0" fillId="0" borderId="0" xfId="0" applyNumberFormat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0" fillId="26" borderId="0" xfId="0" applyFill="1"/>
    <xf numFmtId="0" fontId="10" fillId="26" borderId="0" xfId="0" applyFont="1" applyFill="1"/>
    <xf numFmtId="0" fontId="3" fillId="26" borderId="6" xfId="0" applyFont="1" applyFill="1" applyBorder="1" applyAlignment="1">
      <alignment horizontal="center" wrapText="1"/>
    </xf>
    <xf numFmtId="0" fontId="3" fillId="26" borderId="7" xfId="0" applyFont="1" applyFill="1" applyBorder="1" applyAlignment="1">
      <alignment horizontal="center" wrapText="1"/>
    </xf>
    <xf numFmtId="0" fontId="3" fillId="26" borderId="8" xfId="0" applyFont="1" applyFill="1" applyBorder="1" applyAlignment="1">
      <alignment horizontal="center" wrapText="1"/>
    </xf>
    <xf numFmtId="2" fontId="3" fillId="26" borderId="6" xfId="0" applyNumberFormat="1" applyFont="1" applyFill="1" applyBorder="1" applyAlignment="1">
      <alignment horizontal="center" wrapText="1"/>
    </xf>
    <xf numFmtId="0" fontId="3" fillId="26" borderId="2" xfId="0" applyFont="1" applyFill="1" applyBorder="1" applyAlignment="1">
      <alignment horizontal="center" wrapText="1"/>
    </xf>
    <xf numFmtId="0" fontId="3" fillId="26" borderId="3" xfId="0" applyFont="1" applyFill="1" applyBorder="1" applyAlignment="1">
      <alignment horizontal="center" wrapText="1"/>
    </xf>
    <xf numFmtId="0" fontId="3" fillId="26" borderId="4" xfId="0" applyFont="1" applyFill="1" applyBorder="1" applyAlignment="1">
      <alignment horizontal="center" wrapText="1"/>
    </xf>
    <xf numFmtId="0" fontId="3" fillId="26" borderId="13" xfId="0" applyFont="1" applyFill="1" applyBorder="1" applyAlignment="1">
      <alignment horizontal="center" wrapText="1"/>
    </xf>
    <xf numFmtId="0" fontId="3" fillId="26" borderId="14" xfId="0" applyFont="1" applyFill="1" applyBorder="1" applyAlignment="1">
      <alignment horizontal="center" wrapText="1"/>
    </xf>
    <xf numFmtId="0" fontId="9" fillId="26" borderId="2" xfId="0" applyFont="1" applyFill="1" applyBorder="1"/>
    <xf numFmtId="0" fontId="10" fillId="26" borderId="9" xfId="0" applyFont="1" applyFill="1" applyBorder="1"/>
    <xf numFmtId="0" fontId="10" fillId="26" borderId="5" xfId="0" applyFont="1" applyFill="1" applyBorder="1"/>
    <xf numFmtId="0" fontId="11" fillId="26" borderId="5" xfId="0" applyFont="1" applyFill="1" applyBorder="1"/>
    <xf numFmtId="2" fontId="0" fillId="26" borderId="0" xfId="0" applyNumberFormat="1" applyFill="1"/>
    <xf numFmtId="0" fontId="12" fillId="26" borderId="0" xfId="0" applyFont="1" applyFill="1"/>
    <xf numFmtId="0" fontId="11" fillId="26" borderId="0" xfId="0" applyFont="1" applyFill="1" applyAlignment="1">
      <alignment horizontal="center"/>
    </xf>
    <xf numFmtId="0" fontId="13" fillId="26" borderId="0" xfId="0" applyFont="1" applyFill="1"/>
    <xf numFmtId="164" fontId="8" fillId="26" borderId="0" xfId="1" applyNumberFormat="1" applyFont="1" applyFill="1" applyBorder="1"/>
    <xf numFmtId="164" fontId="4" fillId="26" borderId="0" xfId="1" applyNumberFormat="1" applyFont="1" applyFill="1" applyBorder="1"/>
    <xf numFmtId="0" fontId="9" fillId="26" borderId="3" xfId="0" applyFont="1" applyFill="1" applyBorder="1"/>
    <xf numFmtId="0" fontId="9" fillId="26" borderId="4" xfId="0" applyFont="1" applyFill="1" applyBorder="1"/>
    <xf numFmtId="0" fontId="3" fillId="26" borderId="0" xfId="0" applyFont="1" applyFill="1"/>
    <xf numFmtId="0" fontId="0" fillId="26" borderId="0" xfId="0" applyFill="1" applyAlignment="1">
      <alignment horizontal="center"/>
    </xf>
    <xf numFmtId="0" fontId="8" fillId="26" borderId="0" xfId="0" applyFont="1" applyFill="1"/>
    <xf numFmtId="0" fontId="4" fillId="26" borderId="0" xfId="0" applyFont="1" applyFill="1" applyAlignment="1">
      <alignment horizontal="left" vertical="center"/>
    </xf>
    <xf numFmtId="9" fontId="4" fillId="26" borderId="0" xfId="2" applyFont="1" applyFill="1" applyBorder="1" applyAlignment="1">
      <alignment horizontal="center" vertical="center"/>
    </xf>
    <xf numFmtId="0" fontId="4" fillId="26" borderId="0" xfId="0" applyFont="1" applyFill="1" applyAlignment="1">
      <alignment horizontal="center" vertical="center"/>
    </xf>
    <xf numFmtId="0" fontId="2" fillId="26" borderId="0" xfId="0" applyFont="1" applyFill="1"/>
    <xf numFmtId="3" fontId="2" fillId="26" borderId="0" xfId="0" applyNumberFormat="1" applyFont="1" applyFill="1"/>
    <xf numFmtId="0" fontId="15" fillId="26" borderId="6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15" fillId="26" borderId="10" xfId="0" applyFont="1" applyFill="1" applyBorder="1" applyAlignment="1">
      <alignment horizontal="center"/>
    </xf>
    <xf numFmtId="0" fontId="2" fillId="26" borderId="0" xfId="0" applyFont="1" applyFill="1" applyAlignment="1">
      <alignment wrapText="1"/>
    </xf>
    <xf numFmtId="0" fontId="16" fillId="26" borderId="0" xfId="0" applyFont="1" applyFill="1"/>
    <xf numFmtId="0" fontId="16" fillId="26" borderId="0" xfId="0" applyFont="1" applyFill="1" applyAlignment="1">
      <alignment wrapText="1"/>
    </xf>
    <xf numFmtId="3" fontId="2" fillId="26" borderId="14" xfId="0" applyNumberFormat="1" applyFont="1" applyFill="1" applyBorder="1"/>
    <xf numFmtId="0" fontId="2" fillId="26" borderId="11" xfId="0" applyFont="1" applyFill="1" applyBorder="1"/>
    <xf numFmtId="3" fontId="2" fillId="26" borderId="11" xfId="0" applyNumberFormat="1" applyFont="1" applyFill="1" applyBorder="1"/>
    <xf numFmtId="164" fontId="17" fillId="26" borderId="6" xfId="1" applyNumberFormat="1" applyFont="1" applyFill="1" applyBorder="1"/>
    <xf numFmtId="3" fontId="2" fillId="26" borderId="8" xfId="0" applyNumberFormat="1" applyFont="1" applyFill="1" applyBorder="1"/>
    <xf numFmtId="0" fontId="17" fillId="26" borderId="0" xfId="0" applyFont="1" applyFill="1" applyAlignment="1">
      <alignment horizontal="left" wrapText="1"/>
    </xf>
    <xf numFmtId="0" fontId="17" fillId="26" borderId="0" xfId="0" applyFont="1" applyFill="1" applyAlignment="1">
      <alignment wrapText="1"/>
    </xf>
    <xf numFmtId="0" fontId="2" fillId="26" borderId="0" xfId="0" applyFont="1" applyFill="1" applyAlignment="1">
      <alignment horizontal="left" wrapText="1"/>
    </xf>
    <xf numFmtId="164" fontId="17" fillId="26" borderId="7" xfId="1" applyNumberFormat="1" applyFont="1" applyFill="1" applyBorder="1" applyAlignment="1">
      <alignment horizontal="right"/>
    </xf>
    <xf numFmtId="164" fontId="2" fillId="26" borderId="12" xfId="1" applyNumberFormat="1" applyFont="1" applyFill="1" applyBorder="1"/>
    <xf numFmtId="164" fontId="2" fillId="26" borderId="13" xfId="1" applyNumberFormat="1" applyFont="1" applyFill="1" applyBorder="1"/>
    <xf numFmtId="164" fontId="2" fillId="26" borderId="10" xfId="1" applyNumberFormat="1" applyFont="1" applyFill="1" applyBorder="1"/>
    <xf numFmtId="164" fontId="2" fillId="26" borderId="0" xfId="1" applyNumberFormat="1" applyFont="1" applyFill="1" applyBorder="1"/>
    <xf numFmtId="0" fontId="3" fillId="26" borderId="2" xfId="0" applyFont="1" applyFill="1" applyBorder="1"/>
    <xf numFmtId="0" fontId="0" fillId="26" borderId="14" xfId="0" applyFill="1" applyBorder="1" applyAlignment="1">
      <alignment horizontal="center"/>
    </xf>
    <xf numFmtId="0" fontId="8" fillId="26" borderId="9" xfId="0" applyFont="1" applyFill="1" applyBorder="1"/>
    <xf numFmtId="0" fontId="18" fillId="26" borderId="29" xfId="0" applyFont="1" applyFill="1" applyBorder="1" applyAlignment="1">
      <alignment horizontal="left" indent="1"/>
    </xf>
    <xf numFmtId="0" fontId="18" fillId="26" borderId="9" xfId="0" applyFont="1" applyFill="1" applyBorder="1" applyAlignment="1">
      <alignment horizontal="left" indent="1"/>
    </xf>
    <xf numFmtId="0" fontId="18" fillId="26" borderId="30" xfId="0" applyFont="1" applyFill="1" applyBorder="1" applyAlignment="1">
      <alignment horizontal="left" indent="1"/>
    </xf>
    <xf numFmtId="0" fontId="8" fillId="26" borderId="5" xfId="0" applyFont="1" applyFill="1" applyBorder="1"/>
    <xf numFmtId="0" fontId="4" fillId="26" borderId="5" xfId="0" applyFont="1" applyFill="1" applyBorder="1"/>
    <xf numFmtId="3" fontId="0" fillId="26" borderId="0" xfId="0" applyNumberFormat="1" applyFill="1"/>
    <xf numFmtId="3" fontId="8" fillId="26" borderId="0" xfId="0" applyNumberFormat="1" applyFont="1" applyFill="1"/>
    <xf numFmtId="0" fontId="0" fillId="26" borderId="0" xfId="0" applyFill="1" applyAlignment="1">
      <alignment wrapText="1"/>
    </xf>
    <xf numFmtId="0" fontId="3" fillId="26" borderId="3" xfId="0" applyFont="1" applyFill="1" applyBorder="1" applyAlignment="1">
      <alignment wrapText="1"/>
    </xf>
    <xf numFmtId="164" fontId="4" fillId="26" borderId="31" xfId="1" applyNumberFormat="1" applyFont="1" applyFill="1" applyBorder="1" applyAlignment="1">
      <alignment wrapText="1"/>
    </xf>
    <xf numFmtId="164" fontId="4" fillId="26" borderId="32" xfId="1" applyNumberFormat="1" applyFont="1" applyFill="1" applyBorder="1" applyAlignment="1">
      <alignment wrapText="1"/>
    </xf>
    <xf numFmtId="0" fontId="10" fillId="26" borderId="0" xfId="0" applyFont="1" applyFill="1" applyAlignment="1">
      <alignment wrapText="1"/>
    </xf>
    <xf numFmtId="0" fontId="0" fillId="26" borderId="34" xfId="0" applyFill="1" applyBorder="1" applyAlignment="1">
      <alignment horizontal="center" vertical="center"/>
    </xf>
    <xf numFmtId="0" fontId="0" fillId="26" borderId="35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9" fontId="4" fillId="26" borderId="26" xfId="2" applyFont="1" applyFill="1" applyBorder="1" applyAlignment="1">
      <alignment wrapText="1"/>
    </xf>
    <xf numFmtId="0" fontId="0" fillId="26" borderId="41" xfId="0" applyFill="1" applyBorder="1" applyAlignment="1">
      <alignment horizontal="center" vertical="center"/>
    </xf>
    <xf numFmtId="0" fontId="4" fillId="26" borderId="33" xfId="0" applyFont="1" applyFill="1" applyBorder="1"/>
    <xf numFmtId="0" fontId="4" fillId="26" borderId="3" xfId="0" applyFont="1" applyFill="1" applyBorder="1" applyAlignment="1">
      <alignment wrapText="1"/>
    </xf>
    <xf numFmtId="0" fontId="4" fillId="26" borderId="4" xfId="0" applyFont="1" applyFill="1" applyBorder="1" applyAlignment="1">
      <alignment wrapText="1"/>
    </xf>
    <xf numFmtId="0" fontId="4" fillId="26" borderId="4" xfId="0" applyFont="1" applyFill="1" applyBorder="1" applyAlignment="1">
      <alignment horizontal="center" vertical="center"/>
    </xf>
    <xf numFmtId="3" fontId="0" fillId="26" borderId="36" xfId="0" applyNumberFormat="1" applyFill="1" applyBorder="1" applyAlignment="1">
      <alignment horizontal="right" wrapText="1"/>
    </xf>
    <xf numFmtId="3" fontId="8" fillId="26" borderId="37" xfId="1" applyNumberFormat="1" applyFont="1" applyFill="1" applyBorder="1" applyAlignment="1">
      <alignment horizontal="right" wrapText="1"/>
    </xf>
    <xf numFmtId="3" fontId="0" fillId="26" borderId="38" xfId="0" applyNumberFormat="1" applyFill="1" applyBorder="1" applyAlignment="1">
      <alignment horizontal="right" wrapText="1"/>
    </xf>
    <xf numFmtId="9" fontId="8" fillId="26" borderId="40" xfId="2" applyFont="1" applyFill="1" applyBorder="1" applyAlignment="1">
      <alignment horizontal="right" wrapText="1"/>
    </xf>
    <xf numFmtId="3" fontId="0" fillId="26" borderId="27" xfId="0" applyNumberFormat="1" applyFill="1" applyBorder="1" applyAlignment="1">
      <alignment horizontal="right" wrapText="1"/>
    </xf>
    <xf numFmtId="3" fontId="8" fillId="26" borderId="19" xfId="1" applyNumberFormat="1" applyFont="1" applyFill="1" applyBorder="1" applyAlignment="1">
      <alignment horizontal="right" wrapText="1"/>
    </xf>
    <xf numFmtId="3" fontId="0" fillId="26" borderId="18" xfId="0" applyNumberFormat="1" applyFill="1" applyBorder="1" applyAlignment="1">
      <alignment horizontal="right" wrapText="1"/>
    </xf>
    <xf numFmtId="9" fontId="8" fillId="26" borderId="24" xfId="2" applyFont="1" applyFill="1" applyBorder="1" applyAlignment="1">
      <alignment horizontal="right" wrapText="1"/>
    </xf>
    <xf numFmtId="3" fontId="0" fillId="26" borderId="28" xfId="0" applyNumberFormat="1" applyFill="1" applyBorder="1" applyAlignment="1">
      <alignment horizontal="right" wrapText="1"/>
    </xf>
    <xf numFmtId="3" fontId="8" fillId="26" borderId="22" xfId="1" applyNumberFormat="1" applyFont="1" applyFill="1" applyBorder="1" applyAlignment="1">
      <alignment horizontal="right" wrapText="1"/>
    </xf>
    <xf numFmtId="3" fontId="0" fillId="26" borderId="21" xfId="0" applyNumberFormat="1" applyFill="1" applyBorder="1" applyAlignment="1">
      <alignment horizontal="right" wrapText="1"/>
    </xf>
    <xf numFmtId="9" fontId="8" fillId="26" borderId="25" xfId="2" applyFont="1" applyFill="1" applyBorder="1" applyAlignment="1">
      <alignment horizontal="right" wrapText="1"/>
    </xf>
    <xf numFmtId="1" fontId="8" fillId="26" borderId="39" xfId="1" applyNumberFormat="1" applyFont="1" applyFill="1" applyBorder="1" applyAlignment="1">
      <alignment horizontal="right" wrapText="1"/>
    </xf>
    <xf numFmtId="1" fontId="8" fillId="26" borderId="20" xfId="1" applyNumberFormat="1" applyFont="1" applyFill="1" applyBorder="1" applyAlignment="1">
      <alignment horizontal="right" wrapText="1"/>
    </xf>
    <xf numFmtId="1" fontId="8" fillId="26" borderId="23" xfId="1" applyNumberFormat="1" applyFont="1" applyFill="1" applyBorder="1" applyAlignment="1">
      <alignment horizontal="right" wrapText="1"/>
    </xf>
    <xf numFmtId="1" fontId="0" fillId="10" borderId="10" xfId="0" applyNumberFormat="1" applyFill="1" applyBorder="1"/>
    <xf numFmtId="1" fontId="0" fillId="26" borderId="0" xfId="0" applyNumberFormat="1" applyFill="1"/>
    <xf numFmtId="3" fontId="0" fillId="18" borderId="27" xfId="0" applyNumberFormat="1" applyFill="1" applyBorder="1" applyAlignment="1">
      <alignment horizontal="right" wrapText="1"/>
    </xf>
    <xf numFmtId="3" fontId="8" fillId="18" borderId="19" xfId="1" applyNumberFormat="1" applyFont="1" applyFill="1" applyBorder="1" applyAlignment="1">
      <alignment horizontal="right" wrapText="1"/>
    </xf>
    <xf numFmtId="3" fontId="0" fillId="18" borderId="18" xfId="0" applyNumberFormat="1" applyFill="1" applyBorder="1" applyAlignment="1">
      <alignment horizontal="right" wrapText="1"/>
    </xf>
    <xf numFmtId="1" fontId="8" fillId="18" borderId="20" xfId="1" applyNumberFormat="1" applyFont="1" applyFill="1" applyBorder="1" applyAlignment="1">
      <alignment horizontal="right" wrapText="1"/>
    </xf>
    <xf numFmtId="9" fontId="8" fillId="18" borderId="24" xfId="2" applyFont="1" applyFill="1" applyBorder="1" applyAlignment="1">
      <alignment horizontal="right" wrapText="1"/>
    </xf>
    <xf numFmtId="0" fontId="0" fillId="18" borderId="34" xfId="0" applyFill="1" applyBorder="1" applyAlignment="1">
      <alignment horizontal="center" vertical="center"/>
    </xf>
    <xf numFmtId="0" fontId="11" fillId="26" borderId="0" xfId="0" applyFont="1" applyFill="1"/>
    <xf numFmtId="3" fontId="4" fillId="26" borderId="3" xfId="1" applyNumberFormat="1" applyFont="1" applyFill="1" applyBorder="1" applyAlignment="1">
      <alignment wrapText="1"/>
    </xf>
    <xf numFmtId="3" fontId="4" fillId="26" borderId="0" xfId="0" applyNumberFormat="1" applyFont="1" applyFill="1" applyAlignment="1">
      <alignment horizontal="left" vertical="center"/>
    </xf>
    <xf numFmtId="1" fontId="8" fillId="26" borderId="0" xfId="0" applyNumberFormat="1" applyFont="1" applyFill="1"/>
    <xf numFmtId="9" fontId="0" fillId="26" borderId="0" xfId="0" applyNumberFormat="1" applyFill="1"/>
    <xf numFmtId="0" fontId="10" fillId="26" borderId="0" xfId="0" applyFont="1" applyFill="1"/>
    <xf numFmtId="0" fontId="17" fillId="26" borderId="0" xfId="0" applyFont="1" applyFill="1" applyAlignment="1">
      <alignment wrapText="1"/>
    </xf>
    <xf numFmtId="0" fontId="16" fillId="26" borderId="0" xfId="0" applyFont="1" applyFill="1" applyAlignment="1">
      <alignment wrapText="1"/>
    </xf>
    <xf numFmtId="0" fontId="2" fillId="26" borderId="0" xfId="0" applyFont="1" applyFill="1" applyAlignment="1">
      <alignment horizontal="left" wrapText="1"/>
    </xf>
    <xf numFmtId="0" fontId="1" fillId="26" borderId="0" xfId="0" applyFont="1" applyFill="1"/>
    <xf numFmtId="0" fontId="2" fillId="26" borderId="0" xfId="0" applyFont="1" applyFill="1"/>
    <xf numFmtId="0" fontId="15" fillId="26" borderId="15" xfId="0" applyFont="1" applyFill="1" applyBorder="1" applyAlignment="1">
      <alignment horizontal="center"/>
    </xf>
    <xf numFmtId="0" fontId="2" fillId="26" borderId="16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16" fillId="26" borderId="0" xfId="0" applyFont="1" applyFill="1" applyAlignment="1">
      <alignment horizontal="left" wrapText="1"/>
    </xf>
    <xf numFmtId="0" fontId="17" fillId="26" borderId="0" xfId="0" applyFont="1" applyFill="1" applyAlignment="1">
      <alignment horizontal="left" wrapText="1"/>
    </xf>
    <xf numFmtId="0" fontId="17" fillId="26" borderId="0" xfId="0" applyFont="1" applyFill="1" applyAlignment="1">
      <alignment vertical="top" wrapText="1"/>
    </xf>
    <xf numFmtId="0" fontId="16" fillId="26" borderId="0" xfId="0" applyFont="1" applyFill="1" applyAlignment="1">
      <alignment vertical="top" wrapText="1"/>
    </xf>
    <xf numFmtId="0" fontId="12" fillId="29" borderId="3" xfId="0" applyFont="1" applyFill="1" applyBorder="1" applyAlignment="1">
      <alignment horizontal="center"/>
    </xf>
    <xf numFmtId="0" fontId="12" fillId="29" borderId="4" xfId="0" applyFont="1" applyFill="1" applyBorder="1" applyAlignment="1">
      <alignment horizontal="center"/>
    </xf>
    <xf numFmtId="0" fontId="11" fillId="26" borderId="1" xfId="0" applyFont="1" applyFill="1" applyBorder="1" applyAlignment="1">
      <alignment horizontal="left"/>
    </xf>
    <xf numFmtId="0" fontId="11" fillId="26" borderId="5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" xfId="0" applyFont="1" applyFill="1" applyBorder="1" applyAlignment="1">
      <alignment horizontal="center"/>
    </xf>
    <xf numFmtId="0" fontId="12" fillId="17" borderId="4" xfId="0" applyFont="1" applyFill="1" applyBorder="1" applyAlignment="1">
      <alignment horizontal="center"/>
    </xf>
    <xf numFmtId="0" fontId="12" fillId="15" borderId="2" xfId="0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12" fillId="15" borderId="4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14" fillId="12" borderId="2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4" fillId="14" borderId="3" xfId="0" applyFont="1" applyFill="1" applyBorder="1" applyAlignment="1">
      <alignment horizontal="center"/>
    </xf>
    <xf numFmtId="0" fontId="14" fillId="14" borderId="4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0" fontId="12" fillId="21" borderId="3" xfId="0" applyFont="1" applyFill="1" applyBorder="1" applyAlignment="1">
      <alignment horizontal="center"/>
    </xf>
    <xf numFmtId="0" fontId="12" fillId="21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2" borderId="2" xfId="0" applyFont="1" applyFill="1" applyBorder="1" applyAlignment="1">
      <alignment horizontal="center"/>
    </xf>
    <xf numFmtId="0" fontId="12" fillId="22" borderId="3" xfId="0" applyFont="1" applyFill="1" applyBorder="1" applyAlignment="1">
      <alignment horizontal="center"/>
    </xf>
    <xf numFmtId="0" fontId="12" fillId="22" borderId="4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4" xfId="0" applyFont="1" applyFill="1" applyBorder="1" applyAlignment="1">
      <alignment horizontal="center"/>
    </xf>
    <xf numFmtId="0" fontId="12" fillId="28" borderId="3" xfId="0" applyFont="1" applyFill="1" applyBorder="1" applyAlignment="1">
      <alignment horizontal="center"/>
    </xf>
    <xf numFmtId="0" fontId="12" fillId="28" borderId="4" xfId="0" applyFont="1" applyFill="1" applyBorder="1" applyAlignment="1">
      <alignment horizontal="center"/>
    </xf>
    <xf numFmtId="0" fontId="12" fillId="20" borderId="2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7" borderId="3" xfId="0" applyFont="1" applyFill="1" applyBorder="1" applyAlignment="1">
      <alignment horizontal="center"/>
    </xf>
    <xf numFmtId="0" fontId="12" fillId="27" borderId="4" xfId="0" applyFont="1" applyFill="1" applyBorder="1" applyAlignment="1">
      <alignment horizontal="center"/>
    </xf>
    <xf numFmtId="0" fontId="12" fillId="24" borderId="3" xfId="0" applyFont="1" applyFill="1" applyBorder="1" applyAlignment="1">
      <alignment horizontal="center"/>
    </xf>
    <xf numFmtId="0" fontId="12" fillId="24" borderId="4" xfId="0" applyFont="1" applyFill="1" applyBorder="1" applyAlignment="1">
      <alignment horizontal="center"/>
    </xf>
    <xf numFmtId="0" fontId="12" fillId="25" borderId="2" xfId="0" applyFont="1" applyFill="1" applyBorder="1" applyAlignment="1">
      <alignment horizontal="center"/>
    </xf>
    <xf numFmtId="0" fontId="12" fillId="25" borderId="3" xfId="0" applyFont="1" applyFill="1" applyBorder="1" applyAlignment="1">
      <alignment horizontal="center"/>
    </xf>
    <xf numFmtId="0" fontId="12" fillId="25" borderId="4" xfId="0" applyFont="1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/>
    </xf>
    <xf numFmtId="0" fontId="12" fillId="23" borderId="2" xfId="0" applyFont="1" applyFill="1" applyBorder="1" applyAlignment="1">
      <alignment horizontal="center"/>
    </xf>
    <xf numFmtId="0" fontId="12" fillId="23" borderId="3" xfId="0" applyFont="1" applyFill="1" applyBorder="1" applyAlignment="1">
      <alignment horizontal="center"/>
    </xf>
    <xf numFmtId="0" fontId="12" fillId="23" borderId="4" xfId="0" applyFont="1" applyFill="1" applyBorder="1" applyAlignment="1">
      <alignment horizontal="center"/>
    </xf>
    <xf numFmtId="0" fontId="15" fillId="26" borderId="7" xfId="0" applyFont="1" applyFill="1" applyBorder="1" applyAlignment="1">
      <alignment horizontal="center" wrapText="1"/>
    </xf>
    <xf numFmtId="0" fontId="15" fillId="26" borderId="8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3A1555CF-99F4-454C-995A-BD282748AB75}"/>
    <cellStyle name="Percent" xfId="2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FFFF99"/>
      <color rgb="FFEEB500"/>
      <color rgb="FFB8B400"/>
      <color rgb="FFD5D000"/>
      <color rgb="FF6600CC"/>
      <color rgb="FF00CC66"/>
      <color rgb="FF66FF99"/>
      <color rgb="FFFF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AFV Requirements, Acquisitions, and Credits for Federal Agencies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'FY 2000-2025 Federal Chart'!$D$3</c:f>
              <c:strCache>
                <c:ptCount val="1"/>
                <c:pt idx="0">
                  <c:v>AFV Acquisitions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'FY 2000-2025 Federal Chart'!$B$4:$B$29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'FY 2000-2025 Federal Chart'!$D$4:$D$29</c:f>
              <c:numCache>
                <c:formatCode>_(* #,##0_);_(* \(#,##0\);_(* "-"??_);_(@_)</c:formatCode>
                <c:ptCount val="26"/>
                <c:pt idx="0">
                  <c:v>7784</c:v>
                </c:pt>
                <c:pt idx="1">
                  <c:v>8798</c:v>
                </c:pt>
                <c:pt idx="2">
                  <c:v>9387</c:v>
                </c:pt>
                <c:pt idx="3">
                  <c:v>20846</c:v>
                </c:pt>
                <c:pt idx="4">
                  <c:v>14811</c:v>
                </c:pt>
                <c:pt idx="5">
                  <c:v>17018</c:v>
                </c:pt>
                <c:pt idx="6">
                  <c:v>18369</c:v>
                </c:pt>
                <c:pt idx="7">
                  <c:v>26296</c:v>
                </c:pt>
                <c:pt idx="8">
                  <c:v>27696</c:v>
                </c:pt>
                <c:pt idx="9">
                  <c:v>31629</c:v>
                </c:pt>
                <c:pt idx="10">
                  <c:v>23845</c:v>
                </c:pt>
                <c:pt idx="11">
                  <c:v>24662</c:v>
                </c:pt>
                <c:pt idx="12">
                  <c:v>19639</c:v>
                </c:pt>
                <c:pt idx="13">
                  <c:v>19671</c:v>
                </c:pt>
                <c:pt idx="14">
                  <c:v>24930</c:v>
                </c:pt>
                <c:pt idx="15">
                  <c:v>23451</c:v>
                </c:pt>
                <c:pt idx="16">
                  <c:v>25547</c:v>
                </c:pt>
                <c:pt idx="17">
                  <c:v>23389</c:v>
                </c:pt>
                <c:pt idx="18">
                  <c:v>17310</c:v>
                </c:pt>
                <c:pt idx="19">
                  <c:v>17498</c:v>
                </c:pt>
                <c:pt idx="20">
                  <c:v>13350</c:v>
                </c:pt>
                <c:pt idx="21">
                  <c:v>10697</c:v>
                </c:pt>
                <c:pt idx="22">
                  <c:v>7152</c:v>
                </c:pt>
                <c:pt idx="23">
                  <c:v>14095</c:v>
                </c:pt>
                <c:pt idx="24">
                  <c:v>17479</c:v>
                </c:pt>
                <c:pt idx="25">
                  <c:v>12574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4-4D10-A692-89CC9C1C5189}"/>
            </c:ext>
          </c:extLst>
        </c:ser>
        <c:ser>
          <c:idx val="2"/>
          <c:order val="2"/>
          <c:tx>
            <c:strRef>
              <c:f>'FY 2000-2025 Federal Chart'!$E$3</c:f>
              <c:strCache>
                <c:ptCount val="1"/>
                <c:pt idx="0">
                  <c:v>Additional Biodiesel Credits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'FY 2000-2025 Federal Chart'!$B$4:$B$29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'FY 2000-2025 Federal Chart'!$E$4:$E$29</c:f>
              <c:numCache>
                <c:formatCode>General</c:formatCode>
                <c:ptCount val="26"/>
                <c:pt idx="0" formatCode="#,##0">
                  <c:v>1265</c:v>
                </c:pt>
                <c:pt idx="1">
                  <c:v>938</c:v>
                </c:pt>
                <c:pt idx="2" formatCode="#,##0">
                  <c:v>1483</c:v>
                </c:pt>
                <c:pt idx="3" formatCode="#,##0">
                  <c:v>2000</c:v>
                </c:pt>
                <c:pt idx="4" formatCode="#,##0">
                  <c:v>2861</c:v>
                </c:pt>
                <c:pt idx="5" formatCode="#,##0">
                  <c:v>3290</c:v>
                </c:pt>
                <c:pt idx="6" formatCode="#,##0">
                  <c:v>3439</c:v>
                </c:pt>
                <c:pt idx="7" formatCode="#,##0">
                  <c:v>3441</c:v>
                </c:pt>
                <c:pt idx="8" formatCode="#,##0">
                  <c:v>2838</c:v>
                </c:pt>
                <c:pt idx="9" formatCode="#,##0">
                  <c:v>2985</c:v>
                </c:pt>
                <c:pt idx="10" formatCode="#,##0">
                  <c:v>3269</c:v>
                </c:pt>
                <c:pt idx="11" formatCode="#,##0">
                  <c:v>2691</c:v>
                </c:pt>
                <c:pt idx="12" formatCode="#,##0">
                  <c:v>2360</c:v>
                </c:pt>
                <c:pt idx="13" formatCode="#,##0">
                  <c:v>2042</c:v>
                </c:pt>
                <c:pt idx="14" formatCode="#,##0">
                  <c:v>1320</c:v>
                </c:pt>
                <c:pt idx="15" formatCode="#,##0">
                  <c:v>1543</c:v>
                </c:pt>
                <c:pt idx="16" formatCode="#,##0">
                  <c:v>1368</c:v>
                </c:pt>
                <c:pt idx="17" formatCode="#,##0">
                  <c:v>1924</c:v>
                </c:pt>
                <c:pt idx="18" formatCode="#,##0">
                  <c:v>1145</c:v>
                </c:pt>
                <c:pt idx="19" formatCode="#,##0">
                  <c:v>774</c:v>
                </c:pt>
                <c:pt idx="20" formatCode="#,##0">
                  <c:v>600</c:v>
                </c:pt>
                <c:pt idx="21" formatCode="#,##0">
                  <c:v>560</c:v>
                </c:pt>
                <c:pt idx="22" formatCode="#,##0">
                  <c:v>590</c:v>
                </c:pt>
                <c:pt idx="23" formatCode="#,##0">
                  <c:v>768</c:v>
                </c:pt>
                <c:pt idx="24" formatCode="#,##0">
                  <c:v>331</c:v>
                </c:pt>
                <c:pt idx="25" formatCode="#,##0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4-4D10-A692-89CC9C1C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9341264"/>
        <c:axId val="409340088"/>
      </c:barChart>
      <c:barChart>
        <c:barDir val="col"/>
        <c:grouping val="stacked"/>
        <c:varyColors val="0"/>
        <c:ser>
          <c:idx val="0"/>
          <c:order val="0"/>
          <c:tx>
            <c:strRef>
              <c:f>'FY 2000-2025 Federal Chart'!$C$3</c:f>
              <c:strCache>
                <c:ptCount val="1"/>
                <c:pt idx="0">
                  <c:v>AFV Requirements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'FY 2000-2025 Federal Chart'!$B$4:$B$29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'FY 2000-2025 Federal Chart'!$C$4:$C$29</c:f>
              <c:numCache>
                <c:formatCode>_(* #,##0_);_(* \(#,##0\);_(* "-"??_);_(@_)</c:formatCode>
                <c:ptCount val="26"/>
                <c:pt idx="0">
                  <c:v>15364</c:v>
                </c:pt>
                <c:pt idx="1">
                  <c:v>16182</c:v>
                </c:pt>
                <c:pt idx="2">
                  <c:v>13614</c:v>
                </c:pt>
                <c:pt idx="3">
                  <c:v>19874</c:v>
                </c:pt>
                <c:pt idx="4">
                  <c:v>13828</c:v>
                </c:pt>
                <c:pt idx="5">
                  <c:v>14029</c:v>
                </c:pt>
                <c:pt idx="6">
                  <c:v>14034</c:v>
                </c:pt>
                <c:pt idx="7">
                  <c:v>13207</c:v>
                </c:pt>
                <c:pt idx="8">
                  <c:v>12369</c:v>
                </c:pt>
                <c:pt idx="9">
                  <c:v>14647</c:v>
                </c:pt>
                <c:pt idx="10">
                  <c:v>14116</c:v>
                </c:pt>
                <c:pt idx="11">
                  <c:v>12562</c:v>
                </c:pt>
                <c:pt idx="12">
                  <c:v>9153</c:v>
                </c:pt>
                <c:pt idx="13">
                  <c:v>7541</c:v>
                </c:pt>
                <c:pt idx="14">
                  <c:v>10353</c:v>
                </c:pt>
                <c:pt idx="15">
                  <c:v>10155</c:v>
                </c:pt>
                <c:pt idx="16">
                  <c:v>10360</c:v>
                </c:pt>
                <c:pt idx="17">
                  <c:v>19959</c:v>
                </c:pt>
                <c:pt idx="18">
                  <c:v>16400</c:v>
                </c:pt>
                <c:pt idx="19">
                  <c:v>9888</c:v>
                </c:pt>
                <c:pt idx="20">
                  <c:v>12614</c:v>
                </c:pt>
                <c:pt idx="21">
                  <c:v>13578</c:v>
                </c:pt>
                <c:pt idx="22">
                  <c:v>9477</c:v>
                </c:pt>
                <c:pt idx="23">
                  <c:v>18423</c:v>
                </c:pt>
                <c:pt idx="24">
                  <c:v>18611</c:v>
                </c:pt>
                <c:pt idx="25">
                  <c:v>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4-4D10-A692-89CC9C1C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577462544"/>
        <c:axId val="577459920"/>
      </c:barChart>
      <c:catAx>
        <c:axId val="40934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09340088"/>
        <c:crosses val="autoZero"/>
        <c:auto val="1"/>
        <c:lblAlgn val="ctr"/>
        <c:lblOffset val="100"/>
        <c:noMultiLvlLbl val="0"/>
      </c:catAx>
      <c:valAx>
        <c:axId val="4093400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09341264"/>
        <c:crosses val="autoZero"/>
        <c:crossBetween val="between"/>
      </c:valAx>
      <c:valAx>
        <c:axId val="577459920"/>
        <c:scaling>
          <c:orientation val="minMax"/>
        </c:scaling>
        <c:delete val="1"/>
        <c:axPos val="r"/>
        <c:numFmt formatCode="_(* #,##0_);_(* \(#,##0\);_(* &quot;-&quot;??_);_(@_)" sourceLinked="1"/>
        <c:majorTickMark val="out"/>
        <c:minorTickMark val="none"/>
        <c:tickLblPos val="nextTo"/>
        <c:crossAx val="577462544"/>
        <c:crosses val="max"/>
        <c:crossBetween val="between"/>
      </c:valAx>
      <c:catAx>
        <c:axId val="57746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745992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 w="19050">
      <a:solidFill>
        <a:sysClr val="windowText" lastClr="000000"/>
      </a:solidFill>
    </a:ln>
  </c:spPr>
  <c:txPr>
    <a:bodyPr/>
    <a:lstStyle/>
    <a:p>
      <a:pPr>
        <a:defRPr sz="11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FY 2025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EPAct Compliance Percentage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488919329039722"/>
          <c:y val="6.6380313199105145E-2"/>
          <c:w val="0.60371523334193034"/>
          <c:h val="0.86919015659955257"/>
        </c:manualLayout>
      </c:layout>
      <c:barChart>
        <c:barDir val="bar"/>
        <c:grouping val="clustered"/>
        <c:varyColors val="0"/>
        <c:ser>
          <c:idx val="5"/>
          <c:order val="5"/>
          <c:tx>
            <c:strRef>
              <c:f>'FY 2025 Agency Details'!$H$3</c:f>
              <c:strCache>
                <c:ptCount val="1"/>
                <c:pt idx="0">
                  <c:v>EPAct Compliance Percentage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41-4C5E-9146-F2C5E5A009D4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04C-423F-86D2-9D86A725A75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41-4C5E-9146-F2C5E5A009D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41-4C5E-9146-F2C5E5A009D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41-4C5E-9146-F2C5E5A009D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8EE-4910-93D5-534014B4002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41-4C5E-9146-F2C5E5A009D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41-4C5E-9146-F2C5E5A009D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1E7-41C5-81D7-AE34A4F56E3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41-4C5E-9146-F2C5E5A009D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1E7-41C5-81D7-AE34A4F56E3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3A3-4FB8-9A61-B999FCED4F4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41-4C5E-9146-F2C5E5A009D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41-4C5E-9146-F2C5E5A009D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3A3-4FB8-9A61-B999FCED4F4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04C-423F-86D2-9D86A725A75D}"/>
              </c:ext>
            </c:extLst>
          </c:dPt>
          <c:dLbls>
            <c:dLbl>
              <c:idx val="3"/>
              <c:layout>
                <c:manualLayout>
                  <c:x val="2.38805970149253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1-4C5E-9146-F2C5E5A009D4}"/>
                </c:ext>
              </c:extLst>
            </c:dLbl>
            <c:dLbl>
              <c:idx val="6"/>
              <c:layout>
                <c:manualLayout>
                  <c:x val="1.79104477611940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41-4C5E-9146-F2C5E5A009D4}"/>
                </c:ext>
              </c:extLst>
            </c:dLbl>
            <c:dLbl>
              <c:idx val="10"/>
              <c:layout>
                <c:manualLayout>
                  <c:x val="1.1940298507462687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41-4C5E-9146-F2C5E5A009D4}"/>
                </c:ext>
              </c:extLst>
            </c:dLbl>
            <c:dLbl>
              <c:idx val="19"/>
              <c:layout>
                <c:manualLayout>
                  <c:x val="3.98009950248748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41-4C5E-9146-F2C5E5A009D4}"/>
                </c:ext>
              </c:extLst>
            </c:dLbl>
            <c:dLbl>
              <c:idx val="20"/>
              <c:layout>
                <c:manualLayout>
                  <c:x val="2.98507462686566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1E7-41C5-81D7-AE34A4F56E3C}"/>
                </c:ext>
              </c:extLst>
            </c:dLbl>
            <c:dLbl>
              <c:idx val="2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1A-49F1-BB2A-763F85E1C4E1}"/>
                </c:ext>
              </c:extLst>
            </c:dLbl>
            <c:dLbl>
              <c:idx val="24"/>
              <c:layout>
                <c:manualLayout>
                  <c:x val="5.18556822188271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676-44BB-A88F-0B312BD97FA5}"/>
                </c:ext>
              </c:extLst>
            </c:dLbl>
            <c:dLbl>
              <c:idx val="2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41-4C5E-9146-F2C5E5A009D4}"/>
                </c:ext>
              </c:extLst>
            </c:dLbl>
            <c:dLbl>
              <c:idx val="27"/>
              <c:layout>
                <c:manualLayout>
                  <c:x val="1.59203980099502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4C-423F-86D2-9D86A725A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'FY 2025 Agency Details'!$B$4:$B$36</c15:sqref>
                  </c15:fullRef>
                </c:ext>
              </c:extLst>
              <c:f>('FY 2025 Agency Details'!$B$4,'FY 2025 Agency Details'!$B$6:$B$13,'FY 2025 Agency Details'!$B$15:$B$28,'FY 2025 Agency Details'!$B$32:$B$36)</c:f>
              <c:strCache>
                <c:ptCount val="28"/>
                <c:pt idx="0">
                  <c:v>Corps of Engineers, Civil Works</c:v>
                </c:pt>
                <c:pt idx="1">
                  <c:v>Department of Defense</c:v>
                </c:pt>
                <c:pt idx="2">
                  <c:v>Defense Agencies</c:v>
                </c:pt>
                <c:pt idx="3">
                  <c:v>Department of the Air Force</c:v>
                </c:pt>
                <c:pt idx="4">
                  <c:v>Department of the Army</c:v>
                </c:pt>
                <c:pt idx="5">
                  <c:v>Department of the Navy</c:v>
                </c:pt>
                <c:pt idx="6">
                  <c:v>U.S. Marine Corps</c:v>
                </c:pt>
                <c:pt idx="7">
                  <c:v>Department of Agriculture</c:v>
                </c:pt>
                <c:pt idx="8">
                  <c:v>Department of Commerce</c:v>
                </c:pt>
                <c:pt idx="9">
                  <c:v>Department of Energy</c:v>
                </c:pt>
                <c:pt idx="10">
                  <c:v>Department of Health and Human Services</c:v>
                </c:pt>
                <c:pt idx="11">
                  <c:v>Department of Homeland Security</c:v>
                </c:pt>
                <c:pt idx="12">
                  <c:v>Department of Housing and Urban Development</c:v>
                </c:pt>
                <c:pt idx="13">
                  <c:v>Department of Justice</c:v>
                </c:pt>
                <c:pt idx="14">
                  <c:v>Department of Labor</c:v>
                </c:pt>
                <c:pt idx="15">
                  <c:v>Department of State</c:v>
                </c:pt>
                <c:pt idx="16">
                  <c:v>Department of the Interior</c:v>
                </c:pt>
                <c:pt idx="17">
                  <c:v>Department of the Treasury</c:v>
                </c:pt>
                <c:pt idx="18">
                  <c:v>Department of Transportation</c:v>
                </c:pt>
                <c:pt idx="19">
                  <c:v>Department of Veterans Affairs</c:v>
                </c:pt>
                <c:pt idx="20">
                  <c:v>Environmental Protection Agency</c:v>
                </c:pt>
                <c:pt idx="21">
                  <c:v>General Services Administration</c:v>
                </c:pt>
                <c:pt idx="22">
                  <c:v>National Aeronautics and Space Administration</c:v>
                </c:pt>
                <c:pt idx="23">
                  <c:v>Smithsonian Institution</c:v>
                </c:pt>
                <c:pt idx="24">
                  <c:v>Social Security Administration</c:v>
                </c:pt>
                <c:pt idx="25">
                  <c:v>U.S. Postal Service</c:v>
                </c:pt>
                <c:pt idx="26">
                  <c:v>Tennessee Valley Authority</c:v>
                </c:pt>
                <c:pt idx="27">
                  <c:v>Federal Government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'FY 2025 Agency Details'!$H$4:$H$36</c15:sqref>
                  </c15:fullRef>
                </c:ext>
              </c:extLst>
              <c:f>('FY 2025 Agency Details'!$H$4,'FY 2025 Agency Details'!$H$6:$H$13,'FY 2025 Agency Details'!$H$15:$H$28,'FY 2025 Agency Details'!$H$32:$H$36)</c:f>
              <c:numCache>
                <c:formatCode>0%</c:formatCode>
                <c:ptCount val="28"/>
                <c:pt idx="0">
                  <c:v>2.0839694656488548</c:v>
                </c:pt>
                <c:pt idx="1">
                  <c:v>0.80623100303951367</c:v>
                </c:pt>
                <c:pt idx="2">
                  <c:v>1.0568807339449542</c:v>
                </c:pt>
                <c:pt idx="3">
                  <c:v>0.597444089456869</c:v>
                </c:pt>
                <c:pt idx="4">
                  <c:v>1.1620330147697655</c:v>
                </c:pt>
                <c:pt idx="5">
                  <c:v>0.37329504666188085</c:v>
                </c:pt>
                <c:pt idx="6">
                  <c:v>0.40225035161744022</c:v>
                </c:pt>
                <c:pt idx="7">
                  <c:v>1.6792223572296476</c:v>
                </c:pt>
                <c:pt idx="8">
                  <c:v>1.1851851851851851</c:v>
                </c:pt>
                <c:pt idx="9">
                  <c:v>0.92434210526315785</c:v>
                </c:pt>
                <c:pt idx="10">
                  <c:v>0.50609756097560976</c:v>
                </c:pt>
                <c:pt idx="11">
                  <c:v>0.35822401614530774</c:v>
                </c:pt>
                <c:pt idx="12">
                  <c:v>0.22222222222222221</c:v>
                </c:pt>
                <c:pt idx="13">
                  <c:v>0.52941176470588236</c:v>
                </c:pt>
                <c:pt idx="14">
                  <c:v>0.83505154639175261</c:v>
                </c:pt>
                <c:pt idx="15">
                  <c:v>0.75</c:v>
                </c:pt>
                <c:pt idx="16">
                  <c:v>0.93584070796460173</c:v>
                </c:pt>
                <c:pt idx="17">
                  <c:v>3.6</c:v>
                </c:pt>
                <c:pt idx="18">
                  <c:v>0.71388101983002827</c:v>
                </c:pt>
                <c:pt idx="19">
                  <c:v>0.25714285714285712</c:v>
                </c:pt>
                <c:pt idx="20">
                  <c:v>0.6</c:v>
                </c:pt>
                <c:pt idx="21">
                  <c:v>6.8636363636363633</c:v>
                </c:pt>
                <c:pt idx="22">
                  <c:v>0.94117647058823528</c:v>
                </c:pt>
                <c:pt idx="23">
                  <c:v>2</c:v>
                </c:pt>
                <c:pt idx="24">
                  <c:v>1</c:v>
                </c:pt>
                <c:pt idx="25">
                  <c:v>14.325779036827196</c:v>
                </c:pt>
                <c:pt idx="26">
                  <c:v>1.4084507042253521E-2</c:v>
                </c:pt>
                <c:pt idx="27">
                  <c:v>1.3844735986121652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'FY 2025 Agency Details'!$H$5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'FY 2025 Agency Details'!$H$29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7-B541-4C5E-9146-F2C5E5A009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22664952"/>
        <c:axId val="722665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 2025 Agency Details'!$C$3</c15:sqref>
                        </c15:formulaRef>
                      </c:ext>
                    </c:extLst>
                    <c:strCache>
                      <c:ptCount val="1"/>
                      <c:pt idx="0">
                        <c:v>Covered Acquisitions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'FY 2025 Agency Details'!$B$4:$B$36</c15:sqref>
                        </c15:fullRef>
                        <c15:formulaRef>
                          <c15:sqref>('FY 2025 Agency Details'!$B$4,'FY 2025 Agency Details'!$B$6:$B$13,'FY 2025 Agency Details'!$B$15:$B$28,'FY 2025 Agency Details'!$B$32:$B$36)</c15:sqref>
                        </c15:formulaRef>
                      </c:ext>
                    </c:extLst>
                    <c:strCache>
                      <c:ptCount val="28"/>
                      <c:pt idx="0">
                        <c:v>Corps of Engineers, Civil Works</c:v>
                      </c:pt>
                      <c:pt idx="1">
                        <c:v>Department of Defense</c:v>
                      </c:pt>
                      <c:pt idx="2">
                        <c:v>Defense Agencies</c:v>
                      </c:pt>
                      <c:pt idx="3">
                        <c:v>Department of the Air Force</c:v>
                      </c:pt>
                      <c:pt idx="4">
                        <c:v>Department of the Army</c:v>
                      </c:pt>
                      <c:pt idx="5">
                        <c:v>Department of the Navy</c:v>
                      </c:pt>
                      <c:pt idx="6">
                        <c:v>U.S. Marine Corps</c:v>
                      </c:pt>
                      <c:pt idx="7">
                        <c:v>Department of Agriculture</c:v>
                      </c:pt>
                      <c:pt idx="8">
                        <c:v>Department of Commerce</c:v>
                      </c:pt>
                      <c:pt idx="9">
                        <c:v>Department of Energy</c:v>
                      </c:pt>
                      <c:pt idx="10">
                        <c:v>Department of Health and Human Services</c:v>
                      </c:pt>
                      <c:pt idx="11">
                        <c:v>Department of Homeland Security</c:v>
                      </c:pt>
                      <c:pt idx="12">
                        <c:v>Department of Housing and Urban Development</c:v>
                      </c:pt>
                      <c:pt idx="13">
                        <c:v>Department of Justice</c:v>
                      </c:pt>
                      <c:pt idx="14">
                        <c:v>Department of Labor</c:v>
                      </c:pt>
                      <c:pt idx="15">
                        <c:v>Department of State</c:v>
                      </c:pt>
                      <c:pt idx="16">
                        <c:v>Department of the Interior</c:v>
                      </c:pt>
                      <c:pt idx="17">
                        <c:v>Department of the Treasury</c:v>
                      </c:pt>
                      <c:pt idx="18">
                        <c:v>Department of Transportation</c:v>
                      </c:pt>
                      <c:pt idx="19">
                        <c:v>Department of Veterans Affairs</c:v>
                      </c:pt>
                      <c:pt idx="20">
                        <c:v>Environmental Protection Agency</c:v>
                      </c:pt>
                      <c:pt idx="21">
                        <c:v>General Services Administration</c:v>
                      </c:pt>
                      <c:pt idx="22">
                        <c:v>National Aeronautics and Space Administration</c:v>
                      </c:pt>
                      <c:pt idx="23">
                        <c:v>Smithsonian Institution</c:v>
                      </c:pt>
                      <c:pt idx="24">
                        <c:v>Social Security Administration</c:v>
                      </c:pt>
                      <c:pt idx="25">
                        <c:v>U.S. Postal Service</c:v>
                      </c:pt>
                      <c:pt idx="26">
                        <c:v>Tennessee Valley Authority</c:v>
                      </c:pt>
                      <c:pt idx="27">
                        <c:v>Federal Government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'FY 2025 Agency Details'!$C$4:$C$36</c15:sqref>
                        </c15:fullRef>
                        <c15:formulaRef>
                          <c15:sqref>('FY 2025 Agency Details'!$C$4,'FY 2025 Agency Details'!$C$6:$C$13,'FY 2025 Agency Details'!$C$15:$C$28,'FY 2025 Agency Details'!$C$32:$C$36)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131</c:v>
                      </c:pt>
                      <c:pt idx="1">
                        <c:v>5264</c:v>
                      </c:pt>
                      <c:pt idx="2">
                        <c:v>545</c:v>
                      </c:pt>
                      <c:pt idx="3">
                        <c:v>313</c:v>
                      </c:pt>
                      <c:pt idx="4">
                        <c:v>2302</c:v>
                      </c:pt>
                      <c:pt idx="5">
                        <c:v>1393</c:v>
                      </c:pt>
                      <c:pt idx="6">
                        <c:v>711</c:v>
                      </c:pt>
                      <c:pt idx="7">
                        <c:v>823</c:v>
                      </c:pt>
                      <c:pt idx="8">
                        <c:v>27</c:v>
                      </c:pt>
                      <c:pt idx="9">
                        <c:v>304</c:v>
                      </c:pt>
                      <c:pt idx="10">
                        <c:v>164</c:v>
                      </c:pt>
                      <c:pt idx="11">
                        <c:v>991</c:v>
                      </c:pt>
                      <c:pt idx="12">
                        <c:v>9</c:v>
                      </c:pt>
                      <c:pt idx="13">
                        <c:v>17</c:v>
                      </c:pt>
                      <c:pt idx="14">
                        <c:v>97</c:v>
                      </c:pt>
                      <c:pt idx="15">
                        <c:v>12</c:v>
                      </c:pt>
                      <c:pt idx="16">
                        <c:v>452</c:v>
                      </c:pt>
                      <c:pt idx="17">
                        <c:v>15</c:v>
                      </c:pt>
                      <c:pt idx="18">
                        <c:v>353</c:v>
                      </c:pt>
                      <c:pt idx="19">
                        <c:v>35</c:v>
                      </c:pt>
                      <c:pt idx="20">
                        <c:v>25</c:v>
                      </c:pt>
                      <c:pt idx="21">
                        <c:v>22</c:v>
                      </c:pt>
                      <c:pt idx="22">
                        <c:v>51</c:v>
                      </c:pt>
                      <c:pt idx="23">
                        <c:v>1</c:v>
                      </c:pt>
                      <c:pt idx="24">
                        <c:v>6</c:v>
                      </c:pt>
                      <c:pt idx="25">
                        <c:v>353</c:v>
                      </c:pt>
                      <c:pt idx="26">
                        <c:v>71</c:v>
                      </c:pt>
                      <c:pt idx="27" formatCode="_(* #,##0_);_(* \(#,##0\);_(* &quot;-&quot;??_);_(@_)">
                        <c:v>9223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8-B541-4C5E-9146-F2C5E5A009D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 2025 Agency Details'!$D$3</c15:sqref>
                        </c15:formulaRef>
                      </c:ext>
                    </c:extLst>
                    <c:strCache>
                      <c:ptCount val="1"/>
                      <c:pt idx="0">
                        <c:v>AFV Requirements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'FY 2025 Agency Details'!$B$4:$B$36</c15:sqref>
                        </c15:fullRef>
                        <c15:formulaRef>
                          <c15:sqref>('FY 2025 Agency Details'!$B$4,'FY 2025 Agency Details'!$B$6:$B$13,'FY 2025 Agency Details'!$B$15:$B$28,'FY 2025 Agency Details'!$B$32:$B$36)</c15:sqref>
                        </c15:formulaRef>
                      </c:ext>
                    </c:extLst>
                    <c:strCache>
                      <c:ptCount val="28"/>
                      <c:pt idx="0">
                        <c:v>Corps of Engineers, Civil Works</c:v>
                      </c:pt>
                      <c:pt idx="1">
                        <c:v>Department of Defense</c:v>
                      </c:pt>
                      <c:pt idx="2">
                        <c:v>Defense Agencies</c:v>
                      </c:pt>
                      <c:pt idx="3">
                        <c:v>Department of the Air Force</c:v>
                      </c:pt>
                      <c:pt idx="4">
                        <c:v>Department of the Army</c:v>
                      </c:pt>
                      <c:pt idx="5">
                        <c:v>Department of the Navy</c:v>
                      </c:pt>
                      <c:pt idx="6">
                        <c:v>U.S. Marine Corps</c:v>
                      </c:pt>
                      <c:pt idx="7">
                        <c:v>Department of Agriculture</c:v>
                      </c:pt>
                      <c:pt idx="8">
                        <c:v>Department of Commerce</c:v>
                      </c:pt>
                      <c:pt idx="9">
                        <c:v>Department of Energy</c:v>
                      </c:pt>
                      <c:pt idx="10">
                        <c:v>Department of Health and Human Services</c:v>
                      </c:pt>
                      <c:pt idx="11">
                        <c:v>Department of Homeland Security</c:v>
                      </c:pt>
                      <c:pt idx="12">
                        <c:v>Department of Housing and Urban Development</c:v>
                      </c:pt>
                      <c:pt idx="13">
                        <c:v>Department of Justice</c:v>
                      </c:pt>
                      <c:pt idx="14">
                        <c:v>Department of Labor</c:v>
                      </c:pt>
                      <c:pt idx="15">
                        <c:v>Department of State</c:v>
                      </c:pt>
                      <c:pt idx="16">
                        <c:v>Department of the Interior</c:v>
                      </c:pt>
                      <c:pt idx="17">
                        <c:v>Department of the Treasury</c:v>
                      </c:pt>
                      <c:pt idx="18">
                        <c:v>Department of Transportation</c:v>
                      </c:pt>
                      <c:pt idx="19">
                        <c:v>Department of Veterans Affairs</c:v>
                      </c:pt>
                      <c:pt idx="20">
                        <c:v>Environmental Protection Agency</c:v>
                      </c:pt>
                      <c:pt idx="21">
                        <c:v>General Services Administration</c:v>
                      </c:pt>
                      <c:pt idx="22">
                        <c:v>National Aeronautics and Space Administration</c:v>
                      </c:pt>
                      <c:pt idx="23">
                        <c:v>Smithsonian Institution</c:v>
                      </c:pt>
                      <c:pt idx="24">
                        <c:v>Social Security Administration</c:v>
                      </c:pt>
                      <c:pt idx="25">
                        <c:v>U.S. Postal Service</c:v>
                      </c:pt>
                      <c:pt idx="26">
                        <c:v>Tennessee Valley Authority</c:v>
                      </c:pt>
                      <c:pt idx="27">
                        <c:v>Federal Government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'FY 2025 Agency Details'!$D$4:$D$36</c15:sqref>
                        </c15:fullRef>
                        <c15:formulaRef>
                          <c15:sqref>('FY 2025 Agency Details'!$D$4,'FY 2025 Agency Details'!$D$6:$D$13,'FY 2025 Agency Details'!$D$15:$D$28,'FY 2025 Agency Details'!$D$32:$D$36)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99</c:v>
                      </c:pt>
                      <c:pt idx="1">
                        <c:v>3950</c:v>
                      </c:pt>
                      <c:pt idx="2">
                        <c:v>409</c:v>
                      </c:pt>
                      <c:pt idx="3">
                        <c:v>235</c:v>
                      </c:pt>
                      <c:pt idx="4">
                        <c:v>1727</c:v>
                      </c:pt>
                      <c:pt idx="5">
                        <c:v>1045</c:v>
                      </c:pt>
                      <c:pt idx="6">
                        <c:v>534</c:v>
                      </c:pt>
                      <c:pt idx="7">
                        <c:v>618</c:v>
                      </c:pt>
                      <c:pt idx="8">
                        <c:v>21</c:v>
                      </c:pt>
                      <c:pt idx="9">
                        <c:v>228</c:v>
                      </c:pt>
                      <c:pt idx="10">
                        <c:v>123</c:v>
                      </c:pt>
                      <c:pt idx="11">
                        <c:v>744</c:v>
                      </c:pt>
                      <c:pt idx="12">
                        <c:v>7</c:v>
                      </c:pt>
                      <c:pt idx="13">
                        <c:v>13</c:v>
                      </c:pt>
                      <c:pt idx="14">
                        <c:v>73</c:v>
                      </c:pt>
                      <c:pt idx="15">
                        <c:v>9</c:v>
                      </c:pt>
                      <c:pt idx="16">
                        <c:v>339</c:v>
                      </c:pt>
                      <c:pt idx="17">
                        <c:v>12</c:v>
                      </c:pt>
                      <c:pt idx="18">
                        <c:v>265</c:v>
                      </c:pt>
                      <c:pt idx="19">
                        <c:v>27</c:v>
                      </c:pt>
                      <c:pt idx="20">
                        <c:v>19</c:v>
                      </c:pt>
                      <c:pt idx="21">
                        <c:v>17</c:v>
                      </c:pt>
                      <c:pt idx="22">
                        <c:v>39</c:v>
                      </c:pt>
                      <c:pt idx="23">
                        <c:v>1</c:v>
                      </c:pt>
                      <c:pt idx="24">
                        <c:v>5</c:v>
                      </c:pt>
                      <c:pt idx="25">
                        <c:v>265</c:v>
                      </c:pt>
                      <c:pt idx="26">
                        <c:v>54</c:v>
                      </c:pt>
                      <c:pt idx="27" formatCode="_(* #,##0_);_(* \(#,##0\);_(* &quot;-&quot;??_);_(@_)">
                        <c:v>6928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541-4C5E-9146-F2C5E5A009D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 2025 Agency Details'!$E$3</c15:sqref>
                        </c15:formulaRef>
                      </c:ext>
                    </c:extLst>
                    <c:strCache>
                      <c:ptCount val="1"/>
                      <c:pt idx="0">
                        <c:v>AFV Acquisition Credits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'FY 2025 Agency Details'!$B$4:$B$36</c15:sqref>
                        </c15:fullRef>
                        <c15:formulaRef>
                          <c15:sqref>('FY 2025 Agency Details'!$B$4,'FY 2025 Agency Details'!$B$6:$B$13,'FY 2025 Agency Details'!$B$15:$B$28,'FY 2025 Agency Details'!$B$32:$B$36)</c15:sqref>
                        </c15:formulaRef>
                      </c:ext>
                    </c:extLst>
                    <c:strCache>
                      <c:ptCount val="28"/>
                      <c:pt idx="0">
                        <c:v>Corps of Engineers, Civil Works</c:v>
                      </c:pt>
                      <c:pt idx="1">
                        <c:v>Department of Defense</c:v>
                      </c:pt>
                      <c:pt idx="2">
                        <c:v>Defense Agencies</c:v>
                      </c:pt>
                      <c:pt idx="3">
                        <c:v>Department of the Air Force</c:v>
                      </c:pt>
                      <c:pt idx="4">
                        <c:v>Department of the Army</c:v>
                      </c:pt>
                      <c:pt idx="5">
                        <c:v>Department of the Navy</c:v>
                      </c:pt>
                      <c:pt idx="6">
                        <c:v>U.S. Marine Corps</c:v>
                      </c:pt>
                      <c:pt idx="7">
                        <c:v>Department of Agriculture</c:v>
                      </c:pt>
                      <c:pt idx="8">
                        <c:v>Department of Commerce</c:v>
                      </c:pt>
                      <c:pt idx="9">
                        <c:v>Department of Energy</c:v>
                      </c:pt>
                      <c:pt idx="10">
                        <c:v>Department of Health and Human Services</c:v>
                      </c:pt>
                      <c:pt idx="11">
                        <c:v>Department of Homeland Security</c:v>
                      </c:pt>
                      <c:pt idx="12">
                        <c:v>Department of Housing and Urban Development</c:v>
                      </c:pt>
                      <c:pt idx="13">
                        <c:v>Department of Justice</c:v>
                      </c:pt>
                      <c:pt idx="14">
                        <c:v>Department of Labor</c:v>
                      </c:pt>
                      <c:pt idx="15">
                        <c:v>Department of State</c:v>
                      </c:pt>
                      <c:pt idx="16">
                        <c:v>Department of the Interior</c:v>
                      </c:pt>
                      <c:pt idx="17">
                        <c:v>Department of the Treasury</c:v>
                      </c:pt>
                      <c:pt idx="18">
                        <c:v>Department of Transportation</c:v>
                      </c:pt>
                      <c:pt idx="19">
                        <c:v>Department of Veterans Affairs</c:v>
                      </c:pt>
                      <c:pt idx="20">
                        <c:v>Environmental Protection Agency</c:v>
                      </c:pt>
                      <c:pt idx="21">
                        <c:v>General Services Administration</c:v>
                      </c:pt>
                      <c:pt idx="22">
                        <c:v>National Aeronautics and Space Administration</c:v>
                      </c:pt>
                      <c:pt idx="23">
                        <c:v>Smithsonian Institution</c:v>
                      </c:pt>
                      <c:pt idx="24">
                        <c:v>Social Security Administration</c:v>
                      </c:pt>
                      <c:pt idx="25">
                        <c:v>U.S. Postal Service</c:v>
                      </c:pt>
                      <c:pt idx="26">
                        <c:v>Tennessee Valley Authority</c:v>
                      </c:pt>
                      <c:pt idx="27">
                        <c:v>Federal Government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'FY 2025 Agency Details'!$E$4:$E$36</c15:sqref>
                        </c15:fullRef>
                        <c15:formulaRef>
                          <c15:sqref>('FY 2025 Agency Details'!$E$4,'FY 2025 Agency Details'!$E$6:$E$13,'FY 2025 Agency Details'!$E$15:$E$28,'FY 2025 Agency Details'!$E$32:$E$36)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273</c:v>
                      </c:pt>
                      <c:pt idx="1">
                        <c:v>4095</c:v>
                      </c:pt>
                      <c:pt idx="2">
                        <c:v>576</c:v>
                      </c:pt>
                      <c:pt idx="3">
                        <c:v>187</c:v>
                      </c:pt>
                      <c:pt idx="4">
                        <c:v>2675</c:v>
                      </c:pt>
                      <c:pt idx="5">
                        <c:v>485</c:v>
                      </c:pt>
                      <c:pt idx="6">
                        <c:v>172</c:v>
                      </c:pt>
                      <c:pt idx="7">
                        <c:v>1382</c:v>
                      </c:pt>
                      <c:pt idx="8">
                        <c:v>32</c:v>
                      </c:pt>
                      <c:pt idx="9">
                        <c:v>267</c:v>
                      </c:pt>
                      <c:pt idx="10">
                        <c:v>83</c:v>
                      </c:pt>
                      <c:pt idx="11">
                        <c:v>355</c:v>
                      </c:pt>
                      <c:pt idx="12">
                        <c:v>2</c:v>
                      </c:pt>
                      <c:pt idx="13">
                        <c:v>7</c:v>
                      </c:pt>
                      <c:pt idx="14">
                        <c:v>81</c:v>
                      </c:pt>
                      <c:pt idx="15">
                        <c:v>9</c:v>
                      </c:pt>
                      <c:pt idx="16">
                        <c:v>405</c:v>
                      </c:pt>
                      <c:pt idx="17">
                        <c:v>54</c:v>
                      </c:pt>
                      <c:pt idx="18">
                        <c:v>252</c:v>
                      </c:pt>
                      <c:pt idx="19">
                        <c:v>4</c:v>
                      </c:pt>
                      <c:pt idx="20">
                        <c:v>15</c:v>
                      </c:pt>
                      <c:pt idx="21">
                        <c:v>151</c:v>
                      </c:pt>
                      <c:pt idx="22">
                        <c:v>46</c:v>
                      </c:pt>
                      <c:pt idx="23">
                        <c:v>2</c:v>
                      </c:pt>
                      <c:pt idx="24">
                        <c:v>5</c:v>
                      </c:pt>
                      <c:pt idx="25">
                        <c:v>5053</c:v>
                      </c:pt>
                      <c:pt idx="26">
                        <c:v>1</c:v>
                      </c:pt>
                      <c:pt idx="27" formatCode="_(* #,##0_);_(* \(#,##0\);_(* &quot;-&quot;??_);_(@_)">
                        <c:v>12574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541-4C5E-9146-F2C5E5A009D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 2025 Agency Details'!$F$3</c15:sqref>
                        </c15:formulaRef>
                      </c:ext>
                    </c:extLst>
                    <c:strCache>
                      <c:ptCount val="1"/>
                      <c:pt idx="0">
                        <c:v>Actual Biodiesel Credits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'FY 2025 Agency Details'!$B$4:$B$36</c15:sqref>
                        </c15:fullRef>
                        <c15:formulaRef>
                          <c15:sqref>('FY 2025 Agency Details'!$B$4,'FY 2025 Agency Details'!$B$6:$B$13,'FY 2025 Agency Details'!$B$15:$B$28,'FY 2025 Agency Details'!$B$32:$B$36)</c15:sqref>
                        </c15:formulaRef>
                      </c:ext>
                    </c:extLst>
                    <c:strCache>
                      <c:ptCount val="28"/>
                      <c:pt idx="0">
                        <c:v>Corps of Engineers, Civil Works</c:v>
                      </c:pt>
                      <c:pt idx="1">
                        <c:v>Department of Defense</c:v>
                      </c:pt>
                      <c:pt idx="2">
                        <c:v>Defense Agencies</c:v>
                      </c:pt>
                      <c:pt idx="3">
                        <c:v>Department of the Air Force</c:v>
                      </c:pt>
                      <c:pt idx="4">
                        <c:v>Department of the Army</c:v>
                      </c:pt>
                      <c:pt idx="5">
                        <c:v>Department of the Navy</c:v>
                      </c:pt>
                      <c:pt idx="6">
                        <c:v>U.S. Marine Corps</c:v>
                      </c:pt>
                      <c:pt idx="7">
                        <c:v>Department of Agriculture</c:v>
                      </c:pt>
                      <c:pt idx="8">
                        <c:v>Department of Commerce</c:v>
                      </c:pt>
                      <c:pt idx="9">
                        <c:v>Department of Energy</c:v>
                      </c:pt>
                      <c:pt idx="10">
                        <c:v>Department of Health and Human Services</c:v>
                      </c:pt>
                      <c:pt idx="11">
                        <c:v>Department of Homeland Security</c:v>
                      </c:pt>
                      <c:pt idx="12">
                        <c:v>Department of Housing and Urban Development</c:v>
                      </c:pt>
                      <c:pt idx="13">
                        <c:v>Department of Justice</c:v>
                      </c:pt>
                      <c:pt idx="14">
                        <c:v>Department of Labor</c:v>
                      </c:pt>
                      <c:pt idx="15">
                        <c:v>Department of State</c:v>
                      </c:pt>
                      <c:pt idx="16">
                        <c:v>Department of the Interior</c:v>
                      </c:pt>
                      <c:pt idx="17">
                        <c:v>Department of the Treasury</c:v>
                      </c:pt>
                      <c:pt idx="18">
                        <c:v>Department of Transportation</c:v>
                      </c:pt>
                      <c:pt idx="19">
                        <c:v>Department of Veterans Affairs</c:v>
                      </c:pt>
                      <c:pt idx="20">
                        <c:v>Environmental Protection Agency</c:v>
                      </c:pt>
                      <c:pt idx="21">
                        <c:v>General Services Administration</c:v>
                      </c:pt>
                      <c:pt idx="22">
                        <c:v>National Aeronautics and Space Administration</c:v>
                      </c:pt>
                      <c:pt idx="23">
                        <c:v>Smithsonian Institution</c:v>
                      </c:pt>
                      <c:pt idx="24">
                        <c:v>Social Security Administration</c:v>
                      </c:pt>
                      <c:pt idx="25">
                        <c:v>U.S. Postal Service</c:v>
                      </c:pt>
                      <c:pt idx="26">
                        <c:v>Tennessee Valley Authority</c:v>
                      </c:pt>
                      <c:pt idx="27">
                        <c:v>Federal Government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'FY 2025 Agency Details'!$F$4:$F$36</c15:sqref>
                        </c15:fullRef>
                        <c15:formulaRef>
                          <c15:sqref>('FY 2025 Agency Details'!$F$4,'FY 2025 Agency Details'!$F$6:$F$13,'FY 2025 Agency Details'!$F$15:$F$28,'FY 2025 Agency Details'!$F$32:$F$36)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0</c:v>
                      </c:pt>
                      <c:pt idx="1">
                        <c:v>149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35</c:v>
                      </c:pt>
                      <c:pt idx="6">
                        <c:v>114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2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18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5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2</c:v>
                      </c:pt>
                      <c:pt idx="23">
                        <c:v>0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0</c:v>
                      </c:pt>
                      <c:pt idx="27" formatCode="_(* #,##0_);_(* \(#,##0\);_(* &quot;-&quot;??_);_(@_)">
                        <c:v>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541-4C5E-9146-F2C5E5A009D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 2025 Agency Details'!$G$3</c15:sqref>
                        </c15:formulaRef>
                      </c:ext>
                    </c:extLst>
                    <c:strCache>
                      <c:ptCount val="1"/>
                      <c:pt idx="0">
                        <c:v>Total EPAct Credits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'FY 2025 Agency Details'!$B$4:$B$36</c15:sqref>
                        </c15:fullRef>
                        <c15:formulaRef>
                          <c15:sqref>('FY 2025 Agency Details'!$B$4,'FY 2025 Agency Details'!$B$6:$B$13,'FY 2025 Agency Details'!$B$15:$B$28,'FY 2025 Agency Details'!$B$32:$B$36)</c15:sqref>
                        </c15:formulaRef>
                      </c:ext>
                    </c:extLst>
                    <c:strCache>
                      <c:ptCount val="28"/>
                      <c:pt idx="0">
                        <c:v>Corps of Engineers, Civil Works</c:v>
                      </c:pt>
                      <c:pt idx="1">
                        <c:v>Department of Defense</c:v>
                      </c:pt>
                      <c:pt idx="2">
                        <c:v>Defense Agencies</c:v>
                      </c:pt>
                      <c:pt idx="3">
                        <c:v>Department of the Air Force</c:v>
                      </c:pt>
                      <c:pt idx="4">
                        <c:v>Department of the Army</c:v>
                      </c:pt>
                      <c:pt idx="5">
                        <c:v>Department of the Navy</c:v>
                      </c:pt>
                      <c:pt idx="6">
                        <c:v>U.S. Marine Corps</c:v>
                      </c:pt>
                      <c:pt idx="7">
                        <c:v>Department of Agriculture</c:v>
                      </c:pt>
                      <c:pt idx="8">
                        <c:v>Department of Commerce</c:v>
                      </c:pt>
                      <c:pt idx="9">
                        <c:v>Department of Energy</c:v>
                      </c:pt>
                      <c:pt idx="10">
                        <c:v>Department of Health and Human Services</c:v>
                      </c:pt>
                      <c:pt idx="11">
                        <c:v>Department of Homeland Security</c:v>
                      </c:pt>
                      <c:pt idx="12">
                        <c:v>Department of Housing and Urban Development</c:v>
                      </c:pt>
                      <c:pt idx="13">
                        <c:v>Department of Justice</c:v>
                      </c:pt>
                      <c:pt idx="14">
                        <c:v>Department of Labor</c:v>
                      </c:pt>
                      <c:pt idx="15">
                        <c:v>Department of State</c:v>
                      </c:pt>
                      <c:pt idx="16">
                        <c:v>Department of the Interior</c:v>
                      </c:pt>
                      <c:pt idx="17">
                        <c:v>Department of the Treasury</c:v>
                      </c:pt>
                      <c:pt idx="18">
                        <c:v>Department of Transportation</c:v>
                      </c:pt>
                      <c:pt idx="19">
                        <c:v>Department of Veterans Affairs</c:v>
                      </c:pt>
                      <c:pt idx="20">
                        <c:v>Environmental Protection Agency</c:v>
                      </c:pt>
                      <c:pt idx="21">
                        <c:v>General Services Administration</c:v>
                      </c:pt>
                      <c:pt idx="22">
                        <c:v>National Aeronautics and Space Administration</c:v>
                      </c:pt>
                      <c:pt idx="23">
                        <c:v>Smithsonian Institution</c:v>
                      </c:pt>
                      <c:pt idx="24">
                        <c:v>Social Security Administration</c:v>
                      </c:pt>
                      <c:pt idx="25">
                        <c:v>U.S. Postal Service</c:v>
                      </c:pt>
                      <c:pt idx="26">
                        <c:v>Tennessee Valley Authority</c:v>
                      </c:pt>
                      <c:pt idx="27">
                        <c:v>Federal Government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'FY 2025 Agency Details'!$G$4:$G$36</c15:sqref>
                        </c15:fullRef>
                        <c15:formulaRef>
                          <c15:sqref>('FY 2025 Agency Details'!$G$4,'FY 2025 Agency Details'!$G$6:$G$13,'FY 2025 Agency Details'!$G$15:$G$28,'FY 2025 Agency Details'!$G$32:$G$36)</c15:sqref>
                        </c15:formulaRef>
                      </c:ext>
                    </c:extLst>
                    <c:numCache>
                      <c:formatCode>0</c:formatCode>
                      <c:ptCount val="28"/>
                      <c:pt idx="0">
                        <c:v>273</c:v>
                      </c:pt>
                      <c:pt idx="1" formatCode="#,##0">
                        <c:v>4244</c:v>
                      </c:pt>
                      <c:pt idx="2">
                        <c:v>576</c:v>
                      </c:pt>
                      <c:pt idx="3">
                        <c:v>187</c:v>
                      </c:pt>
                      <c:pt idx="4">
                        <c:v>2675</c:v>
                      </c:pt>
                      <c:pt idx="5">
                        <c:v>520</c:v>
                      </c:pt>
                      <c:pt idx="6">
                        <c:v>286</c:v>
                      </c:pt>
                      <c:pt idx="7">
                        <c:v>1382</c:v>
                      </c:pt>
                      <c:pt idx="8">
                        <c:v>32</c:v>
                      </c:pt>
                      <c:pt idx="9">
                        <c:v>281</c:v>
                      </c:pt>
                      <c:pt idx="10">
                        <c:v>83</c:v>
                      </c:pt>
                      <c:pt idx="11">
                        <c:v>355</c:v>
                      </c:pt>
                      <c:pt idx="12">
                        <c:v>2</c:v>
                      </c:pt>
                      <c:pt idx="13">
                        <c:v>9</c:v>
                      </c:pt>
                      <c:pt idx="14">
                        <c:v>81</c:v>
                      </c:pt>
                      <c:pt idx="15">
                        <c:v>9</c:v>
                      </c:pt>
                      <c:pt idx="16">
                        <c:v>423</c:v>
                      </c:pt>
                      <c:pt idx="17">
                        <c:v>54</c:v>
                      </c:pt>
                      <c:pt idx="18">
                        <c:v>252</c:v>
                      </c:pt>
                      <c:pt idx="19">
                        <c:v>9</c:v>
                      </c:pt>
                      <c:pt idx="20">
                        <c:v>15</c:v>
                      </c:pt>
                      <c:pt idx="21">
                        <c:v>151</c:v>
                      </c:pt>
                      <c:pt idx="22">
                        <c:v>48</c:v>
                      </c:pt>
                      <c:pt idx="23">
                        <c:v>2</c:v>
                      </c:pt>
                      <c:pt idx="24">
                        <c:v>6</c:v>
                      </c:pt>
                      <c:pt idx="25">
                        <c:v>5057</c:v>
                      </c:pt>
                      <c:pt idx="26">
                        <c:v>1</c:v>
                      </c:pt>
                      <c:pt idx="27" formatCode="#,##0">
                        <c:v>12769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541-4C5E-9146-F2C5E5A009D4}"/>
                  </c:ext>
                </c:extLst>
              </c15:ser>
            </c15:filteredBarSeries>
          </c:ext>
        </c:extLst>
      </c:barChart>
      <c:catAx>
        <c:axId val="722664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2665280"/>
        <c:crosses val="autoZero"/>
        <c:auto val="1"/>
        <c:lblAlgn val="ctr"/>
        <c:lblOffset val="100"/>
        <c:noMultiLvlLbl val="0"/>
      </c:catAx>
      <c:valAx>
        <c:axId val="722665280"/>
        <c:scaling>
          <c:orientation val="minMax"/>
          <c:max val="5"/>
        </c:scaling>
        <c:delete val="1"/>
        <c:axPos val="b"/>
        <c:numFmt formatCode="0%" sourceLinked="1"/>
        <c:majorTickMark val="none"/>
        <c:minorTickMark val="none"/>
        <c:tickLblPos val="nextTo"/>
        <c:crossAx val="72266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666749</xdr:colOff>
      <xdr:row>1</xdr:row>
      <xdr:rowOff>0</xdr:rowOff>
    </xdr:from>
    <xdr:to>
      <xdr:col>18</xdr:col>
      <xdr:colOff>666749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49478C-6B8E-4BA0-BE5F-052609685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11</xdr:col>
      <xdr:colOff>476250</xdr:colOff>
      <xdr:row>45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F25C54-D46B-4CEC-BA9A-A516A646D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0.46434</cdr:x>
      <cdr:y>0.06604</cdr:y>
    </cdr:from>
    <cdr:to>
      <cdr:x>0.46726</cdr:x>
      <cdr:y>0.93181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B7DCB41C-7B7F-4E0F-81E7-09455E08BF97}"/>
            </a:ext>
          </a:extLst>
        </cdr:cNvPr>
        <cdr:cNvCxnSpPr/>
      </cdr:nvCxnSpPr>
      <cdr:spPr>
        <a:xfrm xmlns:a="http://schemas.openxmlformats.org/drawingml/2006/main">
          <a:off x="2963270" y="470520"/>
          <a:ext cx="18635" cy="616835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0.19104</cdr:x>
      <cdr:y>0.94806</cdr:y>
    </cdr:from>
    <cdr:to>
      <cdr:x>0.9128</cdr:x>
      <cdr:y>0.98027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C67CF8D-59FC-457A-8580-85F7372950AD}"/>
            </a:ext>
          </a:extLst>
        </cdr:cNvPr>
        <cdr:cNvSpPr txBox="1"/>
      </cdr:nvSpPr>
      <cdr:spPr>
        <a:xfrm xmlns:a="http://schemas.openxmlformats.org/drawingml/2006/main">
          <a:off x="1219200" y="6754609"/>
          <a:ext cx="4606045" cy="229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EPAct AFV acquisition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credits must meet or exceed 75% (llustrated by the blue line)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F749-78AC-468D-A5DC-40E665C4015D}">
  <dimension ref="B1:U4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109375" defaultRowHeight="15" x14ac:dyDescent="0.25"/>
  <cols>
    <col min="1" max="1" width="3.42578125" style="68" customWidth="1"/>
    <col min="2" max="2" width="19.28515625" style="68" customWidth="1"/>
    <col min="3" max="5" width="14.140625" style="68" customWidth="1"/>
    <col min="6" max="256" width="10.140625" style="68" customWidth="1"/>
    <col min="257" max="257" width="26.42578125" style="68" customWidth="1"/>
    <col min="258" max="258" width="12.42578125" style="68" customWidth="1"/>
    <col min="259" max="512" width="10.140625" style="68" customWidth="1"/>
    <col min="513" max="513" width="26.42578125" style="68" customWidth="1"/>
    <col min="514" max="514" width="12.42578125" style="68" customWidth="1"/>
    <col min="515" max="768" width="10.140625" style="68" customWidth="1"/>
    <col min="769" max="769" width="26.42578125" style="68" customWidth="1"/>
    <col min="770" max="770" width="12.42578125" style="68" customWidth="1"/>
    <col min="771" max="1024" width="10.140625" style="68" customWidth="1"/>
    <col min="1025" max="1025" width="26.42578125" style="68" customWidth="1"/>
    <col min="1026" max="1026" width="12.42578125" style="68" customWidth="1"/>
    <col min="1027" max="1280" width="10.140625" style="68" customWidth="1"/>
    <col min="1281" max="1281" width="26.42578125" style="68" customWidth="1"/>
    <col min="1282" max="1282" width="12.42578125" style="68" customWidth="1"/>
    <col min="1283" max="1536" width="10.140625" style="68" customWidth="1"/>
    <col min="1537" max="1537" width="26.42578125" style="68" customWidth="1"/>
    <col min="1538" max="1538" width="12.42578125" style="68" customWidth="1"/>
    <col min="1539" max="1792" width="10.140625" style="68" customWidth="1"/>
    <col min="1793" max="1793" width="26.42578125" style="68" customWidth="1"/>
    <col min="1794" max="1794" width="12.42578125" style="68" customWidth="1"/>
    <col min="1795" max="2048" width="10.140625" style="68" customWidth="1"/>
    <col min="2049" max="2049" width="26.42578125" style="68" customWidth="1"/>
    <col min="2050" max="2050" width="12.42578125" style="68" customWidth="1"/>
    <col min="2051" max="2304" width="10.140625" style="68" customWidth="1"/>
    <col min="2305" max="2305" width="26.42578125" style="68" customWidth="1"/>
    <col min="2306" max="2306" width="12.42578125" style="68" customWidth="1"/>
    <col min="2307" max="2560" width="10.140625" style="68" customWidth="1"/>
    <col min="2561" max="2561" width="26.42578125" style="68" customWidth="1"/>
    <col min="2562" max="2562" width="12.42578125" style="68" customWidth="1"/>
    <col min="2563" max="2816" width="10.140625" style="68" customWidth="1"/>
    <col min="2817" max="2817" width="26.42578125" style="68" customWidth="1"/>
    <col min="2818" max="2818" width="12.42578125" style="68" customWidth="1"/>
    <col min="2819" max="3072" width="10.140625" style="68" customWidth="1"/>
    <col min="3073" max="3073" width="26.42578125" style="68" customWidth="1"/>
    <col min="3074" max="3074" width="12.42578125" style="68" customWidth="1"/>
    <col min="3075" max="3328" width="10.140625" style="68" customWidth="1"/>
    <col min="3329" max="3329" width="26.42578125" style="68" customWidth="1"/>
    <col min="3330" max="3330" width="12.42578125" style="68" customWidth="1"/>
    <col min="3331" max="3584" width="10.140625" style="68" customWidth="1"/>
    <col min="3585" max="3585" width="26.42578125" style="68" customWidth="1"/>
    <col min="3586" max="3586" width="12.42578125" style="68" customWidth="1"/>
    <col min="3587" max="3840" width="10.140625" style="68" customWidth="1"/>
    <col min="3841" max="3841" width="26.42578125" style="68" customWidth="1"/>
    <col min="3842" max="3842" width="12.42578125" style="68" customWidth="1"/>
    <col min="3843" max="4096" width="10.140625" style="68" customWidth="1"/>
    <col min="4097" max="4097" width="26.42578125" style="68" customWidth="1"/>
    <col min="4098" max="4098" width="12.42578125" style="68" customWidth="1"/>
    <col min="4099" max="4352" width="10.140625" style="68" customWidth="1"/>
    <col min="4353" max="4353" width="26.42578125" style="68" customWidth="1"/>
    <col min="4354" max="4354" width="12.42578125" style="68" customWidth="1"/>
    <col min="4355" max="4608" width="10.140625" style="68" customWidth="1"/>
    <col min="4609" max="4609" width="26.42578125" style="68" customWidth="1"/>
    <col min="4610" max="4610" width="12.42578125" style="68" customWidth="1"/>
    <col min="4611" max="4864" width="10.140625" style="68" customWidth="1"/>
    <col min="4865" max="4865" width="26.42578125" style="68" customWidth="1"/>
    <col min="4866" max="4866" width="12.42578125" style="68" customWidth="1"/>
    <col min="4867" max="5120" width="10.140625" style="68" customWidth="1"/>
    <col min="5121" max="5121" width="26.42578125" style="68" customWidth="1"/>
    <col min="5122" max="5122" width="12.42578125" style="68" customWidth="1"/>
    <col min="5123" max="5376" width="10.140625" style="68" customWidth="1"/>
    <col min="5377" max="5377" width="26.42578125" style="68" customWidth="1"/>
    <col min="5378" max="5378" width="12.42578125" style="68" customWidth="1"/>
    <col min="5379" max="5632" width="10.140625" style="68" customWidth="1"/>
    <col min="5633" max="5633" width="26.42578125" style="68" customWidth="1"/>
    <col min="5634" max="5634" width="12.42578125" style="68" customWidth="1"/>
    <col min="5635" max="5888" width="10.140625" style="68" customWidth="1"/>
    <col min="5889" max="5889" width="26.42578125" style="68" customWidth="1"/>
    <col min="5890" max="5890" width="12.42578125" style="68" customWidth="1"/>
    <col min="5891" max="6144" width="10.140625" style="68" customWidth="1"/>
    <col min="6145" max="6145" width="26.42578125" style="68" customWidth="1"/>
    <col min="6146" max="6146" width="12.42578125" style="68" customWidth="1"/>
    <col min="6147" max="6400" width="10.140625" style="68" customWidth="1"/>
    <col min="6401" max="6401" width="26.42578125" style="68" customWidth="1"/>
    <col min="6402" max="6402" width="12.42578125" style="68" customWidth="1"/>
    <col min="6403" max="6656" width="10.140625" style="68" customWidth="1"/>
    <col min="6657" max="6657" width="26.42578125" style="68" customWidth="1"/>
    <col min="6658" max="6658" width="12.42578125" style="68" customWidth="1"/>
    <col min="6659" max="6912" width="10.140625" style="68" customWidth="1"/>
    <col min="6913" max="6913" width="26.42578125" style="68" customWidth="1"/>
    <col min="6914" max="6914" width="12.42578125" style="68" customWidth="1"/>
    <col min="6915" max="7168" width="10.140625" style="68" customWidth="1"/>
    <col min="7169" max="7169" width="26.42578125" style="68" customWidth="1"/>
    <col min="7170" max="7170" width="12.42578125" style="68" customWidth="1"/>
    <col min="7171" max="7424" width="10.140625" style="68" customWidth="1"/>
    <col min="7425" max="7425" width="26.42578125" style="68" customWidth="1"/>
    <col min="7426" max="7426" width="12.42578125" style="68" customWidth="1"/>
    <col min="7427" max="7680" width="10.140625" style="68" customWidth="1"/>
    <col min="7681" max="7681" width="26.42578125" style="68" customWidth="1"/>
    <col min="7682" max="7682" width="12.42578125" style="68" customWidth="1"/>
    <col min="7683" max="7936" width="10.140625" style="68" customWidth="1"/>
    <col min="7937" max="7937" width="26.42578125" style="68" customWidth="1"/>
    <col min="7938" max="7938" width="12.42578125" style="68" customWidth="1"/>
    <col min="7939" max="8192" width="10.140625" style="68" customWidth="1"/>
    <col min="8193" max="8193" width="26.42578125" style="68" customWidth="1"/>
    <col min="8194" max="8194" width="12.42578125" style="68" customWidth="1"/>
    <col min="8195" max="8448" width="10.140625" style="68" customWidth="1"/>
    <col min="8449" max="8449" width="26.42578125" style="68" customWidth="1"/>
    <col min="8450" max="8450" width="12.42578125" style="68" customWidth="1"/>
    <col min="8451" max="8704" width="10.140625" style="68" customWidth="1"/>
    <col min="8705" max="8705" width="26.42578125" style="68" customWidth="1"/>
    <col min="8706" max="8706" width="12.42578125" style="68" customWidth="1"/>
    <col min="8707" max="8960" width="10.140625" style="68" customWidth="1"/>
    <col min="8961" max="8961" width="26.42578125" style="68" customWidth="1"/>
    <col min="8962" max="8962" width="12.42578125" style="68" customWidth="1"/>
    <col min="8963" max="9216" width="10.140625" style="68" customWidth="1"/>
    <col min="9217" max="9217" width="26.42578125" style="68" customWidth="1"/>
    <col min="9218" max="9218" width="12.42578125" style="68" customWidth="1"/>
    <col min="9219" max="9472" width="10.140625" style="68" customWidth="1"/>
    <col min="9473" max="9473" width="26.42578125" style="68" customWidth="1"/>
    <col min="9474" max="9474" width="12.42578125" style="68" customWidth="1"/>
    <col min="9475" max="9728" width="10.140625" style="68" customWidth="1"/>
    <col min="9729" max="9729" width="26.42578125" style="68" customWidth="1"/>
    <col min="9730" max="9730" width="12.42578125" style="68" customWidth="1"/>
    <col min="9731" max="9984" width="10.140625" style="68" customWidth="1"/>
    <col min="9985" max="9985" width="26.42578125" style="68" customWidth="1"/>
    <col min="9986" max="9986" width="12.42578125" style="68" customWidth="1"/>
    <col min="9987" max="10240" width="10.140625" style="68" customWidth="1"/>
    <col min="10241" max="10241" width="26.42578125" style="68" customWidth="1"/>
    <col min="10242" max="10242" width="12.42578125" style="68" customWidth="1"/>
    <col min="10243" max="10496" width="10.140625" style="68" customWidth="1"/>
    <col min="10497" max="10497" width="26.42578125" style="68" customWidth="1"/>
    <col min="10498" max="10498" width="12.42578125" style="68" customWidth="1"/>
    <col min="10499" max="10752" width="10.140625" style="68" customWidth="1"/>
    <col min="10753" max="10753" width="26.42578125" style="68" customWidth="1"/>
    <col min="10754" max="10754" width="12.42578125" style="68" customWidth="1"/>
    <col min="10755" max="11008" width="10.140625" style="68" customWidth="1"/>
    <col min="11009" max="11009" width="26.42578125" style="68" customWidth="1"/>
    <col min="11010" max="11010" width="12.42578125" style="68" customWidth="1"/>
    <col min="11011" max="11264" width="10.140625" style="68" customWidth="1"/>
    <col min="11265" max="11265" width="26.42578125" style="68" customWidth="1"/>
    <col min="11266" max="11266" width="12.42578125" style="68" customWidth="1"/>
    <col min="11267" max="11520" width="10.140625" style="68" customWidth="1"/>
    <col min="11521" max="11521" width="26.42578125" style="68" customWidth="1"/>
    <col min="11522" max="11522" width="12.42578125" style="68" customWidth="1"/>
    <col min="11523" max="11776" width="10.140625" style="68" customWidth="1"/>
    <col min="11777" max="11777" width="26.42578125" style="68" customWidth="1"/>
    <col min="11778" max="11778" width="12.42578125" style="68" customWidth="1"/>
    <col min="11779" max="12032" width="10.140625" style="68" customWidth="1"/>
    <col min="12033" max="12033" width="26.42578125" style="68" customWidth="1"/>
    <col min="12034" max="12034" width="12.42578125" style="68" customWidth="1"/>
    <col min="12035" max="12288" width="10.140625" style="68" customWidth="1"/>
    <col min="12289" max="12289" width="26.42578125" style="68" customWidth="1"/>
    <col min="12290" max="12290" width="12.42578125" style="68" customWidth="1"/>
    <col min="12291" max="12544" width="10.140625" style="68" customWidth="1"/>
    <col min="12545" max="12545" width="26.42578125" style="68" customWidth="1"/>
    <col min="12546" max="12546" width="12.42578125" style="68" customWidth="1"/>
    <col min="12547" max="12800" width="10.140625" style="68" customWidth="1"/>
    <col min="12801" max="12801" width="26.42578125" style="68" customWidth="1"/>
    <col min="12802" max="12802" width="12.42578125" style="68" customWidth="1"/>
    <col min="12803" max="13056" width="10.140625" style="68" customWidth="1"/>
    <col min="13057" max="13057" width="26.42578125" style="68" customWidth="1"/>
    <col min="13058" max="13058" width="12.42578125" style="68" customWidth="1"/>
    <col min="13059" max="13312" width="10.140625" style="68" customWidth="1"/>
    <col min="13313" max="13313" width="26.42578125" style="68" customWidth="1"/>
    <col min="13314" max="13314" width="12.42578125" style="68" customWidth="1"/>
    <col min="13315" max="13568" width="10.140625" style="68" customWidth="1"/>
    <col min="13569" max="13569" width="26.42578125" style="68" customWidth="1"/>
    <col min="13570" max="13570" width="12.42578125" style="68" customWidth="1"/>
    <col min="13571" max="13824" width="10.140625" style="68" customWidth="1"/>
    <col min="13825" max="13825" width="26.42578125" style="68" customWidth="1"/>
    <col min="13826" max="13826" width="12.42578125" style="68" customWidth="1"/>
    <col min="13827" max="14080" width="10.140625" style="68" customWidth="1"/>
    <col min="14081" max="14081" width="26.42578125" style="68" customWidth="1"/>
    <col min="14082" max="14082" width="12.42578125" style="68" customWidth="1"/>
    <col min="14083" max="14336" width="10.140625" style="68" customWidth="1"/>
    <col min="14337" max="14337" width="26.42578125" style="68" customWidth="1"/>
    <col min="14338" max="14338" width="12.42578125" style="68" customWidth="1"/>
    <col min="14339" max="14592" width="10.140625" style="68" customWidth="1"/>
    <col min="14593" max="14593" width="26.42578125" style="68" customWidth="1"/>
    <col min="14594" max="14594" width="12.42578125" style="68" customWidth="1"/>
    <col min="14595" max="14848" width="10.140625" style="68" customWidth="1"/>
    <col min="14849" max="14849" width="26.42578125" style="68" customWidth="1"/>
    <col min="14850" max="14850" width="12.42578125" style="68" customWidth="1"/>
    <col min="14851" max="15104" width="10.140625" style="68" customWidth="1"/>
    <col min="15105" max="15105" width="26.42578125" style="68" customWidth="1"/>
    <col min="15106" max="15106" width="12.42578125" style="68" customWidth="1"/>
    <col min="15107" max="15360" width="10.140625" style="68" customWidth="1"/>
    <col min="15361" max="15361" width="26.42578125" style="68" customWidth="1"/>
    <col min="15362" max="15362" width="12.42578125" style="68" customWidth="1"/>
    <col min="15363" max="15616" width="10.140625" style="68" customWidth="1"/>
    <col min="15617" max="15617" width="26.42578125" style="68" customWidth="1"/>
    <col min="15618" max="15618" width="12.42578125" style="68" customWidth="1"/>
    <col min="15619" max="15872" width="10.140625" style="68" customWidth="1"/>
    <col min="15873" max="15873" width="26.42578125" style="68" customWidth="1"/>
    <col min="15874" max="15874" width="12.42578125" style="68" customWidth="1"/>
    <col min="15875" max="16128" width="10.140625" style="68" customWidth="1"/>
    <col min="16129" max="16129" width="26.42578125" style="68" customWidth="1"/>
    <col min="16130" max="16130" width="12.42578125" style="68" customWidth="1"/>
    <col min="16131" max="16384" width="10.140625" style="68" customWidth="1"/>
  </cols>
  <sheetData>
    <row r="1" spans="2:16" ht="15.75" thickBot="1" x14ac:dyDescent="0.3"/>
    <row r="2" spans="2:16" x14ac:dyDescent="0.25">
      <c r="B2" s="147" t="s">
        <v>66</v>
      </c>
      <c r="C2" s="148"/>
      <c r="D2" s="148"/>
      <c r="E2" s="14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 ht="45.75" thickBot="1" x14ac:dyDescent="0.3">
      <c r="B3" s="70" t="s">
        <v>80</v>
      </c>
      <c r="C3" s="227" t="s">
        <v>13</v>
      </c>
      <c r="D3" s="227" t="s">
        <v>14</v>
      </c>
      <c r="E3" s="228" t="s">
        <v>78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2:16" x14ac:dyDescent="0.25">
      <c r="B4" s="71">
        <v>2000</v>
      </c>
      <c r="C4" s="85">
        <v>15364</v>
      </c>
      <c r="D4" s="86">
        <v>7784</v>
      </c>
      <c r="E4" s="76">
        <v>1265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2:16" x14ac:dyDescent="0.25">
      <c r="B5" s="72">
        <v>2001</v>
      </c>
      <c r="C5" s="87">
        <v>16182</v>
      </c>
      <c r="D5" s="88">
        <v>8798</v>
      </c>
      <c r="E5" s="77">
        <v>938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2:16" x14ac:dyDescent="0.25">
      <c r="B6" s="72">
        <v>2002</v>
      </c>
      <c r="C6" s="87">
        <v>13614</v>
      </c>
      <c r="D6" s="88">
        <v>9387</v>
      </c>
      <c r="E6" s="78">
        <v>1483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2:16" x14ac:dyDescent="0.25">
      <c r="B7" s="72">
        <v>2003</v>
      </c>
      <c r="C7" s="87">
        <v>19874</v>
      </c>
      <c r="D7" s="88">
        <v>20846</v>
      </c>
      <c r="E7" s="78">
        <v>2000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2:16" x14ac:dyDescent="0.25">
      <c r="B8" s="72">
        <v>2004</v>
      </c>
      <c r="C8" s="87">
        <v>13828</v>
      </c>
      <c r="D8" s="88">
        <v>14811</v>
      </c>
      <c r="E8" s="78">
        <v>2861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2:16" x14ac:dyDescent="0.25">
      <c r="B9" s="72">
        <v>2005</v>
      </c>
      <c r="C9" s="87">
        <v>14029</v>
      </c>
      <c r="D9" s="88">
        <v>17018</v>
      </c>
      <c r="E9" s="78">
        <v>3290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2:16" x14ac:dyDescent="0.25">
      <c r="B10" s="72">
        <v>2006</v>
      </c>
      <c r="C10" s="87">
        <v>14034</v>
      </c>
      <c r="D10" s="88">
        <v>18369</v>
      </c>
      <c r="E10" s="78">
        <v>3439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2:16" x14ac:dyDescent="0.25">
      <c r="B11" s="72">
        <v>2007</v>
      </c>
      <c r="C11" s="87">
        <v>13207</v>
      </c>
      <c r="D11" s="88">
        <v>26296</v>
      </c>
      <c r="E11" s="78">
        <v>3441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2:16" x14ac:dyDescent="0.25">
      <c r="B12" s="72">
        <v>2008</v>
      </c>
      <c r="C12" s="87">
        <v>12369</v>
      </c>
      <c r="D12" s="88">
        <v>27696</v>
      </c>
      <c r="E12" s="78">
        <v>2838</v>
      </c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2:16" x14ac:dyDescent="0.25">
      <c r="B13" s="72">
        <v>2009</v>
      </c>
      <c r="C13" s="87">
        <v>14647</v>
      </c>
      <c r="D13" s="88">
        <v>31629</v>
      </c>
      <c r="E13" s="78">
        <v>2985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2:16" x14ac:dyDescent="0.25">
      <c r="B14" s="72">
        <v>2010</v>
      </c>
      <c r="C14" s="87">
        <v>14116</v>
      </c>
      <c r="D14" s="88">
        <v>23845</v>
      </c>
      <c r="E14" s="78">
        <v>3269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2:16" x14ac:dyDescent="0.25">
      <c r="B15" s="72">
        <v>2011</v>
      </c>
      <c r="C15" s="87">
        <v>12562</v>
      </c>
      <c r="D15" s="88">
        <v>24662</v>
      </c>
      <c r="E15" s="78">
        <v>2691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2:16" x14ac:dyDescent="0.25">
      <c r="B16" s="72">
        <v>2012</v>
      </c>
      <c r="C16" s="87">
        <v>9153</v>
      </c>
      <c r="D16" s="88">
        <v>19639</v>
      </c>
      <c r="E16" s="78">
        <v>2360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2:21" x14ac:dyDescent="0.25">
      <c r="B17" s="72">
        <v>2013</v>
      </c>
      <c r="C17" s="87">
        <v>7541</v>
      </c>
      <c r="D17" s="88">
        <v>19671</v>
      </c>
      <c r="E17" s="78">
        <v>2042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2:21" x14ac:dyDescent="0.25">
      <c r="B18" s="72">
        <v>2014</v>
      </c>
      <c r="C18" s="87">
        <v>10353</v>
      </c>
      <c r="D18" s="88">
        <v>24930</v>
      </c>
      <c r="E18" s="78">
        <v>1320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2:21" x14ac:dyDescent="0.25">
      <c r="B19" s="72">
        <v>2015</v>
      </c>
      <c r="C19" s="87">
        <v>10155</v>
      </c>
      <c r="D19" s="88">
        <v>23451</v>
      </c>
      <c r="E19" s="78">
        <v>1543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2:21" x14ac:dyDescent="0.25">
      <c r="B20" s="72">
        <v>2016</v>
      </c>
      <c r="C20" s="87">
        <v>10360</v>
      </c>
      <c r="D20" s="88">
        <v>25547</v>
      </c>
      <c r="E20" s="78">
        <v>1368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2:21" x14ac:dyDescent="0.25">
      <c r="B21" s="72">
        <v>2017</v>
      </c>
      <c r="C21" s="87">
        <v>19959</v>
      </c>
      <c r="D21" s="88">
        <v>23389</v>
      </c>
      <c r="E21" s="78">
        <v>1924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2:21" x14ac:dyDescent="0.25">
      <c r="B22" s="72">
        <v>2018</v>
      </c>
      <c r="C22" s="87">
        <v>16400</v>
      </c>
      <c r="D22" s="88">
        <v>17310</v>
      </c>
      <c r="E22" s="78">
        <v>1145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pans="2:21" x14ac:dyDescent="0.25">
      <c r="B23" s="72">
        <v>2019</v>
      </c>
      <c r="C23" s="87">
        <v>9888</v>
      </c>
      <c r="D23" s="88">
        <v>17498</v>
      </c>
      <c r="E23" s="78">
        <v>774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spans="2:21" x14ac:dyDescent="0.25">
      <c r="B24" s="72">
        <v>2020</v>
      </c>
      <c r="C24" s="87">
        <v>12614</v>
      </c>
      <c r="D24" s="88">
        <v>13350</v>
      </c>
      <c r="E24" s="78">
        <v>600</v>
      </c>
    </row>
    <row r="25" spans="2:21" x14ac:dyDescent="0.25">
      <c r="B25" s="72">
        <v>2021</v>
      </c>
      <c r="C25" s="87">
        <v>13578</v>
      </c>
      <c r="D25" s="88">
        <v>10697</v>
      </c>
      <c r="E25" s="78">
        <v>560</v>
      </c>
    </row>
    <row r="26" spans="2:21" x14ac:dyDescent="0.25">
      <c r="B26" s="72">
        <v>2022</v>
      </c>
      <c r="C26" s="87">
        <v>9477</v>
      </c>
      <c r="D26" s="88">
        <v>7152</v>
      </c>
      <c r="E26" s="78">
        <v>590</v>
      </c>
    </row>
    <row r="27" spans="2:21" x14ac:dyDescent="0.25">
      <c r="B27" s="72">
        <v>2023</v>
      </c>
      <c r="C27" s="87">
        <v>18423</v>
      </c>
      <c r="D27" s="88">
        <v>14095</v>
      </c>
      <c r="E27" s="78">
        <v>768</v>
      </c>
    </row>
    <row r="28" spans="2:21" x14ac:dyDescent="0.25">
      <c r="B28" s="72">
        <v>2024</v>
      </c>
      <c r="C28" s="87">
        <v>18611</v>
      </c>
      <c r="D28" s="88">
        <v>17479</v>
      </c>
      <c r="E28" s="78">
        <v>331</v>
      </c>
    </row>
    <row r="29" spans="2:21" ht="15.75" thickBot="1" x14ac:dyDescent="0.3">
      <c r="B29" s="70">
        <v>2025</v>
      </c>
      <c r="C29" s="79">
        <f>'FY 2000-2025 Performance Data'!BZ33</f>
        <v>6928</v>
      </c>
      <c r="D29" s="84">
        <f>'FY 2000-2025 Performance Data'!CA33</f>
        <v>12574</v>
      </c>
      <c r="E29" s="80">
        <f>'FY 2000-2025 Performance Data'!CB33</f>
        <v>195</v>
      </c>
    </row>
    <row r="30" spans="2:21" x14ac:dyDescent="0.25">
      <c r="C30" s="69"/>
      <c r="E30" s="69"/>
    </row>
    <row r="31" spans="2:21" x14ac:dyDescent="0.25">
      <c r="B31" s="150" t="s">
        <v>81</v>
      </c>
      <c r="C31" s="150"/>
      <c r="D31" s="150"/>
      <c r="E31" s="73"/>
    </row>
    <row r="32" spans="2:21" x14ac:dyDescent="0.25">
      <c r="B32" s="151" t="s">
        <v>82</v>
      </c>
      <c r="C32" s="151"/>
      <c r="D32" s="151"/>
      <c r="E32" s="151"/>
    </row>
    <row r="33" spans="2:5" x14ac:dyDescent="0.25">
      <c r="B33" s="151" t="s">
        <v>67</v>
      </c>
      <c r="C33" s="151"/>
      <c r="D33" s="151"/>
      <c r="E33" s="151"/>
    </row>
    <row r="34" spans="2:5" x14ac:dyDescent="0.25">
      <c r="B34" s="81"/>
      <c r="C34" s="81"/>
      <c r="D34" s="81"/>
      <c r="E34" s="81"/>
    </row>
    <row r="35" spans="2:5" ht="15" customHeight="1" x14ac:dyDescent="0.25">
      <c r="B35" s="74" t="s">
        <v>68</v>
      </c>
    </row>
    <row r="36" spans="2:5" x14ac:dyDescent="0.25">
      <c r="B36" s="152" t="s">
        <v>69</v>
      </c>
      <c r="C36" s="153"/>
      <c r="D36" s="153"/>
      <c r="E36" s="153"/>
    </row>
    <row r="37" spans="2:5" x14ac:dyDescent="0.25">
      <c r="B37" s="142" t="s">
        <v>70</v>
      </c>
      <c r="C37" s="143"/>
      <c r="D37" s="143"/>
      <c r="E37" s="143"/>
    </row>
    <row r="38" spans="2:5" x14ac:dyDescent="0.25">
      <c r="B38" s="142" t="s">
        <v>71</v>
      </c>
      <c r="C38" s="143"/>
      <c r="D38" s="143"/>
      <c r="E38" s="143"/>
    </row>
    <row r="39" spans="2:5" x14ac:dyDescent="0.25">
      <c r="B39" s="82"/>
      <c r="C39" s="75"/>
      <c r="D39" s="75"/>
      <c r="E39" s="75"/>
    </row>
    <row r="40" spans="2:5" x14ac:dyDescent="0.25">
      <c r="B40" s="75" t="s">
        <v>72</v>
      </c>
      <c r="C40" s="75"/>
      <c r="D40" s="75"/>
      <c r="E40" s="75"/>
    </row>
    <row r="41" spans="2:5" x14ac:dyDescent="0.25">
      <c r="B41" s="144" t="s">
        <v>73</v>
      </c>
      <c r="C41" s="144"/>
      <c r="D41" s="144"/>
      <c r="E41" s="144"/>
    </row>
    <row r="42" spans="2:5" x14ac:dyDescent="0.25">
      <c r="B42" s="144" t="s">
        <v>74</v>
      </c>
      <c r="C42" s="144"/>
      <c r="D42" s="144"/>
      <c r="E42" s="144"/>
    </row>
    <row r="43" spans="2:5" x14ac:dyDescent="0.25">
      <c r="B43" s="83" t="s">
        <v>75</v>
      </c>
      <c r="C43" s="83"/>
      <c r="D43" s="83"/>
      <c r="E43" s="83"/>
    </row>
    <row r="44" spans="2:5" x14ac:dyDescent="0.25">
      <c r="B44" s="83"/>
      <c r="C44" s="83"/>
      <c r="D44" s="83"/>
      <c r="E44" s="83"/>
    </row>
    <row r="45" spans="2:5" x14ac:dyDescent="0.25">
      <c r="B45" s="145" t="s">
        <v>92</v>
      </c>
      <c r="C45" s="146"/>
      <c r="D45" s="146"/>
      <c r="E45" s="146"/>
    </row>
  </sheetData>
  <mergeCells count="10">
    <mergeCell ref="B38:E38"/>
    <mergeCell ref="B41:E41"/>
    <mergeCell ref="B42:E42"/>
    <mergeCell ref="B45:E45"/>
    <mergeCell ref="B2:E2"/>
    <mergeCell ref="B31:D31"/>
    <mergeCell ref="B32:E32"/>
    <mergeCell ref="B33:E33"/>
    <mergeCell ref="B36:E36"/>
    <mergeCell ref="B37:E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71"/>
  <sheetViews>
    <sheetView zoomScaleNormal="10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BZ3" sqref="BZ3:CB3"/>
    </sheetView>
  </sheetViews>
  <sheetFormatPr defaultColWidth="8.85546875" defaultRowHeight="12.75" x14ac:dyDescent="0.2"/>
  <cols>
    <col min="1" max="1" width="3.42578125" style="39" customWidth="1"/>
    <col min="2" max="2" width="46" style="39" customWidth="1"/>
    <col min="3" max="53" width="13.42578125" style="39" customWidth="1"/>
    <col min="54" max="54" width="13.42578125" style="54" customWidth="1"/>
    <col min="55" max="80" width="13.42578125" style="39" customWidth="1"/>
    <col min="81" max="16384" width="8.85546875" style="39"/>
  </cols>
  <sheetData>
    <row r="1" spans="2:81" ht="13.5" thickBot="1" x14ac:dyDescent="0.25"/>
    <row r="2" spans="2:81" ht="16.5" thickBot="1" x14ac:dyDescent="0.3">
      <c r="B2" s="50" t="s">
        <v>91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1"/>
      <c r="BT2" s="60"/>
      <c r="BU2" s="60"/>
      <c r="BV2" s="61"/>
      <c r="BW2" s="60"/>
      <c r="BX2" s="60"/>
      <c r="BY2" s="61"/>
      <c r="BZ2" s="60"/>
      <c r="CA2" s="60"/>
      <c r="CB2" s="61"/>
    </row>
    <row r="3" spans="2:81" s="40" customFormat="1" ht="15.75" thickBot="1" x14ac:dyDescent="0.3">
      <c r="B3" s="156" t="s">
        <v>0</v>
      </c>
      <c r="C3" s="176" t="s">
        <v>1</v>
      </c>
      <c r="D3" s="177"/>
      <c r="E3" s="178"/>
      <c r="F3" s="179" t="s">
        <v>2</v>
      </c>
      <c r="G3" s="180"/>
      <c r="H3" s="181"/>
      <c r="I3" s="182" t="s">
        <v>3</v>
      </c>
      <c r="J3" s="183"/>
      <c r="K3" s="184"/>
      <c r="L3" s="185" t="s">
        <v>4</v>
      </c>
      <c r="M3" s="186"/>
      <c r="N3" s="187"/>
      <c r="O3" s="188" t="s">
        <v>5</v>
      </c>
      <c r="P3" s="189"/>
      <c r="Q3" s="190"/>
      <c r="R3" s="170" t="s">
        <v>6</v>
      </c>
      <c r="S3" s="171"/>
      <c r="T3" s="172"/>
      <c r="U3" s="173" t="s">
        <v>7</v>
      </c>
      <c r="V3" s="174"/>
      <c r="W3" s="175"/>
      <c r="X3" s="191" t="s">
        <v>8</v>
      </c>
      <c r="Y3" s="192"/>
      <c r="Z3" s="193"/>
      <c r="AA3" s="194" t="s">
        <v>9</v>
      </c>
      <c r="AB3" s="195"/>
      <c r="AC3" s="196"/>
      <c r="AD3" s="197" t="s">
        <v>10</v>
      </c>
      <c r="AE3" s="198"/>
      <c r="AF3" s="199"/>
      <c r="AG3" s="200" t="s">
        <v>11</v>
      </c>
      <c r="AH3" s="201"/>
      <c r="AI3" s="202"/>
      <c r="AJ3" s="158" t="s">
        <v>12</v>
      </c>
      <c r="AK3" s="159"/>
      <c r="AL3" s="160"/>
      <c r="AM3" s="161" t="s">
        <v>21</v>
      </c>
      <c r="AN3" s="162"/>
      <c r="AO3" s="163"/>
      <c r="AP3" s="164" t="s">
        <v>24</v>
      </c>
      <c r="AQ3" s="165"/>
      <c r="AR3" s="166"/>
      <c r="AS3" s="167" t="s">
        <v>25</v>
      </c>
      <c r="AT3" s="168"/>
      <c r="AU3" s="169"/>
      <c r="AV3" s="203" t="s">
        <v>26</v>
      </c>
      <c r="AW3" s="204"/>
      <c r="AX3" s="205"/>
      <c r="AY3" s="206" t="s">
        <v>27</v>
      </c>
      <c r="AZ3" s="207"/>
      <c r="BA3" s="208"/>
      <c r="BB3" s="221" t="s">
        <v>28</v>
      </c>
      <c r="BC3" s="222"/>
      <c r="BD3" s="223"/>
      <c r="BE3" s="211" t="s">
        <v>29</v>
      </c>
      <c r="BF3" s="212"/>
      <c r="BG3" s="213"/>
      <c r="BH3" s="224" t="s">
        <v>55</v>
      </c>
      <c r="BI3" s="225"/>
      <c r="BJ3" s="226"/>
      <c r="BK3" s="218" t="s">
        <v>76</v>
      </c>
      <c r="BL3" s="219"/>
      <c r="BM3" s="220"/>
      <c r="BN3" s="216" t="s">
        <v>77</v>
      </c>
      <c r="BO3" s="216"/>
      <c r="BP3" s="217"/>
      <c r="BQ3" s="214" t="s">
        <v>83</v>
      </c>
      <c r="BR3" s="214"/>
      <c r="BS3" s="215"/>
      <c r="BT3" s="209" t="s">
        <v>84</v>
      </c>
      <c r="BU3" s="209"/>
      <c r="BV3" s="210"/>
      <c r="BW3" s="212" t="s">
        <v>85</v>
      </c>
      <c r="BX3" s="212"/>
      <c r="BY3" s="213"/>
      <c r="BZ3" s="154" t="s">
        <v>89</v>
      </c>
      <c r="CA3" s="154"/>
      <c r="CB3" s="155"/>
    </row>
    <row r="4" spans="2:81" ht="39" thickBot="1" x14ac:dyDescent="0.25">
      <c r="B4" s="157"/>
      <c r="C4" s="41" t="s">
        <v>13</v>
      </c>
      <c r="D4" s="42" t="s">
        <v>14</v>
      </c>
      <c r="E4" s="43" t="s">
        <v>15</v>
      </c>
      <c r="F4" s="41" t="s">
        <v>13</v>
      </c>
      <c r="G4" s="42" t="s">
        <v>14</v>
      </c>
      <c r="H4" s="43" t="s">
        <v>15</v>
      </c>
      <c r="I4" s="41" t="s">
        <v>13</v>
      </c>
      <c r="J4" s="42" t="s">
        <v>14</v>
      </c>
      <c r="K4" s="43" t="s">
        <v>15</v>
      </c>
      <c r="L4" s="41" t="s">
        <v>13</v>
      </c>
      <c r="M4" s="42" t="s">
        <v>14</v>
      </c>
      <c r="N4" s="43" t="s">
        <v>15</v>
      </c>
      <c r="O4" s="41" t="s">
        <v>13</v>
      </c>
      <c r="P4" s="42" t="s">
        <v>14</v>
      </c>
      <c r="Q4" s="43" t="s">
        <v>15</v>
      </c>
      <c r="R4" s="41" t="s">
        <v>13</v>
      </c>
      <c r="S4" s="42" t="s">
        <v>14</v>
      </c>
      <c r="T4" s="43" t="s">
        <v>15</v>
      </c>
      <c r="U4" s="41" t="s">
        <v>13</v>
      </c>
      <c r="V4" s="42" t="s">
        <v>14</v>
      </c>
      <c r="W4" s="43" t="s">
        <v>15</v>
      </c>
      <c r="X4" s="41" t="s">
        <v>13</v>
      </c>
      <c r="Y4" s="42" t="s">
        <v>14</v>
      </c>
      <c r="Z4" s="43" t="s">
        <v>15</v>
      </c>
      <c r="AA4" s="41" t="s">
        <v>13</v>
      </c>
      <c r="AB4" s="42" t="s">
        <v>14</v>
      </c>
      <c r="AC4" s="43" t="s">
        <v>15</v>
      </c>
      <c r="AD4" s="41" t="s">
        <v>13</v>
      </c>
      <c r="AE4" s="42" t="s">
        <v>14</v>
      </c>
      <c r="AF4" s="43" t="s">
        <v>15</v>
      </c>
      <c r="AG4" s="41" t="s">
        <v>13</v>
      </c>
      <c r="AH4" s="42" t="s">
        <v>14</v>
      </c>
      <c r="AI4" s="43" t="s">
        <v>15</v>
      </c>
      <c r="AJ4" s="41" t="s">
        <v>13</v>
      </c>
      <c r="AK4" s="42" t="s">
        <v>14</v>
      </c>
      <c r="AL4" s="43" t="s">
        <v>15</v>
      </c>
      <c r="AM4" s="41" t="s">
        <v>13</v>
      </c>
      <c r="AN4" s="42" t="s">
        <v>14</v>
      </c>
      <c r="AO4" s="43" t="s">
        <v>15</v>
      </c>
      <c r="AP4" s="41" t="s">
        <v>13</v>
      </c>
      <c r="AQ4" s="42" t="s">
        <v>14</v>
      </c>
      <c r="AR4" s="43" t="s">
        <v>15</v>
      </c>
      <c r="AS4" s="41" t="s">
        <v>13</v>
      </c>
      <c r="AT4" s="42" t="s">
        <v>14</v>
      </c>
      <c r="AU4" s="43" t="s">
        <v>15</v>
      </c>
      <c r="AV4" s="41" t="s">
        <v>13</v>
      </c>
      <c r="AW4" s="42" t="s">
        <v>14</v>
      </c>
      <c r="AX4" s="43" t="s">
        <v>15</v>
      </c>
      <c r="AY4" s="41" t="s">
        <v>13</v>
      </c>
      <c r="AZ4" s="42" t="s">
        <v>14</v>
      </c>
      <c r="BA4" s="43" t="s">
        <v>15</v>
      </c>
      <c r="BB4" s="44" t="s">
        <v>13</v>
      </c>
      <c r="BC4" s="42" t="s">
        <v>14</v>
      </c>
      <c r="BD4" s="43" t="s">
        <v>15</v>
      </c>
      <c r="BE4" s="44" t="s">
        <v>13</v>
      </c>
      <c r="BF4" s="42" t="s">
        <v>14</v>
      </c>
      <c r="BG4" s="43" t="s">
        <v>15</v>
      </c>
      <c r="BH4" s="45" t="s">
        <v>13</v>
      </c>
      <c r="BI4" s="46" t="s">
        <v>59</v>
      </c>
      <c r="BJ4" s="47" t="s">
        <v>58</v>
      </c>
      <c r="BK4" s="45" t="s">
        <v>13</v>
      </c>
      <c r="BL4" s="46" t="s">
        <v>59</v>
      </c>
      <c r="BM4" s="47" t="s">
        <v>58</v>
      </c>
      <c r="BN4" s="48" t="s">
        <v>13</v>
      </c>
      <c r="BO4" s="48" t="s">
        <v>59</v>
      </c>
      <c r="BP4" s="49" t="s">
        <v>58</v>
      </c>
      <c r="BQ4" s="48" t="s">
        <v>13</v>
      </c>
      <c r="BR4" s="48" t="s">
        <v>59</v>
      </c>
      <c r="BS4" s="49" t="s">
        <v>58</v>
      </c>
      <c r="BT4" s="48" t="s">
        <v>13</v>
      </c>
      <c r="BU4" s="48" t="s">
        <v>59</v>
      </c>
      <c r="BV4" s="49" t="s">
        <v>58</v>
      </c>
      <c r="BW4" s="48" t="s">
        <v>13</v>
      </c>
      <c r="BX4" s="48" t="s">
        <v>59</v>
      </c>
      <c r="BY4" s="49" t="s">
        <v>58</v>
      </c>
      <c r="BZ4" s="48" t="s">
        <v>13</v>
      </c>
      <c r="CA4" s="48" t="s">
        <v>59</v>
      </c>
      <c r="CB4" s="49" t="s">
        <v>58</v>
      </c>
    </row>
    <row r="5" spans="2:81" ht="14.25" x14ac:dyDescent="0.2">
      <c r="B5" s="51" t="s">
        <v>33</v>
      </c>
      <c r="C5" s="15">
        <f>ROUNDUP(798*0.75,0)</f>
        <v>599</v>
      </c>
      <c r="D5" s="7">
        <v>312</v>
      </c>
      <c r="E5" s="16">
        <v>19</v>
      </c>
      <c r="F5" s="15">
        <f>ROUNDUP(564*0.75,0)</f>
        <v>423</v>
      </c>
      <c r="G5" s="7">
        <v>374</v>
      </c>
      <c r="H5" s="16">
        <v>52</v>
      </c>
      <c r="I5" s="15">
        <f>ROUNDUP(1057*0.75,0)</f>
        <v>793</v>
      </c>
      <c r="J5" s="7">
        <v>911</v>
      </c>
      <c r="K5" s="16">
        <v>59</v>
      </c>
      <c r="L5" s="15">
        <f>ROUNDUP(1730*0.75,0)</f>
        <v>1298</v>
      </c>
      <c r="M5" s="7">
        <v>1536</v>
      </c>
      <c r="N5" s="16">
        <v>209</v>
      </c>
      <c r="O5" s="15">
        <f>ROUNDUP(1350*0.75,0)</f>
        <v>1013</v>
      </c>
      <c r="P5" s="7">
        <v>1277</v>
      </c>
      <c r="Q5" s="16">
        <v>11</v>
      </c>
      <c r="R5" s="15">
        <f>ROUNDUP(664*0.75,0)</f>
        <v>498</v>
      </c>
      <c r="S5" s="7">
        <v>654</v>
      </c>
      <c r="T5" s="16">
        <v>13</v>
      </c>
      <c r="U5" s="15">
        <f>ROUNDUP(883*0.75,0)</f>
        <v>663</v>
      </c>
      <c r="V5" s="7">
        <v>1040</v>
      </c>
      <c r="W5" s="16">
        <v>33</v>
      </c>
      <c r="X5" s="15">
        <f>ROUNDUP(1211*0.75,0)</f>
        <v>909</v>
      </c>
      <c r="Y5" s="7">
        <v>2140</v>
      </c>
      <c r="Z5" s="16">
        <v>33</v>
      </c>
      <c r="AA5" s="15">
        <f>ROUNDUP(1703*0.75,0)</f>
        <v>1278</v>
      </c>
      <c r="AB5" s="7">
        <v>1921</v>
      </c>
      <c r="AC5" s="16">
        <v>68</v>
      </c>
      <c r="AD5" s="15">
        <f>ROUNDUP(1266*0.75,0)</f>
        <v>950</v>
      </c>
      <c r="AE5" s="7">
        <v>2639</v>
      </c>
      <c r="AF5" s="16">
        <v>46</v>
      </c>
      <c r="AG5" s="15">
        <f>ROUNDUP(1140*0.75,0)</f>
        <v>855</v>
      </c>
      <c r="AH5" s="7">
        <v>2087</v>
      </c>
      <c r="AI5" s="16">
        <v>5</v>
      </c>
      <c r="AJ5" s="15">
        <f>ROUNDUP(1018*0.75,0)</f>
        <v>764</v>
      </c>
      <c r="AK5" s="7">
        <v>2593</v>
      </c>
      <c r="AL5" s="16">
        <v>13</v>
      </c>
      <c r="AM5" s="15">
        <f>ROUNDUP(914*0.75,0)</f>
        <v>686</v>
      </c>
      <c r="AN5" s="7">
        <v>2130</v>
      </c>
      <c r="AO5" s="16">
        <v>13</v>
      </c>
      <c r="AP5" s="15">
        <v>420</v>
      </c>
      <c r="AQ5" s="7">
        <v>1908</v>
      </c>
      <c r="AR5" s="16">
        <v>12</v>
      </c>
      <c r="AS5" s="15">
        <v>656</v>
      </c>
      <c r="AT5" s="7">
        <v>2206</v>
      </c>
      <c r="AU5" s="16">
        <v>0</v>
      </c>
      <c r="AV5" s="15">
        <v>947</v>
      </c>
      <c r="AW5" s="7">
        <v>2290</v>
      </c>
      <c r="AX5" s="16">
        <v>0</v>
      </c>
      <c r="AY5" s="15">
        <v>1726</v>
      </c>
      <c r="AZ5" s="7">
        <v>3081</v>
      </c>
      <c r="BA5" s="16">
        <v>17</v>
      </c>
      <c r="BB5" s="5">
        <v>3605</v>
      </c>
      <c r="BC5" s="5">
        <v>3814</v>
      </c>
      <c r="BD5" s="17">
        <v>91</v>
      </c>
      <c r="BE5" s="11">
        <v>1389</v>
      </c>
      <c r="BF5" s="12">
        <v>1127</v>
      </c>
      <c r="BG5" s="13">
        <v>105</v>
      </c>
      <c r="BH5" s="4">
        <v>677</v>
      </c>
      <c r="BI5">
        <v>1101</v>
      </c>
      <c r="BJ5" s="14">
        <v>0</v>
      </c>
      <c r="BK5" s="4">
        <v>657</v>
      </c>
      <c r="BL5">
        <v>1877</v>
      </c>
      <c r="BM5">
        <v>1</v>
      </c>
      <c r="BN5" s="29">
        <v>726.75</v>
      </c>
      <c r="BO5" s="30">
        <v>983</v>
      </c>
      <c r="BP5" s="13">
        <v>1</v>
      </c>
      <c r="BQ5" s="29">
        <v>321</v>
      </c>
      <c r="BR5" s="30">
        <v>1108</v>
      </c>
      <c r="BS5" s="13">
        <v>0</v>
      </c>
      <c r="BT5" s="29">
        <v>858</v>
      </c>
      <c r="BU5" s="30">
        <v>1408</v>
      </c>
      <c r="BV5" s="13">
        <v>0</v>
      </c>
      <c r="BW5" s="29">
        <v>973</v>
      </c>
      <c r="BX5" s="30">
        <v>1461</v>
      </c>
      <c r="BY5" s="13">
        <v>0</v>
      </c>
      <c r="BZ5" s="29">
        <f>VLOOKUP(B5,'FY 2025 Agency Details'!$B$4:$D$35,3,0)</f>
        <v>618</v>
      </c>
      <c r="CA5" s="30">
        <f>VLOOKUP(B5,'FY 2025 Agency Details'!$B$4:$E$35,4,0)</f>
        <v>1382</v>
      </c>
      <c r="CB5" s="13">
        <f>VLOOKUP(B5,'FY 2025 Agency Details'!$B$4:$G$35,5,0)</f>
        <v>0</v>
      </c>
      <c r="CC5" s="129"/>
    </row>
    <row r="6" spans="2:81" ht="14.25" x14ac:dyDescent="0.2">
      <c r="B6" s="51" t="s">
        <v>34</v>
      </c>
      <c r="C6" s="15">
        <f>ROUNDUP(130*0.75,0)</f>
        <v>98</v>
      </c>
      <c r="D6" s="7">
        <v>22</v>
      </c>
      <c r="E6" s="16">
        <v>0</v>
      </c>
      <c r="F6" s="15">
        <f>ROUNDUP(163*0.75,0)</f>
        <v>123</v>
      </c>
      <c r="G6" s="7">
        <v>42</v>
      </c>
      <c r="H6" s="16">
        <v>0</v>
      </c>
      <c r="I6" s="15">
        <f>ROUNDUP(151*0.75,0)</f>
        <v>114</v>
      </c>
      <c r="J6" s="7">
        <v>50</v>
      </c>
      <c r="K6" s="16">
        <v>19</v>
      </c>
      <c r="L6" s="15">
        <f>ROUNDUP(173*0.75,0)</f>
        <v>130</v>
      </c>
      <c r="M6" s="7">
        <v>46</v>
      </c>
      <c r="N6" s="16">
        <v>19</v>
      </c>
      <c r="O6" s="15">
        <f>ROUNDUP(327*0.75,0)</f>
        <v>246</v>
      </c>
      <c r="P6" s="7">
        <v>144</v>
      </c>
      <c r="Q6" s="16">
        <v>8</v>
      </c>
      <c r="R6" s="15">
        <f>ROUNDUP(131*0.75,0)</f>
        <v>99</v>
      </c>
      <c r="S6" s="7">
        <v>120</v>
      </c>
      <c r="T6" s="16">
        <v>0</v>
      </c>
      <c r="U6" s="15">
        <f>ROUNDUP(148*0.75,0)</f>
        <v>111</v>
      </c>
      <c r="V6" s="7">
        <v>106</v>
      </c>
      <c r="W6" s="16">
        <v>12</v>
      </c>
      <c r="X6" s="15">
        <f>ROUNDUP(65*0.75,0)</f>
        <v>49</v>
      </c>
      <c r="Y6" s="7">
        <v>137</v>
      </c>
      <c r="Z6" s="16">
        <v>1</v>
      </c>
      <c r="AA6" s="15">
        <f>ROUNDUP(91*0.75,0)</f>
        <v>69</v>
      </c>
      <c r="AB6" s="7">
        <v>163</v>
      </c>
      <c r="AC6" s="16">
        <v>1</v>
      </c>
      <c r="AD6" s="15">
        <f>ROUNDUP(74*0.75,0)</f>
        <v>56</v>
      </c>
      <c r="AE6" s="7">
        <v>165</v>
      </c>
      <c r="AF6" s="16">
        <v>11</v>
      </c>
      <c r="AG6" s="15">
        <f>ROUNDUP(121*0.75,0)</f>
        <v>91</v>
      </c>
      <c r="AH6" s="7">
        <v>206</v>
      </c>
      <c r="AI6" s="16">
        <v>0</v>
      </c>
      <c r="AJ6" s="15">
        <f>ROUNDUP(57*0.75,0)</f>
        <v>43</v>
      </c>
      <c r="AK6" s="7">
        <v>120</v>
      </c>
      <c r="AL6" s="16">
        <v>0</v>
      </c>
      <c r="AM6" s="15">
        <f>ROUNDUP(63*0.75,0)</f>
        <v>48</v>
      </c>
      <c r="AN6" s="7">
        <v>171</v>
      </c>
      <c r="AO6" s="16">
        <v>1</v>
      </c>
      <c r="AP6" s="15">
        <v>23</v>
      </c>
      <c r="AQ6" s="7">
        <v>26</v>
      </c>
      <c r="AR6" s="16">
        <v>0</v>
      </c>
      <c r="AS6" s="15">
        <v>54</v>
      </c>
      <c r="AT6" s="7">
        <v>165</v>
      </c>
      <c r="AU6" s="16">
        <v>0</v>
      </c>
      <c r="AV6" s="15">
        <v>56</v>
      </c>
      <c r="AW6" s="7">
        <v>135</v>
      </c>
      <c r="AX6" s="16">
        <v>0</v>
      </c>
      <c r="AY6" s="15">
        <v>44</v>
      </c>
      <c r="AZ6" s="7">
        <v>102</v>
      </c>
      <c r="BA6" s="16">
        <v>0</v>
      </c>
      <c r="BB6" s="5">
        <v>123</v>
      </c>
      <c r="BC6" s="5">
        <v>147</v>
      </c>
      <c r="BD6" s="17">
        <v>0</v>
      </c>
      <c r="BE6" s="4">
        <v>116</v>
      </c>
      <c r="BF6">
        <v>133</v>
      </c>
      <c r="BG6" s="14">
        <v>0</v>
      </c>
      <c r="BH6" s="4">
        <v>45</v>
      </c>
      <c r="BI6">
        <v>150</v>
      </c>
      <c r="BJ6" s="14">
        <v>0</v>
      </c>
      <c r="BK6" s="4">
        <v>16</v>
      </c>
      <c r="BL6">
        <v>37</v>
      </c>
      <c r="BM6">
        <v>0</v>
      </c>
      <c r="BN6" s="31">
        <v>35.25</v>
      </c>
      <c r="BO6" s="32">
        <v>49</v>
      </c>
      <c r="BP6" s="14">
        <v>0</v>
      </c>
      <c r="BQ6" s="31">
        <v>15</v>
      </c>
      <c r="BR6" s="32">
        <v>34</v>
      </c>
      <c r="BS6" s="14">
        <v>0</v>
      </c>
      <c r="BT6" s="31">
        <v>30</v>
      </c>
      <c r="BU6" s="32">
        <v>52</v>
      </c>
      <c r="BV6" s="14">
        <v>0</v>
      </c>
      <c r="BW6" s="31">
        <v>38</v>
      </c>
      <c r="BX6" s="32">
        <v>65</v>
      </c>
      <c r="BY6" s="14">
        <v>0</v>
      </c>
      <c r="BZ6" s="31">
        <f>VLOOKUP(B6,'FY 2025 Agency Details'!$B$4:$D$35,3,0)</f>
        <v>21</v>
      </c>
      <c r="CA6" s="32">
        <f>VLOOKUP(B6,'FY 2025 Agency Details'!$B$4:$E$35,4,0)</f>
        <v>32</v>
      </c>
      <c r="CB6" s="14">
        <f>VLOOKUP(B6,'FY 2025 Agency Details'!$B$4:$G$35,5,0)</f>
        <v>0</v>
      </c>
      <c r="CC6" s="129"/>
    </row>
    <row r="7" spans="2:81" ht="14.25" x14ac:dyDescent="0.2">
      <c r="B7" s="51" t="s">
        <v>30</v>
      </c>
      <c r="C7" s="15">
        <f>ROUNDUP(20*0.75,0)</f>
        <v>15</v>
      </c>
      <c r="D7" s="7">
        <v>111</v>
      </c>
      <c r="E7" s="16">
        <v>11</v>
      </c>
      <c r="F7" s="15">
        <f>ROUNDUP(591*0.75,0)</f>
        <v>444</v>
      </c>
      <c r="G7" s="7">
        <v>113</v>
      </c>
      <c r="H7" s="16">
        <v>2</v>
      </c>
      <c r="I7" s="15">
        <f>ROUNDUP(154*0.75,0)</f>
        <v>116</v>
      </c>
      <c r="J7" s="7">
        <v>85</v>
      </c>
      <c r="K7" s="16">
        <v>0</v>
      </c>
      <c r="L7" s="15">
        <f>ROUNDUP(448*0.75,0)</f>
        <v>336</v>
      </c>
      <c r="M7" s="7">
        <v>221</v>
      </c>
      <c r="N7" s="16">
        <v>3</v>
      </c>
      <c r="O7" s="15">
        <f>ROUNDUP(127*0.75,0)</f>
        <v>96</v>
      </c>
      <c r="P7" s="7">
        <v>383</v>
      </c>
      <c r="Q7" s="16">
        <v>37</v>
      </c>
      <c r="R7" s="15">
        <f>ROUNDUP(442*0.75,0)</f>
        <v>332</v>
      </c>
      <c r="S7" s="7">
        <v>187</v>
      </c>
      <c r="T7" s="16">
        <v>0</v>
      </c>
      <c r="U7" s="15">
        <f>ROUNDUP(57*0.75,0)</f>
        <v>43</v>
      </c>
      <c r="V7" s="7">
        <v>270</v>
      </c>
      <c r="W7" s="16">
        <v>0</v>
      </c>
      <c r="X7" s="15">
        <f>ROUNDUP(131*0.75,0)</f>
        <v>99</v>
      </c>
      <c r="Y7" s="7">
        <v>425</v>
      </c>
      <c r="Z7" s="16">
        <v>0</v>
      </c>
      <c r="AA7" s="15">
        <f>ROUNDUP(115*0.75,0)</f>
        <v>87</v>
      </c>
      <c r="AB7" s="7">
        <v>602</v>
      </c>
      <c r="AC7" s="16">
        <v>1</v>
      </c>
      <c r="AD7" s="15">
        <f>ROUNDUP(82*0.75,0)</f>
        <v>62</v>
      </c>
      <c r="AE7" s="7">
        <v>519</v>
      </c>
      <c r="AF7" s="16">
        <v>0</v>
      </c>
      <c r="AG7" s="15">
        <f>ROUNDUP(74*0.75,0)</f>
        <v>56</v>
      </c>
      <c r="AH7" s="7">
        <v>700</v>
      </c>
      <c r="AI7" s="16">
        <v>0</v>
      </c>
      <c r="AJ7" s="15">
        <f>ROUNDUP(76*0.75,0)</f>
        <v>57</v>
      </c>
      <c r="AK7" s="7">
        <v>694</v>
      </c>
      <c r="AL7" s="16">
        <v>0</v>
      </c>
      <c r="AM7" s="15">
        <f>ROUNDUP(50*0.75,0)</f>
        <v>38</v>
      </c>
      <c r="AN7" s="7">
        <v>694</v>
      </c>
      <c r="AO7" s="16">
        <v>0</v>
      </c>
      <c r="AP7" s="15">
        <v>99</v>
      </c>
      <c r="AQ7" s="7">
        <v>792</v>
      </c>
      <c r="AR7" s="16">
        <v>0</v>
      </c>
      <c r="AS7" s="15">
        <v>70</v>
      </c>
      <c r="AT7" s="7">
        <v>586</v>
      </c>
      <c r="AU7" s="16">
        <v>0</v>
      </c>
      <c r="AV7" s="15">
        <v>62</v>
      </c>
      <c r="AW7" s="7">
        <v>549</v>
      </c>
      <c r="AX7" s="16">
        <v>0</v>
      </c>
      <c r="AY7" s="15">
        <v>54</v>
      </c>
      <c r="AZ7" s="7">
        <v>640</v>
      </c>
      <c r="BA7" s="16">
        <v>0</v>
      </c>
      <c r="BB7" s="5">
        <v>566</v>
      </c>
      <c r="BC7" s="5">
        <v>697</v>
      </c>
      <c r="BD7" s="17">
        <v>0</v>
      </c>
      <c r="BE7" s="4">
        <v>467</v>
      </c>
      <c r="BF7">
        <v>523</v>
      </c>
      <c r="BG7" s="14">
        <v>0</v>
      </c>
      <c r="BH7" s="4">
        <v>241</v>
      </c>
      <c r="BI7">
        <v>592</v>
      </c>
      <c r="BJ7" s="14">
        <v>0</v>
      </c>
      <c r="BK7" s="4">
        <v>231</v>
      </c>
      <c r="BL7">
        <v>380</v>
      </c>
      <c r="BM7">
        <v>0</v>
      </c>
      <c r="BN7" s="31">
        <v>249.75</v>
      </c>
      <c r="BO7" s="32">
        <v>311</v>
      </c>
      <c r="BP7" s="14">
        <v>0</v>
      </c>
      <c r="BQ7" s="31">
        <v>101</v>
      </c>
      <c r="BR7" s="32">
        <v>196</v>
      </c>
      <c r="BS7" s="14">
        <v>2</v>
      </c>
      <c r="BT7" s="31">
        <v>168</v>
      </c>
      <c r="BU7" s="32">
        <v>417</v>
      </c>
      <c r="BV7" s="14">
        <v>0</v>
      </c>
      <c r="BW7" s="31">
        <v>180</v>
      </c>
      <c r="BX7" s="32">
        <v>455</v>
      </c>
      <c r="BY7" s="14">
        <v>0</v>
      </c>
      <c r="BZ7" s="31">
        <f>VLOOKUP(B7,'FY 2025 Agency Details'!$B$4:$D$35,3,0)</f>
        <v>99</v>
      </c>
      <c r="CA7" s="32">
        <f>VLOOKUP(B7,'FY 2025 Agency Details'!$B$4:$E$35,4,0)</f>
        <v>273</v>
      </c>
      <c r="CB7" s="14">
        <f>VLOOKUP(B7,'FY 2025 Agency Details'!$B$4:$G$35,5,0)</f>
        <v>0</v>
      </c>
      <c r="CC7" s="129"/>
    </row>
    <row r="8" spans="2:81" ht="14.25" x14ac:dyDescent="0.2">
      <c r="B8" s="51" t="s">
        <v>56</v>
      </c>
      <c r="C8" s="15">
        <f>ROUNDUP(11401*0.75,0)</f>
        <v>8551</v>
      </c>
      <c r="D8" s="7">
        <v>3511</v>
      </c>
      <c r="E8" s="16">
        <v>319</v>
      </c>
      <c r="F8" s="15">
        <f>ROUNDUP(12396*0.75,0)</f>
        <v>9297</v>
      </c>
      <c r="G8" s="7">
        <v>4186</v>
      </c>
      <c r="H8" s="16">
        <v>242</v>
      </c>
      <c r="I8" s="15">
        <f>ROUNDUP(10592*0.75,0)</f>
        <v>7944</v>
      </c>
      <c r="J8" s="7">
        <v>5336</v>
      </c>
      <c r="K8" s="16">
        <v>779</v>
      </c>
      <c r="L8" s="15">
        <f>ROUNDUP(8924*0.75,0)</f>
        <v>6693</v>
      </c>
      <c r="M8" s="7">
        <v>8089</v>
      </c>
      <c r="N8" s="16">
        <v>937</v>
      </c>
      <c r="O8" s="15">
        <f>ROUNDUP(8422*0.75,0)</f>
        <v>6317</v>
      </c>
      <c r="P8" s="7">
        <v>7622</v>
      </c>
      <c r="Q8" s="16">
        <v>2165</v>
      </c>
      <c r="R8" s="15">
        <f>ROUNDUP(9578*0.75,0)</f>
        <v>7184</v>
      </c>
      <c r="S8" s="7">
        <v>11036</v>
      </c>
      <c r="T8" s="16">
        <v>2318</v>
      </c>
      <c r="U8" s="15">
        <f>ROUNDUP(9085*0.75,0)</f>
        <v>6814</v>
      </c>
      <c r="V8" s="7">
        <v>9477</v>
      </c>
      <c r="W8" s="16">
        <v>2501</v>
      </c>
      <c r="X8" s="15">
        <f>ROUNDUP(8030*0.75,0)</f>
        <v>6023</v>
      </c>
      <c r="Y8" s="7">
        <v>10671</v>
      </c>
      <c r="Z8" s="16">
        <v>2086</v>
      </c>
      <c r="AA8" s="15">
        <f>ROUNDUP(7629*0.75,0)</f>
        <v>5722</v>
      </c>
      <c r="AB8" s="7">
        <v>12710</v>
      </c>
      <c r="AC8" s="16">
        <v>2144</v>
      </c>
      <c r="AD8" s="15">
        <f>ROUNDUP(8965*0.75,0)</f>
        <v>6724</v>
      </c>
      <c r="AE8" s="7">
        <v>12589</v>
      </c>
      <c r="AF8" s="16">
        <v>2049</v>
      </c>
      <c r="AG8" s="15">
        <f>ROUNDUP(8509*0.75,0)</f>
        <v>6382</v>
      </c>
      <c r="AH8" s="7">
        <v>12243</v>
      </c>
      <c r="AI8" s="16">
        <v>2174</v>
      </c>
      <c r="AJ8" s="15">
        <f>ROUNDUP(8409*0.75,0)</f>
        <v>6307</v>
      </c>
      <c r="AK8" s="7">
        <v>12231</v>
      </c>
      <c r="AL8" s="16">
        <v>2115</v>
      </c>
      <c r="AM8" s="15">
        <f>ROUNDUP(4682*0.75,0)</f>
        <v>3512</v>
      </c>
      <c r="AN8" s="7">
        <v>7873</v>
      </c>
      <c r="AO8" s="16">
        <v>1775</v>
      </c>
      <c r="AP8" s="15">
        <v>3342</v>
      </c>
      <c r="AQ8" s="7">
        <v>9024</v>
      </c>
      <c r="AR8" s="16">
        <v>1671</v>
      </c>
      <c r="AS8" s="15">
        <v>4917</v>
      </c>
      <c r="AT8" s="7">
        <v>12684</v>
      </c>
      <c r="AU8" s="16">
        <v>803</v>
      </c>
      <c r="AV8" s="15">
        <v>2750</v>
      </c>
      <c r="AW8" s="7">
        <v>8332</v>
      </c>
      <c r="AX8" s="16">
        <v>579</v>
      </c>
      <c r="AY8" s="15">
        <v>3124</v>
      </c>
      <c r="AZ8" s="7">
        <v>10529</v>
      </c>
      <c r="BA8" s="16">
        <v>517</v>
      </c>
      <c r="BB8" s="5">
        <v>7805</v>
      </c>
      <c r="BC8" s="5">
        <v>9744</v>
      </c>
      <c r="BD8" s="17">
        <v>930</v>
      </c>
      <c r="BE8" s="4">
        <v>7530</v>
      </c>
      <c r="BF8">
        <v>8654</v>
      </c>
      <c r="BG8" s="14">
        <v>558</v>
      </c>
      <c r="BH8" s="4">
        <v>4531</v>
      </c>
      <c r="BI8">
        <v>8189</v>
      </c>
      <c r="BJ8" s="14">
        <v>499</v>
      </c>
      <c r="BK8" s="4">
        <v>3643</v>
      </c>
      <c r="BL8">
        <v>5431</v>
      </c>
      <c r="BM8">
        <v>262</v>
      </c>
      <c r="BN8" s="31">
        <v>4512.75</v>
      </c>
      <c r="BO8">
        <v>5665</v>
      </c>
      <c r="BP8" s="14">
        <v>350</v>
      </c>
      <c r="BQ8" s="31">
        <v>2682</v>
      </c>
      <c r="BR8">
        <v>3251</v>
      </c>
      <c r="BS8" s="14">
        <v>185</v>
      </c>
      <c r="BT8" s="31">
        <v>5454</v>
      </c>
      <c r="BU8">
        <v>7546</v>
      </c>
      <c r="BV8" s="14">
        <v>173</v>
      </c>
      <c r="BW8" s="31">
        <v>5658</v>
      </c>
      <c r="BX8">
        <v>6892</v>
      </c>
      <c r="BY8" s="14">
        <v>154</v>
      </c>
      <c r="BZ8" s="31">
        <f>VLOOKUP(B8,'FY 2025 Agency Details'!$B$4:$D$35,3,0)</f>
        <v>3950</v>
      </c>
      <c r="CA8">
        <f>VLOOKUP(B8,'FY 2025 Agency Details'!$B$4:$E$35,4,0)</f>
        <v>4095</v>
      </c>
      <c r="CB8" s="14">
        <f>VLOOKUP(B8,'FY 2025 Agency Details'!$B$4:$G$35,5,0)</f>
        <v>149</v>
      </c>
      <c r="CC8" s="129"/>
    </row>
    <row r="9" spans="2:81" ht="14.25" x14ac:dyDescent="0.2">
      <c r="B9" s="51" t="s">
        <v>35</v>
      </c>
      <c r="C9" s="18"/>
      <c r="D9" s="19"/>
      <c r="E9" s="20"/>
      <c r="F9" s="18"/>
      <c r="G9" s="19"/>
      <c r="H9" s="20"/>
      <c r="I9" s="18"/>
      <c r="J9" s="19"/>
      <c r="K9" s="20"/>
      <c r="L9" s="18"/>
      <c r="M9" s="19"/>
      <c r="N9" s="20"/>
      <c r="O9" s="18"/>
      <c r="P9" s="21"/>
      <c r="Q9" s="22"/>
      <c r="R9" s="18"/>
      <c r="S9" s="21"/>
      <c r="T9" s="22"/>
      <c r="U9" s="18"/>
      <c r="V9" s="21"/>
      <c r="W9" s="22"/>
      <c r="X9" s="18"/>
      <c r="Y9" s="21"/>
      <c r="Z9" s="22"/>
      <c r="AA9" s="18"/>
      <c r="AB9" s="21"/>
      <c r="AC9" s="22"/>
      <c r="AD9" s="18"/>
      <c r="AE9" s="21"/>
      <c r="AF9" s="22"/>
      <c r="AG9" s="18"/>
      <c r="AH9" s="21"/>
      <c r="AI9" s="22"/>
      <c r="AJ9" s="15">
        <f>ROUNDUP(0*0.75,0)</f>
        <v>0</v>
      </c>
      <c r="AK9" s="7">
        <v>23</v>
      </c>
      <c r="AL9" s="16">
        <v>0</v>
      </c>
      <c r="AM9" s="15">
        <f>ROUNDUP(0*0.75,0)</f>
        <v>0</v>
      </c>
      <c r="AN9" s="7">
        <v>16</v>
      </c>
      <c r="AO9" s="16">
        <v>0</v>
      </c>
      <c r="AP9" s="15">
        <v>0</v>
      </c>
      <c r="AQ9" s="7">
        <v>5</v>
      </c>
      <c r="AR9" s="16">
        <v>0</v>
      </c>
      <c r="AS9" s="15">
        <v>0</v>
      </c>
      <c r="AT9" s="7">
        <v>10</v>
      </c>
      <c r="AU9" s="16">
        <v>0</v>
      </c>
      <c r="AV9" s="15">
        <v>18</v>
      </c>
      <c r="AW9" s="7">
        <v>15</v>
      </c>
      <c r="AX9" s="16">
        <v>0</v>
      </c>
      <c r="AY9" s="15">
        <v>0</v>
      </c>
      <c r="AZ9" s="7">
        <v>9</v>
      </c>
      <c r="BA9" s="16">
        <v>0</v>
      </c>
      <c r="BB9" s="5">
        <v>18</v>
      </c>
      <c r="BC9" s="5">
        <v>17</v>
      </c>
      <c r="BD9" s="17">
        <v>0</v>
      </c>
      <c r="BE9" s="4">
        <v>17</v>
      </c>
      <c r="BF9">
        <v>10</v>
      </c>
      <c r="BG9" s="14">
        <v>0</v>
      </c>
      <c r="BH9" s="4">
        <v>0</v>
      </c>
      <c r="BI9">
        <v>3</v>
      </c>
      <c r="BJ9" s="14">
        <v>0</v>
      </c>
      <c r="BK9" s="26"/>
      <c r="BL9" s="27"/>
      <c r="BM9" s="28"/>
      <c r="BN9" s="31">
        <v>0.75</v>
      </c>
      <c r="BO9"/>
      <c r="BP9" s="14">
        <v>0</v>
      </c>
      <c r="BQ9" s="26"/>
      <c r="BR9" s="27"/>
      <c r="BS9" s="28"/>
      <c r="BT9" s="26"/>
      <c r="BU9" s="27"/>
      <c r="BV9" s="28"/>
      <c r="BW9" s="128"/>
      <c r="BX9" s="27"/>
      <c r="BY9" s="28"/>
      <c r="BZ9" s="128"/>
      <c r="CA9" s="27"/>
      <c r="CB9" s="28"/>
      <c r="CC9" s="129"/>
    </row>
    <row r="10" spans="2:81" ht="14.25" x14ac:dyDescent="0.2">
      <c r="B10" s="51" t="s">
        <v>36</v>
      </c>
      <c r="C10" s="15">
        <f>ROUNDUP(633*0.75,0)</f>
        <v>475</v>
      </c>
      <c r="D10" s="7">
        <v>556</v>
      </c>
      <c r="E10" s="16">
        <v>49</v>
      </c>
      <c r="F10" s="15">
        <f>ROUNDUP(817*0.75,0)</f>
        <v>613</v>
      </c>
      <c r="G10" s="7">
        <v>721</v>
      </c>
      <c r="H10" s="16">
        <v>174</v>
      </c>
      <c r="I10" s="15">
        <f>ROUNDUP(1099*0.75,0)</f>
        <v>825</v>
      </c>
      <c r="J10" s="7">
        <v>678</v>
      </c>
      <c r="K10" s="16">
        <v>227</v>
      </c>
      <c r="L10" s="15">
        <f>ROUNDUP(620*0.75,0)</f>
        <v>465</v>
      </c>
      <c r="M10" s="7">
        <v>498</v>
      </c>
      <c r="N10" s="16">
        <v>152</v>
      </c>
      <c r="O10" s="15">
        <f>ROUNDUP(1065*0.75,0)</f>
        <v>799</v>
      </c>
      <c r="P10" s="7">
        <v>880</v>
      </c>
      <c r="Q10" s="16">
        <v>177</v>
      </c>
      <c r="R10" s="15">
        <f>ROUNDUP(725*0.75,0)</f>
        <v>544</v>
      </c>
      <c r="S10" s="7">
        <v>605</v>
      </c>
      <c r="T10" s="16">
        <v>207</v>
      </c>
      <c r="U10" s="15">
        <f>ROUNDUP(627*0.75,0)</f>
        <v>471</v>
      </c>
      <c r="V10" s="7">
        <v>603</v>
      </c>
      <c r="W10" s="16">
        <v>215</v>
      </c>
      <c r="X10" s="15">
        <f>ROUNDUP(817*0.75,0)</f>
        <v>613</v>
      </c>
      <c r="Y10" s="7">
        <v>1020</v>
      </c>
      <c r="Z10" s="16">
        <v>303</v>
      </c>
      <c r="AA10" s="15">
        <f>ROUNDUP(622*0.75,0)</f>
        <v>467</v>
      </c>
      <c r="AB10" s="7">
        <v>960</v>
      </c>
      <c r="AC10" s="16">
        <v>204</v>
      </c>
      <c r="AD10" s="15">
        <f>ROUNDUP(733*0.75,0)</f>
        <v>550</v>
      </c>
      <c r="AE10" s="7">
        <v>1237</v>
      </c>
      <c r="AF10" s="16">
        <v>169</v>
      </c>
      <c r="AG10" s="15">
        <f>ROUNDUP(1036*0.75,0)</f>
        <v>777</v>
      </c>
      <c r="AH10" s="7">
        <v>1486</v>
      </c>
      <c r="AI10" s="16">
        <v>198</v>
      </c>
      <c r="AJ10" s="15">
        <f>ROUNDUP(669*0.75,0)</f>
        <v>502</v>
      </c>
      <c r="AK10" s="7">
        <v>894</v>
      </c>
      <c r="AL10" s="16">
        <v>251</v>
      </c>
      <c r="AM10" s="15">
        <f>ROUNDUP(757*0.75,0)</f>
        <v>568</v>
      </c>
      <c r="AN10" s="7">
        <v>1069</v>
      </c>
      <c r="AO10" s="16">
        <v>285</v>
      </c>
      <c r="AP10" s="15">
        <v>347</v>
      </c>
      <c r="AQ10" s="7">
        <v>1025</v>
      </c>
      <c r="AR10" s="16">
        <v>173</v>
      </c>
      <c r="AS10" s="15">
        <v>627</v>
      </c>
      <c r="AT10" s="7">
        <v>1483</v>
      </c>
      <c r="AU10" s="16">
        <v>297</v>
      </c>
      <c r="AV10" s="15">
        <v>637</v>
      </c>
      <c r="AW10" s="7">
        <v>1353</v>
      </c>
      <c r="AX10" s="16">
        <v>318</v>
      </c>
      <c r="AY10" s="15">
        <v>644</v>
      </c>
      <c r="AZ10" s="7">
        <v>1507</v>
      </c>
      <c r="BA10" s="16">
        <v>322</v>
      </c>
      <c r="BB10" s="5">
        <v>750</v>
      </c>
      <c r="BC10" s="5">
        <v>995</v>
      </c>
      <c r="BD10" s="17">
        <v>375</v>
      </c>
      <c r="BE10" s="4">
        <v>693</v>
      </c>
      <c r="BF10">
        <v>942</v>
      </c>
      <c r="BG10" s="14">
        <v>346</v>
      </c>
      <c r="BH10" s="4">
        <v>414</v>
      </c>
      <c r="BI10">
        <v>1022</v>
      </c>
      <c r="BJ10" s="14">
        <v>207</v>
      </c>
      <c r="BK10" s="4">
        <v>369</v>
      </c>
      <c r="BL10">
        <v>810</v>
      </c>
      <c r="BM10">
        <v>184</v>
      </c>
      <c r="BN10" s="31">
        <v>404.25</v>
      </c>
      <c r="BO10">
        <v>722</v>
      </c>
      <c r="BP10" s="14">
        <v>123</v>
      </c>
      <c r="BQ10" s="31">
        <v>245</v>
      </c>
      <c r="BR10">
        <v>516</v>
      </c>
      <c r="BS10" s="14">
        <v>122</v>
      </c>
      <c r="BT10" s="31">
        <v>462</v>
      </c>
      <c r="BU10">
        <v>953</v>
      </c>
      <c r="BV10" s="14">
        <v>231</v>
      </c>
      <c r="BW10" s="31">
        <v>428</v>
      </c>
      <c r="BX10">
        <v>895</v>
      </c>
      <c r="BY10" s="14">
        <v>83</v>
      </c>
      <c r="BZ10" s="31">
        <f>VLOOKUP(B10,'FY 2025 Agency Details'!$B$4:$D$35,3,0)</f>
        <v>228</v>
      </c>
      <c r="CA10">
        <f>VLOOKUP(B10,'FY 2025 Agency Details'!$B$4:$E$35,4,0)</f>
        <v>267</v>
      </c>
      <c r="CB10" s="14">
        <f>VLOOKUP(B10,'FY 2025 Agency Details'!$B$4:$G$35,5,0)</f>
        <v>14</v>
      </c>
      <c r="CC10" s="129"/>
    </row>
    <row r="11" spans="2:81" ht="14.25" x14ac:dyDescent="0.2">
      <c r="B11" s="51" t="s">
        <v>37</v>
      </c>
      <c r="C11" s="15">
        <f>ROUNDUP(191*0.75,0)</f>
        <v>144</v>
      </c>
      <c r="D11" s="7">
        <v>116</v>
      </c>
      <c r="E11" s="16">
        <v>9</v>
      </c>
      <c r="F11" s="15">
        <f>ROUNDUP(297*0.75,0)</f>
        <v>223</v>
      </c>
      <c r="G11" s="7">
        <v>120</v>
      </c>
      <c r="H11" s="16">
        <v>42</v>
      </c>
      <c r="I11" s="15">
        <f>ROUNDUP(144*0.75,0)</f>
        <v>108</v>
      </c>
      <c r="J11" s="7">
        <v>95</v>
      </c>
      <c r="K11" s="16">
        <v>16</v>
      </c>
      <c r="L11" s="15">
        <f>ROUNDUP(177*0.75,0)</f>
        <v>133</v>
      </c>
      <c r="M11" s="7">
        <v>147</v>
      </c>
      <c r="N11" s="16">
        <v>11</v>
      </c>
      <c r="O11" s="15">
        <f>ROUNDUP(197*0.75,0)</f>
        <v>148</v>
      </c>
      <c r="P11" s="7">
        <v>112</v>
      </c>
      <c r="Q11" s="16">
        <v>7</v>
      </c>
      <c r="R11" s="15">
        <f>ROUNDUP(209*0.75,0)</f>
        <v>157</v>
      </c>
      <c r="S11" s="7">
        <v>186</v>
      </c>
      <c r="T11" s="16">
        <v>0</v>
      </c>
      <c r="U11" s="15">
        <f>ROUNDUP(219*0.75,0)</f>
        <v>165</v>
      </c>
      <c r="V11" s="7">
        <v>234</v>
      </c>
      <c r="W11" s="16">
        <v>14</v>
      </c>
      <c r="X11" s="15">
        <f>ROUNDUP(377*0.75,0)</f>
        <v>283</v>
      </c>
      <c r="Y11" s="7">
        <v>449</v>
      </c>
      <c r="Z11" s="16">
        <v>99</v>
      </c>
      <c r="AA11" s="15">
        <f>ROUNDUP(255*0.75,0)</f>
        <v>192</v>
      </c>
      <c r="AB11" s="7">
        <v>382</v>
      </c>
      <c r="AC11" s="16">
        <v>10</v>
      </c>
      <c r="AD11" s="15">
        <f>ROUNDUP(471*0.75,0)</f>
        <v>354</v>
      </c>
      <c r="AE11" s="7">
        <v>498</v>
      </c>
      <c r="AF11" s="16">
        <v>12</v>
      </c>
      <c r="AG11" s="15">
        <f>ROUNDUP(604*0.75,0)</f>
        <v>453</v>
      </c>
      <c r="AH11" s="7">
        <v>387</v>
      </c>
      <c r="AI11" s="16">
        <v>10</v>
      </c>
      <c r="AJ11" s="15">
        <f>ROUNDUP(775*0.75,0)</f>
        <v>582</v>
      </c>
      <c r="AK11" s="7">
        <v>514</v>
      </c>
      <c r="AL11" s="16">
        <v>9</v>
      </c>
      <c r="AM11" s="15">
        <f>ROUNDUP(648*0.75,0)</f>
        <v>486</v>
      </c>
      <c r="AN11" s="7">
        <v>537</v>
      </c>
      <c r="AO11" s="16">
        <v>8</v>
      </c>
      <c r="AP11" s="15">
        <v>439</v>
      </c>
      <c r="AQ11" s="7">
        <v>437</v>
      </c>
      <c r="AR11" s="16">
        <v>8</v>
      </c>
      <c r="AS11" s="15">
        <v>480</v>
      </c>
      <c r="AT11" s="7">
        <v>501</v>
      </c>
      <c r="AU11" s="16">
        <v>8</v>
      </c>
      <c r="AV11" s="15">
        <v>402</v>
      </c>
      <c r="AW11" s="7">
        <v>378</v>
      </c>
      <c r="AX11" s="16">
        <v>8</v>
      </c>
      <c r="AY11" s="15">
        <v>614</v>
      </c>
      <c r="AZ11" s="7">
        <v>578</v>
      </c>
      <c r="BA11" s="16">
        <v>2</v>
      </c>
      <c r="BB11" s="5">
        <v>409</v>
      </c>
      <c r="BC11" s="5">
        <v>536</v>
      </c>
      <c r="BD11" s="17">
        <v>0</v>
      </c>
      <c r="BE11" s="4">
        <v>372</v>
      </c>
      <c r="BF11">
        <v>359</v>
      </c>
      <c r="BG11" s="14">
        <v>3</v>
      </c>
      <c r="BH11" s="4">
        <v>187</v>
      </c>
      <c r="BI11">
        <v>313</v>
      </c>
      <c r="BJ11" s="14">
        <v>4</v>
      </c>
      <c r="BK11" s="4">
        <v>372</v>
      </c>
      <c r="BL11">
        <v>321</v>
      </c>
      <c r="BM11">
        <v>28</v>
      </c>
      <c r="BN11" s="31">
        <v>97.5</v>
      </c>
      <c r="BO11">
        <v>40</v>
      </c>
      <c r="BP11" s="14">
        <v>10</v>
      </c>
      <c r="BQ11" s="31">
        <v>69</v>
      </c>
      <c r="BR11">
        <v>36</v>
      </c>
      <c r="BS11" s="14">
        <v>0</v>
      </c>
      <c r="BT11" s="31">
        <v>162</v>
      </c>
      <c r="BU11">
        <v>144</v>
      </c>
      <c r="BV11" s="14">
        <v>6</v>
      </c>
      <c r="BW11" s="31">
        <v>153</v>
      </c>
      <c r="BX11">
        <v>157</v>
      </c>
      <c r="BY11" s="14">
        <v>0</v>
      </c>
      <c r="BZ11" s="31">
        <f>VLOOKUP(B11,'FY 2025 Agency Details'!$B$4:$D$35,3,0)</f>
        <v>123</v>
      </c>
      <c r="CA11">
        <f>VLOOKUP(B11,'FY 2025 Agency Details'!$B$4:$E$35,4,0)</f>
        <v>83</v>
      </c>
      <c r="CB11" s="14">
        <f>VLOOKUP(B11,'FY 2025 Agency Details'!$B$4:$G$35,5,0)</f>
        <v>0</v>
      </c>
      <c r="CC11" s="129"/>
    </row>
    <row r="12" spans="2:81" ht="14.25" x14ac:dyDescent="0.2">
      <c r="B12" s="51" t="s">
        <v>38</v>
      </c>
      <c r="C12" s="18"/>
      <c r="D12" s="19"/>
      <c r="E12" s="20"/>
      <c r="F12" s="18"/>
      <c r="G12" s="19"/>
      <c r="H12" s="20"/>
      <c r="I12" s="18"/>
      <c r="J12" s="19"/>
      <c r="K12" s="20"/>
      <c r="L12" s="18"/>
      <c r="M12" s="19"/>
      <c r="N12" s="20"/>
      <c r="O12" s="15">
        <f>ROUNDUP(704*0.75,0)</f>
        <v>528</v>
      </c>
      <c r="P12" s="7">
        <v>683</v>
      </c>
      <c r="Q12" s="16">
        <v>0</v>
      </c>
      <c r="R12" s="15">
        <f>ROUNDUP(949*0.75,0)</f>
        <v>712</v>
      </c>
      <c r="S12" s="7">
        <v>859</v>
      </c>
      <c r="T12" s="16">
        <v>0</v>
      </c>
      <c r="U12" s="15">
        <f>ROUNDUP(1362*0.75,0)</f>
        <v>1022</v>
      </c>
      <c r="V12" s="7">
        <v>1202</v>
      </c>
      <c r="W12" s="16">
        <v>0</v>
      </c>
      <c r="X12" s="15">
        <f>ROUNDUP(819*0.75,0)</f>
        <v>615</v>
      </c>
      <c r="Y12" s="7">
        <v>1090</v>
      </c>
      <c r="Z12" s="16">
        <v>24</v>
      </c>
      <c r="AA12" s="15">
        <f>ROUNDUP(720*0.75,0)</f>
        <v>540</v>
      </c>
      <c r="AB12" s="7">
        <v>2886</v>
      </c>
      <c r="AC12" s="16">
        <v>6</v>
      </c>
      <c r="AD12" s="15">
        <f>ROUNDUP(1359*0.75,0)</f>
        <v>1020</v>
      </c>
      <c r="AE12" s="7">
        <v>4508</v>
      </c>
      <c r="AF12" s="16">
        <v>19</v>
      </c>
      <c r="AG12" s="15">
        <f>ROUNDUP(997*0.75,0)</f>
        <v>748</v>
      </c>
      <c r="AH12" s="7">
        <v>1067</v>
      </c>
      <c r="AI12" s="16">
        <v>0</v>
      </c>
      <c r="AJ12" s="15">
        <f>ROUNDUP(1752*0.75,0)</f>
        <v>1314</v>
      </c>
      <c r="AK12" s="7">
        <v>1490</v>
      </c>
      <c r="AL12" s="16">
        <v>0</v>
      </c>
      <c r="AM12" s="15">
        <f>ROUNDUP(1587*0.75,0)</f>
        <v>1191</v>
      </c>
      <c r="AN12" s="7">
        <v>1462</v>
      </c>
      <c r="AO12" s="16">
        <v>0</v>
      </c>
      <c r="AP12" s="15">
        <v>321</v>
      </c>
      <c r="AQ12" s="7">
        <v>626</v>
      </c>
      <c r="AR12" s="16">
        <v>0</v>
      </c>
      <c r="AS12" s="15">
        <v>461</v>
      </c>
      <c r="AT12" s="7">
        <v>859</v>
      </c>
      <c r="AU12" s="16">
        <v>0</v>
      </c>
      <c r="AV12" s="15">
        <v>1007</v>
      </c>
      <c r="AW12" s="7">
        <v>1356</v>
      </c>
      <c r="AX12" s="16">
        <v>0</v>
      </c>
      <c r="AY12" s="15">
        <v>759</v>
      </c>
      <c r="AZ12" s="7">
        <v>1235</v>
      </c>
      <c r="BA12" s="16">
        <v>0</v>
      </c>
      <c r="BB12" s="5">
        <v>816</v>
      </c>
      <c r="BC12" s="5">
        <v>910</v>
      </c>
      <c r="BD12" s="17">
        <v>1</v>
      </c>
      <c r="BE12" s="4">
        <v>1471</v>
      </c>
      <c r="BF12">
        <v>1033</v>
      </c>
      <c r="BG12" s="14">
        <v>0</v>
      </c>
      <c r="BH12" s="4">
        <v>1167</v>
      </c>
      <c r="BI12">
        <v>1564</v>
      </c>
      <c r="BJ12" s="14">
        <v>0</v>
      </c>
      <c r="BK12" s="4">
        <v>1047</v>
      </c>
      <c r="BL12">
        <v>875</v>
      </c>
      <c r="BM12">
        <v>0</v>
      </c>
      <c r="BN12" s="31">
        <v>528.75</v>
      </c>
      <c r="BO12">
        <v>539</v>
      </c>
      <c r="BP12" s="14">
        <v>0</v>
      </c>
      <c r="BQ12" s="31">
        <v>374</v>
      </c>
      <c r="BR12">
        <v>370</v>
      </c>
      <c r="BS12" s="14">
        <v>1</v>
      </c>
      <c r="BT12" s="31">
        <v>543</v>
      </c>
      <c r="BU12">
        <v>614</v>
      </c>
      <c r="BV12" s="14">
        <v>34</v>
      </c>
      <c r="BW12" s="31">
        <v>1023</v>
      </c>
      <c r="BX12">
        <v>811</v>
      </c>
      <c r="BY12" s="14">
        <v>0</v>
      </c>
      <c r="BZ12" s="31">
        <f>VLOOKUP(B12,'FY 2025 Agency Details'!$B$4:$D$35,3,0)</f>
        <v>744</v>
      </c>
      <c r="CA12">
        <f>VLOOKUP(B12,'FY 2025 Agency Details'!$B$4:$E$35,4,0)</f>
        <v>355</v>
      </c>
      <c r="CB12" s="14">
        <f>VLOOKUP(B12,'FY 2025 Agency Details'!$B$4:$G$35,5,0)</f>
        <v>0</v>
      </c>
      <c r="CC12" s="129"/>
    </row>
    <row r="13" spans="2:81" ht="14.25" x14ac:dyDescent="0.2">
      <c r="B13" s="51" t="s">
        <v>39</v>
      </c>
      <c r="C13" s="15">
        <f>ROUNDUP(0*0.75,0)</f>
        <v>0</v>
      </c>
      <c r="D13" s="7">
        <v>1</v>
      </c>
      <c r="E13" s="16">
        <v>0</v>
      </c>
      <c r="F13" s="15">
        <f>ROUNDUP(0*0.75,0)</f>
        <v>0</v>
      </c>
      <c r="G13" s="7">
        <v>3</v>
      </c>
      <c r="H13" s="16">
        <v>2</v>
      </c>
      <c r="I13" s="15">
        <f>ROUNDUP(1*0.75,0)</f>
        <v>1</v>
      </c>
      <c r="J13" s="7">
        <v>19</v>
      </c>
      <c r="K13" s="16">
        <v>6</v>
      </c>
      <c r="L13" s="15">
        <f>ROUNDUP(3*0.75,0)</f>
        <v>3</v>
      </c>
      <c r="M13" s="7">
        <v>13</v>
      </c>
      <c r="N13" s="16">
        <v>0</v>
      </c>
      <c r="O13" s="15">
        <f>ROUNDUP(0*0.75,0)</f>
        <v>0</v>
      </c>
      <c r="P13" s="7">
        <v>2</v>
      </c>
      <c r="Q13" s="16">
        <v>0</v>
      </c>
      <c r="R13" s="15">
        <f>ROUNDUP(98*0.75,0)</f>
        <v>74</v>
      </c>
      <c r="S13" s="7">
        <v>25</v>
      </c>
      <c r="T13" s="16">
        <v>0</v>
      </c>
      <c r="U13" s="15">
        <f>ROUNDUP(117*0.75,0)</f>
        <v>88</v>
      </c>
      <c r="V13" s="7">
        <v>69</v>
      </c>
      <c r="W13" s="16">
        <v>0</v>
      </c>
      <c r="X13" s="15">
        <f>ROUNDUP(5*0.75,0)</f>
        <v>4</v>
      </c>
      <c r="Y13" s="7">
        <v>74</v>
      </c>
      <c r="Z13" s="16">
        <v>0</v>
      </c>
      <c r="AA13" s="15">
        <f>ROUNDUP(105*0.75,0)</f>
        <v>79</v>
      </c>
      <c r="AB13" s="7">
        <v>12</v>
      </c>
      <c r="AC13" s="16">
        <v>0</v>
      </c>
      <c r="AD13" s="15">
        <f>ROUNDUP(123*0.75,0)</f>
        <v>93</v>
      </c>
      <c r="AE13" s="7">
        <v>13</v>
      </c>
      <c r="AF13" s="16">
        <v>0</v>
      </c>
      <c r="AG13" s="15">
        <f>ROUNDUP(42*0.75,0)</f>
        <v>32</v>
      </c>
      <c r="AH13" s="7">
        <v>13</v>
      </c>
      <c r="AI13" s="16">
        <v>2</v>
      </c>
      <c r="AJ13" s="15">
        <f>ROUNDUP(52*0.75,0)</f>
        <v>39</v>
      </c>
      <c r="AK13" s="7">
        <v>29</v>
      </c>
      <c r="AL13" s="16">
        <v>0</v>
      </c>
      <c r="AM13" s="15">
        <f>ROUNDUP(30*0.75,0)</f>
        <v>23</v>
      </c>
      <c r="AN13" s="7">
        <v>17</v>
      </c>
      <c r="AO13" s="16">
        <v>0</v>
      </c>
      <c r="AP13" s="15">
        <v>1</v>
      </c>
      <c r="AQ13" s="7">
        <v>27</v>
      </c>
      <c r="AR13" s="16">
        <v>0</v>
      </c>
      <c r="AS13" s="15">
        <v>3</v>
      </c>
      <c r="AT13" s="7">
        <v>10</v>
      </c>
      <c r="AU13" s="16">
        <v>0</v>
      </c>
      <c r="AV13" s="15">
        <v>0</v>
      </c>
      <c r="AW13" s="7">
        <v>28</v>
      </c>
      <c r="AX13" s="16">
        <v>0</v>
      </c>
      <c r="AY13" s="15">
        <v>1</v>
      </c>
      <c r="AZ13" s="7">
        <v>28</v>
      </c>
      <c r="BA13" s="16">
        <v>0</v>
      </c>
      <c r="BB13" s="5">
        <v>19</v>
      </c>
      <c r="BC13" s="5">
        <v>24</v>
      </c>
      <c r="BD13" s="17">
        <v>0</v>
      </c>
      <c r="BE13" s="4">
        <v>24</v>
      </c>
      <c r="BF13">
        <v>20</v>
      </c>
      <c r="BG13" s="14">
        <v>0</v>
      </c>
      <c r="BH13" s="4">
        <v>0</v>
      </c>
      <c r="BI13">
        <v>14</v>
      </c>
      <c r="BJ13" s="14">
        <v>0</v>
      </c>
      <c r="BK13" s="26"/>
      <c r="BL13" s="27"/>
      <c r="BM13" s="28"/>
      <c r="BN13" s="26"/>
      <c r="BO13" s="27"/>
      <c r="BP13" s="28"/>
      <c r="BQ13" s="4">
        <v>3</v>
      </c>
      <c r="BR13">
        <v>2</v>
      </c>
      <c r="BS13" s="14">
        <v>0</v>
      </c>
      <c r="BT13" s="26"/>
      <c r="BU13" s="27"/>
      <c r="BV13" s="28"/>
      <c r="BW13" s="26"/>
      <c r="BX13" s="27"/>
      <c r="BY13" s="28"/>
      <c r="BZ13" s="31">
        <f>VLOOKUP(B13,'FY 2025 Agency Details'!$B$4:$D$35,3,0)</f>
        <v>7</v>
      </c>
      <c r="CA13">
        <f>VLOOKUP(B13,'FY 2025 Agency Details'!$B$4:$E$35,4,0)</f>
        <v>2</v>
      </c>
      <c r="CB13" s="14">
        <f>VLOOKUP(B13,'FY 2025 Agency Details'!$B$4:$G$35,5,0)</f>
        <v>0</v>
      </c>
      <c r="CC13" s="129"/>
    </row>
    <row r="14" spans="2:81" ht="14.25" x14ac:dyDescent="0.2">
      <c r="B14" s="51" t="s">
        <v>45</v>
      </c>
      <c r="C14" s="15">
        <f>ROUNDUP(780*0.75,0)</f>
        <v>585</v>
      </c>
      <c r="D14" s="7">
        <v>159</v>
      </c>
      <c r="E14" s="16">
        <v>106</v>
      </c>
      <c r="F14" s="15">
        <f>ROUNDUP(671*0.75,0)</f>
        <v>504</v>
      </c>
      <c r="G14" s="7">
        <v>497</v>
      </c>
      <c r="H14" s="16">
        <v>14</v>
      </c>
      <c r="I14" s="15">
        <f>ROUNDUP(848*0.75,0)</f>
        <v>636</v>
      </c>
      <c r="J14" s="7">
        <v>649</v>
      </c>
      <c r="K14" s="16">
        <v>23</v>
      </c>
      <c r="L14" s="15">
        <f>ROUNDUP(889*0.75,0)</f>
        <v>667</v>
      </c>
      <c r="M14" s="7">
        <v>593</v>
      </c>
      <c r="N14" s="16">
        <v>90</v>
      </c>
      <c r="O14" s="15">
        <f>ROUNDUP(653*0.75,0)</f>
        <v>490</v>
      </c>
      <c r="P14" s="7">
        <v>589</v>
      </c>
      <c r="Q14" s="16">
        <v>103</v>
      </c>
      <c r="R14" s="15">
        <f>ROUNDUP(443*0.75,0)</f>
        <v>333</v>
      </c>
      <c r="S14" s="7">
        <v>263</v>
      </c>
      <c r="T14" s="16">
        <v>190</v>
      </c>
      <c r="U14" s="15">
        <f>ROUNDUP(407*0.75,0)</f>
        <v>306</v>
      </c>
      <c r="V14" s="7">
        <v>189</v>
      </c>
      <c r="W14" s="16">
        <v>117</v>
      </c>
      <c r="X14" s="15">
        <f>ROUNDUP(567*0.75,0)</f>
        <v>426</v>
      </c>
      <c r="Y14" s="7">
        <v>616</v>
      </c>
      <c r="Z14" s="16">
        <v>129</v>
      </c>
      <c r="AA14" s="15">
        <f>ROUNDUP(531*0.75,0)</f>
        <v>399</v>
      </c>
      <c r="AB14" s="7">
        <v>734</v>
      </c>
      <c r="AC14" s="16">
        <v>190</v>
      </c>
      <c r="AD14" s="15">
        <f>ROUNDUP(1026*0.75,0)</f>
        <v>770</v>
      </c>
      <c r="AE14" s="7">
        <v>1559</v>
      </c>
      <c r="AF14" s="16">
        <v>115</v>
      </c>
      <c r="AG14" s="15">
        <f>ROUNDUP(778*0.75,0)</f>
        <v>584</v>
      </c>
      <c r="AH14" s="7">
        <v>1218</v>
      </c>
      <c r="AI14" s="16">
        <v>213</v>
      </c>
      <c r="AJ14" s="15">
        <f>ROUNDUP(565*0.75,0)</f>
        <v>424</v>
      </c>
      <c r="AK14" s="7">
        <v>872</v>
      </c>
      <c r="AL14" s="16">
        <v>159</v>
      </c>
      <c r="AM14" s="15">
        <f>ROUNDUP(555*0.75,0)</f>
        <v>417</v>
      </c>
      <c r="AN14" s="7">
        <v>1006</v>
      </c>
      <c r="AO14" s="16">
        <v>221</v>
      </c>
      <c r="AP14" s="15">
        <v>253</v>
      </c>
      <c r="AQ14" s="7">
        <v>1667</v>
      </c>
      <c r="AR14" s="16">
        <v>126</v>
      </c>
      <c r="AS14" s="15">
        <v>240</v>
      </c>
      <c r="AT14" s="7">
        <v>1350</v>
      </c>
      <c r="AU14" s="16">
        <v>120</v>
      </c>
      <c r="AV14" s="15">
        <v>402</v>
      </c>
      <c r="AW14" s="7">
        <v>1338</v>
      </c>
      <c r="AX14" s="16">
        <v>31</v>
      </c>
      <c r="AY14" s="15">
        <v>306</v>
      </c>
      <c r="AZ14" s="7">
        <v>1048</v>
      </c>
      <c r="BA14" s="16">
        <v>44</v>
      </c>
      <c r="BB14" s="5">
        <v>976</v>
      </c>
      <c r="BC14" s="5">
        <v>1002</v>
      </c>
      <c r="BD14" s="17">
        <v>24</v>
      </c>
      <c r="BE14" s="4">
        <v>545</v>
      </c>
      <c r="BF14">
        <v>596</v>
      </c>
      <c r="BG14" s="14">
        <v>25</v>
      </c>
      <c r="BH14" s="4">
        <v>352</v>
      </c>
      <c r="BI14">
        <v>1015</v>
      </c>
      <c r="BJ14" s="14">
        <v>5</v>
      </c>
      <c r="BK14" s="4">
        <v>368</v>
      </c>
      <c r="BL14">
        <v>679</v>
      </c>
      <c r="BM14">
        <v>10</v>
      </c>
      <c r="BN14" s="4">
        <v>174</v>
      </c>
      <c r="BO14">
        <v>327</v>
      </c>
      <c r="BP14" s="14">
        <v>14</v>
      </c>
      <c r="BQ14" s="4">
        <v>75</v>
      </c>
      <c r="BR14">
        <v>219</v>
      </c>
      <c r="BS14" s="14">
        <v>11</v>
      </c>
      <c r="BT14" s="4">
        <v>215</v>
      </c>
      <c r="BU14">
        <v>264</v>
      </c>
      <c r="BV14" s="14">
        <v>13</v>
      </c>
      <c r="BW14" s="4">
        <v>318</v>
      </c>
      <c r="BX14">
        <v>337</v>
      </c>
      <c r="BY14" s="14">
        <v>7</v>
      </c>
      <c r="BZ14" s="4">
        <f>VLOOKUP(B14,'FY 2025 Agency Details'!$B$4:$D$35,3,0)</f>
        <v>339</v>
      </c>
      <c r="CA14">
        <f>VLOOKUP(B14,'FY 2025 Agency Details'!$B$4:$E$35,4,0)</f>
        <v>405</v>
      </c>
      <c r="CB14" s="14">
        <f>VLOOKUP(B14,'FY 2025 Agency Details'!$B$4:$G$35,5,0)</f>
        <v>18</v>
      </c>
      <c r="CC14" s="129"/>
    </row>
    <row r="15" spans="2:81" ht="14.25" x14ac:dyDescent="0.2">
      <c r="B15" s="51" t="s">
        <v>40</v>
      </c>
      <c r="C15" s="15">
        <f>ROUNDUP(77*0.75,0)</f>
        <v>58</v>
      </c>
      <c r="D15" s="7">
        <v>32</v>
      </c>
      <c r="E15" s="16">
        <v>0</v>
      </c>
      <c r="F15" s="15">
        <f>ROUNDUP(232*0.75,0)</f>
        <v>174</v>
      </c>
      <c r="G15" s="7">
        <v>164</v>
      </c>
      <c r="H15" s="16">
        <v>17</v>
      </c>
      <c r="I15" s="15">
        <f>ROUNDUP(118*0.75,0)</f>
        <v>89</v>
      </c>
      <c r="J15" s="7">
        <v>107</v>
      </c>
      <c r="K15" s="16">
        <v>14</v>
      </c>
      <c r="L15" s="15">
        <f>ROUNDUP(200*0.75,0)</f>
        <v>150</v>
      </c>
      <c r="M15" s="7">
        <v>228</v>
      </c>
      <c r="N15" s="16">
        <v>14</v>
      </c>
      <c r="O15" s="15">
        <f>ROUNDUP(254*0.75,0)</f>
        <v>191</v>
      </c>
      <c r="P15" s="7">
        <v>215</v>
      </c>
      <c r="Q15" s="16">
        <v>3</v>
      </c>
      <c r="R15" s="15">
        <f>ROUNDUP(193*0.75,0)</f>
        <v>145</v>
      </c>
      <c r="S15" s="7">
        <v>139</v>
      </c>
      <c r="T15" s="16">
        <v>15</v>
      </c>
      <c r="U15" s="15">
        <f>ROUNDUP(197*0.75,0)</f>
        <v>148</v>
      </c>
      <c r="V15" s="7">
        <v>163</v>
      </c>
      <c r="W15" s="16">
        <v>6</v>
      </c>
      <c r="X15" s="15">
        <f>ROUNDUP(127*0.75,0)</f>
        <v>96</v>
      </c>
      <c r="Y15" s="7">
        <v>633</v>
      </c>
      <c r="Z15" s="16">
        <v>16</v>
      </c>
      <c r="AA15" s="15">
        <f>ROUNDUP(139*0.75,0)</f>
        <v>105</v>
      </c>
      <c r="AB15" s="7">
        <v>1435</v>
      </c>
      <c r="AC15" s="16">
        <v>15</v>
      </c>
      <c r="AD15" s="15">
        <f>ROUNDUP(266*0.75,0)</f>
        <v>200</v>
      </c>
      <c r="AE15" s="7">
        <v>2638</v>
      </c>
      <c r="AF15" s="16">
        <v>10</v>
      </c>
      <c r="AG15" s="15">
        <f>ROUNDUP(198*0.75,0)</f>
        <v>149</v>
      </c>
      <c r="AH15" s="7">
        <v>153</v>
      </c>
      <c r="AI15" s="16">
        <v>11</v>
      </c>
      <c r="AJ15" s="15">
        <f>ROUNDUP(262*0.75,0)</f>
        <v>197</v>
      </c>
      <c r="AK15" s="7">
        <v>373</v>
      </c>
      <c r="AL15" s="16">
        <v>10</v>
      </c>
      <c r="AM15" s="15">
        <f>ROUNDUP(183*0.75,0)</f>
        <v>138</v>
      </c>
      <c r="AN15" s="7">
        <v>177</v>
      </c>
      <c r="AO15" s="16">
        <v>7</v>
      </c>
      <c r="AP15" s="15">
        <v>102</v>
      </c>
      <c r="AQ15" s="7">
        <v>56</v>
      </c>
      <c r="AR15" s="16">
        <v>1</v>
      </c>
      <c r="AS15" s="15">
        <v>105</v>
      </c>
      <c r="AT15" s="7">
        <v>114</v>
      </c>
      <c r="AU15" s="16">
        <v>8</v>
      </c>
      <c r="AV15" s="15">
        <v>21</v>
      </c>
      <c r="AW15" s="7">
        <v>64</v>
      </c>
      <c r="AX15" s="16">
        <v>0</v>
      </c>
      <c r="AY15" s="15">
        <v>18</v>
      </c>
      <c r="AZ15" s="7">
        <v>81</v>
      </c>
      <c r="BA15" s="16">
        <v>0</v>
      </c>
      <c r="BB15" s="5">
        <v>108</v>
      </c>
      <c r="BC15" s="5">
        <v>102</v>
      </c>
      <c r="BD15" s="17">
        <v>5</v>
      </c>
      <c r="BE15" s="4">
        <v>67</v>
      </c>
      <c r="BF15">
        <v>50</v>
      </c>
      <c r="BG15" s="14">
        <v>2</v>
      </c>
      <c r="BH15" s="4">
        <v>33</v>
      </c>
      <c r="BI15">
        <v>59</v>
      </c>
      <c r="BJ15" s="14">
        <v>3</v>
      </c>
      <c r="BK15" s="4">
        <v>25</v>
      </c>
      <c r="BL15">
        <v>31</v>
      </c>
      <c r="BM15">
        <v>3</v>
      </c>
      <c r="BN15" s="31">
        <v>25.5</v>
      </c>
      <c r="BO15">
        <v>19</v>
      </c>
      <c r="BP15" s="14">
        <v>3</v>
      </c>
      <c r="BQ15" s="31">
        <v>12</v>
      </c>
      <c r="BR15">
        <v>9</v>
      </c>
      <c r="BS15" s="14">
        <v>2</v>
      </c>
      <c r="BT15" s="31">
        <v>12</v>
      </c>
      <c r="BU15">
        <v>25</v>
      </c>
      <c r="BV15" s="14">
        <v>2</v>
      </c>
      <c r="BW15" s="31">
        <v>36</v>
      </c>
      <c r="BX15">
        <v>18</v>
      </c>
      <c r="BY15" s="14">
        <v>2</v>
      </c>
      <c r="BZ15" s="31">
        <f>VLOOKUP(B15,'FY 2025 Agency Details'!$B$4:$D$35,3,0)</f>
        <v>13</v>
      </c>
      <c r="CA15">
        <f>VLOOKUP(B15,'FY 2025 Agency Details'!$B$4:$E$35,4,0)</f>
        <v>7</v>
      </c>
      <c r="CB15" s="14">
        <f>VLOOKUP(B15,'FY 2025 Agency Details'!$B$4:$G$35,5,0)</f>
        <v>2</v>
      </c>
      <c r="CC15" s="129"/>
    </row>
    <row r="16" spans="2:81" ht="14.25" x14ac:dyDescent="0.2">
      <c r="B16" s="51" t="s">
        <v>41</v>
      </c>
      <c r="C16" s="15">
        <f>ROUNDUP(667*0.75,0)</f>
        <v>501</v>
      </c>
      <c r="D16" s="7">
        <v>200</v>
      </c>
      <c r="E16" s="16">
        <v>0</v>
      </c>
      <c r="F16" s="15">
        <f>ROUNDUP(504*0.75,0)</f>
        <v>378</v>
      </c>
      <c r="G16" s="7">
        <v>141</v>
      </c>
      <c r="H16" s="16">
        <v>0</v>
      </c>
      <c r="I16" s="15">
        <f>ROUNDUP(459*0.75,0)</f>
        <v>345</v>
      </c>
      <c r="J16" s="7">
        <v>171</v>
      </c>
      <c r="K16" s="16">
        <v>0</v>
      </c>
      <c r="L16" s="15">
        <f>ROUNDUP(281*0.75,0)</f>
        <v>211</v>
      </c>
      <c r="M16" s="7">
        <v>68</v>
      </c>
      <c r="N16" s="16">
        <v>3</v>
      </c>
      <c r="O16" s="15">
        <f>ROUNDUP(370*0.75,0)</f>
        <v>278</v>
      </c>
      <c r="P16" s="7">
        <v>12</v>
      </c>
      <c r="Q16" s="16">
        <v>0</v>
      </c>
      <c r="R16" s="15">
        <f>ROUNDUP(508*0.75,0)</f>
        <v>381</v>
      </c>
      <c r="S16" s="7">
        <v>92</v>
      </c>
      <c r="T16" s="16">
        <v>3</v>
      </c>
      <c r="U16" s="15">
        <f>ROUNDUP(216*0.75,0)</f>
        <v>162</v>
      </c>
      <c r="V16" s="7">
        <v>168</v>
      </c>
      <c r="W16" s="16">
        <v>2</v>
      </c>
      <c r="X16" s="15">
        <f>ROUNDUP(736*0.75,0)</f>
        <v>552</v>
      </c>
      <c r="Y16" s="7">
        <v>550</v>
      </c>
      <c r="Z16" s="16">
        <v>0</v>
      </c>
      <c r="AA16" s="15">
        <f>ROUNDUP(444*0.75,0)</f>
        <v>333</v>
      </c>
      <c r="AB16" s="7">
        <v>518</v>
      </c>
      <c r="AC16" s="16">
        <v>1</v>
      </c>
      <c r="AD16" s="15">
        <f>ROUNDUP(289*0.75,0)</f>
        <v>217</v>
      </c>
      <c r="AE16" s="7">
        <v>488</v>
      </c>
      <c r="AF16" s="16">
        <v>0</v>
      </c>
      <c r="AG16" s="15">
        <f>ROUNDUP(236*0.75,0)</f>
        <v>177</v>
      </c>
      <c r="AH16" s="7">
        <v>361</v>
      </c>
      <c r="AI16" s="16">
        <v>0</v>
      </c>
      <c r="AJ16" s="15">
        <f>ROUNDUP(270*0.75,0)</f>
        <v>203</v>
      </c>
      <c r="AK16" s="7">
        <v>586</v>
      </c>
      <c r="AL16" s="16">
        <v>0</v>
      </c>
      <c r="AM16" s="15">
        <f>ROUNDUP(295*0.75,0)</f>
        <v>222</v>
      </c>
      <c r="AN16" s="7">
        <v>636</v>
      </c>
      <c r="AO16" s="16">
        <v>0</v>
      </c>
      <c r="AP16" s="15">
        <v>169</v>
      </c>
      <c r="AQ16" s="7">
        <v>514</v>
      </c>
      <c r="AR16" s="16">
        <v>0</v>
      </c>
      <c r="AS16" s="15">
        <v>273</v>
      </c>
      <c r="AT16" s="7">
        <v>603</v>
      </c>
      <c r="AU16" s="16">
        <v>10</v>
      </c>
      <c r="AV16" s="15">
        <v>251</v>
      </c>
      <c r="AW16" s="7">
        <v>369</v>
      </c>
      <c r="AX16" s="16">
        <v>5</v>
      </c>
      <c r="AY16" s="15">
        <v>379</v>
      </c>
      <c r="AZ16" s="7">
        <v>611</v>
      </c>
      <c r="BA16" s="16">
        <v>0</v>
      </c>
      <c r="BB16" s="5">
        <v>304</v>
      </c>
      <c r="BC16" s="5">
        <v>441</v>
      </c>
      <c r="BD16" s="17">
        <v>0</v>
      </c>
      <c r="BE16" s="4">
        <v>324</v>
      </c>
      <c r="BF16">
        <v>322</v>
      </c>
      <c r="BG16" s="14">
        <v>0</v>
      </c>
      <c r="BH16" s="4">
        <v>117</v>
      </c>
      <c r="BI16">
        <v>265</v>
      </c>
      <c r="BJ16" s="14">
        <v>0</v>
      </c>
      <c r="BK16" s="4">
        <v>84</v>
      </c>
      <c r="BL16">
        <v>263</v>
      </c>
      <c r="BM16">
        <v>0</v>
      </c>
      <c r="BN16" s="31">
        <v>66.75</v>
      </c>
      <c r="BO16">
        <v>243</v>
      </c>
      <c r="BP16" s="14">
        <v>0</v>
      </c>
      <c r="BQ16" s="31">
        <v>35</v>
      </c>
      <c r="BR16">
        <v>122</v>
      </c>
      <c r="BS16" s="14">
        <v>0</v>
      </c>
      <c r="BT16" s="31">
        <v>148</v>
      </c>
      <c r="BU16">
        <v>257</v>
      </c>
      <c r="BV16" s="14">
        <v>0</v>
      </c>
      <c r="BW16" s="31">
        <v>104</v>
      </c>
      <c r="BX16">
        <v>226</v>
      </c>
      <c r="BY16" s="14">
        <v>0</v>
      </c>
      <c r="BZ16" s="31">
        <f>VLOOKUP(B16,'FY 2025 Agency Details'!$B$4:$D$35,3,0)</f>
        <v>73</v>
      </c>
      <c r="CA16">
        <f>VLOOKUP(B16,'FY 2025 Agency Details'!$B$4:$E$35,4,0)</f>
        <v>81</v>
      </c>
      <c r="CB16" s="14">
        <f>VLOOKUP(B16,'FY 2025 Agency Details'!$B$4:$G$35,5,0)</f>
        <v>0</v>
      </c>
      <c r="CC16" s="129"/>
    </row>
    <row r="17" spans="2:81" ht="14.25" x14ac:dyDescent="0.2">
      <c r="B17" s="51" t="s">
        <v>42</v>
      </c>
      <c r="C17" s="15">
        <f>ROUNDUP(50*0.75,0)</f>
        <v>38</v>
      </c>
      <c r="D17" s="7">
        <v>32</v>
      </c>
      <c r="E17" s="16">
        <v>10</v>
      </c>
      <c r="F17" s="15">
        <f>ROUNDUP(14*0.75,0)</f>
        <v>11</v>
      </c>
      <c r="G17" s="7">
        <v>11</v>
      </c>
      <c r="H17" s="16">
        <v>0</v>
      </c>
      <c r="I17" s="15">
        <f>ROUNDUP(15*0.75,0)</f>
        <v>12</v>
      </c>
      <c r="J17" s="7">
        <v>43</v>
      </c>
      <c r="K17" s="16">
        <v>8</v>
      </c>
      <c r="L17" s="15">
        <f>ROUNDUP(26*0.75,0)</f>
        <v>20</v>
      </c>
      <c r="M17" s="7">
        <v>31</v>
      </c>
      <c r="N17" s="16">
        <v>2</v>
      </c>
      <c r="O17" s="15">
        <f>ROUNDUP(84*0.75,0)</f>
        <v>63</v>
      </c>
      <c r="P17" s="7">
        <v>92</v>
      </c>
      <c r="Q17" s="16">
        <v>0</v>
      </c>
      <c r="R17" s="15">
        <f>ROUNDUP(43*0.75,0)</f>
        <v>33</v>
      </c>
      <c r="S17" s="7">
        <v>63</v>
      </c>
      <c r="T17" s="16">
        <v>10</v>
      </c>
      <c r="U17" s="15">
        <f>ROUNDUP(54*0.75,0)</f>
        <v>41</v>
      </c>
      <c r="V17" s="7">
        <v>81</v>
      </c>
      <c r="W17" s="16">
        <v>2</v>
      </c>
      <c r="X17" s="15">
        <f>ROUNDUP(40*0.75,0)</f>
        <v>30</v>
      </c>
      <c r="Y17" s="7">
        <v>91</v>
      </c>
      <c r="Z17" s="16">
        <v>2</v>
      </c>
      <c r="AA17" s="15">
        <f>ROUNDUP(44*0.75,0)</f>
        <v>33</v>
      </c>
      <c r="AB17" s="7">
        <v>156</v>
      </c>
      <c r="AC17" s="16">
        <v>0</v>
      </c>
      <c r="AD17" s="15">
        <f>ROUNDUP(41*0.75,0)</f>
        <v>31</v>
      </c>
      <c r="AE17" s="7">
        <v>155</v>
      </c>
      <c r="AF17" s="16">
        <v>1</v>
      </c>
      <c r="AG17" s="15">
        <f>ROUNDUP(26*0.75,0)</f>
        <v>20</v>
      </c>
      <c r="AH17" s="7">
        <v>32</v>
      </c>
      <c r="AI17" s="16">
        <v>4</v>
      </c>
      <c r="AJ17" s="15">
        <f>ROUNDUP(68*0.75,0)</f>
        <v>51</v>
      </c>
      <c r="AK17" s="7">
        <v>69</v>
      </c>
      <c r="AL17" s="16">
        <v>0</v>
      </c>
      <c r="AM17" s="15">
        <f>ROUNDUP(61*0.75,0)</f>
        <v>46</v>
      </c>
      <c r="AN17" s="7">
        <v>76</v>
      </c>
      <c r="AO17" s="16">
        <v>0</v>
      </c>
      <c r="AP17" s="15">
        <v>33</v>
      </c>
      <c r="AQ17" s="7">
        <v>42</v>
      </c>
      <c r="AR17" s="16">
        <v>0</v>
      </c>
      <c r="AS17" s="15">
        <v>42</v>
      </c>
      <c r="AT17" s="7">
        <v>60</v>
      </c>
      <c r="AU17" s="16">
        <v>0</v>
      </c>
      <c r="AV17" s="15">
        <v>36</v>
      </c>
      <c r="AW17" s="7">
        <v>48</v>
      </c>
      <c r="AX17" s="16">
        <v>0</v>
      </c>
      <c r="AY17" s="15">
        <v>27</v>
      </c>
      <c r="AZ17" s="7">
        <v>34</v>
      </c>
      <c r="BA17" s="16">
        <v>0</v>
      </c>
      <c r="BB17" s="5">
        <v>33</v>
      </c>
      <c r="BC17" s="5">
        <v>47</v>
      </c>
      <c r="BD17" s="17">
        <v>0</v>
      </c>
      <c r="BE17" s="4">
        <v>27</v>
      </c>
      <c r="BF17">
        <v>38</v>
      </c>
      <c r="BG17" s="14">
        <v>0</v>
      </c>
      <c r="BH17" s="4">
        <v>22</v>
      </c>
      <c r="BI17">
        <v>41</v>
      </c>
      <c r="BJ17" s="14">
        <v>0</v>
      </c>
      <c r="BK17" s="4">
        <v>42</v>
      </c>
      <c r="BL17">
        <v>26</v>
      </c>
      <c r="BM17">
        <v>0</v>
      </c>
      <c r="BN17" s="31">
        <v>31.5</v>
      </c>
      <c r="BO17">
        <v>42</v>
      </c>
      <c r="BP17" s="14">
        <v>0</v>
      </c>
      <c r="BQ17" s="31">
        <v>24</v>
      </c>
      <c r="BR17">
        <v>27</v>
      </c>
      <c r="BS17" s="14">
        <v>0</v>
      </c>
      <c r="BT17" s="31">
        <v>39</v>
      </c>
      <c r="BU17">
        <v>62</v>
      </c>
      <c r="BV17" s="14">
        <v>0</v>
      </c>
      <c r="BW17" s="31">
        <v>78</v>
      </c>
      <c r="BX17">
        <v>75</v>
      </c>
      <c r="BY17" s="14">
        <v>0</v>
      </c>
      <c r="BZ17" s="31">
        <f>VLOOKUP(B17,'FY 2025 Agency Details'!$B$4:$D$35,3,0)</f>
        <v>9</v>
      </c>
      <c r="CA17">
        <f>VLOOKUP(B17,'FY 2025 Agency Details'!$B$4:$E$35,4,0)</f>
        <v>9</v>
      </c>
      <c r="CB17" s="14">
        <f>VLOOKUP(B17,'FY 2025 Agency Details'!$B$4:$G$35,5,0)</f>
        <v>0</v>
      </c>
      <c r="CC17" s="129"/>
    </row>
    <row r="18" spans="2:81" ht="14.25" x14ac:dyDescent="0.2">
      <c r="B18" s="51" t="s">
        <v>48</v>
      </c>
      <c r="C18" s="15">
        <f>ROUNDUP(1020*0.75,0)</f>
        <v>765</v>
      </c>
      <c r="D18" s="7">
        <v>362</v>
      </c>
      <c r="E18" s="16">
        <v>12</v>
      </c>
      <c r="F18" s="15">
        <f>ROUNDUP(1577*0.75,0)</f>
        <v>1183</v>
      </c>
      <c r="G18" s="7">
        <v>742</v>
      </c>
      <c r="H18" s="16">
        <v>25</v>
      </c>
      <c r="I18" s="15">
        <f>ROUNDUP(1012*0.75,0)</f>
        <v>759</v>
      </c>
      <c r="J18" s="7">
        <v>242</v>
      </c>
      <c r="K18" s="16">
        <v>5</v>
      </c>
      <c r="L18" s="15">
        <f>ROUNDUP(1643*0.75,0)</f>
        <v>1233</v>
      </c>
      <c r="M18" s="7">
        <v>862</v>
      </c>
      <c r="N18" s="16">
        <v>5</v>
      </c>
      <c r="O18" s="15">
        <f>ROUNDUP(753*0.75,0)</f>
        <v>565</v>
      </c>
      <c r="P18" s="7">
        <v>217</v>
      </c>
      <c r="Q18" s="16">
        <v>2</v>
      </c>
      <c r="R18" s="15">
        <f>ROUNDUP(942*0.75,0)</f>
        <v>707</v>
      </c>
      <c r="S18" s="7">
        <v>291</v>
      </c>
      <c r="T18" s="16">
        <v>0</v>
      </c>
      <c r="U18" s="15">
        <f>ROUNDUP(624*0.75,0)</f>
        <v>468</v>
      </c>
      <c r="V18" s="7">
        <v>466</v>
      </c>
      <c r="W18" s="16">
        <v>0</v>
      </c>
      <c r="X18" s="15">
        <f>ROUNDUP(796*0.75,0)</f>
        <v>597</v>
      </c>
      <c r="Y18" s="7">
        <v>846</v>
      </c>
      <c r="Z18" s="16">
        <v>0</v>
      </c>
      <c r="AA18" s="15">
        <f>ROUNDUP(488*0.75,0)</f>
        <v>366</v>
      </c>
      <c r="AB18" s="7">
        <v>743</v>
      </c>
      <c r="AC18" s="16">
        <v>0</v>
      </c>
      <c r="AD18" s="15">
        <f>ROUNDUP(646*0.75,0)</f>
        <v>485</v>
      </c>
      <c r="AE18" s="7">
        <v>623</v>
      </c>
      <c r="AF18" s="16">
        <v>0</v>
      </c>
      <c r="AG18" s="15">
        <f>ROUNDUP(506*0.75,0)</f>
        <v>380</v>
      </c>
      <c r="AH18" s="7">
        <v>645</v>
      </c>
      <c r="AI18" s="16">
        <v>0</v>
      </c>
      <c r="AJ18" s="15">
        <f>ROUNDUP(541*0.75,0)</f>
        <v>406</v>
      </c>
      <c r="AK18" s="7">
        <v>622</v>
      </c>
      <c r="AL18" s="16">
        <v>1</v>
      </c>
      <c r="AM18" s="15">
        <f>ROUNDUP(83*0.75,0)</f>
        <v>63</v>
      </c>
      <c r="AN18" s="7">
        <v>234</v>
      </c>
      <c r="AO18" s="16">
        <v>0</v>
      </c>
      <c r="AP18" s="15">
        <v>150</v>
      </c>
      <c r="AQ18" s="7">
        <v>560</v>
      </c>
      <c r="AR18" s="16">
        <v>0</v>
      </c>
      <c r="AS18" s="15">
        <v>163</v>
      </c>
      <c r="AT18" s="7">
        <v>756</v>
      </c>
      <c r="AU18" s="16">
        <v>0</v>
      </c>
      <c r="AV18" s="15">
        <v>109</v>
      </c>
      <c r="AW18" s="7">
        <v>493</v>
      </c>
      <c r="AX18" s="16">
        <v>0</v>
      </c>
      <c r="AY18" s="15">
        <v>140</v>
      </c>
      <c r="AZ18" s="7">
        <v>584</v>
      </c>
      <c r="BA18" s="16">
        <v>0</v>
      </c>
      <c r="BB18" s="5">
        <v>543</v>
      </c>
      <c r="BC18" s="5">
        <v>578</v>
      </c>
      <c r="BD18" s="17">
        <v>0</v>
      </c>
      <c r="BE18" s="4">
        <v>501</v>
      </c>
      <c r="BF18">
        <v>444</v>
      </c>
      <c r="BG18" s="14">
        <v>0</v>
      </c>
      <c r="BH18" s="4">
        <v>384</v>
      </c>
      <c r="BI18">
        <v>658</v>
      </c>
      <c r="BJ18" s="14">
        <v>0</v>
      </c>
      <c r="BK18" s="4">
        <v>275</v>
      </c>
      <c r="BL18">
        <v>453</v>
      </c>
      <c r="BM18">
        <v>0</v>
      </c>
      <c r="BN18" s="4">
        <v>330</v>
      </c>
      <c r="BO18">
        <v>477</v>
      </c>
      <c r="BP18" s="14">
        <v>0</v>
      </c>
      <c r="BQ18" s="4">
        <v>122</v>
      </c>
      <c r="BR18">
        <v>146</v>
      </c>
      <c r="BS18" s="14">
        <v>0</v>
      </c>
      <c r="BT18" s="4">
        <v>210</v>
      </c>
      <c r="BU18">
        <v>348</v>
      </c>
      <c r="BV18" s="14">
        <v>0</v>
      </c>
      <c r="BW18" s="4">
        <v>489</v>
      </c>
      <c r="BX18">
        <v>578</v>
      </c>
      <c r="BY18" s="14">
        <v>0</v>
      </c>
      <c r="BZ18" s="4">
        <f>VLOOKUP(B18,'FY 2025 Agency Details'!$B$4:$D$35,3,0)</f>
        <v>265</v>
      </c>
      <c r="CA18">
        <f>VLOOKUP(B18,'FY 2025 Agency Details'!$B$4:$E$35,4,0)</f>
        <v>252</v>
      </c>
      <c r="CB18" s="14">
        <f>VLOOKUP(B18,'FY 2025 Agency Details'!$B$4:$G$35,5,0)</f>
        <v>0</v>
      </c>
      <c r="CC18" s="129"/>
    </row>
    <row r="19" spans="2:81" ht="14.25" x14ac:dyDescent="0.2">
      <c r="B19" s="51" t="s">
        <v>47</v>
      </c>
      <c r="C19" s="15">
        <f>ROUNDUP(244*0.75,0)</f>
        <v>183</v>
      </c>
      <c r="D19" s="7">
        <v>28</v>
      </c>
      <c r="E19" s="16">
        <v>0</v>
      </c>
      <c r="F19" s="15">
        <f>ROUNDUP(530*0.75,0)</f>
        <v>398</v>
      </c>
      <c r="G19" s="7">
        <v>46</v>
      </c>
      <c r="H19" s="16">
        <v>36</v>
      </c>
      <c r="I19" s="15">
        <f>ROUNDUP(63*0.75,0)</f>
        <v>48</v>
      </c>
      <c r="J19" s="7">
        <v>5</v>
      </c>
      <c r="K19" s="16">
        <v>0</v>
      </c>
      <c r="L19" s="15">
        <f>ROUNDUP(3*0.75,0)</f>
        <v>3</v>
      </c>
      <c r="M19" s="7">
        <v>249</v>
      </c>
      <c r="N19" s="16">
        <v>1</v>
      </c>
      <c r="O19" s="15">
        <f>ROUNDUP(66*0.75,0)</f>
        <v>50</v>
      </c>
      <c r="P19" s="7">
        <v>124</v>
      </c>
      <c r="Q19" s="16">
        <v>0</v>
      </c>
      <c r="R19" s="15">
        <f>ROUNDUP(130*0.75,0)</f>
        <v>98</v>
      </c>
      <c r="S19" s="7">
        <v>21</v>
      </c>
      <c r="T19" s="16">
        <v>0</v>
      </c>
      <c r="U19" s="15">
        <f>ROUNDUP(59*0.75,0)</f>
        <v>45</v>
      </c>
      <c r="V19" s="7">
        <v>18</v>
      </c>
      <c r="W19" s="16">
        <v>0</v>
      </c>
      <c r="X19" s="15">
        <f>ROUNDUP(89*0.75,0)</f>
        <v>67</v>
      </c>
      <c r="Y19" s="7">
        <v>97</v>
      </c>
      <c r="Z19" s="16">
        <v>0</v>
      </c>
      <c r="AA19" s="15">
        <f>ROUNDUP(162*0.75,0)</f>
        <v>122</v>
      </c>
      <c r="AB19" s="7">
        <v>148</v>
      </c>
      <c r="AC19" s="16">
        <v>0</v>
      </c>
      <c r="AD19" s="15">
        <f>ROUNDUP(97*0.75,0)</f>
        <v>73</v>
      </c>
      <c r="AE19" s="7">
        <v>93</v>
      </c>
      <c r="AF19" s="16">
        <v>0</v>
      </c>
      <c r="AG19" s="15">
        <f>ROUNDUP(73*0.75,0)</f>
        <v>55</v>
      </c>
      <c r="AH19" s="7">
        <v>53</v>
      </c>
      <c r="AI19" s="16">
        <v>0</v>
      </c>
      <c r="AJ19" s="15">
        <f>ROUNDUP(154*0.75,0)</f>
        <v>116</v>
      </c>
      <c r="AK19" s="7">
        <v>115</v>
      </c>
      <c r="AL19" s="16">
        <v>0</v>
      </c>
      <c r="AM19" s="15">
        <f>ROUNDUP(75*0.75,0)</f>
        <v>57</v>
      </c>
      <c r="AN19" s="7">
        <v>63</v>
      </c>
      <c r="AO19" s="16">
        <v>0</v>
      </c>
      <c r="AP19" s="15">
        <v>45</v>
      </c>
      <c r="AQ19" s="7">
        <v>63</v>
      </c>
      <c r="AR19" s="16">
        <v>0</v>
      </c>
      <c r="AS19" s="15">
        <v>45</v>
      </c>
      <c r="AT19" s="7">
        <v>56</v>
      </c>
      <c r="AU19" s="16">
        <v>0</v>
      </c>
      <c r="AV19" s="15">
        <v>15</v>
      </c>
      <c r="AW19" s="7">
        <v>28</v>
      </c>
      <c r="AX19" s="16">
        <v>0</v>
      </c>
      <c r="AY19" s="15">
        <v>57</v>
      </c>
      <c r="AZ19" s="7">
        <v>59</v>
      </c>
      <c r="BA19" s="16">
        <v>0</v>
      </c>
      <c r="BB19" s="5">
        <v>39</v>
      </c>
      <c r="BC19" s="5">
        <v>51</v>
      </c>
      <c r="BD19" s="17">
        <v>0</v>
      </c>
      <c r="BE19" s="4">
        <v>61</v>
      </c>
      <c r="BF19">
        <v>76</v>
      </c>
      <c r="BG19" s="14">
        <v>0</v>
      </c>
      <c r="BH19" s="4">
        <v>11</v>
      </c>
      <c r="BI19">
        <v>24</v>
      </c>
      <c r="BJ19" s="14">
        <v>0</v>
      </c>
      <c r="BK19" s="4">
        <v>7</v>
      </c>
      <c r="BL19">
        <v>20</v>
      </c>
      <c r="BM19">
        <v>0</v>
      </c>
      <c r="BN19" s="4">
        <v>9</v>
      </c>
      <c r="BO19">
        <v>33</v>
      </c>
      <c r="BP19" s="14">
        <v>0</v>
      </c>
      <c r="BQ19" s="4">
        <v>6</v>
      </c>
      <c r="BR19">
        <v>10</v>
      </c>
      <c r="BS19" s="14">
        <v>0</v>
      </c>
      <c r="BT19" s="4">
        <v>15</v>
      </c>
      <c r="BU19">
        <v>23</v>
      </c>
      <c r="BV19" s="14">
        <v>0</v>
      </c>
      <c r="BW19" s="4">
        <v>6</v>
      </c>
      <c r="BX19">
        <v>20</v>
      </c>
      <c r="BY19" s="14">
        <v>0</v>
      </c>
      <c r="BZ19" s="4">
        <f>VLOOKUP(B19,'FY 2025 Agency Details'!$B$4:$D$35,3,0)</f>
        <v>12</v>
      </c>
      <c r="CA19">
        <f>VLOOKUP(B19,'FY 2025 Agency Details'!$B$4:$E$35,4,0)</f>
        <v>54</v>
      </c>
      <c r="CB19" s="14">
        <f>VLOOKUP(B19,'FY 2025 Agency Details'!$B$4:$G$35,5,0)</f>
        <v>0</v>
      </c>
      <c r="CC19" s="129"/>
    </row>
    <row r="20" spans="2:81" ht="14.25" x14ac:dyDescent="0.2">
      <c r="B20" s="51" t="s">
        <v>49</v>
      </c>
      <c r="C20" s="15">
        <f>ROUNDUP(1237*0.75,0)</f>
        <v>928</v>
      </c>
      <c r="D20" s="7">
        <v>256</v>
      </c>
      <c r="E20" s="16">
        <v>10</v>
      </c>
      <c r="F20" s="15">
        <f>ROUNDUP(1284*0.75,0)</f>
        <v>963</v>
      </c>
      <c r="G20" s="7">
        <v>347</v>
      </c>
      <c r="H20" s="16">
        <v>8</v>
      </c>
      <c r="I20" s="15">
        <f>ROUNDUP(988*0.75,0)</f>
        <v>741</v>
      </c>
      <c r="J20" s="7">
        <v>272</v>
      </c>
      <c r="K20" s="16">
        <v>8</v>
      </c>
      <c r="L20" s="15">
        <f>ROUNDUP(1469*0.75,0)</f>
        <v>1102</v>
      </c>
      <c r="M20" s="7">
        <v>237</v>
      </c>
      <c r="N20" s="16">
        <v>0</v>
      </c>
      <c r="O20" s="15">
        <f>ROUNDUP(1093*0.75,0)</f>
        <v>820</v>
      </c>
      <c r="P20" s="7">
        <v>243</v>
      </c>
      <c r="Q20" s="16">
        <v>18</v>
      </c>
      <c r="R20" s="15">
        <f>ROUNDUP(490*0.75,0)</f>
        <v>368</v>
      </c>
      <c r="S20" s="7">
        <v>328</v>
      </c>
      <c r="T20" s="16">
        <v>13</v>
      </c>
      <c r="U20" s="15">
        <f>ROUNDUP(1091*0.75,0)</f>
        <v>819</v>
      </c>
      <c r="V20" s="7">
        <v>1004</v>
      </c>
      <c r="W20" s="16">
        <v>31</v>
      </c>
      <c r="X20" s="15">
        <f>ROUNDUP(1393*0.75,0)</f>
        <v>1045</v>
      </c>
      <c r="Y20" s="7">
        <v>1193</v>
      </c>
      <c r="Z20" s="16">
        <v>29</v>
      </c>
      <c r="AA20" s="15">
        <f>ROUNDUP(1312*0.75,0)</f>
        <v>984</v>
      </c>
      <c r="AB20" s="7">
        <v>1570</v>
      </c>
      <c r="AC20" s="16">
        <v>49</v>
      </c>
      <c r="AD20" s="15">
        <f>ROUNDUP(1267*0.75,0)</f>
        <v>951</v>
      </c>
      <c r="AE20" s="7">
        <v>1443</v>
      </c>
      <c r="AF20" s="16">
        <v>52</v>
      </c>
      <c r="AG20" s="15">
        <f>ROUNDUP(1116*0.75,0)</f>
        <v>837</v>
      </c>
      <c r="AH20" s="7">
        <v>1704</v>
      </c>
      <c r="AI20" s="16">
        <v>46</v>
      </c>
      <c r="AJ20" s="15">
        <f>ROUNDUP(1602*0.75,0)</f>
        <v>1202</v>
      </c>
      <c r="AK20" s="7">
        <v>2080</v>
      </c>
      <c r="AL20" s="16">
        <v>34</v>
      </c>
      <c r="AM20" s="15">
        <f>ROUNDUP(1885*0.75,0)</f>
        <v>1414</v>
      </c>
      <c r="AN20" s="7">
        <v>2500</v>
      </c>
      <c r="AO20" s="16">
        <v>18</v>
      </c>
      <c r="AP20" s="15">
        <v>1419</v>
      </c>
      <c r="AQ20" s="7">
        <v>1657</v>
      </c>
      <c r="AR20" s="16">
        <v>19</v>
      </c>
      <c r="AS20" s="15">
        <v>1830</v>
      </c>
      <c r="AT20" s="7">
        <v>2553</v>
      </c>
      <c r="AU20" s="16">
        <v>25</v>
      </c>
      <c r="AV20" s="15">
        <v>1199</v>
      </c>
      <c r="AW20" s="7">
        <v>1601</v>
      </c>
      <c r="AX20" s="16">
        <v>26</v>
      </c>
      <c r="AY20" s="15">
        <v>1235</v>
      </c>
      <c r="AZ20" s="7">
        <v>2318</v>
      </c>
      <c r="BA20" s="16">
        <v>28</v>
      </c>
      <c r="BB20" s="5">
        <v>1810</v>
      </c>
      <c r="BC20" s="5">
        <v>2196</v>
      </c>
      <c r="BD20" s="17">
        <v>15</v>
      </c>
      <c r="BE20" s="4">
        <v>1994</v>
      </c>
      <c r="BF20">
        <v>1963</v>
      </c>
      <c r="BG20" s="14">
        <v>22</v>
      </c>
      <c r="BH20" s="4">
        <v>1269</v>
      </c>
      <c r="BI20">
        <v>1687</v>
      </c>
      <c r="BJ20" s="14">
        <v>20</v>
      </c>
      <c r="BK20" s="4">
        <v>1332</v>
      </c>
      <c r="BL20">
        <v>1531</v>
      </c>
      <c r="BM20">
        <v>7</v>
      </c>
      <c r="BN20" s="31">
        <v>1110.75</v>
      </c>
      <c r="BO20">
        <v>843</v>
      </c>
      <c r="BP20" s="14">
        <v>4</v>
      </c>
      <c r="BQ20" s="31">
        <v>643</v>
      </c>
      <c r="BR20">
        <v>708</v>
      </c>
      <c r="BS20" s="14">
        <v>8</v>
      </c>
      <c r="BT20" s="31">
        <v>1694</v>
      </c>
      <c r="BU20">
        <v>1417</v>
      </c>
      <c r="BV20" s="14">
        <v>6</v>
      </c>
      <c r="BW20" s="31">
        <v>1621</v>
      </c>
      <c r="BX20">
        <v>1757</v>
      </c>
      <c r="BY20" s="14">
        <v>0</v>
      </c>
      <c r="BZ20" s="31">
        <f>VLOOKUP(B20,'FY 2025 Agency Details'!$B$4:$D$35,3,0)</f>
        <v>27</v>
      </c>
      <c r="CA20">
        <f>VLOOKUP(B20,'FY 2025 Agency Details'!$B$4:$E$35,4,0)</f>
        <v>4</v>
      </c>
      <c r="CB20" s="14">
        <f>VLOOKUP(B20,'FY 2025 Agency Details'!$B$4:$G$35,5,0)</f>
        <v>5</v>
      </c>
      <c r="CC20" s="129"/>
    </row>
    <row r="21" spans="2:81" ht="14.25" x14ac:dyDescent="0.2">
      <c r="B21" s="51" t="s">
        <v>31</v>
      </c>
      <c r="C21" s="18"/>
      <c r="D21" s="19"/>
      <c r="E21" s="20"/>
      <c r="F21" s="18"/>
      <c r="G21" s="19"/>
      <c r="H21" s="20"/>
      <c r="I21" s="18"/>
      <c r="J21" s="19"/>
      <c r="K21" s="20"/>
      <c r="L21" s="18"/>
      <c r="M21" s="19"/>
      <c r="N21" s="20"/>
      <c r="O21" s="18"/>
      <c r="P21" s="19"/>
      <c r="Q21" s="20"/>
      <c r="R21" s="15">
        <f>ROUNDUP(0*0.75,0)</f>
        <v>0</v>
      </c>
      <c r="S21" s="7">
        <v>3</v>
      </c>
      <c r="T21" s="16">
        <v>0</v>
      </c>
      <c r="U21" s="15">
        <f>ROUNDUP(0*0.75,0)</f>
        <v>0</v>
      </c>
      <c r="V21" s="7">
        <v>0</v>
      </c>
      <c r="W21" s="16">
        <v>0</v>
      </c>
      <c r="X21" s="15">
        <f>ROUNDUP(0*0.75,0)</f>
        <v>0</v>
      </c>
      <c r="Y21" s="7">
        <v>11</v>
      </c>
      <c r="Z21" s="16">
        <v>0</v>
      </c>
      <c r="AA21" s="15">
        <f>ROUNDUP(0*0.75,0)</f>
        <v>0</v>
      </c>
      <c r="AB21" s="7">
        <v>14</v>
      </c>
      <c r="AC21" s="16">
        <v>0</v>
      </c>
      <c r="AD21" s="15">
        <f>ROUNDUP(2*0.75,0)</f>
        <v>2</v>
      </c>
      <c r="AE21" s="7">
        <v>2</v>
      </c>
      <c r="AF21" s="16">
        <v>0</v>
      </c>
      <c r="AG21" s="15">
        <f>ROUNDUP(1*0.75,0)</f>
        <v>1</v>
      </c>
      <c r="AH21" s="7">
        <v>1</v>
      </c>
      <c r="AI21" s="16">
        <v>0</v>
      </c>
      <c r="AJ21" s="15">
        <f>ROUNDUP(13*0.75,0)</f>
        <v>10</v>
      </c>
      <c r="AK21" s="7">
        <v>13</v>
      </c>
      <c r="AL21" s="16">
        <v>0</v>
      </c>
      <c r="AM21" s="15">
        <f>ROUNDUP(12*0.75,0)</f>
        <v>9</v>
      </c>
      <c r="AN21" s="7">
        <v>10</v>
      </c>
      <c r="AO21" s="16">
        <v>0</v>
      </c>
      <c r="AP21" s="15">
        <v>38</v>
      </c>
      <c r="AQ21" s="7">
        <v>43</v>
      </c>
      <c r="AR21" s="16">
        <v>0</v>
      </c>
      <c r="AS21" s="15">
        <v>11</v>
      </c>
      <c r="AT21" s="7">
        <v>11</v>
      </c>
      <c r="AU21" s="16">
        <v>0</v>
      </c>
      <c r="AV21" s="15">
        <v>0</v>
      </c>
      <c r="AW21" s="7">
        <v>0</v>
      </c>
      <c r="AX21" s="16">
        <v>0</v>
      </c>
      <c r="AY21" s="15">
        <v>0</v>
      </c>
      <c r="AZ21" s="7">
        <v>0</v>
      </c>
      <c r="BA21" s="16">
        <v>0</v>
      </c>
      <c r="BB21" s="5">
        <v>0</v>
      </c>
      <c r="BC21" s="5">
        <v>0</v>
      </c>
      <c r="BD21" s="17">
        <v>0</v>
      </c>
      <c r="BE21" s="4">
        <v>4</v>
      </c>
      <c r="BF21">
        <v>5</v>
      </c>
      <c r="BG21" s="14">
        <v>0</v>
      </c>
      <c r="BH21" s="4">
        <v>2</v>
      </c>
      <c r="BI21">
        <v>2</v>
      </c>
      <c r="BJ21" s="14">
        <v>0</v>
      </c>
      <c r="BK21" s="4">
        <v>33</v>
      </c>
      <c r="BL21">
        <v>36</v>
      </c>
      <c r="BM21">
        <v>0</v>
      </c>
      <c r="BN21" s="31">
        <v>4.5</v>
      </c>
      <c r="BO21">
        <v>2</v>
      </c>
      <c r="BP21" s="14">
        <v>0</v>
      </c>
      <c r="BQ21" s="31">
        <v>0</v>
      </c>
      <c r="BR21">
        <v>0</v>
      </c>
      <c r="BS21" s="14">
        <v>0</v>
      </c>
      <c r="BT21" s="31">
        <v>3</v>
      </c>
      <c r="BU21">
        <v>4</v>
      </c>
      <c r="BV21" s="14">
        <v>0</v>
      </c>
      <c r="BW21" s="31">
        <v>4</v>
      </c>
      <c r="BX21">
        <v>5</v>
      </c>
      <c r="BY21" s="14">
        <v>0</v>
      </c>
      <c r="BZ21" s="31">
        <f>VLOOKUP(B21,'FY 2025 Agency Details'!$B$4:$D$35,3,0)</f>
        <v>0</v>
      </c>
      <c r="CA21">
        <f>VLOOKUP(B21,'FY 2025 Agency Details'!$B$4:$E$35,4,0)</f>
        <v>0</v>
      </c>
      <c r="CB21" s="14">
        <f>VLOOKUP(B21,'FY 2025 Agency Details'!$B$4:$G$35,5,0)</f>
        <v>0</v>
      </c>
      <c r="CC21" s="129"/>
    </row>
    <row r="22" spans="2:81" ht="14.25" x14ac:dyDescent="0.2">
      <c r="B22" s="51" t="s">
        <v>16</v>
      </c>
      <c r="C22" s="15">
        <f>ROUNDUP(139*0.75,0)</f>
        <v>105</v>
      </c>
      <c r="D22" s="7">
        <v>112</v>
      </c>
      <c r="E22" s="16">
        <v>9</v>
      </c>
      <c r="F22" s="15">
        <f>ROUNDUP(107*0.75,0)</f>
        <v>81</v>
      </c>
      <c r="G22" s="7">
        <v>88</v>
      </c>
      <c r="H22" s="16">
        <v>5</v>
      </c>
      <c r="I22" s="15">
        <f>ROUNDUP(76*0.75,0)</f>
        <v>57</v>
      </c>
      <c r="J22" s="7">
        <v>60</v>
      </c>
      <c r="K22" s="16">
        <v>16</v>
      </c>
      <c r="L22" s="15">
        <f>ROUNDUP(142*0.75,0)</f>
        <v>107</v>
      </c>
      <c r="M22" s="7">
        <v>114</v>
      </c>
      <c r="N22" s="16">
        <v>0</v>
      </c>
      <c r="O22" s="15">
        <f>ROUNDUP(118*0.75,0)</f>
        <v>89</v>
      </c>
      <c r="P22" s="7">
        <v>97</v>
      </c>
      <c r="Q22" s="16">
        <v>1</v>
      </c>
      <c r="R22" s="15">
        <f>ROUNDUP(114*0.75,0)</f>
        <v>86</v>
      </c>
      <c r="S22" s="7">
        <v>96</v>
      </c>
      <c r="T22" s="16">
        <v>0</v>
      </c>
      <c r="U22" s="15">
        <f>ROUNDUP(111*0.75,0)</f>
        <v>84</v>
      </c>
      <c r="V22" s="7">
        <v>92</v>
      </c>
      <c r="W22" s="16">
        <v>1</v>
      </c>
      <c r="X22" s="15">
        <f>ROUNDUP(118*0.75,0)</f>
        <v>89</v>
      </c>
      <c r="Y22" s="7">
        <v>124</v>
      </c>
      <c r="Z22" s="16">
        <v>4</v>
      </c>
      <c r="AA22" s="15">
        <f>ROUNDUP(117*0.75,0)</f>
        <v>88</v>
      </c>
      <c r="AB22" s="7">
        <v>128</v>
      </c>
      <c r="AC22" s="16">
        <v>6</v>
      </c>
      <c r="AD22" s="15">
        <f>ROUNDUP(121*0.75,0)</f>
        <v>91</v>
      </c>
      <c r="AE22" s="7">
        <v>125</v>
      </c>
      <c r="AF22" s="16">
        <v>5</v>
      </c>
      <c r="AG22" s="15">
        <f>ROUNDUP(128*0.75,0)</f>
        <v>96</v>
      </c>
      <c r="AH22" s="7">
        <v>132</v>
      </c>
      <c r="AI22" s="16">
        <v>4</v>
      </c>
      <c r="AJ22" s="15">
        <f>ROUNDUP(130*0.75,0)</f>
        <v>98</v>
      </c>
      <c r="AK22" s="7">
        <v>153</v>
      </c>
      <c r="AL22" s="16">
        <v>4</v>
      </c>
      <c r="AM22" s="15">
        <f>ROUNDUP(114*0.75,0)</f>
        <v>86</v>
      </c>
      <c r="AN22" s="7">
        <v>121</v>
      </c>
      <c r="AO22" s="16">
        <v>3</v>
      </c>
      <c r="AP22" s="15">
        <v>53</v>
      </c>
      <c r="AQ22" s="7">
        <v>75</v>
      </c>
      <c r="AR22" s="16">
        <v>2</v>
      </c>
      <c r="AS22" s="15">
        <v>90</v>
      </c>
      <c r="AT22" s="7">
        <v>111</v>
      </c>
      <c r="AU22" s="16">
        <v>1</v>
      </c>
      <c r="AV22" s="15">
        <v>92</v>
      </c>
      <c r="AW22" s="7">
        <v>112</v>
      </c>
      <c r="AX22" s="16">
        <v>1</v>
      </c>
      <c r="AY22" s="15">
        <v>69</v>
      </c>
      <c r="AZ22" s="7">
        <v>70</v>
      </c>
      <c r="BA22" s="16">
        <v>0</v>
      </c>
      <c r="BB22" s="5">
        <v>51</v>
      </c>
      <c r="BC22" s="5">
        <v>53</v>
      </c>
      <c r="BD22" s="17">
        <v>0</v>
      </c>
      <c r="BE22" s="4">
        <v>64</v>
      </c>
      <c r="BF22">
        <v>72</v>
      </c>
      <c r="BG22" s="14">
        <v>0</v>
      </c>
      <c r="BH22" s="4">
        <v>42</v>
      </c>
      <c r="BI22">
        <v>70</v>
      </c>
      <c r="BJ22" s="14">
        <v>0</v>
      </c>
      <c r="BK22" s="4">
        <v>30</v>
      </c>
      <c r="BL22">
        <v>39</v>
      </c>
      <c r="BM22">
        <v>0</v>
      </c>
      <c r="BN22" s="31">
        <v>33.75</v>
      </c>
      <c r="BO22">
        <v>57</v>
      </c>
      <c r="BP22" s="14">
        <v>0</v>
      </c>
      <c r="BQ22" s="31">
        <v>10</v>
      </c>
      <c r="BR22">
        <v>15</v>
      </c>
      <c r="BS22" s="14">
        <v>0</v>
      </c>
      <c r="BT22" s="31">
        <v>35</v>
      </c>
      <c r="BU22">
        <v>43</v>
      </c>
      <c r="BV22" s="14">
        <v>0</v>
      </c>
      <c r="BW22" s="31">
        <v>39</v>
      </c>
      <c r="BX22">
        <v>51</v>
      </c>
      <c r="BY22" s="14">
        <v>0</v>
      </c>
      <c r="BZ22" s="31">
        <f>VLOOKUP(B22,'FY 2025 Agency Details'!$B$4:$D$35,3,0)</f>
        <v>19</v>
      </c>
      <c r="CA22">
        <f>VLOOKUP(B22,'FY 2025 Agency Details'!$B$4:$E$35,4,0)</f>
        <v>15</v>
      </c>
      <c r="CB22" s="14">
        <f>VLOOKUP(B22,'FY 2025 Agency Details'!$B$4:$G$35,5,0)</f>
        <v>0</v>
      </c>
      <c r="CC22" s="129"/>
    </row>
    <row r="23" spans="2:81" ht="14.25" x14ac:dyDescent="0.2">
      <c r="B23" s="51" t="s">
        <v>17</v>
      </c>
      <c r="C23" s="15">
        <f>ROUNDUP(183*0.75,0)</f>
        <v>138</v>
      </c>
      <c r="D23" s="7">
        <v>179</v>
      </c>
      <c r="E23" s="16">
        <v>2</v>
      </c>
      <c r="F23" s="15">
        <f>ROUNDUP(236*0.75,0)</f>
        <v>177</v>
      </c>
      <c r="G23" s="7">
        <v>198</v>
      </c>
      <c r="H23" s="16">
        <v>0</v>
      </c>
      <c r="I23" s="15">
        <f>ROUNDUP(176*0.75,0)</f>
        <v>132</v>
      </c>
      <c r="J23" s="7">
        <v>151</v>
      </c>
      <c r="K23" s="16">
        <v>0</v>
      </c>
      <c r="L23" s="15">
        <f>ROUNDUP(198*0.75,0)</f>
        <v>149</v>
      </c>
      <c r="M23" s="7">
        <v>285</v>
      </c>
      <c r="N23" s="16">
        <v>2</v>
      </c>
      <c r="O23" s="15">
        <f>ROUNDUP(1235*0.75,0)</f>
        <v>927</v>
      </c>
      <c r="P23" s="7">
        <v>974</v>
      </c>
      <c r="Q23" s="16">
        <v>16</v>
      </c>
      <c r="R23" s="15">
        <f>ROUNDUP(237*0.75,0)</f>
        <v>178</v>
      </c>
      <c r="S23" s="7">
        <v>201</v>
      </c>
      <c r="T23" s="16">
        <v>0</v>
      </c>
      <c r="U23" s="15">
        <f>ROUNDUP(89*0.75,0)</f>
        <v>67</v>
      </c>
      <c r="V23" s="7">
        <v>68</v>
      </c>
      <c r="W23" s="16">
        <v>0</v>
      </c>
      <c r="X23" s="15">
        <f>ROUNDUP(206*0.75,0)</f>
        <v>155</v>
      </c>
      <c r="Y23" s="7">
        <v>158</v>
      </c>
      <c r="Z23" s="16">
        <v>0</v>
      </c>
      <c r="AA23" s="15">
        <f>ROUNDUP(202*0.75,0)</f>
        <v>152</v>
      </c>
      <c r="AB23" s="7">
        <v>184</v>
      </c>
      <c r="AC23" s="16">
        <v>0</v>
      </c>
      <c r="AD23" s="15">
        <f>ROUNDUP(26*0.75,0)</f>
        <v>20</v>
      </c>
      <c r="AE23" s="7">
        <v>183</v>
      </c>
      <c r="AF23" s="16">
        <v>0</v>
      </c>
      <c r="AG23" s="15">
        <f>ROUNDUP(24*0.75,0)</f>
        <v>18</v>
      </c>
      <c r="AH23" s="7">
        <v>168</v>
      </c>
      <c r="AI23" s="16">
        <v>0</v>
      </c>
      <c r="AJ23" s="15">
        <f>ROUNDUP(47*0.75,0)</f>
        <v>36</v>
      </c>
      <c r="AK23" s="7">
        <v>285</v>
      </c>
      <c r="AL23" s="16">
        <v>0</v>
      </c>
      <c r="AM23" s="15">
        <f>ROUNDUP(21*0.75,0)</f>
        <v>16</v>
      </c>
      <c r="AN23" s="7">
        <v>103</v>
      </c>
      <c r="AO23" s="16">
        <v>2</v>
      </c>
      <c r="AP23" s="15">
        <v>72</v>
      </c>
      <c r="AQ23" s="7">
        <v>88</v>
      </c>
      <c r="AR23" s="16">
        <v>0</v>
      </c>
      <c r="AS23" s="15">
        <v>82</v>
      </c>
      <c r="AT23" s="7">
        <v>111</v>
      </c>
      <c r="AU23" s="16">
        <v>0</v>
      </c>
      <c r="AV23" s="15">
        <v>14</v>
      </c>
      <c r="AW23" s="7">
        <v>81</v>
      </c>
      <c r="AX23" s="16">
        <v>0</v>
      </c>
      <c r="AY23" s="15">
        <v>15</v>
      </c>
      <c r="AZ23" s="7">
        <v>84</v>
      </c>
      <c r="BA23" s="16">
        <v>0</v>
      </c>
      <c r="BB23" s="5">
        <v>153</v>
      </c>
      <c r="BC23" s="5">
        <v>140</v>
      </c>
      <c r="BD23" s="17">
        <v>0</v>
      </c>
      <c r="BE23" s="4">
        <v>351</v>
      </c>
      <c r="BF23">
        <v>358</v>
      </c>
      <c r="BG23" s="14">
        <v>0</v>
      </c>
      <c r="BH23" s="4">
        <v>137</v>
      </c>
      <c r="BI23">
        <v>339</v>
      </c>
      <c r="BJ23" s="14">
        <v>0</v>
      </c>
      <c r="BK23" s="4">
        <v>78</v>
      </c>
      <c r="BL23">
        <v>190</v>
      </c>
      <c r="BM23">
        <v>0</v>
      </c>
      <c r="BN23" s="31">
        <v>30.75</v>
      </c>
      <c r="BO23">
        <v>69</v>
      </c>
      <c r="BP23" s="14">
        <v>0</v>
      </c>
      <c r="BQ23" s="31">
        <v>45</v>
      </c>
      <c r="BR23">
        <v>142</v>
      </c>
      <c r="BS23" s="14">
        <v>0</v>
      </c>
      <c r="BT23" s="31">
        <v>70</v>
      </c>
      <c r="BU23">
        <v>242</v>
      </c>
      <c r="BV23" s="14">
        <v>0</v>
      </c>
      <c r="BW23" s="31">
        <v>76</v>
      </c>
      <c r="BX23">
        <v>308</v>
      </c>
      <c r="BY23" s="14">
        <v>0</v>
      </c>
      <c r="BZ23" s="31">
        <f>VLOOKUP(B23,'FY 2025 Agency Details'!$B$4:$D$35,3,0)</f>
        <v>17</v>
      </c>
      <c r="CA23">
        <f>VLOOKUP(B23,'FY 2025 Agency Details'!$B$4:$E$35,4,0)</f>
        <v>151</v>
      </c>
      <c r="CB23" s="14">
        <f>VLOOKUP(B23,'FY 2025 Agency Details'!$B$4:$G$35,5,0)</f>
        <v>0</v>
      </c>
      <c r="CC23" s="129"/>
    </row>
    <row r="24" spans="2:81" ht="14.25" x14ac:dyDescent="0.2">
      <c r="B24" s="51" t="s">
        <v>18</v>
      </c>
      <c r="C24" s="15">
        <f>ROUNDUP(41*0.75,0)</f>
        <v>31</v>
      </c>
      <c r="D24" s="7">
        <v>22</v>
      </c>
      <c r="E24" s="16">
        <v>3</v>
      </c>
      <c r="F24" s="15">
        <f>ROUNDUP(137*0.75,0)</f>
        <v>103</v>
      </c>
      <c r="G24" s="7">
        <v>104</v>
      </c>
      <c r="H24" s="16">
        <v>2</v>
      </c>
      <c r="I24" s="15">
        <f>ROUNDUP(307*0.75,0)</f>
        <v>231</v>
      </c>
      <c r="J24" s="7">
        <v>143</v>
      </c>
      <c r="K24" s="16">
        <v>6</v>
      </c>
      <c r="L24" s="15">
        <f>ROUNDUP(307*0.75,0)</f>
        <v>231</v>
      </c>
      <c r="M24" s="7">
        <v>204</v>
      </c>
      <c r="N24" s="16">
        <v>82</v>
      </c>
      <c r="O24" s="15">
        <f>ROUNDUP(167*0.75,0)</f>
        <v>126</v>
      </c>
      <c r="P24" s="7">
        <v>269</v>
      </c>
      <c r="Q24" s="16">
        <v>61</v>
      </c>
      <c r="R24" s="15">
        <f>ROUNDUP(324*0.75,0)</f>
        <v>243</v>
      </c>
      <c r="S24" s="7">
        <v>362</v>
      </c>
      <c r="T24" s="16">
        <v>67</v>
      </c>
      <c r="U24" s="15">
        <f>ROUNDUP(209*0.75,0)</f>
        <v>157</v>
      </c>
      <c r="V24" s="7">
        <v>323</v>
      </c>
      <c r="W24" s="16">
        <v>58</v>
      </c>
      <c r="X24" s="15">
        <f>ROUNDUP(234*0.75,0)</f>
        <v>176</v>
      </c>
      <c r="Y24" s="7">
        <v>316</v>
      </c>
      <c r="Z24" s="16">
        <v>74</v>
      </c>
      <c r="AA24" s="15">
        <f>ROUNDUP(143*0.75,0)</f>
        <v>108</v>
      </c>
      <c r="AB24" s="7">
        <v>261</v>
      </c>
      <c r="AC24" s="16">
        <v>42</v>
      </c>
      <c r="AD24" s="15">
        <f>ROUNDUP(398*0.75,0)</f>
        <v>299</v>
      </c>
      <c r="AE24" s="7">
        <v>498</v>
      </c>
      <c r="AF24" s="16">
        <v>43</v>
      </c>
      <c r="AG24" s="15">
        <f>ROUNDUP(125*0.75,0)</f>
        <v>94</v>
      </c>
      <c r="AH24" s="7">
        <v>168</v>
      </c>
      <c r="AI24" s="16">
        <v>42</v>
      </c>
      <c r="AJ24" s="15">
        <f>ROUNDUP(179*0.75,0)</f>
        <v>135</v>
      </c>
      <c r="AK24" s="7">
        <v>282</v>
      </c>
      <c r="AL24" s="16">
        <v>75</v>
      </c>
      <c r="AM24" s="15">
        <f>ROUNDUP(57*0.75,0)</f>
        <v>43</v>
      </c>
      <c r="AN24" s="7">
        <v>184</v>
      </c>
      <c r="AO24" s="16">
        <v>22</v>
      </c>
      <c r="AP24" s="15">
        <v>162</v>
      </c>
      <c r="AQ24" s="7">
        <v>382</v>
      </c>
      <c r="AR24" s="16">
        <v>25</v>
      </c>
      <c r="AS24" s="15">
        <v>102</v>
      </c>
      <c r="AT24" s="7">
        <v>269</v>
      </c>
      <c r="AU24" s="16">
        <v>33</v>
      </c>
      <c r="AV24" s="15">
        <v>109</v>
      </c>
      <c r="AW24" s="7">
        <v>178</v>
      </c>
      <c r="AX24" s="16">
        <v>10</v>
      </c>
      <c r="AY24" s="15">
        <v>143</v>
      </c>
      <c r="AZ24" s="7">
        <v>302</v>
      </c>
      <c r="BA24" s="16">
        <v>12</v>
      </c>
      <c r="BB24" s="5">
        <v>123</v>
      </c>
      <c r="BC24" s="5">
        <v>150</v>
      </c>
      <c r="BD24" s="17">
        <v>5</v>
      </c>
      <c r="BE24" s="4">
        <v>198</v>
      </c>
      <c r="BF24">
        <v>258</v>
      </c>
      <c r="BG24" s="14">
        <v>7</v>
      </c>
      <c r="BH24" s="4">
        <v>125</v>
      </c>
      <c r="BI24">
        <v>184</v>
      </c>
      <c r="BJ24" s="14">
        <v>4</v>
      </c>
      <c r="BK24" s="4">
        <v>86</v>
      </c>
      <c r="BL24">
        <v>161</v>
      </c>
      <c r="BM24">
        <v>2</v>
      </c>
      <c r="BN24" s="31">
        <v>62.25</v>
      </c>
      <c r="BO24">
        <v>125</v>
      </c>
      <c r="BP24" s="14">
        <v>2</v>
      </c>
      <c r="BQ24" s="31">
        <v>27</v>
      </c>
      <c r="BR24">
        <v>69</v>
      </c>
      <c r="BS24" s="14">
        <v>3</v>
      </c>
      <c r="BT24" s="31">
        <v>69</v>
      </c>
      <c r="BU24">
        <v>104</v>
      </c>
      <c r="BV24" s="14">
        <v>3</v>
      </c>
      <c r="BW24" s="31">
        <v>42</v>
      </c>
      <c r="BX24">
        <v>34</v>
      </c>
      <c r="BY24" s="14">
        <v>2</v>
      </c>
      <c r="BZ24" s="31">
        <f>VLOOKUP(B24,'FY 2025 Agency Details'!$B$4:$D$35,3,0)</f>
        <v>39</v>
      </c>
      <c r="CA24">
        <f>VLOOKUP(B24,'FY 2025 Agency Details'!$B$4:$E$35,4,0)</f>
        <v>46</v>
      </c>
      <c r="CB24" s="14">
        <f>VLOOKUP(B24,'FY 2025 Agency Details'!$B$4:$G$35,5,0)</f>
        <v>2</v>
      </c>
      <c r="CC24" s="129"/>
    </row>
    <row r="25" spans="2:81" ht="14.25" x14ac:dyDescent="0.2">
      <c r="B25" s="51" t="s">
        <v>22</v>
      </c>
      <c r="C25" s="18"/>
      <c r="D25" s="19"/>
      <c r="E25" s="20"/>
      <c r="F25" s="18"/>
      <c r="G25" s="19"/>
      <c r="H25" s="20"/>
      <c r="I25" s="18"/>
      <c r="J25" s="19"/>
      <c r="K25" s="20"/>
      <c r="L25" s="18"/>
      <c r="M25" s="19"/>
      <c r="N25" s="20"/>
      <c r="O25" s="18"/>
      <c r="P25" s="19"/>
      <c r="Q25" s="20"/>
      <c r="R25" s="15">
        <f>ROUNDUP(24*0.75,0)</f>
        <v>18</v>
      </c>
      <c r="S25" s="7">
        <v>0</v>
      </c>
      <c r="T25" s="16">
        <v>0</v>
      </c>
      <c r="U25" s="15">
        <f>ROUNDUP(21*0.75,0)</f>
        <v>16</v>
      </c>
      <c r="V25" s="7">
        <v>0</v>
      </c>
      <c r="W25" s="16">
        <v>0</v>
      </c>
      <c r="X25" s="15">
        <f>ROUNDUP(22*0.75,0)</f>
        <v>17</v>
      </c>
      <c r="Y25" s="7">
        <v>0</v>
      </c>
      <c r="Z25" s="16">
        <v>0</v>
      </c>
      <c r="AA25" s="15">
        <f>ROUNDUP(14*0.75,0)</f>
        <v>11</v>
      </c>
      <c r="AB25" s="7">
        <v>0</v>
      </c>
      <c r="AC25" s="16">
        <v>0</v>
      </c>
      <c r="AD25" s="15">
        <f>ROUNDUP(9*0.75,0)</f>
        <v>7</v>
      </c>
      <c r="AE25" s="7">
        <v>7</v>
      </c>
      <c r="AF25" s="16">
        <v>0</v>
      </c>
      <c r="AG25" s="15">
        <f>ROUNDUP(6*0.75,0)</f>
        <v>5</v>
      </c>
      <c r="AH25" s="7">
        <v>9</v>
      </c>
      <c r="AI25" s="16">
        <v>0</v>
      </c>
      <c r="AJ25" s="15">
        <f>ROUNDUP(9*0.75,0)</f>
        <v>7</v>
      </c>
      <c r="AK25" s="7">
        <v>12</v>
      </c>
      <c r="AL25" s="16">
        <v>0</v>
      </c>
      <c r="AM25" s="15">
        <f>ROUNDUP(23*0.75,0)</f>
        <v>18</v>
      </c>
      <c r="AN25" s="7">
        <v>14</v>
      </c>
      <c r="AO25" s="16">
        <v>0</v>
      </c>
      <c r="AP25" s="15">
        <v>9</v>
      </c>
      <c r="AQ25" s="7">
        <v>13</v>
      </c>
      <c r="AR25" s="16">
        <v>0</v>
      </c>
      <c r="AS25" s="15">
        <v>8</v>
      </c>
      <c r="AT25" s="7">
        <v>9</v>
      </c>
      <c r="AU25" s="16">
        <v>0</v>
      </c>
      <c r="AV25" s="15">
        <v>12</v>
      </c>
      <c r="AW25" s="7">
        <v>16</v>
      </c>
      <c r="AX25" s="16">
        <v>0</v>
      </c>
      <c r="AY25" s="15">
        <v>5</v>
      </c>
      <c r="AZ25" s="7">
        <v>4</v>
      </c>
      <c r="BA25" s="16">
        <v>0</v>
      </c>
      <c r="BB25" s="5">
        <v>3</v>
      </c>
      <c r="BC25" s="5">
        <v>3</v>
      </c>
      <c r="BD25" s="17">
        <v>0</v>
      </c>
      <c r="BE25" s="4">
        <v>17</v>
      </c>
      <c r="BF25">
        <v>13</v>
      </c>
      <c r="BG25" s="14">
        <v>0</v>
      </c>
      <c r="BH25" s="4">
        <v>3</v>
      </c>
      <c r="BI25">
        <v>5</v>
      </c>
      <c r="BJ25" s="14">
        <v>0</v>
      </c>
      <c r="BK25" s="4">
        <v>4</v>
      </c>
      <c r="BL25">
        <v>3</v>
      </c>
      <c r="BM25">
        <v>0</v>
      </c>
      <c r="BN25" s="4">
        <v>6</v>
      </c>
      <c r="BO25">
        <v>5</v>
      </c>
      <c r="BP25" s="14">
        <v>0</v>
      </c>
      <c r="BQ25" s="4">
        <v>4</v>
      </c>
      <c r="BR25">
        <v>8</v>
      </c>
      <c r="BS25" s="14">
        <v>0</v>
      </c>
      <c r="BT25" s="4">
        <v>2</v>
      </c>
      <c r="BU25">
        <v>2</v>
      </c>
      <c r="BV25" s="14">
        <v>0</v>
      </c>
      <c r="BW25" s="4">
        <v>5</v>
      </c>
      <c r="BX25">
        <v>6</v>
      </c>
      <c r="BY25" s="14">
        <v>0</v>
      </c>
      <c r="BZ25" s="31">
        <f>VLOOKUP(B25,'FY 2025 Agency Details'!$B$4:$D$35,3,0)</f>
        <v>0</v>
      </c>
      <c r="CA25">
        <f>VLOOKUP(B25,'FY 2025 Agency Details'!$B$4:$E$35,4,0)</f>
        <v>0</v>
      </c>
      <c r="CB25" s="14">
        <f>VLOOKUP(B25,'FY 2025 Agency Details'!$B$4:$G$35,5,0)</f>
        <v>0</v>
      </c>
      <c r="CC25" s="129"/>
    </row>
    <row r="26" spans="2:81" ht="14.25" x14ac:dyDescent="0.2">
      <c r="B26" s="51" t="s">
        <v>23</v>
      </c>
      <c r="C26" s="18"/>
      <c r="D26" s="19"/>
      <c r="E26" s="20"/>
      <c r="F26" s="18"/>
      <c r="G26" s="19"/>
      <c r="H26" s="20"/>
      <c r="I26" s="18"/>
      <c r="J26" s="19"/>
      <c r="K26" s="20"/>
      <c r="L26" s="18"/>
      <c r="M26" s="19"/>
      <c r="N26" s="20"/>
      <c r="O26" s="18"/>
      <c r="P26" s="19"/>
      <c r="Q26" s="20"/>
      <c r="R26" s="18"/>
      <c r="S26" s="19"/>
      <c r="T26" s="20"/>
      <c r="U26" s="15">
        <f>ROUNDUP(0*0.75,0)</f>
        <v>0</v>
      </c>
      <c r="V26" s="7">
        <v>0</v>
      </c>
      <c r="W26" s="16">
        <v>0</v>
      </c>
      <c r="X26" s="15">
        <f>ROUNDUP(0*0.75,0)</f>
        <v>0</v>
      </c>
      <c r="Y26" s="7">
        <v>0</v>
      </c>
      <c r="Z26" s="16">
        <v>0</v>
      </c>
      <c r="AA26" s="15">
        <f>ROUNDUP(0*0.75,0)</f>
        <v>0</v>
      </c>
      <c r="AB26" s="7">
        <v>0</v>
      </c>
      <c r="AC26" s="16">
        <v>0</v>
      </c>
      <c r="AD26" s="15">
        <f>ROUNDUP(0*0.75,0)</f>
        <v>0</v>
      </c>
      <c r="AE26" s="7">
        <v>5</v>
      </c>
      <c r="AF26" s="16">
        <v>0</v>
      </c>
      <c r="AG26" s="15">
        <f>ROUNDUP(0*0.75,0)</f>
        <v>0</v>
      </c>
      <c r="AH26" s="7">
        <v>2</v>
      </c>
      <c r="AI26" s="16">
        <v>0</v>
      </c>
      <c r="AJ26" s="15">
        <f>ROUNDUP(0*0.75,0)</f>
        <v>0</v>
      </c>
      <c r="AK26" s="7">
        <v>0</v>
      </c>
      <c r="AL26" s="16">
        <v>0</v>
      </c>
      <c r="AM26" s="15">
        <f>ROUNDUP(0*0.75,0)</f>
        <v>0</v>
      </c>
      <c r="AN26" s="7">
        <v>0</v>
      </c>
      <c r="AO26" s="16">
        <v>0</v>
      </c>
      <c r="AP26" s="15">
        <v>0</v>
      </c>
      <c r="AQ26" s="7">
        <v>0</v>
      </c>
      <c r="AR26" s="16">
        <v>0</v>
      </c>
      <c r="AS26" s="15">
        <v>0</v>
      </c>
      <c r="AT26" s="7">
        <v>4</v>
      </c>
      <c r="AU26" s="16">
        <v>0</v>
      </c>
      <c r="AV26" s="15">
        <v>0</v>
      </c>
      <c r="AW26" s="7">
        <v>2</v>
      </c>
      <c r="AX26" s="16">
        <v>0</v>
      </c>
      <c r="AY26" s="15">
        <v>0</v>
      </c>
      <c r="AZ26" s="7">
        <v>3</v>
      </c>
      <c r="BA26" s="16">
        <v>0</v>
      </c>
      <c r="BB26" s="5">
        <v>2</v>
      </c>
      <c r="BC26" s="5">
        <v>2</v>
      </c>
      <c r="BD26" s="17">
        <v>0</v>
      </c>
      <c r="BE26" s="4">
        <v>0</v>
      </c>
      <c r="BF26">
        <v>0</v>
      </c>
      <c r="BG26" s="14">
        <v>0</v>
      </c>
      <c r="BH26" s="4">
        <v>0</v>
      </c>
      <c r="BI26">
        <v>1</v>
      </c>
      <c r="BJ26" s="14">
        <v>0</v>
      </c>
      <c r="BK26" s="26"/>
      <c r="BL26" s="27"/>
      <c r="BM26" s="27"/>
      <c r="BN26" s="26"/>
      <c r="BO26" s="27"/>
      <c r="BP26" s="28"/>
      <c r="BQ26" s="26"/>
      <c r="BR26" s="27"/>
      <c r="BS26" s="28"/>
      <c r="BT26" s="26"/>
      <c r="BU26" s="27"/>
      <c r="BV26" s="28"/>
      <c r="BW26" s="26"/>
      <c r="BX26" s="27"/>
      <c r="BY26" s="28"/>
      <c r="BZ26" s="26"/>
      <c r="CA26" s="27"/>
      <c r="CB26" s="28"/>
      <c r="CC26" s="129"/>
    </row>
    <row r="27" spans="2:81" ht="14.25" x14ac:dyDescent="0.2">
      <c r="B27" s="51" t="s">
        <v>50</v>
      </c>
      <c r="C27" s="18"/>
      <c r="D27" s="19"/>
      <c r="E27" s="20"/>
      <c r="F27" s="18"/>
      <c r="G27" s="19"/>
      <c r="H27" s="20"/>
      <c r="I27" s="18"/>
      <c r="J27" s="19"/>
      <c r="K27" s="20"/>
      <c r="L27" s="18"/>
      <c r="M27" s="19"/>
      <c r="N27" s="20"/>
      <c r="O27" s="18"/>
      <c r="P27" s="19"/>
      <c r="Q27" s="20"/>
      <c r="R27" s="15">
        <f>ROUNDUP(75*0.75,0)</f>
        <v>57</v>
      </c>
      <c r="S27" s="7">
        <v>53</v>
      </c>
      <c r="T27" s="16">
        <v>0</v>
      </c>
      <c r="U27" s="15">
        <f>ROUNDUP(421*0.75,0)</f>
        <v>316</v>
      </c>
      <c r="V27" s="7">
        <v>39</v>
      </c>
      <c r="W27" s="16">
        <v>0</v>
      </c>
      <c r="X27" s="15">
        <f>ROUNDUP(47*0.75,0)</f>
        <v>36</v>
      </c>
      <c r="Y27" s="7">
        <v>212</v>
      </c>
      <c r="Z27" s="16">
        <v>0</v>
      </c>
      <c r="AA27" s="15">
        <f>ROUNDUP(47*0.75,0)</f>
        <v>36</v>
      </c>
      <c r="AB27" s="7">
        <v>181</v>
      </c>
      <c r="AC27" s="16">
        <v>0</v>
      </c>
      <c r="AD27" s="15">
        <f>ROUNDUP(78*0.75,0)</f>
        <v>59</v>
      </c>
      <c r="AE27" s="7">
        <v>249</v>
      </c>
      <c r="AF27" s="16">
        <v>0</v>
      </c>
      <c r="AG27" s="15">
        <f>ROUNDUP(69*0.75,0)</f>
        <v>52</v>
      </c>
      <c r="AH27" s="7">
        <v>330</v>
      </c>
      <c r="AI27" s="16">
        <v>0</v>
      </c>
      <c r="AJ27" s="15">
        <f>ROUNDUP(48*0.75,0)</f>
        <v>36</v>
      </c>
      <c r="AK27" s="7">
        <v>308</v>
      </c>
      <c r="AL27" s="16">
        <v>0</v>
      </c>
      <c r="AM27" s="15">
        <f>ROUNDUP(76*0.75,0)</f>
        <v>57</v>
      </c>
      <c r="AN27" s="7">
        <v>165</v>
      </c>
      <c r="AO27" s="16">
        <v>0</v>
      </c>
      <c r="AP27" s="15">
        <v>32</v>
      </c>
      <c r="AQ27" s="7">
        <v>167</v>
      </c>
      <c r="AR27" s="16">
        <v>0</v>
      </c>
      <c r="AS27" s="15">
        <v>52</v>
      </c>
      <c r="AT27" s="7">
        <v>119</v>
      </c>
      <c r="AU27" s="16">
        <v>0</v>
      </c>
      <c r="AV27" s="15">
        <v>39</v>
      </c>
      <c r="AW27" s="7">
        <v>195</v>
      </c>
      <c r="AX27" s="16">
        <v>0</v>
      </c>
      <c r="AY27" s="15">
        <v>66</v>
      </c>
      <c r="AZ27" s="7">
        <v>202</v>
      </c>
      <c r="BA27" s="16">
        <v>0</v>
      </c>
      <c r="BB27" s="5">
        <v>357</v>
      </c>
      <c r="BC27" s="5">
        <v>345</v>
      </c>
      <c r="BD27" s="17">
        <v>0</v>
      </c>
      <c r="BE27" s="4">
        <v>12</v>
      </c>
      <c r="BF27">
        <v>15</v>
      </c>
      <c r="BG27" s="14">
        <v>0</v>
      </c>
      <c r="BH27" s="4">
        <v>54</v>
      </c>
      <c r="BI27">
        <v>56</v>
      </c>
      <c r="BJ27" s="14">
        <v>0</v>
      </c>
      <c r="BK27" s="26"/>
      <c r="BL27" s="27"/>
      <c r="BM27" s="27"/>
      <c r="BN27" s="26"/>
      <c r="BO27" s="27"/>
      <c r="BP27" s="28"/>
      <c r="BQ27" s="26"/>
      <c r="BR27" s="27"/>
      <c r="BS27" s="28"/>
      <c r="BT27" s="26"/>
      <c r="BU27" s="27"/>
      <c r="BV27" s="28"/>
      <c r="BW27" s="26"/>
      <c r="BX27" s="27"/>
      <c r="BY27" s="28"/>
      <c r="BZ27" s="26"/>
      <c r="CA27" s="27"/>
      <c r="CB27" s="28"/>
      <c r="CC27" s="129"/>
    </row>
    <row r="28" spans="2:81" ht="14.25" x14ac:dyDescent="0.2">
      <c r="B28" s="51" t="s">
        <v>51</v>
      </c>
      <c r="C28" s="18"/>
      <c r="D28" s="19"/>
      <c r="E28" s="20"/>
      <c r="F28" s="18"/>
      <c r="G28" s="19"/>
      <c r="H28" s="20"/>
      <c r="I28" s="18"/>
      <c r="J28" s="19"/>
      <c r="K28" s="20"/>
      <c r="L28" s="18"/>
      <c r="M28" s="19"/>
      <c r="N28" s="20"/>
      <c r="O28" s="18"/>
      <c r="P28" s="19"/>
      <c r="Q28" s="20"/>
      <c r="R28" s="15">
        <f>ROUNDUP(42*0.75,0)</f>
        <v>32</v>
      </c>
      <c r="S28" s="7">
        <v>0</v>
      </c>
      <c r="T28" s="16">
        <v>0</v>
      </c>
      <c r="U28" s="15">
        <f>ROUNDUP(8*0.75,0)</f>
        <v>6</v>
      </c>
      <c r="V28" s="7">
        <v>1</v>
      </c>
      <c r="W28" s="16">
        <v>0</v>
      </c>
      <c r="X28" s="15">
        <f>ROUNDUP(39*0.75,0)</f>
        <v>30</v>
      </c>
      <c r="Y28" s="7">
        <v>31</v>
      </c>
      <c r="Z28" s="16">
        <v>0</v>
      </c>
      <c r="AA28" s="15">
        <f>ROUNDUP(18*0.75,0)</f>
        <v>14</v>
      </c>
      <c r="AB28" s="7">
        <v>13</v>
      </c>
      <c r="AC28" s="16">
        <v>0</v>
      </c>
      <c r="AD28" s="15">
        <f>ROUNDUP(61*0.75,0)</f>
        <v>46</v>
      </c>
      <c r="AE28" s="7">
        <v>30</v>
      </c>
      <c r="AF28" s="16">
        <v>0</v>
      </c>
      <c r="AG28" s="15">
        <f>ROUNDUP(13*0.75,0)</f>
        <v>10</v>
      </c>
      <c r="AH28" s="7">
        <v>21</v>
      </c>
      <c r="AI28" s="16">
        <v>3</v>
      </c>
      <c r="AJ28" s="15">
        <f>ROUNDUP(10*0.75,0)</f>
        <v>8</v>
      </c>
      <c r="AK28" s="7">
        <v>12</v>
      </c>
      <c r="AL28" s="16">
        <v>4</v>
      </c>
      <c r="AM28" s="15">
        <f>ROUNDUP(10*0.75,0)</f>
        <v>8</v>
      </c>
      <c r="AN28" s="7">
        <v>12</v>
      </c>
      <c r="AO28" s="16">
        <v>2</v>
      </c>
      <c r="AP28" s="15">
        <v>3</v>
      </c>
      <c r="AQ28" s="7">
        <v>5</v>
      </c>
      <c r="AR28" s="16">
        <v>1</v>
      </c>
      <c r="AS28" s="15">
        <v>11</v>
      </c>
      <c r="AT28" s="7">
        <v>12</v>
      </c>
      <c r="AU28" s="16">
        <v>0</v>
      </c>
      <c r="AV28" s="15">
        <v>12</v>
      </c>
      <c r="AW28" s="7">
        <v>14</v>
      </c>
      <c r="AX28" s="16">
        <v>2</v>
      </c>
      <c r="AY28" s="15">
        <v>8</v>
      </c>
      <c r="AZ28" s="7">
        <v>5</v>
      </c>
      <c r="BA28" s="16">
        <v>3</v>
      </c>
      <c r="BB28" s="5">
        <v>9</v>
      </c>
      <c r="BC28" s="5">
        <v>5</v>
      </c>
      <c r="BD28" s="17">
        <v>4</v>
      </c>
      <c r="BE28" s="4">
        <v>3</v>
      </c>
      <c r="BF28">
        <v>1</v>
      </c>
      <c r="BG28" s="14">
        <v>1</v>
      </c>
      <c r="BH28" s="4">
        <v>18</v>
      </c>
      <c r="BI28">
        <v>11</v>
      </c>
      <c r="BJ28" s="14">
        <v>4</v>
      </c>
      <c r="BK28" s="4">
        <v>3</v>
      </c>
      <c r="BL28">
        <v>7</v>
      </c>
      <c r="BM28">
        <v>2</v>
      </c>
      <c r="BN28" s="4">
        <v>9</v>
      </c>
      <c r="BO28">
        <v>12</v>
      </c>
      <c r="BP28" s="14">
        <v>2</v>
      </c>
      <c r="BQ28" s="4">
        <v>15</v>
      </c>
      <c r="BR28">
        <v>23</v>
      </c>
      <c r="BS28" s="14">
        <v>4</v>
      </c>
      <c r="BT28" s="4">
        <v>8</v>
      </c>
      <c r="BU28">
        <v>15</v>
      </c>
      <c r="BV28" s="14">
        <v>4</v>
      </c>
      <c r="BW28" s="4">
        <v>18</v>
      </c>
      <c r="BX28">
        <v>25</v>
      </c>
      <c r="BY28" s="14">
        <v>3</v>
      </c>
      <c r="BZ28" s="4">
        <f>VLOOKUP(B28,'FY 2025 Agency Details'!$B$4:$D$35,3,0)</f>
        <v>1</v>
      </c>
      <c r="CA28">
        <f>VLOOKUP(B28,'FY 2025 Agency Details'!$B$4:$E$35,4,0)</f>
        <v>2</v>
      </c>
      <c r="CB28" s="14">
        <f>VLOOKUP(B28,'FY 2025 Agency Details'!$B$4:$G$35,5,0)</f>
        <v>0</v>
      </c>
      <c r="CC28" s="129"/>
    </row>
    <row r="29" spans="2:81" ht="14.25" x14ac:dyDescent="0.2">
      <c r="B29" s="51" t="s">
        <v>52</v>
      </c>
      <c r="C29" s="18"/>
      <c r="D29" s="19"/>
      <c r="E29" s="20"/>
      <c r="F29" s="18"/>
      <c r="G29" s="19"/>
      <c r="H29" s="20"/>
      <c r="I29" s="18"/>
      <c r="J29" s="19"/>
      <c r="K29" s="20"/>
      <c r="L29" s="18"/>
      <c r="M29" s="19"/>
      <c r="N29" s="20"/>
      <c r="O29" s="18"/>
      <c r="P29" s="19"/>
      <c r="Q29" s="20"/>
      <c r="R29" s="15">
        <f>ROUNDUP(30*0.75,0)</f>
        <v>23</v>
      </c>
      <c r="S29" s="7">
        <v>29</v>
      </c>
      <c r="T29" s="16">
        <v>1</v>
      </c>
      <c r="U29" s="15">
        <f>ROUNDUP(26*0.75,0)</f>
        <v>20</v>
      </c>
      <c r="V29" s="7">
        <v>45</v>
      </c>
      <c r="W29" s="16">
        <v>0</v>
      </c>
      <c r="X29" s="15">
        <f>ROUNDUP(17*0.75,0)</f>
        <v>13</v>
      </c>
      <c r="Y29" s="7">
        <v>103</v>
      </c>
      <c r="Z29" s="16">
        <v>0</v>
      </c>
      <c r="AA29" s="15">
        <f>ROUNDUP(14*0.75,0)</f>
        <v>11</v>
      </c>
      <c r="AB29" s="7">
        <v>94</v>
      </c>
      <c r="AC29" s="16">
        <v>5</v>
      </c>
      <c r="AD29" s="15">
        <f>ROUNDUP(12*0.75,0)</f>
        <v>9</v>
      </c>
      <c r="AE29" s="7">
        <v>96</v>
      </c>
      <c r="AF29" s="16">
        <v>5</v>
      </c>
      <c r="AG29" s="15">
        <f>ROUNDUP(11*0.75,0)</f>
        <v>9</v>
      </c>
      <c r="AH29" s="7">
        <v>99</v>
      </c>
      <c r="AI29" s="16">
        <v>4</v>
      </c>
      <c r="AJ29" s="15">
        <f>ROUNDUP(9*0.75,0)</f>
        <v>7</v>
      </c>
      <c r="AK29" s="7">
        <v>88</v>
      </c>
      <c r="AL29" s="16">
        <v>3</v>
      </c>
      <c r="AM29" s="15">
        <f>ROUNDUP(6*0.75,0)</f>
        <v>5</v>
      </c>
      <c r="AN29" s="7">
        <v>106</v>
      </c>
      <c r="AO29" s="16">
        <v>2</v>
      </c>
      <c r="AP29" s="15">
        <v>3</v>
      </c>
      <c r="AQ29" s="7">
        <v>62</v>
      </c>
      <c r="AR29" s="16">
        <v>1</v>
      </c>
      <c r="AS29" s="15">
        <v>6</v>
      </c>
      <c r="AT29" s="7">
        <v>99</v>
      </c>
      <c r="AU29" s="16">
        <v>3</v>
      </c>
      <c r="AV29" s="15">
        <v>11</v>
      </c>
      <c r="AW29" s="7">
        <v>59</v>
      </c>
      <c r="AX29" s="16">
        <v>5</v>
      </c>
      <c r="AY29" s="15">
        <v>3</v>
      </c>
      <c r="AZ29" s="7">
        <v>67</v>
      </c>
      <c r="BA29" s="16">
        <v>1</v>
      </c>
      <c r="BB29" s="5">
        <v>1</v>
      </c>
      <c r="BC29" s="5">
        <v>38</v>
      </c>
      <c r="BD29" s="17">
        <v>0</v>
      </c>
      <c r="BE29" s="4">
        <v>0</v>
      </c>
      <c r="BF29">
        <v>52</v>
      </c>
      <c r="BG29" s="14">
        <v>0</v>
      </c>
      <c r="BH29" s="4">
        <v>1</v>
      </c>
      <c r="BI29">
        <v>50</v>
      </c>
      <c r="BJ29" s="14">
        <v>0</v>
      </c>
      <c r="BK29" s="4">
        <v>0</v>
      </c>
      <c r="BL29">
        <v>41</v>
      </c>
      <c r="BM29">
        <v>0</v>
      </c>
      <c r="BN29" s="31">
        <v>7.5</v>
      </c>
      <c r="BO29">
        <v>31</v>
      </c>
      <c r="BP29" s="14">
        <v>2</v>
      </c>
      <c r="BQ29" s="31">
        <v>7</v>
      </c>
      <c r="BR29">
        <v>14</v>
      </c>
      <c r="BS29" s="14">
        <v>2</v>
      </c>
      <c r="BT29" s="31">
        <v>12</v>
      </c>
      <c r="BU29">
        <v>26</v>
      </c>
      <c r="BV29" s="14">
        <v>2</v>
      </c>
      <c r="BW29" s="31">
        <v>3</v>
      </c>
      <c r="BX29">
        <v>24</v>
      </c>
      <c r="BY29" s="14">
        <v>1</v>
      </c>
      <c r="BZ29" s="31">
        <f>VLOOKUP(B29,'FY 2025 Agency Details'!$B$4:$D$35,3,0)</f>
        <v>5</v>
      </c>
      <c r="CA29">
        <f>VLOOKUP(B29,'FY 2025 Agency Details'!$B$4:$E$35,4,0)</f>
        <v>5</v>
      </c>
      <c r="CB29" s="14">
        <f>VLOOKUP(B29,'FY 2025 Agency Details'!$B$4:$G$35,5,0)</f>
        <v>1</v>
      </c>
      <c r="CC29" s="129"/>
    </row>
    <row r="30" spans="2:81" ht="14.25" x14ac:dyDescent="0.2">
      <c r="B30" s="51" t="s">
        <v>54</v>
      </c>
      <c r="C30" s="18"/>
      <c r="D30" s="19"/>
      <c r="E30" s="20"/>
      <c r="F30" s="18"/>
      <c r="G30" s="19"/>
      <c r="H30" s="20"/>
      <c r="I30" s="18"/>
      <c r="J30" s="19"/>
      <c r="K30" s="20"/>
      <c r="L30" s="18"/>
      <c r="M30" s="19"/>
      <c r="N30" s="20"/>
      <c r="O30" s="18"/>
      <c r="P30" s="19"/>
      <c r="Q30" s="20"/>
      <c r="R30" s="15">
        <f>ROUNDUP(0*0.75,0)</f>
        <v>0</v>
      </c>
      <c r="S30" s="7">
        <v>18</v>
      </c>
      <c r="T30" s="16">
        <v>0</v>
      </c>
      <c r="U30" s="15">
        <f>ROUNDUP(0*0.75,0)</f>
        <v>0</v>
      </c>
      <c r="V30" s="7">
        <v>23</v>
      </c>
      <c r="W30" s="16">
        <v>0</v>
      </c>
      <c r="X30" s="15">
        <f>ROUNDUP(0*0.75,0)</f>
        <v>0</v>
      </c>
      <c r="Y30" s="7">
        <v>61</v>
      </c>
      <c r="Z30" s="16">
        <v>0</v>
      </c>
      <c r="AA30" s="15">
        <f>ROUNDUP(0*0.75,0)</f>
        <v>0</v>
      </c>
      <c r="AB30" s="7">
        <v>56</v>
      </c>
      <c r="AC30" s="16">
        <v>0</v>
      </c>
      <c r="AD30" s="15">
        <f>ROUNDUP(0*0.75,0)</f>
        <v>0</v>
      </c>
      <c r="AE30" s="7">
        <v>31</v>
      </c>
      <c r="AF30" s="16">
        <v>0</v>
      </c>
      <c r="AG30" s="15">
        <f>ROUNDUP(0*0.75,0)</f>
        <v>0</v>
      </c>
      <c r="AH30" s="7">
        <v>52</v>
      </c>
      <c r="AI30" s="16">
        <v>0</v>
      </c>
      <c r="AJ30" s="15">
        <f>ROUNDUP(0*0.75,0)</f>
        <v>0</v>
      </c>
      <c r="AK30" s="7">
        <v>186</v>
      </c>
      <c r="AL30" s="16">
        <v>4</v>
      </c>
      <c r="AM30" s="15">
        <f>ROUNDUP(0*0.75,0)</f>
        <v>0</v>
      </c>
      <c r="AN30" s="7">
        <v>260</v>
      </c>
      <c r="AO30" s="16">
        <v>0</v>
      </c>
      <c r="AP30" s="15">
        <v>0</v>
      </c>
      <c r="AQ30" s="7">
        <v>384</v>
      </c>
      <c r="AR30" s="16">
        <v>0</v>
      </c>
      <c r="AS30" s="15">
        <v>0</v>
      </c>
      <c r="AT30" s="7">
        <v>111</v>
      </c>
      <c r="AU30" s="16">
        <v>0</v>
      </c>
      <c r="AV30" s="15">
        <v>0</v>
      </c>
      <c r="AW30" s="7">
        <v>195</v>
      </c>
      <c r="AX30" s="16">
        <v>0</v>
      </c>
      <c r="AY30" s="15">
        <v>0</v>
      </c>
      <c r="AZ30" s="7">
        <v>173</v>
      </c>
      <c r="BA30" s="16">
        <v>0</v>
      </c>
      <c r="BB30" s="5">
        <v>0</v>
      </c>
      <c r="BC30" s="5">
        <v>85</v>
      </c>
      <c r="BD30" s="17">
        <v>0</v>
      </c>
      <c r="BE30" s="4">
        <v>0</v>
      </c>
      <c r="BF30">
        <v>87</v>
      </c>
      <c r="BG30" s="14">
        <v>0</v>
      </c>
      <c r="BH30" s="4">
        <v>0</v>
      </c>
      <c r="BI30">
        <v>23</v>
      </c>
      <c r="BJ30" s="14">
        <v>0</v>
      </c>
      <c r="BK30" s="4">
        <v>87</v>
      </c>
      <c r="BL30">
        <v>112</v>
      </c>
      <c r="BM30">
        <v>0</v>
      </c>
      <c r="BN30" s="31">
        <v>5068.5</v>
      </c>
      <c r="BO30">
        <v>14</v>
      </c>
      <c r="BP30" s="14">
        <v>0</v>
      </c>
      <c r="BQ30" s="31">
        <v>81</v>
      </c>
      <c r="BR30">
        <v>110</v>
      </c>
      <c r="BS30" s="14">
        <v>0</v>
      </c>
      <c r="BT30" s="31">
        <v>72</v>
      </c>
      <c r="BU30">
        <v>109</v>
      </c>
      <c r="BV30" s="14">
        <v>0</v>
      </c>
      <c r="BW30" s="31">
        <v>55</v>
      </c>
      <c r="BX30">
        <v>45</v>
      </c>
      <c r="BY30" s="14">
        <v>0</v>
      </c>
      <c r="BZ30" s="31">
        <f>VLOOKUP(B30,'FY 2025 Agency Details'!$B$4:$D$35,3,0)</f>
        <v>54</v>
      </c>
      <c r="CA30">
        <f>VLOOKUP(B30,'FY 2025 Agency Details'!$B$4:$E$35,4,0)</f>
        <v>1</v>
      </c>
      <c r="CB30" s="14">
        <f>VLOOKUP(B30,'FY 2025 Agency Details'!$B$4:$G$35,5,0)</f>
        <v>0</v>
      </c>
      <c r="CC30" s="129"/>
    </row>
    <row r="31" spans="2:81" ht="14.25" x14ac:dyDescent="0.2">
      <c r="B31" s="51" t="s">
        <v>19</v>
      </c>
      <c r="C31" s="15">
        <f>ROUNDUP(2838*0.75,0)</f>
        <v>2129</v>
      </c>
      <c r="D31" s="7">
        <v>1746</v>
      </c>
      <c r="E31" s="16">
        <v>706</v>
      </c>
      <c r="F31" s="15">
        <f>ROUNDUP(1405*0.75,0)</f>
        <v>1054</v>
      </c>
      <c r="G31" s="7">
        <v>873</v>
      </c>
      <c r="H31" s="16">
        <v>316</v>
      </c>
      <c r="I31" s="15">
        <f>ROUNDUP(855*0.75,0)</f>
        <v>642</v>
      </c>
      <c r="J31" s="7">
        <v>343</v>
      </c>
      <c r="K31" s="16">
        <v>297</v>
      </c>
      <c r="L31" s="15">
        <f>ROUNDUP(9197*0.75,0)</f>
        <v>6898</v>
      </c>
      <c r="M31" s="7">
        <v>7391</v>
      </c>
      <c r="N31" s="16">
        <v>470</v>
      </c>
      <c r="O31" s="15">
        <f>ROUNDUP(1434*0.75,0)</f>
        <v>1076</v>
      </c>
      <c r="P31" s="7">
        <v>874</v>
      </c>
      <c r="Q31" s="16">
        <v>252</v>
      </c>
      <c r="R31" s="15">
        <f>ROUNDUP(2302*0.75,0)</f>
        <v>1727</v>
      </c>
      <c r="S31" s="7">
        <v>1387</v>
      </c>
      <c r="T31" s="16">
        <v>453</v>
      </c>
      <c r="U31" s="15">
        <f>ROUNDUP(2669*0.75,0)</f>
        <v>2002</v>
      </c>
      <c r="V31" s="7">
        <v>2688</v>
      </c>
      <c r="W31" s="16">
        <v>447</v>
      </c>
      <c r="X31" s="15">
        <f>ROUNDUP(1710*0.75,0)</f>
        <v>1283</v>
      </c>
      <c r="Y31" s="7">
        <v>5248</v>
      </c>
      <c r="Z31" s="16">
        <v>641</v>
      </c>
      <c r="AA31" s="15">
        <f>ROUNDUP(1563*0.75,0)</f>
        <v>1173</v>
      </c>
      <c r="AB31" s="7">
        <v>1825</v>
      </c>
      <c r="AC31" s="16">
        <v>96</v>
      </c>
      <c r="AD31" s="15">
        <f>ROUNDUP(2104*0.75,0)</f>
        <v>1578</v>
      </c>
      <c r="AE31" s="7">
        <v>1236</v>
      </c>
      <c r="AF31" s="16">
        <v>448</v>
      </c>
      <c r="AG31" s="15">
        <f>ROUNDUP(2980*0.75,0)</f>
        <v>2235</v>
      </c>
      <c r="AH31" s="7">
        <v>508</v>
      </c>
      <c r="AI31" s="16">
        <v>553</v>
      </c>
      <c r="AJ31" s="15">
        <f>ROUNDUP(24*0.75,0)</f>
        <v>18</v>
      </c>
      <c r="AK31" s="7">
        <v>18</v>
      </c>
      <c r="AL31" s="16">
        <v>9</v>
      </c>
      <c r="AM31" s="15">
        <f>ROUNDUP(2*0.75,0)</f>
        <v>2</v>
      </c>
      <c r="AN31" s="7">
        <v>3</v>
      </c>
      <c r="AO31" s="16">
        <v>1</v>
      </c>
      <c r="AP31" s="15">
        <v>6</v>
      </c>
      <c r="AQ31" s="7">
        <v>23</v>
      </c>
      <c r="AR31" s="16">
        <v>3</v>
      </c>
      <c r="AS31" s="15">
        <v>25</v>
      </c>
      <c r="AT31" s="7">
        <v>78</v>
      </c>
      <c r="AU31" s="16">
        <v>12</v>
      </c>
      <c r="AV31" s="15">
        <v>1954</v>
      </c>
      <c r="AW31" s="7">
        <v>4222</v>
      </c>
      <c r="AX31" s="16">
        <v>558</v>
      </c>
      <c r="AY31" s="15">
        <v>923</v>
      </c>
      <c r="AZ31" s="7">
        <v>2193</v>
      </c>
      <c r="BA31" s="16">
        <v>422</v>
      </c>
      <c r="BB31" s="5">
        <v>1336</v>
      </c>
      <c r="BC31" s="5">
        <v>1267</v>
      </c>
      <c r="BD31" s="17">
        <v>474</v>
      </c>
      <c r="BE31" s="4">
        <v>153</v>
      </c>
      <c r="BF31">
        <v>159</v>
      </c>
      <c r="BG31" s="14">
        <v>76</v>
      </c>
      <c r="BH31" s="4">
        <v>56</v>
      </c>
      <c r="BI31">
        <v>60</v>
      </c>
      <c r="BJ31" s="14">
        <v>28</v>
      </c>
      <c r="BK31" s="4">
        <v>3825</v>
      </c>
      <c r="BL31">
        <v>14</v>
      </c>
      <c r="BM31">
        <v>101</v>
      </c>
      <c r="BN31" s="31">
        <v>52.5</v>
      </c>
      <c r="BO31">
        <v>85</v>
      </c>
      <c r="BP31" s="14">
        <v>49</v>
      </c>
      <c r="BQ31" s="31">
        <v>4561</v>
      </c>
      <c r="BR31">
        <v>14</v>
      </c>
      <c r="BS31" s="14">
        <v>250</v>
      </c>
      <c r="BT31" s="31">
        <v>8142</v>
      </c>
      <c r="BU31">
        <v>7</v>
      </c>
      <c r="BV31" s="14">
        <v>294</v>
      </c>
      <c r="BW31" s="31">
        <v>7266</v>
      </c>
      <c r="BX31">
        <v>3234</v>
      </c>
      <c r="BY31" s="14">
        <v>79</v>
      </c>
      <c r="BZ31" s="31">
        <f>VLOOKUP(B31,'FY 2025 Agency Details'!$B$4:$D$35,3,0)</f>
        <v>265</v>
      </c>
      <c r="CA31">
        <f>VLOOKUP(B31,'FY 2025 Agency Details'!$B$4:$E$35,4,0)</f>
        <v>5053</v>
      </c>
      <c r="CB31" s="14">
        <f>VLOOKUP(B31,'FY 2025 Agency Details'!$B$4:$G$35,5,0)</f>
        <v>4</v>
      </c>
      <c r="CC31" s="129"/>
    </row>
    <row r="32" spans="2:81" ht="15" thickBot="1" x14ac:dyDescent="0.25">
      <c r="B32" s="52" t="s">
        <v>20</v>
      </c>
      <c r="C32" s="15">
        <f>ROUNDUP(27*0.75,0)</f>
        <v>21</v>
      </c>
      <c r="D32" s="7">
        <v>27</v>
      </c>
      <c r="E32" s="16">
        <v>0</v>
      </c>
      <c r="F32" s="15">
        <f>ROUNDUP(44*0.75,0)</f>
        <v>33</v>
      </c>
      <c r="G32" s="7">
        <v>28</v>
      </c>
      <c r="H32" s="16">
        <v>1</v>
      </c>
      <c r="I32" s="15">
        <f>ROUNDUP(27*0.75,0)</f>
        <v>21</v>
      </c>
      <c r="J32" s="7">
        <v>27</v>
      </c>
      <c r="K32" s="16">
        <v>0</v>
      </c>
      <c r="L32" s="15">
        <f>ROUNDUP(59*0.75,0)</f>
        <v>45</v>
      </c>
      <c r="M32" s="7">
        <v>34</v>
      </c>
      <c r="N32" s="16">
        <v>0</v>
      </c>
      <c r="O32" s="15">
        <f>ROUNDUP(7*0.75,0)</f>
        <v>6</v>
      </c>
      <c r="P32" s="7">
        <v>2</v>
      </c>
      <c r="Q32" s="16">
        <v>0</v>
      </c>
      <c r="R32" s="18"/>
      <c r="S32" s="19"/>
      <c r="T32" s="20"/>
      <c r="U32" s="18"/>
      <c r="V32" s="19"/>
      <c r="W32" s="20"/>
      <c r="X32" s="18"/>
      <c r="Y32" s="19"/>
      <c r="Z32" s="20"/>
      <c r="AA32" s="18"/>
      <c r="AB32" s="19"/>
      <c r="AC32" s="20"/>
      <c r="AD32" s="18"/>
      <c r="AE32" s="19"/>
      <c r="AF32" s="20"/>
      <c r="AG32" s="18"/>
      <c r="AH32" s="19"/>
      <c r="AI32" s="20"/>
      <c r="AJ32" s="18"/>
      <c r="AK32" s="19"/>
      <c r="AL32" s="20"/>
      <c r="AM32" s="18"/>
      <c r="AN32" s="19"/>
      <c r="AO32" s="20"/>
      <c r="AP32" s="18"/>
      <c r="AQ32" s="19"/>
      <c r="AR32" s="20"/>
      <c r="AS32" s="18"/>
      <c r="AT32" s="19"/>
      <c r="AU32" s="20"/>
      <c r="AV32" s="18"/>
      <c r="AW32" s="19"/>
      <c r="AX32" s="20"/>
      <c r="AY32" s="18"/>
      <c r="AZ32" s="19"/>
      <c r="BA32" s="20"/>
      <c r="BB32" s="23"/>
      <c r="BC32" s="24"/>
      <c r="BD32" s="25"/>
      <c r="BE32" s="26"/>
      <c r="BF32" s="27"/>
      <c r="BG32" s="28"/>
      <c r="BH32" s="26"/>
      <c r="BI32" s="27"/>
      <c r="BJ32" s="28"/>
      <c r="BK32" s="26"/>
      <c r="BL32" s="27"/>
      <c r="BM32" s="27"/>
      <c r="BN32" s="36"/>
      <c r="BO32" s="37"/>
      <c r="BP32" s="38"/>
      <c r="BQ32" s="36"/>
      <c r="BR32" s="37"/>
      <c r="BS32" s="38"/>
      <c r="BT32" s="36"/>
      <c r="BU32" s="37"/>
      <c r="BV32" s="38"/>
      <c r="BW32" s="36"/>
      <c r="BX32" s="37"/>
      <c r="BY32" s="38"/>
      <c r="BZ32" s="36"/>
      <c r="CA32" s="37"/>
      <c r="CB32" s="38"/>
      <c r="CC32" s="129"/>
    </row>
    <row r="33" spans="2:80" ht="15.75" thickBot="1" x14ac:dyDescent="0.3">
      <c r="B33" s="53" t="s">
        <v>61</v>
      </c>
      <c r="C33" s="1">
        <f t="shared" ref="C33:AN33" si="0">SUM(C5:C32)</f>
        <v>15364</v>
      </c>
      <c r="D33" s="2">
        <f t="shared" si="0"/>
        <v>7784</v>
      </c>
      <c r="E33" s="3">
        <f t="shared" si="0"/>
        <v>1265</v>
      </c>
      <c r="F33" s="1">
        <f t="shared" si="0"/>
        <v>16182</v>
      </c>
      <c r="G33" s="2">
        <f t="shared" si="0"/>
        <v>8798</v>
      </c>
      <c r="H33" s="3">
        <f t="shared" si="0"/>
        <v>938</v>
      </c>
      <c r="I33" s="1">
        <f t="shared" si="0"/>
        <v>13614</v>
      </c>
      <c r="J33" s="2">
        <f t="shared" si="0"/>
        <v>9387</v>
      </c>
      <c r="K33" s="3">
        <f t="shared" si="0"/>
        <v>1483</v>
      </c>
      <c r="L33" s="1">
        <f t="shared" si="0"/>
        <v>19874</v>
      </c>
      <c r="M33" s="2">
        <f t="shared" si="0"/>
        <v>20846</v>
      </c>
      <c r="N33" s="3">
        <f t="shared" si="0"/>
        <v>2000</v>
      </c>
      <c r="O33" s="1">
        <f t="shared" si="0"/>
        <v>13828</v>
      </c>
      <c r="P33" s="2">
        <f t="shared" si="0"/>
        <v>14811</v>
      </c>
      <c r="Q33" s="3">
        <f t="shared" si="0"/>
        <v>2861</v>
      </c>
      <c r="R33" s="1">
        <f t="shared" si="0"/>
        <v>14029</v>
      </c>
      <c r="S33" s="2">
        <f t="shared" si="0"/>
        <v>17018</v>
      </c>
      <c r="T33" s="3">
        <f t="shared" si="0"/>
        <v>3290</v>
      </c>
      <c r="U33" s="1">
        <f t="shared" si="0"/>
        <v>14034</v>
      </c>
      <c r="V33" s="2">
        <f t="shared" si="0"/>
        <v>18369</v>
      </c>
      <c r="W33" s="3">
        <f t="shared" si="0"/>
        <v>3439</v>
      </c>
      <c r="X33" s="1">
        <f t="shared" si="0"/>
        <v>13207</v>
      </c>
      <c r="Y33" s="2">
        <f t="shared" si="0"/>
        <v>26296</v>
      </c>
      <c r="Z33" s="3">
        <f t="shared" si="0"/>
        <v>3441</v>
      </c>
      <c r="AA33" s="1">
        <f t="shared" si="0"/>
        <v>12369</v>
      </c>
      <c r="AB33" s="2">
        <f t="shared" si="0"/>
        <v>27696</v>
      </c>
      <c r="AC33" s="3">
        <f t="shared" si="0"/>
        <v>2838</v>
      </c>
      <c r="AD33" s="1">
        <f t="shared" si="0"/>
        <v>14647</v>
      </c>
      <c r="AE33" s="2">
        <f t="shared" si="0"/>
        <v>31629</v>
      </c>
      <c r="AF33" s="3">
        <f t="shared" si="0"/>
        <v>2985</v>
      </c>
      <c r="AG33" s="1">
        <f t="shared" si="0"/>
        <v>14116</v>
      </c>
      <c r="AH33" s="2">
        <f t="shared" si="0"/>
        <v>23845</v>
      </c>
      <c r="AI33" s="3">
        <f t="shared" si="0"/>
        <v>3269</v>
      </c>
      <c r="AJ33" s="1">
        <f t="shared" si="0"/>
        <v>12562</v>
      </c>
      <c r="AK33" s="2">
        <f t="shared" si="0"/>
        <v>24662</v>
      </c>
      <c r="AL33" s="3">
        <f t="shared" si="0"/>
        <v>2691</v>
      </c>
      <c r="AM33" s="1">
        <f t="shared" si="0"/>
        <v>9153</v>
      </c>
      <c r="AN33" s="2">
        <f t="shared" si="0"/>
        <v>19639</v>
      </c>
      <c r="AO33" s="3">
        <f t="shared" ref="AO33:BA33" si="1">SUM(AO5:AO32)</f>
        <v>2360</v>
      </c>
      <c r="AP33" s="1">
        <f t="shared" si="1"/>
        <v>7541</v>
      </c>
      <c r="AQ33" s="2">
        <f t="shared" si="1"/>
        <v>19671</v>
      </c>
      <c r="AR33" s="3">
        <f t="shared" si="1"/>
        <v>2042</v>
      </c>
      <c r="AS33" s="1">
        <f t="shared" si="1"/>
        <v>10353</v>
      </c>
      <c r="AT33" s="2">
        <f t="shared" si="1"/>
        <v>24930</v>
      </c>
      <c r="AU33" s="3">
        <f t="shared" si="1"/>
        <v>1320</v>
      </c>
      <c r="AV33" s="1">
        <f t="shared" si="1"/>
        <v>10155</v>
      </c>
      <c r="AW33" s="2">
        <f t="shared" si="1"/>
        <v>23451</v>
      </c>
      <c r="AX33" s="3">
        <f t="shared" si="1"/>
        <v>1543</v>
      </c>
      <c r="AY33" s="1">
        <f t="shared" si="1"/>
        <v>10360</v>
      </c>
      <c r="AZ33" s="2">
        <f t="shared" si="1"/>
        <v>25547</v>
      </c>
      <c r="BA33" s="3">
        <f t="shared" si="1"/>
        <v>1368</v>
      </c>
      <c r="BB33" s="6">
        <f>SUM(BB5:BB32)</f>
        <v>19959</v>
      </c>
      <c r="BC33" s="6">
        <f>SUM(BC5:BC32)</f>
        <v>23389</v>
      </c>
      <c r="BD33" s="6">
        <f>SUM(BD5:BD32)</f>
        <v>1924</v>
      </c>
      <c r="BE33" s="8">
        <f>SUM(BE5:BE32)</f>
        <v>16400</v>
      </c>
      <c r="BF33" s="9">
        <f t="shared" ref="BF33:BG33" si="2">SUM(BF5:BF32)</f>
        <v>17310</v>
      </c>
      <c r="BG33" s="10">
        <f t="shared" si="2"/>
        <v>1145</v>
      </c>
      <c r="BH33" s="8">
        <f>SUM(BH5:BH31)</f>
        <v>9888</v>
      </c>
      <c r="BI33" s="9">
        <f t="shared" ref="BI33:BJ33" si="3">SUM(BI5:BI32)</f>
        <v>17498</v>
      </c>
      <c r="BJ33" s="10">
        <f t="shared" si="3"/>
        <v>774</v>
      </c>
      <c r="BK33" s="8">
        <f>SUM(BK5:BK31)</f>
        <v>12614</v>
      </c>
      <c r="BL33" s="9">
        <f>SUM(BL5:BL31)</f>
        <v>13337</v>
      </c>
      <c r="BM33" s="9">
        <f>SUM(BM5:BM31)</f>
        <v>600</v>
      </c>
      <c r="BN33" s="33">
        <f t="shared" ref="BN33:BS33" si="4">SUM(BN5:BN32)</f>
        <v>13578</v>
      </c>
      <c r="BO33" s="34">
        <f t="shared" si="4"/>
        <v>10693</v>
      </c>
      <c r="BP33" s="35">
        <f t="shared" si="4"/>
        <v>560</v>
      </c>
      <c r="BQ33" s="33">
        <f t="shared" si="4"/>
        <v>9477</v>
      </c>
      <c r="BR33" s="34">
        <f t="shared" si="4"/>
        <v>7149</v>
      </c>
      <c r="BS33" s="35">
        <f t="shared" si="4"/>
        <v>590</v>
      </c>
      <c r="BT33" s="33">
        <f t="shared" ref="BT33" si="5">SUM(BT5:BT32)</f>
        <v>18423</v>
      </c>
      <c r="BU33" s="34">
        <f t="shared" ref="BU33" si="6">SUM(BU5:BU32)</f>
        <v>14082</v>
      </c>
      <c r="BV33" s="35">
        <f t="shared" ref="BV33" si="7">SUM(BV5:BV32)</f>
        <v>768</v>
      </c>
      <c r="BW33" s="33">
        <f>SUM(BW5:BW32)</f>
        <v>18613</v>
      </c>
      <c r="BX33" s="34">
        <f>SUM(BX5:BX32)</f>
        <v>17479</v>
      </c>
      <c r="BY33" s="35">
        <f t="shared" ref="BY33" si="8">SUM(BY5:BY32)</f>
        <v>331</v>
      </c>
      <c r="BZ33" s="33">
        <f>SUM(BZ5:BZ32)</f>
        <v>6928</v>
      </c>
      <c r="CA33" s="34">
        <f>SUM(CA5:CA32)</f>
        <v>12574</v>
      </c>
      <c r="CB33" s="35">
        <f t="shared" ref="CB33" si="9">SUM(CB5:CB32)</f>
        <v>195</v>
      </c>
    </row>
    <row r="35" spans="2:80" ht="15" x14ac:dyDescent="0.25">
      <c r="B35" s="136" t="s">
        <v>86</v>
      </c>
      <c r="C35" s="40"/>
      <c r="D35" s="40"/>
      <c r="E35" s="40"/>
    </row>
    <row r="36" spans="2:80" ht="14.25" x14ac:dyDescent="0.2">
      <c r="B36" s="40" t="s">
        <v>87</v>
      </c>
    </row>
    <row r="38" spans="2:80" ht="15" x14ac:dyDescent="0.25">
      <c r="B38" s="40" t="s">
        <v>92</v>
      </c>
      <c r="BI38" s="56"/>
      <c r="BJ38" s="56"/>
      <c r="BK38" s="56"/>
    </row>
    <row r="39" spans="2:80" x14ac:dyDescent="0.2">
      <c r="BB39" s="39"/>
      <c r="BJ39" s="58"/>
    </row>
    <row r="40" spans="2:80" x14ac:dyDescent="0.2">
      <c r="BB40" s="39"/>
      <c r="BJ40" s="58"/>
    </row>
    <row r="41" spans="2:80" x14ac:dyDescent="0.2">
      <c r="BB41" s="39"/>
      <c r="BJ41" s="58"/>
    </row>
    <row r="42" spans="2:80" x14ac:dyDescent="0.2">
      <c r="BB42" s="39"/>
      <c r="BJ42" s="58"/>
    </row>
    <row r="43" spans="2:80" x14ac:dyDescent="0.2">
      <c r="BB43" s="39"/>
      <c r="BJ43" s="58"/>
    </row>
    <row r="44" spans="2:80" x14ac:dyDescent="0.2">
      <c r="BB44" s="39"/>
      <c r="BJ44" s="58"/>
    </row>
    <row r="45" spans="2:80" x14ac:dyDescent="0.2">
      <c r="BB45" s="39"/>
      <c r="BJ45" s="58"/>
    </row>
    <row r="46" spans="2:80" x14ac:dyDescent="0.2">
      <c r="BB46" s="39"/>
      <c r="BJ46" s="58"/>
    </row>
    <row r="47" spans="2:80" x14ac:dyDescent="0.2">
      <c r="BB47" s="39"/>
      <c r="BJ47" s="58"/>
    </row>
    <row r="48" spans="2:80" x14ac:dyDescent="0.2">
      <c r="BB48" s="39"/>
      <c r="BJ48" s="58"/>
    </row>
    <row r="49" spans="54:62" x14ac:dyDescent="0.2">
      <c r="BB49" s="39"/>
      <c r="BJ49" s="58"/>
    </row>
    <row r="50" spans="54:62" x14ac:dyDescent="0.2">
      <c r="BB50" s="39"/>
      <c r="BJ50" s="58"/>
    </row>
    <row r="51" spans="54:62" x14ac:dyDescent="0.2">
      <c r="BB51" s="39"/>
      <c r="BJ51" s="58"/>
    </row>
    <row r="52" spans="54:62" x14ac:dyDescent="0.2">
      <c r="BB52" s="39"/>
      <c r="BJ52" s="58"/>
    </row>
    <row r="53" spans="54:62" x14ac:dyDescent="0.2">
      <c r="BB53" s="39"/>
      <c r="BJ53" s="58"/>
    </row>
    <row r="54" spans="54:62" x14ac:dyDescent="0.2">
      <c r="BB54" s="39"/>
      <c r="BJ54" s="58"/>
    </row>
    <row r="55" spans="54:62" x14ac:dyDescent="0.2">
      <c r="BB55" s="39"/>
      <c r="BJ55" s="58"/>
    </row>
    <row r="56" spans="54:62" x14ac:dyDescent="0.2">
      <c r="BB56" s="39"/>
      <c r="BJ56" s="58"/>
    </row>
    <row r="57" spans="54:62" x14ac:dyDescent="0.2">
      <c r="BB57" s="39"/>
      <c r="BJ57" s="58"/>
    </row>
    <row r="58" spans="54:62" x14ac:dyDescent="0.2">
      <c r="BB58" s="39"/>
      <c r="BJ58" s="58"/>
    </row>
    <row r="59" spans="54:62" x14ac:dyDescent="0.2">
      <c r="BB59" s="39"/>
      <c r="BJ59" s="58"/>
    </row>
    <row r="60" spans="54:62" x14ac:dyDescent="0.2">
      <c r="BB60" s="39"/>
      <c r="BJ60" s="58"/>
    </row>
    <row r="61" spans="54:62" x14ac:dyDescent="0.2">
      <c r="BB61" s="39"/>
      <c r="BJ61" s="58"/>
    </row>
    <row r="62" spans="54:62" x14ac:dyDescent="0.2">
      <c r="BB62" s="39"/>
      <c r="BJ62" s="58"/>
    </row>
    <row r="63" spans="54:62" x14ac:dyDescent="0.2">
      <c r="BB63" s="39"/>
      <c r="BJ63" s="58"/>
    </row>
    <row r="64" spans="54:62" x14ac:dyDescent="0.2">
      <c r="BB64" s="39"/>
      <c r="BJ64" s="58"/>
    </row>
    <row r="65" spans="54:63" ht="14.25" x14ac:dyDescent="0.2">
      <c r="BB65" s="39"/>
      <c r="BH65" s="57"/>
      <c r="BJ65" s="58"/>
    </row>
    <row r="66" spans="54:63" ht="14.25" x14ac:dyDescent="0.2">
      <c r="BB66" s="39"/>
      <c r="BH66" s="57"/>
      <c r="BJ66" s="58"/>
    </row>
    <row r="67" spans="54:63" ht="14.25" x14ac:dyDescent="0.2">
      <c r="BB67" s="39"/>
      <c r="BH67" s="57"/>
      <c r="BJ67" s="58"/>
    </row>
    <row r="68" spans="54:63" ht="14.25" x14ac:dyDescent="0.2">
      <c r="BB68" s="39"/>
      <c r="BH68" s="57"/>
      <c r="BJ68" s="58"/>
    </row>
    <row r="69" spans="54:63" ht="14.25" x14ac:dyDescent="0.2">
      <c r="BB69" s="39"/>
      <c r="BH69" s="57"/>
      <c r="BJ69" s="58"/>
    </row>
    <row r="70" spans="54:63" ht="14.25" x14ac:dyDescent="0.2">
      <c r="BB70" s="39"/>
      <c r="BH70" s="57"/>
      <c r="BJ70" s="58"/>
    </row>
    <row r="71" spans="54:63" ht="15" x14ac:dyDescent="0.25">
      <c r="BH71" s="55"/>
      <c r="BI71" s="59"/>
      <c r="BJ71" s="59"/>
      <c r="BK71" s="59"/>
    </row>
  </sheetData>
  <mergeCells count="27">
    <mergeCell ref="BW3:BY3"/>
    <mergeCell ref="BQ3:BS3"/>
    <mergeCell ref="BN3:BP3"/>
    <mergeCell ref="BK3:BM3"/>
    <mergeCell ref="BB3:BD3"/>
    <mergeCell ref="BH3:BJ3"/>
    <mergeCell ref="AG3:AI3"/>
    <mergeCell ref="AV3:AX3"/>
    <mergeCell ref="AY3:BA3"/>
    <mergeCell ref="BT3:BV3"/>
    <mergeCell ref="BE3:BG3"/>
    <mergeCell ref="BZ3:CB3"/>
    <mergeCell ref="B3:B4"/>
    <mergeCell ref="AJ3:AL3"/>
    <mergeCell ref="AM3:AO3"/>
    <mergeCell ref="AP3:AR3"/>
    <mergeCell ref="AS3:AU3"/>
    <mergeCell ref="R3:T3"/>
    <mergeCell ref="U3:W3"/>
    <mergeCell ref="C3:E3"/>
    <mergeCell ref="F3:H3"/>
    <mergeCell ref="I3:K3"/>
    <mergeCell ref="L3:N3"/>
    <mergeCell ref="O3:Q3"/>
    <mergeCell ref="X3:Z3"/>
    <mergeCell ref="AA3:AC3"/>
    <mergeCell ref="AD3:A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9042-7543-4567-895F-5BF812FF9D01}">
  <dimension ref="A47:E47"/>
  <sheetViews>
    <sheetView zoomScaleNormal="100" workbookViewId="0"/>
  </sheetViews>
  <sheetFormatPr defaultColWidth="8.85546875" defaultRowHeight="12.75" x14ac:dyDescent="0.2"/>
  <cols>
    <col min="1" max="1" width="3.42578125" style="39" customWidth="1"/>
    <col min="2" max="16384" width="8.85546875" style="39"/>
  </cols>
  <sheetData>
    <row r="47" spans="1:5" ht="14.25" x14ac:dyDescent="0.2">
      <c r="A47" s="62"/>
      <c r="B47" s="141" t="s">
        <v>92</v>
      </c>
      <c r="C47" s="141"/>
      <c r="D47" s="141"/>
      <c r="E47" s="141"/>
    </row>
  </sheetData>
  <mergeCells count="1">
    <mergeCell ref="B47:E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1C32-6737-4CF5-976E-02594EAD2BA7}">
  <dimension ref="B1:V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 x14ac:dyDescent="0.2"/>
  <cols>
    <col min="1" max="1" width="3.42578125" style="39" customWidth="1"/>
    <col min="2" max="2" width="43.140625" style="39" bestFit="1" customWidth="1"/>
    <col min="3" max="3" width="11.85546875" style="99" bestFit="1" customWidth="1"/>
    <col min="4" max="4" width="13.7109375" style="99" bestFit="1" customWidth="1"/>
    <col min="5" max="5" width="15.42578125" style="99" bestFit="1" customWidth="1"/>
    <col min="6" max="6" width="15.85546875" style="99" bestFit="1" customWidth="1"/>
    <col min="7" max="7" width="11.42578125" style="99" bestFit="1" customWidth="1"/>
    <col min="8" max="8" width="18" style="99" bestFit="1" customWidth="1"/>
    <col min="9" max="9" width="11.42578125" style="63" bestFit="1" customWidth="1"/>
    <col min="10" max="11" width="8.85546875" style="39"/>
    <col min="12" max="12" width="41" style="39" bestFit="1" customWidth="1"/>
    <col min="13" max="13" width="41.85546875" style="39" bestFit="1" customWidth="1"/>
    <col min="14" max="17" width="8.140625" style="39" customWidth="1"/>
    <col min="18" max="18" width="10.28515625" style="39" bestFit="1" customWidth="1"/>
    <col min="19" max="20" width="8.85546875" style="39"/>
    <col min="21" max="21" width="6.7109375" style="39" bestFit="1" customWidth="1"/>
    <col min="22" max="16384" width="8.85546875" style="39"/>
  </cols>
  <sheetData>
    <row r="1" spans="2:22" ht="13.5" thickBot="1" x14ac:dyDescent="0.25">
      <c r="M1" s="64"/>
      <c r="N1" s="64"/>
      <c r="O1" s="64"/>
      <c r="P1" s="64"/>
      <c r="Q1" s="64"/>
      <c r="R1" s="64"/>
    </row>
    <row r="2" spans="2:22" ht="13.5" thickBot="1" x14ac:dyDescent="0.25">
      <c r="B2" s="89" t="s">
        <v>90</v>
      </c>
      <c r="C2" s="100"/>
      <c r="D2" s="100"/>
      <c r="E2" s="100"/>
      <c r="F2" s="100"/>
      <c r="G2" s="100"/>
      <c r="H2" s="100"/>
      <c r="I2" s="90"/>
      <c r="M2" s="64"/>
      <c r="N2" s="64"/>
      <c r="O2" s="64"/>
      <c r="P2" s="64"/>
      <c r="Q2" s="64"/>
      <c r="R2" s="64"/>
    </row>
    <row r="3" spans="2:22" ht="26.25" thickBot="1" x14ac:dyDescent="0.25">
      <c r="B3" s="109" t="s">
        <v>60</v>
      </c>
      <c r="C3" s="46" t="s">
        <v>57</v>
      </c>
      <c r="D3" s="46" t="s">
        <v>13</v>
      </c>
      <c r="E3" s="46" t="s">
        <v>59</v>
      </c>
      <c r="F3" s="46" t="s">
        <v>79</v>
      </c>
      <c r="G3" s="110" t="s">
        <v>62</v>
      </c>
      <c r="H3" s="111" t="s">
        <v>63</v>
      </c>
      <c r="I3" s="112" t="s">
        <v>64</v>
      </c>
      <c r="M3" s="64"/>
      <c r="N3" s="65"/>
      <c r="O3" s="64"/>
      <c r="P3" s="66"/>
      <c r="Q3" s="67"/>
      <c r="R3" s="64"/>
      <c r="S3" s="64"/>
      <c r="T3" s="64"/>
    </row>
    <row r="4" spans="2:22" x14ac:dyDescent="0.2">
      <c r="B4" s="91" t="s">
        <v>30</v>
      </c>
      <c r="C4" s="113">
        <v>131</v>
      </c>
      <c r="D4" s="114">
        <f>ROUNDUP(C4*0.75,0)</f>
        <v>99</v>
      </c>
      <c r="E4" s="115">
        <v>273</v>
      </c>
      <c r="F4" s="115">
        <v>0</v>
      </c>
      <c r="G4" s="125">
        <v>273</v>
      </c>
      <c r="H4" s="116">
        <f t="shared" ref="H4:H36" si="0">G4/C4</f>
        <v>2.0839694656488548</v>
      </c>
      <c r="I4" s="108" t="str">
        <f>IF(H4&gt;=75%,"YES","NO")</f>
        <v>YES</v>
      </c>
      <c r="L4" s="97"/>
      <c r="M4" s="97"/>
      <c r="N4" s="138"/>
      <c r="O4" s="64"/>
      <c r="P4" s="98"/>
      <c r="Q4" s="98"/>
      <c r="R4" s="98"/>
      <c r="S4" s="64"/>
      <c r="T4" s="139"/>
      <c r="U4" s="140"/>
      <c r="V4" s="140"/>
    </row>
    <row r="5" spans="2:22" x14ac:dyDescent="0.2">
      <c r="B5" s="91" t="s">
        <v>31</v>
      </c>
      <c r="C5" s="113">
        <v>0</v>
      </c>
      <c r="D5" s="114">
        <f>ROUNDUP(C5*0.75,0)</f>
        <v>0</v>
      </c>
      <c r="E5" s="115">
        <v>0</v>
      </c>
      <c r="F5" s="115">
        <v>0</v>
      </c>
      <c r="G5" s="125">
        <v>0</v>
      </c>
      <c r="H5" s="116"/>
      <c r="I5" s="108" t="s">
        <v>88</v>
      </c>
      <c r="L5" s="97"/>
      <c r="M5" s="97"/>
      <c r="N5" s="138"/>
      <c r="O5" s="64"/>
      <c r="P5" s="98"/>
      <c r="Q5" s="98"/>
      <c r="R5" s="98"/>
      <c r="S5" s="64"/>
      <c r="T5" s="139"/>
      <c r="U5" s="140"/>
      <c r="V5" s="140"/>
    </row>
    <row r="6" spans="2:22" x14ac:dyDescent="0.2">
      <c r="B6" s="91" t="s">
        <v>56</v>
      </c>
      <c r="C6" s="117">
        <v>5264</v>
      </c>
      <c r="D6" s="117">
        <f t="shared" ref="D6" si="1">SUM(D7:D11)</f>
        <v>3950</v>
      </c>
      <c r="E6" s="119">
        <v>4095</v>
      </c>
      <c r="F6" s="119">
        <v>149</v>
      </c>
      <c r="G6" s="119">
        <v>4244</v>
      </c>
      <c r="H6" s="120">
        <f t="shared" si="0"/>
        <v>0.80623100303951367</v>
      </c>
      <c r="I6" s="104" t="str">
        <f t="shared" ref="I6:I35" si="2">IF(H6&gt;=75%,"YES","NO")</f>
        <v>YES</v>
      </c>
      <c r="L6" s="97"/>
      <c r="M6" s="97"/>
      <c r="N6" s="138"/>
      <c r="O6" s="64"/>
      <c r="P6" s="98"/>
      <c r="Q6" s="98"/>
      <c r="R6" s="98"/>
      <c r="S6" s="64"/>
      <c r="T6" s="139"/>
      <c r="U6" s="140"/>
      <c r="V6" s="140"/>
    </row>
    <row r="7" spans="2:22" x14ac:dyDescent="0.2">
      <c r="B7" s="92" t="s">
        <v>32</v>
      </c>
      <c r="C7" s="117">
        <v>545</v>
      </c>
      <c r="D7" s="118">
        <f t="shared" ref="D7:D35" si="3">ROUNDUP(C7*0.75,0)</f>
        <v>409</v>
      </c>
      <c r="E7" s="119">
        <v>576</v>
      </c>
      <c r="F7" s="119">
        <v>0</v>
      </c>
      <c r="G7" s="126">
        <v>576</v>
      </c>
      <c r="H7" s="120">
        <f t="shared" si="0"/>
        <v>1.0568807339449542</v>
      </c>
      <c r="I7" s="104" t="str">
        <f t="shared" si="2"/>
        <v>YES</v>
      </c>
      <c r="L7" s="97"/>
      <c r="M7" s="97"/>
      <c r="N7" s="138"/>
      <c r="O7" s="64"/>
      <c r="P7" s="98"/>
      <c r="Q7" s="98"/>
      <c r="R7" s="98"/>
      <c r="S7" s="64"/>
      <c r="T7" s="139"/>
      <c r="U7" s="140"/>
      <c r="V7" s="140"/>
    </row>
    <row r="8" spans="2:22" x14ac:dyDescent="0.2">
      <c r="B8" s="93" t="s">
        <v>43</v>
      </c>
      <c r="C8" s="117">
        <v>313</v>
      </c>
      <c r="D8" s="118">
        <f t="shared" si="3"/>
        <v>235</v>
      </c>
      <c r="E8" s="119">
        <v>187</v>
      </c>
      <c r="F8" s="119">
        <v>0</v>
      </c>
      <c r="G8" s="126">
        <v>187</v>
      </c>
      <c r="H8" s="120">
        <f t="shared" si="0"/>
        <v>0.597444089456869</v>
      </c>
      <c r="I8" s="104" t="str">
        <f t="shared" si="2"/>
        <v>NO</v>
      </c>
      <c r="L8" s="97"/>
      <c r="M8" s="97"/>
      <c r="N8" s="138"/>
      <c r="O8" s="64"/>
      <c r="P8" s="98"/>
      <c r="Q8" s="98"/>
      <c r="R8" s="98"/>
      <c r="S8" s="64"/>
      <c r="T8" s="139"/>
      <c r="U8" s="140"/>
      <c r="V8" s="140"/>
    </row>
    <row r="9" spans="2:22" x14ac:dyDescent="0.2">
      <c r="B9" s="93" t="s">
        <v>44</v>
      </c>
      <c r="C9" s="117">
        <v>2302</v>
      </c>
      <c r="D9" s="118">
        <f t="shared" si="3"/>
        <v>1727</v>
      </c>
      <c r="E9" s="119">
        <v>2675</v>
      </c>
      <c r="F9" s="119">
        <v>0</v>
      </c>
      <c r="G9" s="126">
        <v>2675</v>
      </c>
      <c r="H9" s="120">
        <f t="shared" si="0"/>
        <v>1.1620330147697655</v>
      </c>
      <c r="I9" s="104" t="str">
        <f t="shared" si="2"/>
        <v>YES</v>
      </c>
      <c r="L9" s="97"/>
      <c r="M9" s="97"/>
      <c r="N9" s="138"/>
      <c r="O9" s="64"/>
      <c r="P9" s="98"/>
      <c r="Q9" s="98"/>
      <c r="R9" s="98"/>
      <c r="S9" s="64"/>
      <c r="T9" s="139"/>
      <c r="U9" s="140"/>
      <c r="V9" s="140"/>
    </row>
    <row r="10" spans="2:22" x14ac:dyDescent="0.2">
      <c r="B10" s="93" t="s">
        <v>46</v>
      </c>
      <c r="C10" s="117">
        <v>1393</v>
      </c>
      <c r="D10" s="118">
        <f t="shared" si="3"/>
        <v>1045</v>
      </c>
      <c r="E10" s="119">
        <v>485</v>
      </c>
      <c r="F10" s="119">
        <v>35</v>
      </c>
      <c r="G10" s="126">
        <v>520</v>
      </c>
      <c r="H10" s="120">
        <f t="shared" si="0"/>
        <v>0.37329504666188085</v>
      </c>
      <c r="I10" s="104" t="str">
        <f t="shared" si="2"/>
        <v>NO</v>
      </c>
      <c r="L10" s="97"/>
      <c r="M10" s="97"/>
      <c r="N10" s="138"/>
      <c r="O10" s="64"/>
      <c r="P10" s="98"/>
      <c r="Q10" s="98"/>
      <c r="R10" s="98"/>
      <c r="S10" s="64"/>
      <c r="T10" s="139"/>
      <c r="U10" s="140"/>
      <c r="V10" s="140"/>
    </row>
    <row r="11" spans="2:22" x14ac:dyDescent="0.2">
      <c r="B11" s="94" t="s">
        <v>53</v>
      </c>
      <c r="C11" s="117">
        <v>711</v>
      </c>
      <c r="D11" s="118">
        <f t="shared" si="3"/>
        <v>534</v>
      </c>
      <c r="E11" s="119">
        <v>172</v>
      </c>
      <c r="F11" s="119">
        <v>114</v>
      </c>
      <c r="G11" s="126">
        <v>286</v>
      </c>
      <c r="H11" s="120">
        <f t="shared" si="0"/>
        <v>0.40225035161744022</v>
      </c>
      <c r="I11" s="104" t="str">
        <f t="shared" si="2"/>
        <v>NO</v>
      </c>
      <c r="L11" s="97"/>
      <c r="M11" s="97"/>
      <c r="N11" s="138"/>
      <c r="O11" s="64"/>
      <c r="P11" s="98"/>
      <c r="Q11" s="98"/>
      <c r="R11" s="98"/>
      <c r="S11" s="64"/>
      <c r="T11" s="139"/>
      <c r="U11" s="140"/>
      <c r="V11" s="140"/>
    </row>
    <row r="12" spans="2:22" x14ac:dyDescent="0.2">
      <c r="B12" s="91" t="s">
        <v>33</v>
      </c>
      <c r="C12" s="117">
        <v>823</v>
      </c>
      <c r="D12" s="118">
        <f t="shared" si="3"/>
        <v>618</v>
      </c>
      <c r="E12" s="119">
        <v>1382</v>
      </c>
      <c r="F12" s="119">
        <v>0</v>
      </c>
      <c r="G12" s="126">
        <v>1382</v>
      </c>
      <c r="H12" s="120">
        <f t="shared" si="0"/>
        <v>1.6792223572296476</v>
      </c>
      <c r="I12" s="104" t="str">
        <f t="shared" si="2"/>
        <v>YES</v>
      </c>
      <c r="L12" s="97"/>
      <c r="M12" s="97"/>
      <c r="N12" s="138"/>
      <c r="O12" s="64"/>
      <c r="P12" s="98"/>
      <c r="Q12" s="98"/>
      <c r="R12" s="98"/>
      <c r="S12" s="64"/>
      <c r="T12" s="139"/>
      <c r="U12" s="140"/>
      <c r="V12" s="140"/>
    </row>
    <row r="13" spans="2:22" x14ac:dyDescent="0.2">
      <c r="B13" s="91" t="s">
        <v>34</v>
      </c>
      <c r="C13" s="117">
        <v>27</v>
      </c>
      <c r="D13" s="118">
        <f t="shared" si="3"/>
        <v>21</v>
      </c>
      <c r="E13" s="119">
        <v>32</v>
      </c>
      <c r="F13" s="119">
        <v>0</v>
      </c>
      <c r="G13" s="126">
        <v>32</v>
      </c>
      <c r="H13" s="120">
        <f t="shared" si="0"/>
        <v>1.1851851851851851</v>
      </c>
      <c r="I13" s="104" t="str">
        <f t="shared" si="2"/>
        <v>YES</v>
      </c>
      <c r="L13" s="97"/>
      <c r="M13" s="97"/>
      <c r="N13" s="138"/>
      <c r="O13" s="64"/>
      <c r="P13" s="98"/>
      <c r="Q13" s="98"/>
      <c r="R13" s="98"/>
      <c r="S13" s="64"/>
      <c r="T13" s="139"/>
      <c r="U13" s="140"/>
      <c r="V13" s="140"/>
    </row>
    <row r="14" spans="2:22" x14ac:dyDescent="0.2">
      <c r="B14" s="91" t="s">
        <v>35</v>
      </c>
      <c r="C14" s="130"/>
      <c r="D14" s="131"/>
      <c r="E14" s="132"/>
      <c r="F14" s="132"/>
      <c r="G14" s="133"/>
      <c r="H14" s="134"/>
      <c r="I14" s="135"/>
      <c r="L14" s="97"/>
      <c r="M14" s="97"/>
      <c r="N14" s="138"/>
      <c r="O14" s="64"/>
      <c r="P14" s="98"/>
      <c r="Q14" s="98"/>
      <c r="R14" s="98"/>
      <c r="S14" s="64"/>
      <c r="T14" s="139"/>
      <c r="U14" s="140"/>
      <c r="V14" s="140"/>
    </row>
    <row r="15" spans="2:22" x14ac:dyDescent="0.2">
      <c r="B15" s="91" t="s">
        <v>36</v>
      </c>
      <c r="C15" s="117">
        <v>304</v>
      </c>
      <c r="D15" s="118">
        <f t="shared" si="3"/>
        <v>228</v>
      </c>
      <c r="E15" s="119">
        <v>267</v>
      </c>
      <c r="F15" s="119">
        <v>14</v>
      </c>
      <c r="G15" s="126">
        <v>281</v>
      </c>
      <c r="H15" s="120">
        <f t="shared" si="0"/>
        <v>0.92434210526315785</v>
      </c>
      <c r="I15" s="104" t="str">
        <f t="shared" si="2"/>
        <v>YES</v>
      </c>
      <c r="L15" s="97"/>
      <c r="M15" s="97"/>
      <c r="N15" s="138"/>
      <c r="O15" s="64"/>
      <c r="P15" s="98"/>
      <c r="Q15" s="98"/>
      <c r="R15" s="98"/>
      <c r="S15" s="64"/>
      <c r="T15" s="139"/>
      <c r="U15" s="140"/>
      <c r="V15" s="140"/>
    </row>
    <row r="16" spans="2:22" x14ac:dyDescent="0.2">
      <c r="B16" s="91" t="s">
        <v>37</v>
      </c>
      <c r="C16" s="117">
        <v>164</v>
      </c>
      <c r="D16" s="118">
        <f t="shared" si="3"/>
        <v>123</v>
      </c>
      <c r="E16" s="119">
        <v>83</v>
      </c>
      <c r="F16" s="119">
        <v>0</v>
      </c>
      <c r="G16" s="126">
        <v>83</v>
      </c>
      <c r="H16" s="120">
        <f t="shared" si="0"/>
        <v>0.50609756097560976</v>
      </c>
      <c r="I16" s="104" t="str">
        <f t="shared" si="2"/>
        <v>NO</v>
      </c>
      <c r="L16" s="97"/>
      <c r="M16" s="97"/>
      <c r="N16" s="138"/>
      <c r="O16" s="64"/>
      <c r="P16" s="98"/>
      <c r="Q16" s="98"/>
      <c r="R16" s="98"/>
      <c r="S16" s="64"/>
      <c r="T16" s="139"/>
      <c r="U16" s="140"/>
      <c r="V16" s="140"/>
    </row>
    <row r="17" spans="2:22" x14ac:dyDescent="0.2">
      <c r="B17" s="91" t="s">
        <v>38</v>
      </c>
      <c r="C17" s="117">
        <v>991</v>
      </c>
      <c r="D17" s="118">
        <f t="shared" si="3"/>
        <v>744</v>
      </c>
      <c r="E17" s="119">
        <v>355</v>
      </c>
      <c r="F17" s="119">
        <v>0</v>
      </c>
      <c r="G17" s="126">
        <v>355</v>
      </c>
      <c r="H17" s="120">
        <f t="shared" si="0"/>
        <v>0.35822401614530774</v>
      </c>
      <c r="I17" s="104" t="str">
        <f t="shared" si="2"/>
        <v>NO</v>
      </c>
      <c r="L17" s="97"/>
      <c r="M17" s="97"/>
      <c r="N17" s="138"/>
      <c r="O17" s="64"/>
      <c r="P17" s="98"/>
      <c r="Q17" s="98"/>
      <c r="R17" s="98"/>
      <c r="S17" s="64"/>
      <c r="T17" s="139"/>
      <c r="U17" s="140"/>
      <c r="V17" s="140"/>
    </row>
    <row r="18" spans="2:22" x14ac:dyDescent="0.2">
      <c r="B18" s="91" t="s">
        <v>39</v>
      </c>
      <c r="C18" s="117">
        <v>9</v>
      </c>
      <c r="D18" s="118">
        <f t="shared" ref="D18" si="4">ROUNDUP(C18*0.75,0)</f>
        <v>7</v>
      </c>
      <c r="E18" s="119">
        <v>2</v>
      </c>
      <c r="F18" s="119">
        <v>0</v>
      </c>
      <c r="G18" s="126">
        <v>2</v>
      </c>
      <c r="H18" s="120">
        <f t="shared" ref="H18" si="5">G18/C18</f>
        <v>0.22222222222222221</v>
      </c>
      <c r="I18" s="104" t="str">
        <f t="shared" ref="I18" si="6">IF(H18&gt;=75%,"YES","NO")</f>
        <v>NO</v>
      </c>
      <c r="L18" s="97"/>
      <c r="M18" s="97"/>
      <c r="N18" s="138"/>
      <c r="O18" s="64"/>
      <c r="P18" s="98"/>
      <c r="Q18" s="98"/>
      <c r="R18" s="98"/>
      <c r="S18" s="64"/>
      <c r="T18" s="139"/>
      <c r="U18" s="140"/>
      <c r="V18" s="140"/>
    </row>
    <row r="19" spans="2:22" x14ac:dyDescent="0.2">
      <c r="B19" s="91" t="s">
        <v>40</v>
      </c>
      <c r="C19" s="117">
        <v>17</v>
      </c>
      <c r="D19" s="118">
        <f t="shared" si="3"/>
        <v>13</v>
      </c>
      <c r="E19" s="119">
        <v>7</v>
      </c>
      <c r="F19" s="119">
        <v>2</v>
      </c>
      <c r="G19" s="126">
        <v>9</v>
      </c>
      <c r="H19" s="120">
        <f t="shared" si="0"/>
        <v>0.52941176470588236</v>
      </c>
      <c r="I19" s="104" t="str">
        <f t="shared" si="2"/>
        <v>NO</v>
      </c>
      <c r="L19" s="97"/>
      <c r="M19" s="97"/>
      <c r="N19" s="138"/>
      <c r="O19" s="64"/>
      <c r="P19" s="98"/>
      <c r="Q19" s="98"/>
      <c r="R19" s="98"/>
      <c r="S19" s="64"/>
      <c r="T19" s="139"/>
      <c r="U19" s="140"/>
      <c r="V19" s="140"/>
    </row>
    <row r="20" spans="2:22" x14ac:dyDescent="0.2">
      <c r="B20" s="91" t="s">
        <v>41</v>
      </c>
      <c r="C20" s="117">
        <v>97</v>
      </c>
      <c r="D20" s="118">
        <f t="shared" si="3"/>
        <v>73</v>
      </c>
      <c r="E20" s="119">
        <v>81</v>
      </c>
      <c r="F20" s="119">
        <v>0</v>
      </c>
      <c r="G20" s="126">
        <v>81</v>
      </c>
      <c r="H20" s="120">
        <f t="shared" si="0"/>
        <v>0.83505154639175261</v>
      </c>
      <c r="I20" s="104" t="str">
        <f t="shared" si="2"/>
        <v>YES</v>
      </c>
      <c r="L20" s="97"/>
      <c r="M20" s="97"/>
      <c r="N20" s="138"/>
      <c r="O20" s="64"/>
      <c r="P20" s="98"/>
      <c r="Q20" s="98"/>
      <c r="R20" s="98"/>
      <c r="S20" s="64"/>
      <c r="T20" s="139"/>
      <c r="U20" s="140"/>
      <c r="V20" s="140"/>
    </row>
    <row r="21" spans="2:22" x14ac:dyDescent="0.2">
      <c r="B21" s="91" t="s">
        <v>42</v>
      </c>
      <c r="C21" s="117">
        <v>12</v>
      </c>
      <c r="D21" s="118">
        <f t="shared" si="3"/>
        <v>9</v>
      </c>
      <c r="E21" s="119">
        <v>9</v>
      </c>
      <c r="F21" s="119">
        <v>0</v>
      </c>
      <c r="G21" s="126">
        <v>9</v>
      </c>
      <c r="H21" s="120">
        <f t="shared" si="0"/>
        <v>0.75</v>
      </c>
      <c r="I21" s="104" t="str">
        <f t="shared" si="2"/>
        <v>YES</v>
      </c>
      <c r="L21" s="97"/>
      <c r="M21" s="97"/>
      <c r="N21" s="138"/>
      <c r="O21" s="64"/>
      <c r="P21" s="98"/>
      <c r="Q21" s="98"/>
      <c r="R21" s="98"/>
      <c r="S21" s="64"/>
      <c r="T21" s="139"/>
      <c r="U21" s="140"/>
      <c r="V21" s="140"/>
    </row>
    <row r="22" spans="2:22" x14ac:dyDescent="0.2">
      <c r="B22" s="91" t="s">
        <v>45</v>
      </c>
      <c r="C22" s="117">
        <v>452</v>
      </c>
      <c r="D22" s="118">
        <f t="shared" si="3"/>
        <v>339</v>
      </c>
      <c r="E22" s="119">
        <v>405</v>
      </c>
      <c r="F22" s="119">
        <v>18</v>
      </c>
      <c r="G22" s="126">
        <v>423</v>
      </c>
      <c r="H22" s="120">
        <f t="shared" si="0"/>
        <v>0.93584070796460173</v>
      </c>
      <c r="I22" s="104" t="str">
        <f t="shared" si="2"/>
        <v>YES</v>
      </c>
      <c r="L22" s="97"/>
      <c r="M22" s="97"/>
      <c r="N22" s="138"/>
      <c r="O22" s="64"/>
      <c r="P22" s="98"/>
      <c r="Q22" s="98"/>
      <c r="R22" s="98"/>
      <c r="S22" s="64"/>
      <c r="T22" s="139"/>
      <c r="U22" s="140"/>
      <c r="V22" s="140"/>
    </row>
    <row r="23" spans="2:22" x14ac:dyDescent="0.2">
      <c r="B23" s="91" t="s">
        <v>47</v>
      </c>
      <c r="C23" s="117">
        <v>15</v>
      </c>
      <c r="D23" s="118">
        <f t="shared" si="3"/>
        <v>12</v>
      </c>
      <c r="E23" s="119">
        <v>54</v>
      </c>
      <c r="F23" s="119">
        <v>0</v>
      </c>
      <c r="G23" s="126">
        <v>54</v>
      </c>
      <c r="H23" s="120">
        <f t="shared" si="0"/>
        <v>3.6</v>
      </c>
      <c r="I23" s="104" t="str">
        <f t="shared" si="2"/>
        <v>YES</v>
      </c>
      <c r="L23" s="97"/>
      <c r="M23" s="97"/>
      <c r="N23" s="138"/>
      <c r="O23" s="64"/>
      <c r="P23" s="98"/>
      <c r="Q23" s="98"/>
      <c r="R23" s="98"/>
      <c r="S23" s="64"/>
      <c r="T23" s="139"/>
      <c r="U23" s="140"/>
      <c r="V23" s="140"/>
    </row>
    <row r="24" spans="2:22" x14ac:dyDescent="0.2">
      <c r="B24" s="91" t="s">
        <v>48</v>
      </c>
      <c r="C24" s="117">
        <v>353</v>
      </c>
      <c r="D24" s="118">
        <f t="shared" si="3"/>
        <v>265</v>
      </c>
      <c r="E24" s="119">
        <v>252</v>
      </c>
      <c r="F24" s="119">
        <v>0</v>
      </c>
      <c r="G24" s="126">
        <v>252</v>
      </c>
      <c r="H24" s="120">
        <f t="shared" si="0"/>
        <v>0.71388101983002827</v>
      </c>
      <c r="I24" s="104" t="str">
        <f t="shared" si="2"/>
        <v>NO</v>
      </c>
      <c r="L24" s="97"/>
      <c r="M24" s="97"/>
      <c r="N24" s="138"/>
      <c r="O24" s="64"/>
      <c r="P24" s="98"/>
      <c r="Q24" s="98"/>
      <c r="R24" s="98"/>
      <c r="S24" s="64"/>
      <c r="T24" s="139"/>
      <c r="U24" s="140"/>
      <c r="V24" s="140"/>
    </row>
    <row r="25" spans="2:22" x14ac:dyDescent="0.2">
      <c r="B25" s="91" t="s">
        <v>49</v>
      </c>
      <c r="C25" s="117">
        <v>35</v>
      </c>
      <c r="D25" s="118">
        <f t="shared" si="3"/>
        <v>27</v>
      </c>
      <c r="E25" s="119">
        <v>4</v>
      </c>
      <c r="F25" s="119">
        <v>5</v>
      </c>
      <c r="G25" s="126">
        <v>9</v>
      </c>
      <c r="H25" s="120">
        <f t="shared" si="0"/>
        <v>0.25714285714285712</v>
      </c>
      <c r="I25" s="104" t="str">
        <f t="shared" si="2"/>
        <v>NO</v>
      </c>
      <c r="L25" s="97"/>
      <c r="M25" s="97"/>
      <c r="N25" s="138"/>
      <c r="O25" s="64"/>
      <c r="P25" s="98"/>
      <c r="Q25" s="98"/>
      <c r="R25" s="98"/>
      <c r="S25" s="64"/>
      <c r="T25" s="139"/>
      <c r="U25" s="140"/>
      <c r="V25" s="140"/>
    </row>
    <row r="26" spans="2:22" x14ac:dyDescent="0.2">
      <c r="B26" s="91" t="s">
        <v>16</v>
      </c>
      <c r="C26" s="117">
        <v>25</v>
      </c>
      <c r="D26" s="118">
        <f t="shared" si="3"/>
        <v>19</v>
      </c>
      <c r="E26" s="119">
        <v>15</v>
      </c>
      <c r="F26" s="119">
        <v>0</v>
      </c>
      <c r="G26" s="126">
        <v>15</v>
      </c>
      <c r="H26" s="120">
        <f t="shared" si="0"/>
        <v>0.6</v>
      </c>
      <c r="I26" s="104" t="str">
        <f t="shared" si="2"/>
        <v>NO</v>
      </c>
      <c r="L26" s="97"/>
      <c r="M26" s="97"/>
      <c r="N26" s="138"/>
      <c r="O26" s="64"/>
      <c r="P26" s="98"/>
      <c r="Q26" s="98"/>
      <c r="R26" s="98"/>
      <c r="S26" s="64"/>
      <c r="T26" s="139"/>
      <c r="U26" s="140"/>
      <c r="V26" s="140"/>
    </row>
    <row r="27" spans="2:22" x14ac:dyDescent="0.2">
      <c r="B27" s="91" t="s">
        <v>17</v>
      </c>
      <c r="C27" s="117">
        <v>22</v>
      </c>
      <c r="D27" s="118">
        <f t="shared" si="3"/>
        <v>17</v>
      </c>
      <c r="E27" s="119">
        <v>151</v>
      </c>
      <c r="F27" s="119">
        <v>0</v>
      </c>
      <c r="G27" s="126">
        <v>151</v>
      </c>
      <c r="H27" s="120">
        <f t="shared" si="0"/>
        <v>6.8636363636363633</v>
      </c>
      <c r="I27" s="104" t="str">
        <f t="shared" si="2"/>
        <v>YES</v>
      </c>
      <c r="L27" s="97"/>
      <c r="M27" s="97"/>
      <c r="N27" s="138"/>
      <c r="O27" s="64"/>
      <c r="P27" s="98"/>
      <c r="Q27" s="98"/>
      <c r="R27" s="98"/>
      <c r="S27" s="64"/>
      <c r="T27" s="139"/>
      <c r="U27" s="140"/>
      <c r="V27" s="140"/>
    </row>
    <row r="28" spans="2:22" x14ac:dyDescent="0.2">
      <c r="B28" s="91" t="s">
        <v>18</v>
      </c>
      <c r="C28" s="117">
        <v>51</v>
      </c>
      <c r="D28" s="118">
        <f t="shared" si="3"/>
        <v>39</v>
      </c>
      <c r="E28" s="119">
        <v>46</v>
      </c>
      <c r="F28" s="119">
        <v>2</v>
      </c>
      <c r="G28" s="126">
        <v>48</v>
      </c>
      <c r="H28" s="120">
        <f t="shared" si="0"/>
        <v>0.94117647058823528</v>
      </c>
      <c r="I28" s="104" t="str">
        <f t="shared" si="2"/>
        <v>YES</v>
      </c>
      <c r="L28" s="97"/>
      <c r="M28" s="97"/>
      <c r="N28" s="138"/>
      <c r="O28" s="64"/>
      <c r="P28" s="98"/>
      <c r="Q28" s="98"/>
      <c r="R28" s="98"/>
      <c r="S28" s="64"/>
      <c r="T28" s="139"/>
      <c r="U28" s="140"/>
      <c r="V28" s="140"/>
    </row>
    <row r="29" spans="2:22" x14ac:dyDescent="0.2">
      <c r="B29" s="91" t="s">
        <v>22</v>
      </c>
      <c r="C29" s="117">
        <v>0</v>
      </c>
      <c r="D29" s="118">
        <f t="shared" ref="D29" si="7">ROUNDUP(C29*0.75,0)</f>
        <v>0</v>
      </c>
      <c r="E29" s="119">
        <v>0</v>
      </c>
      <c r="F29" s="119">
        <v>0</v>
      </c>
      <c r="G29" s="126">
        <v>0</v>
      </c>
      <c r="H29" s="120"/>
      <c r="I29" s="104" t="s">
        <v>88</v>
      </c>
      <c r="L29" s="97"/>
      <c r="M29" s="97"/>
      <c r="N29" s="138"/>
      <c r="O29" s="64"/>
      <c r="P29" s="98"/>
      <c r="Q29" s="98"/>
      <c r="R29" s="98"/>
      <c r="S29" s="64"/>
      <c r="T29" s="139"/>
      <c r="U29" s="140"/>
      <c r="V29" s="140"/>
    </row>
    <row r="30" spans="2:22" x14ac:dyDescent="0.2">
      <c r="B30" s="91" t="s">
        <v>23</v>
      </c>
      <c r="C30" s="130"/>
      <c r="D30" s="131"/>
      <c r="E30" s="132"/>
      <c r="F30" s="132"/>
      <c r="G30" s="133"/>
      <c r="H30" s="134"/>
      <c r="I30" s="135"/>
      <c r="L30" s="97"/>
      <c r="M30" s="97"/>
      <c r="N30" s="138"/>
      <c r="O30" s="64"/>
      <c r="P30" s="98"/>
      <c r="Q30" s="98"/>
      <c r="R30" s="98"/>
      <c r="S30" s="64"/>
      <c r="T30" s="139"/>
      <c r="U30" s="140"/>
      <c r="V30" s="140"/>
    </row>
    <row r="31" spans="2:22" x14ac:dyDescent="0.2">
      <c r="B31" s="91" t="s">
        <v>50</v>
      </c>
      <c r="C31" s="130"/>
      <c r="D31" s="131"/>
      <c r="E31" s="132"/>
      <c r="F31" s="132"/>
      <c r="G31" s="133"/>
      <c r="H31" s="134"/>
      <c r="I31" s="135"/>
      <c r="L31" s="97"/>
      <c r="M31" s="97"/>
      <c r="N31" s="138"/>
      <c r="O31" s="64"/>
      <c r="P31" s="98"/>
      <c r="Q31" s="98"/>
      <c r="R31" s="98"/>
      <c r="S31" s="64"/>
      <c r="T31" s="139"/>
      <c r="U31" s="140"/>
      <c r="V31" s="140"/>
    </row>
    <row r="32" spans="2:22" x14ac:dyDescent="0.2">
      <c r="B32" s="91" t="s">
        <v>51</v>
      </c>
      <c r="C32" s="117">
        <v>1</v>
      </c>
      <c r="D32" s="118">
        <f t="shared" si="3"/>
        <v>1</v>
      </c>
      <c r="E32" s="119">
        <v>2</v>
      </c>
      <c r="F32" s="119">
        <v>0</v>
      </c>
      <c r="G32" s="126">
        <v>2</v>
      </c>
      <c r="H32" s="120">
        <f t="shared" si="0"/>
        <v>2</v>
      </c>
      <c r="I32" s="104" t="str">
        <f t="shared" si="2"/>
        <v>YES</v>
      </c>
      <c r="L32" s="97"/>
      <c r="M32" s="97"/>
      <c r="N32" s="138"/>
      <c r="O32" s="64"/>
      <c r="P32" s="98"/>
      <c r="Q32" s="98"/>
      <c r="R32" s="98"/>
      <c r="S32" s="64"/>
      <c r="T32" s="139"/>
      <c r="U32" s="140"/>
      <c r="V32" s="140"/>
    </row>
    <row r="33" spans="2:22" x14ac:dyDescent="0.2">
      <c r="B33" s="91" t="s">
        <v>52</v>
      </c>
      <c r="C33" s="117">
        <v>6</v>
      </c>
      <c r="D33" s="118">
        <f t="shared" si="3"/>
        <v>5</v>
      </c>
      <c r="E33" s="119">
        <v>5</v>
      </c>
      <c r="F33" s="119">
        <v>1</v>
      </c>
      <c r="G33" s="126">
        <v>6</v>
      </c>
      <c r="H33" s="120">
        <f t="shared" si="0"/>
        <v>1</v>
      </c>
      <c r="I33" s="104" t="str">
        <f t="shared" si="2"/>
        <v>YES</v>
      </c>
      <c r="L33" s="97"/>
      <c r="M33" s="97"/>
      <c r="N33" s="138"/>
      <c r="O33" s="64"/>
      <c r="P33" s="98"/>
      <c r="Q33" s="98"/>
      <c r="R33" s="98"/>
      <c r="S33" s="64"/>
      <c r="T33" s="139"/>
      <c r="U33" s="140"/>
      <c r="V33" s="140"/>
    </row>
    <row r="34" spans="2:22" x14ac:dyDescent="0.2">
      <c r="B34" s="91" t="s">
        <v>19</v>
      </c>
      <c r="C34" s="117">
        <v>353</v>
      </c>
      <c r="D34" s="118">
        <f t="shared" si="3"/>
        <v>265</v>
      </c>
      <c r="E34" s="119">
        <v>5053</v>
      </c>
      <c r="F34" s="119">
        <v>4</v>
      </c>
      <c r="G34" s="126">
        <v>5057</v>
      </c>
      <c r="H34" s="120">
        <f t="shared" si="0"/>
        <v>14.325779036827196</v>
      </c>
      <c r="I34" s="104" t="str">
        <f t="shared" si="2"/>
        <v>YES</v>
      </c>
      <c r="L34" s="97"/>
      <c r="M34" s="97"/>
      <c r="N34" s="138"/>
      <c r="O34" s="64"/>
      <c r="P34" s="98"/>
      <c r="Q34" s="98"/>
      <c r="R34" s="98"/>
      <c r="S34" s="64"/>
      <c r="T34" s="139"/>
      <c r="U34" s="140"/>
      <c r="V34" s="140"/>
    </row>
    <row r="35" spans="2:22" ht="13.5" thickBot="1" x14ac:dyDescent="0.25">
      <c r="B35" s="95" t="s">
        <v>54</v>
      </c>
      <c r="C35" s="121">
        <v>71</v>
      </c>
      <c r="D35" s="122">
        <f t="shared" si="3"/>
        <v>54</v>
      </c>
      <c r="E35" s="123">
        <v>1</v>
      </c>
      <c r="F35" s="123">
        <v>0</v>
      </c>
      <c r="G35" s="127">
        <v>1</v>
      </c>
      <c r="H35" s="124">
        <f t="shared" si="0"/>
        <v>1.4084507042253521E-2</v>
      </c>
      <c r="I35" s="105" t="str">
        <f t="shared" si="2"/>
        <v>NO</v>
      </c>
      <c r="L35" s="97"/>
      <c r="M35" s="97"/>
      <c r="N35" s="138"/>
      <c r="O35" s="64"/>
      <c r="P35" s="98"/>
      <c r="Q35" s="98"/>
      <c r="R35" s="98"/>
      <c r="S35" s="64"/>
      <c r="T35" s="139"/>
      <c r="U35" s="140"/>
      <c r="V35" s="140"/>
    </row>
    <row r="36" spans="2:22" ht="13.5" thickBot="1" x14ac:dyDescent="0.25">
      <c r="B36" s="96" t="s">
        <v>65</v>
      </c>
      <c r="C36" s="101">
        <f>SUM(C4:C35)-SUM(C7:C11)</f>
        <v>9223</v>
      </c>
      <c r="D36" s="102">
        <f>SUM(D4:D35)-SUM(D7:D11)</f>
        <v>6928</v>
      </c>
      <c r="E36" s="102">
        <f>SUM(E4:E35)-SUM(E7:E11)</f>
        <v>12574</v>
      </c>
      <c r="F36" s="102">
        <f>SUM(F4:F35)-SUM(F7:F11)</f>
        <v>195</v>
      </c>
      <c r="G36" s="137">
        <f>SUM(G4:G35)-SUM(G7:G11)</f>
        <v>12769</v>
      </c>
      <c r="H36" s="107">
        <f t="shared" si="0"/>
        <v>1.3844735986121652</v>
      </c>
      <c r="I36" s="106" t="str">
        <f>IF(H36&gt;=75%,"YES","NO")</f>
        <v>YES</v>
      </c>
      <c r="M36" s="64"/>
      <c r="N36" s="64"/>
      <c r="O36" s="64"/>
      <c r="P36" s="66"/>
      <c r="Q36" s="67"/>
      <c r="R36" s="64"/>
      <c r="S36" s="64"/>
      <c r="T36" s="64"/>
    </row>
    <row r="37" spans="2:22" x14ac:dyDescent="0.2">
      <c r="M37" s="64"/>
      <c r="N37" s="64"/>
      <c r="O37" s="64"/>
      <c r="P37" s="64"/>
      <c r="Q37" s="64"/>
      <c r="R37" s="64"/>
      <c r="S37" s="64"/>
      <c r="T37" s="64"/>
    </row>
    <row r="38" spans="2:22" ht="15" x14ac:dyDescent="0.25">
      <c r="B38" s="136" t="s">
        <v>86</v>
      </c>
      <c r="M38" s="64"/>
      <c r="N38" s="64"/>
      <c r="O38" s="64"/>
      <c r="P38" s="64"/>
      <c r="Q38" s="64"/>
      <c r="R38" s="64"/>
      <c r="S38" s="64"/>
      <c r="T38" s="64"/>
    </row>
    <row r="39" spans="2:22" ht="14.25" x14ac:dyDescent="0.2">
      <c r="B39" s="40" t="s">
        <v>87</v>
      </c>
      <c r="M39" s="64"/>
      <c r="N39" s="64"/>
      <c r="O39" s="64"/>
      <c r="P39" s="64"/>
      <c r="Q39" s="64"/>
      <c r="R39" s="64"/>
    </row>
    <row r="40" spans="2:22" ht="14.25" x14ac:dyDescent="0.2">
      <c r="B40" s="40"/>
      <c r="C40" s="103"/>
      <c r="D40" s="103"/>
      <c r="E40" s="103"/>
      <c r="M40" s="64"/>
      <c r="N40" s="64"/>
      <c r="O40" s="64"/>
      <c r="P40" s="64"/>
      <c r="Q40" s="64"/>
      <c r="R40" s="64"/>
    </row>
    <row r="41" spans="2:22" ht="14.25" x14ac:dyDescent="0.2">
      <c r="B41" s="40" t="s">
        <v>92</v>
      </c>
    </row>
  </sheetData>
  <conditionalFormatting sqref="H4:H5">
    <cfRule type="expression" dxfId="3" priority="5">
      <formula>"if($H4&gt;75,""YES,""NO"")"</formula>
    </cfRule>
  </conditionalFormatting>
  <conditionalFormatting sqref="I4:I36">
    <cfRule type="containsText" dxfId="2" priority="2" operator="containsText" text="NO">
      <formula>NOT(ISERROR(SEARCH("NO",I4)))</formula>
    </cfRule>
    <cfRule type="containsText" dxfId="1" priority="3" operator="containsText" text="YES">
      <formula>NOT(ISERROR(SEARCH("YES",I4)))</formula>
    </cfRule>
  </conditionalFormatting>
  <conditionalFormatting sqref="R4:R35">
    <cfRule type="expression" dxfId="0" priority="1">
      <formula>"if($H4&gt;75,""YES,""NO"")"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791C2B50-9A00-4FDE-887A-A0558360D8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0DE72-606C-4F72-A8F7-86C548ACF254}"/>
</file>

<file path=customXml/itemProps3.xml><?xml version="1.0" encoding="utf-8"?>
<ds:datastoreItem xmlns:ds="http://schemas.openxmlformats.org/officeDocument/2006/customXml" ds:itemID="{A4DA37CE-B297-45B2-9022-EB1B358416BF}">
  <ds:schemaRefs>
    <ds:schemaRef ds:uri="http://schemas.microsoft.com/office/2006/metadata/properties"/>
    <ds:schemaRef ds:uri="http://schemas.microsoft.com/office/infopath/2007/PartnerControls"/>
    <ds:schemaRef ds:uri="84fcc3d4-a868-4b4a-869f-9b2910028862"/>
    <ds:schemaRef ds:uri="351b36b7-24b7-4d84-9b03-1d852144fad3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2000-2025 Federal Chart</vt:lpstr>
      <vt:lpstr>FY 2000-2025 Performance Data</vt:lpstr>
      <vt:lpstr>FY 2025 Agency Chart</vt:lpstr>
      <vt:lpstr>FY 2025 Agency Details</vt:lpstr>
    </vt:vector>
  </TitlesOfParts>
  <Company>LMI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BENTLEY, Julian</dc:creator>
  <cp:lastModifiedBy>Singer, Mark</cp:lastModifiedBy>
  <cp:lastPrinted>2013-03-21T17:55:18Z</cp:lastPrinted>
  <dcterms:created xsi:type="dcterms:W3CDTF">2012-03-14T17:20:49Z</dcterms:created>
  <dcterms:modified xsi:type="dcterms:W3CDTF">2026-06-12T19:12:39Z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2024-03-29T22:14:39Z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b2f85928-56fa-40b6-a0ae-ccc49b09f3de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  <property fmtid="{D5CDD505-2E9C-101B-9397-08002B2CF9AE}" pid="10" name="MediaServiceImageTags">
    <vt:lpwstr/>
  </property>
</Properties>
</file>